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ions" sheetId="1" r:id="rId4"/>
    <sheet state="visible" name="Draft" sheetId="2" r:id="rId5"/>
    <sheet state="visible" name="Final Update" sheetId="3" r:id="rId6"/>
    <sheet state="hidden" name="PasteHashtag" sheetId="4" r:id="rId7"/>
    <sheet state="hidden" name="UpdateHashtag" sheetId="5" r:id="rId8"/>
    <sheet state="visible" name="UpdateBBM" sheetId="6" r:id="rId9"/>
    <sheet state="hidden" name="PasteBBM" sheetId="7" r:id="rId10"/>
    <sheet state="visible" name="All Teams" sheetId="8" r:id="rId11"/>
    <sheet state="visible" name="Team" sheetId="9" r:id="rId12"/>
    <sheet state="hidden" name="AuxCalc" sheetId="10" r:id="rId13"/>
    <sheet state="hidden" name="Trades" sheetId="11" r:id="rId14"/>
    <sheet state="hidden" name="Sheet9" sheetId="12" r:id="rId15"/>
    <sheet state="visible" name="NO USAR3" sheetId="13" r:id="rId16"/>
  </sheets>
  <definedNames>
    <definedName hidden="1" localSheetId="0" name="_xlnm._FilterDatabase">Projections!$A$13:$D$410</definedName>
    <definedName hidden="1" localSheetId="2" name="_xlnm._FilterDatabase">'Final Update'!$P$20:$AR$420</definedName>
    <definedName hidden="1" localSheetId="3" name="_xlnm._FilterDatabase">PasteHashtag!$A$1:$Q$401</definedName>
    <definedName hidden="1" localSheetId="0" name="Z_B59D5A7F_3AC6_450A_9EB3_6E45CF38AC3E_.wvu.FilterData">Projections!$AA$12:$AA$13</definedName>
  </definedNames>
  <calcPr/>
  <customWorkbookViews>
    <customWorkbookView activeSheetId="0" maximized="1" windowHeight="0" windowWidth="0" guid="{B59D5A7F-3AC6-450A-9EB3-6E45CF38AC3E}" name="Filter 1"/>
  </customWorkbookViews>
</workbook>
</file>

<file path=xl/sharedStrings.xml><?xml version="1.0" encoding="utf-8"?>
<sst xmlns="http://schemas.openxmlformats.org/spreadsheetml/2006/main" count="9456" uniqueCount="2158">
  <si>
    <t>R#</t>
  </si>
  <si>
    <t>avg</t>
  </si>
  <si>
    <t>ADP</t>
  </si>
  <si>
    <t>PLAYER</t>
  </si>
  <si>
    <t>POS</t>
  </si>
  <si>
    <t>TEAM</t>
  </si>
  <si>
    <t>GP</t>
  </si>
  <si>
    <t>MPG</t>
  </si>
  <si>
    <t>FG%</t>
  </si>
  <si>
    <t>FT%</t>
  </si>
  <si>
    <t>PTS</t>
  </si>
  <si>
    <t>TREB</t>
  </si>
  <si>
    <t>AST</t>
  </si>
  <si>
    <t>STL</t>
  </si>
  <si>
    <t>BLK</t>
  </si>
  <si>
    <t>TO</t>
  </si>
  <si>
    <t>TOTAL</t>
  </si>
  <si>
    <t>Pick</t>
  </si>
  <si>
    <r>
      <rPr>
        <rFont val="Montserrat, Helvetica, Arial, serif"/>
        <color rgb="FF22292F"/>
        <sz val="11.0"/>
      </rPr>
      <t>Victor Wembanyama</t>
    </r>
  </si>
  <si>
    <t>Your Pick</t>
  </si>
  <si>
    <t>Round 1</t>
  </si>
  <si>
    <t>Round 2</t>
  </si>
  <si>
    <t>Round 3</t>
  </si>
  <si>
    <t>Round 4</t>
  </si>
  <si>
    <t>Round 5</t>
  </si>
  <si>
    <t>Round 6</t>
  </si>
  <si>
    <t>Round 7</t>
  </si>
  <si>
    <t>Round 8</t>
  </si>
  <si>
    <t>Round 9</t>
  </si>
  <si>
    <t>Round 10</t>
  </si>
  <si>
    <t>Round 11</t>
  </si>
  <si>
    <t>Round 12</t>
  </si>
  <si>
    <t>Round 13</t>
  </si>
  <si>
    <t>Round 14</t>
  </si>
  <si>
    <t>C</t>
  </si>
  <si>
    <t>SA</t>
  </si>
  <si>
    <t>0.473(8.8/18.6)</t>
  </si>
  <si>
    <t>0.802(4.5/5.6)</t>
  </si>
  <si>
    <r>
      <rPr>
        <rFont val="Montserrat, Helvetica, Arial, serif"/>
        <color rgb="FF22292F"/>
        <sz val="11.0"/>
      </rPr>
      <t>Nikola Jokic</t>
    </r>
  </si>
  <si>
    <t>std</t>
  </si>
  <si>
    <t>Current Player Auctioned</t>
  </si>
  <si>
    <t>Draft Average</t>
  </si>
  <si>
    <t>DEN</t>
  </si>
  <si>
    <t>0.585(10.4/17.8)</t>
  </si>
  <si>
    <t>0.819(4.8/5.8)</t>
  </si>
  <si>
    <r>
      <rPr>
        <rFont val="Montserrat, Helvetica, Arial, serif"/>
        <color rgb="FF22292F"/>
        <sz val="11.0"/>
      </rPr>
      <t>Shai Gilgeous-Alexander</t>
    </r>
  </si>
  <si>
    <t>PG</t>
  </si>
  <si>
    <t>SG</t>
  </si>
  <si>
    <t>SF</t>
  </si>
  <si>
    <t>PF</t>
  </si>
  <si>
    <t>z p/g</t>
  </si>
  <si>
    <t>z 3/g</t>
  </si>
  <si>
    <t>z r/g</t>
  </si>
  <si>
    <t>z a/g</t>
  </si>
  <si>
    <t>z s/g</t>
  </si>
  <si>
    <t>z b/g</t>
  </si>
  <si>
    <t>z fg%</t>
  </si>
  <si>
    <t>fga/g</t>
  </si>
  <si>
    <t>OKC</t>
  </si>
  <si>
    <t>z ft%</t>
  </si>
  <si>
    <t>0.524(10.2/19.5)</t>
  </si>
  <si>
    <t>fta/g</t>
  </si>
  <si>
    <t>0.880(8.1/9.2)</t>
  </si>
  <si>
    <t>z to/g</t>
  </si>
  <si>
    <t>Total $ Left</t>
  </si>
  <si>
    <r>
      <rPr>
        <rFont val="Montserrat, Helvetica, Arial, serif"/>
        <color rgb="FF22292F"/>
        <sz val="11.0"/>
      </rPr>
      <t>Luka Doncic</t>
    </r>
  </si>
  <si>
    <t>$ Value</t>
  </si>
  <si>
    <t>PG,SG</t>
  </si>
  <si>
    <t>DAL</t>
  </si>
  <si>
    <t>0.491(11.3/23.0)</t>
  </si>
  <si>
    <t>0.792(7.6/9.7)</t>
  </si>
  <si>
    <r>
      <rPr>
        <rFont val="Montserrat, Helvetica, Arial, serif"/>
        <color rgb="FF22292F"/>
        <sz val="11.0"/>
      </rPr>
      <t>Anthony Davis</t>
    </r>
  </si>
  <si>
    <t>Total LeagV/$ Left</t>
  </si>
  <si>
    <t>LeagV/$</t>
  </si>
  <si>
    <t>PF,C</t>
  </si>
  <si>
    <t>LAL</t>
  </si>
  <si>
    <t>0.559(9.5/17.0)</t>
  </si>
  <si>
    <t>0.802(5.8/7.3)</t>
  </si>
  <si>
    <r>
      <rPr>
        <rFont val="Montserrat, Helvetica, Arial, serif"/>
        <color rgb="FF22292F"/>
        <sz val="11.0"/>
      </rPr>
      <t>Joel Embiid</t>
    </r>
  </si>
  <si>
    <t>Total PuntV/$ Left</t>
  </si>
  <si>
    <t>PuntV/$</t>
  </si>
  <si>
    <t>PHI</t>
  </si>
  <si>
    <t>0.518(9.1/17.6)</t>
  </si>
  <si>
    <t>0.871(8.7/9.9)</t>
  </si>
  <si>
    <r>
      <rPr>
        <rFont val="Montserrat, Helvetica, Arial, serif"/>
        <color rgb="FF22292F"/>
        <sz val="11.0"/>
      </rPr>
      <t>Giannis Antetokounmpo</t>
    </r>
  </si>
  <si>
    <t>MIL</t>
  </si>
  <si>
    <t>0.614(11.8/19.2)</t>
  </si>
  <si>
    <t>0.671(7.0/10.5)</t>
  </si>
  <si>
    <r>
      <rPr>
        <rFont val="Montserrat, Helvetica, Arial, serif"/>
        <color rgb="FF22292F"/>
        <sz val="11.0"/>
      </rPr>
      <t>Tyrese Haliburton</t>
    </r>
  </si>
  <si>
    <t>IND</t>
  </si>
  <si>
    <t>0.483(7.5/15.6)</t>
  </si>
  <si>
    <t>0.862(3.1/3.5)</t>
  </si>
  <si>
    <r>
      <rPr>
        <rFont val="Montserrat, Helvetica, Arial, serif"/>
        <color rgb="FF22292F"/>
        <sz val="11.0"/>
      </rPr>
      <t>Trae Young</t>
    </r>
  </si>
  <si>
    <t xml:space="preserve">Avg Zscore Available </t>
  </si>
  <si>
    <t>ATL</t>
  </si>
  <si>
    <t>0.432(8.4/19.5)</t>
  </si>
  <si>
    <t>0.877(7.8/8.9)</t>
  </si>
  <si>
    <r>
      <rPr>
        <rFont val="Montserrat, Helvetica, Arial, serif"/>
        <color rgb="FF22292F"/>
        <sz val="11.0"/>
      </rPr>
      <t>Jayson Tatum</t>
    </r>
  </si>
  <si>
    <t>SF,PF</t>
  </si>
  <si>
    <t>BOS</t>
  </si>
  <si>
    <t>0.469(9.4/20.1)</t>
  </si>
  <si>
    <t>0.836(6.1/7.3)</t>
  </si>
  <si>
    <r>
      <rPr>
        <rFont val="Montserrat, Helvetica, Arial, serif"/>
        <color rgb="FF22292F"/>
        <sz val="11.0"/>
      </rPr>
      <t>James Harden</t>
    </r>
  </si>
  <si>
    <t>LAC</t>
  </si>
  <si>
    <t>0.438(6.5/14.8)</t>
  </si>
  <si>
    <t>0.871(4.7/5.3)</t>
  </si>
  <si>
    <t>Pick #</t>
  </si>
  <si>
    <t>-1 Cat</t>
  </si>
  <si>
    <t>-2 Cat</t>
  </si>
  <si>
    <t>3P</t>
  </si>
  <si>
    <t>REB</t>
  </si>
  <si>
    <t xml:space="preserve">BLK </t>
  </si>
  <si>
    <r>
      <rPr>
        <rFont val="Montserrat, Helvetica, Arial, serif"/>
        <color rgb="FF22292F"/>
        <sz val="11.0"/>
      </rPr>
      <t>Stephen Curry</t>
    </r>
  </si>
  <si>
    <t>Sort by</t>
  </si>
  <si>
    <t>Remove Drafted</t>
  </si>
  <si>
    <t>GS</t>
  </si>
  <si>
    <t>Top</t>
  </si>
  <si>
    <t>0.469(8.8/18.7)</t>
  </si>
  <si>
    <t>0.918(4.0/4.4)</t>
  </si>
  <si>
    <t>Projections</t>
  </si>
  <si>
    <r>
      <rPr>
        <rFont val="Montserrat, Helvetica, Arial, serif"/>
        <color rgb="FF22292F"/>
        <sz val="11.0"/>
      </rPr>
      <t>Donovan Mitchell</t>
    </r>
  </si>
  <si>
    <t>CLE</t>
  </si>
  <si>
    <t>0.468(9.1/19.5)</t>
  </si>
  <si>
    <t>0.866(4.6/5.4)</t>
  </si>
  <si>
    <r>
      <rPr>
        <rFont val="Montserrat, Helvetica, Arial, serif"/>
        <color rgb="FF22292F"/>
        <sz val="11.0"/>
      </rPr>
      <t>Kyrie Irving</t>
    </r>
  </si>
  <si>
    <t>0.495(9.2/18.6)</t>
  </si>
  <si>
    <t>0.907(3.2/3.6)</t>
  </si>
  <si>
    <r>
      <rPr>
        <rFont val="Montserrat, Helvetica, Arial, serif"/>
        <color rgb="FF22292F"/>
        <sz val="11.0"/>
      </rPr>
      <t>Kevin Durant</t>
    </r>
  </si>
  <si>
    <t>PuntV</t>
  </si>
  <si>
    <t>PHO</t>
  </si>
  <si>
    <t>0.520(9.5/18.3)</t>
  </si>
  <si>
    <t>0.846(4.6/5.5)</t>
  </si>
  <si>
    <r>
      <rPr>
        <rFont val="Montserrat, Helvetica, Arial, serif"/>
        <color rgb="FF22292F"/>
        <sz val="11.0"/>
      </rPr>
      <t>LeBron James</t>
    </r>
  </si>
  <si>
    <t>0.535(9.4/17.6)</t>
  </si>
  <si>
    <t>BBM</t>
  </si>
  <si>
    <t>0.758(4.3/5.6)</t>
  </si>
  <si>
    <r>
      <rPr>
        <rFont val="Montserrat, Helvetica, Arial, serif"/>
        <color rgb="FF22292F"/>
        <sz val="11.0"/>
      </rPr>
      <t>Scottie Barnes</t>
    </r>
  </si>
  <si>
    <t>SG,SF,PF</t>
  </si>
  <si>
    <t>TOR</t>
  </si>
  <si>
    <t>0.479(7.0/14.5)</t>
  </si>
  <si>
    <t>0.791(3.5/4.4)</t>
  </si>
  <si>
    <r>
      <rPr>
        <rFont val="Montserrat, Helvetica, Arial, serif"/>
        <color rgb="FF22292F"/>
        <sz val="11.0"/>
      </rPr>
      <t>Damian Lillard</t>
    </r>
  </si>
  <si>
    <t>W18</t>
  </si>
  <si>
    <t>0.432(7.7/17.8)</t>
  </si>
  <si>
    <t>0.918(6.5/7.0)</t>
  </si>
  <si>
    <t>W19</t>
  </si>
  <si>
    <r>
      <rPr>
        <rFont val="Montserrat, Helvetica, Arial, serif"/>
        <color rgb="FF22292F"/>
        <sz val="11.0"/>
      </rPr>
      <t>Devin Booker</t>
    </r>
  </si>
  <si>
    <t>W20</t>
  </si>
  <si>
    <t>Total</t>
  </si>
  <si>
    <t>Team</t>
  </si>
  <si>
    <t>PuntRank</t>
  </si>
  <si>
    <t>LgRank</t>
  </si>
  <si>
    <t>Auction $</t>
  </si>
  <si>
    <t>Player</t>
  </si>
  <si>
    <t>Pos</t>
  </si>
  <si>
    <t>LeagV</t>
  </si>
  <si>
    <t>Punt+</t>
  </si>
  <si>
    <t>0.490(9.9/20.1)</t>
  </si>
  <si>
    <t>0.873(5.9/6.8)</t>
  </si>
  <si>
    <r>
      <rPr>
        <rFont val="Montserrat, Helvetica, Arial, serif"/>
        <color rgb="FF22292F"/>
        <sz val="11.0"/>
      </rPr>
      <t>LaMelo Ball</t>
    </r>
  </si>
  <si>
    <t>CHA</t>
  </si>
  <si>
    <t>0.427(8.2/19.2)</t>
  </si>
  <si>
    <t>0.857(3.2/3.7)</t>
  </si>
  <si>
    <r>
      <rPr>
        <rFont val="Montserrat, Helvetica, Arial, serif"/>
        <color rgb="FF22292F"/>
        <sz val="11.0"/>
      </rPr>
      <t>Karl-Anthony Towns</t>
    </r>
  </si>
  <si>
    <t>NY</t>
  </si>
  <si>
    <t>0.501(7.4/14.8)</t>
  </si>
  <si>
    <t>0.873(4.4/5.1)</t>
  </si>
  <si>
    <r>
      <rPr>
        <rFont val="Montserrat, Helvetica, Arial, serif"/>
        <color rgb="FF22292F"/>
        <sz val="11.0"/>
      </rPr>
      <t>Domantas Sabonis</t>
    </r>
  </si>
  <si>
    <t>SAC</t>
  </si>
  <si>
    <t>0.600(7.2/12.1)</t>
  </si>
  <si>
    <t>0.725(3.9/5.4)</t>
  </si>
  <si>
    <r>
      <rPr>
        <rFont val="Montserrat, Helvetica, Arial, serif"/>
        <color rgb="FF22292F"/>
        <sz val="11.0"/>
      </rPr>
      <t>Lauri Markkanen</t>
    </r>
  </si>
  <si>
    <t>UTA</t>
  </si>
  <si>
    <t>0.483(8.3/17.1)</t>
  </si>
  <si>
    <t>0.884(4.9/5.6)</t>
  </si>
  <si>
    <r>
      <rPr>
        <rFont val="Montserrat, Helvetica, Arial, serif"/>
        <color rgb="FF22292F"/>
        <sz val="11.0"/>
      </rPr>
      <t>Chet Holmgren</t>
    </r>
  </si>
  <si>
    <t>0.530(6.5/12.2)</t>
  </si>
  <si>
    <t>0.793(2.8/3.5)</t>
  </si>
  <si>
    <r>
      <rPr>
        <rFont val="Montserrat, Helvetica, Arial, serif"/>
        <color rgb="FF22292F"/>
        <sz val="11.0"/>
      </rPr>
      <t>Jalen Brunson</t>
    </r>
  </si>
  <si>
    <t>0.484(9.8/20.3)</t>
  </si>
  <si>
    <t>0.839(5.3/6.4)</t>
  </si>
  <si>
    <r>
      <rPr>
        <rFont val="Montserrat, Helvetica, Arial, serif"/>
        <color rgb="FF22292F"/>
        <sz val="11.0"/>
      </rPr>
      <t>Anthony Edwards</t>
    </r>
  </si>
  <si>
    <t>SG,SF</t>
  </si>
  <si>
    <t>MIN</t>
  </si>
  <si>
    <t>0.460(9.3/20.3)</t>
  </si>
  <si>
    <t>0.823(5.0/6.1)</t>
  </si>
  <si>
    <r>
      <rPr>
        <rFont val="Montserrat, Helvetica, Arial, serif"/>
        <color rgb="FF22292F"/>
        <sz val="11.0"/>
      </rPr>
      <t>Paul George</t>
    </r>
  </si>
  <si>
    <t>0.465(7.7/16.5)</t>
  </si>
  <si>
    <t>0.889(3.8/4.3)</t>
  </si>
  <si>
    <r>
      <rPr>
        <rFont val="Montserrat, Helvetica, Arial, serif"/>
        <color rgb="FF22292F"/>
        <sz val="11.0"/>
      </rPr>
      <t>Jalen Williams</t>
    </r>
  </si>
  <si>
    <t>0.536(7.8/14.5)</t>
  </si>
  <si>
    <t>0.822(2.8/3.4)</t>
  </si>
  <si>
    <r>
      <rPr>
        <rFont val="Montserrat, Helvetica, Arial, serif"/>
        <color rgb="FF22292F"/>
        <sz val="11.0"/>
      </rPr>
      <t>Jimmy Butler</t>
    </r>
  </si>
  <si>
    <t>MIA</t>
  </si>
  <si>
    <t>0.492(6.5/13.2)</t>
  </si>
  <si>
    <t>0.855(6.9/8.1)</t>
  </si>
  <si>
    <r>
      <rPr>
        <rFont val="Montserrat, Helvetica, Arial, serif"/>
        <color rgb="FF22292F"/>
        <sz val="11.0"/>
      </rPr>
      <t>Jaren Jackson Jr.</t>
    </r>
  </si>
  <si>
    <t>MEM</t>
  </si>
  <si>
    <t>0.470(7.5/15.9)</t>
  </si>
  <si>
    <t>0.800(4.6/5.8)</t>
  </si>
  <si>
    <r>
      <rPr>
        <rFont val="Montserrat, Helvetica, Arial, serif"/>
        <color rgb="FF22292F"/>
        <sz val="11.0"/>
      </rPr>
      <t>Tyrese Maxey</t>
    </r>
  </si>
  <si>
    <t>0.462(8.7/18.8)</t>
  </si>
  <si>
    <t>0.859(4.1/4.8)</t>
  </si>
  <si>
    <r>
      <rPr>
        <rFont val="Montserrat, Helvetica, Arial, serif"/>
        <color rgb="FF22292F"/>
        <sz val="11.0"/>
      </rPr>
      <t>Fred VanVleet</t>
    </r>
  </si>
  <si>
    <t>HOU</t>
  </si>
  <si>
    <t>0.406(5.7/14.1)</t>
  </si>
  <si>
    <t>0.874(3.0/3.4)</t>
  </si>
  <si>
    <r>
      <rPr>
        <rFont val="Montserrat, Helvetica, Arial, serif"/>
        <color rgb="FF22292F"/>
        <sz val="11.0"/>
      </rPr>
      <t>Jalen Johnson</t>
    </r>
  </si>
  <si>
    <t>0.503(7.3/14.5)</t>
  </si>
  <si>
    <t>0.747(2.1/2.9)</t>
  </si>
  <si>
    <r>
      <rPr>
        <rFont val="Montserrat, Helvetica, Arial, serif"/>
        <color rgb="FF22292F"/>
        <sz val="11.0"/>
      </rPr>
      <t>De'Aaron Fox</t>
    </r>
  </si>
  <si>
    <t>0.472(9.2/19.4)</t>
  </si>
  <si>
    <t>0.759(4.3/5.6)</t>
  </si>
  <si>
    <r>
      <rPr>
        <rFont val="Montserrat, Helvetica, Arial, serif"/>
        <color rgb="FF22292F"/>
        <sz val="11.0"/>
      </rPr>
      <t>Derrick White</t>
    </r>
  </si>
  <si>
    <t>0.461(5.2/11.3)</t>
  </si>
  <si>
    <t>0.888(2.2/2.4)</t>
  </si>
  <si>
    <r>
      <rPr>
        <rFont val="Montserrat, Helvetica, Arial, serif"/>
        <color rgb="FF22292F"/>
        <sz val="11.0"/>
      </rPr>
      <t>Ja Morant</t>
    </r>
  </si>
  <si>
    <t>0.470(9.2/19.6)</t>
  </si>
  <si>
    <t>0.788(5.8/7.4)</t>
  </si>
  <si>
    <r>
      <rPr>
        <rFont val="Montserrat, Helvetica, Arial, serif"/>
        <color rgb="FF22292F"/>
        <sz val="11.0"/>
      </rPr>
      <t>DeMar DeRozan</t>
    </r>
  </si>
  <si>
    <t>% Games/Week</t>
  </si>
  <si>
    <t>Categories won</t>
  </si>
  <si>
    <t>Round</t>
  </si>
  <si>
    <t>0.486(7.5/15.4)</t>
  </si>
  <si>
    <t>0.863(6.0/7.0)</t>
  </si>
  <si>
    <t>Player Name</t>
  </si>
  <si>
    <r>
      <rPr>
        <rFont val="Montserrat, Helvetica, Arial, serif"/>
        <color rgb="FF22292F"/>
        <sz val="11.0"/>
      </rPr>
      <t>Evan Mobley</t>
    </r>
  </si>
  <si>
    <t>Count</t>
  </si>
  <si>
    <t>0.573(6.5/11.4)</t>
  </si>
  <si>
    <t>0.726(2.6/3.6)</t>
  </si>
  <si>
    <r>
      <rPr>
        <rFont val="Montserrat, Helvetica, Arial, serif"/>
        <color rgb="FF22292F"/>
        <sz val="11.0"/>
      </rPr>
      <t>Kawhi Leonard</t>
    </r>
  </si>
  <si>
    <t>0.507(7.5/14.7)</t>
  </si>
  <si>
    <t>0.859(3.5/4.1)</t>
  </si>
  <si>
    <r>
      <rPr>
        <rFont val="Montserrat, Helvetica, Arial, serif"/>
        <color rgb="FF22292F"/>
        <sz val="11.0"/>
      </rPr>
      <t>Desmond Bane</t>
    </r>
  </si>
  <si>
    <t>0.472(7.7/16.4)</t>
  </si>
  <si>
    <t>0.877(3.1/3.5)</t>
  </si>
  <si>
    <r>
      <rPr>
        <rFont val="Montserrat, Helvetica, Arial, serif"/>
        <color rgb="FF22292F"/>
        <sz val="11.0"/>
      </rPr>
      <t>Dejounte Murray</t>
    </r>
  </si>
  <si>
    <t>NO</t>
  </si>
  <si>
    <t>0.462(7.6/16.4)</t>
  </si>
  <si>
    <t>0.809(2.2/2.7)</t>
  </si>
  <si>
    <r>
      <rPr>
        <rFont val="Montserrat, Helvetica, Arial, serif"/>
        <color rgb="FF22292F"/>
        <sz val="11.0"/>
      </rPr>
      <t>Alperen Sengün</t>
    </r>
  </si>
  <si>
    <t>0.544(7.6/13.9)</t>
  </si>
  <si>
    <t>0.713(3.9/5.4)</t>
  </si>
  <si>
    <r>
      <rPr>
        <rFont val="Montserrat, Helvetica, Arial, serif"/>
        <color rgb="FF22292F"/>
        <sz val="11.0"/>
      </rPr>
      <t>Bam Adebayo</t>
    </r>
  </si>
  <si>
    <t>0.531(7.8/14.8)</t>
  </si>
  <si>
    <t>0.743(4.1/5.5)</t>
  </si>
  <si>
    <r>
      <rPr>
        <rFont val="Montserrat, Helvetica, Arial, serif"/>
        <color rgb="FF22292F"/>
        <sz val="11.0"/>
      </rPr>
      <t>Kristaps Porzingis</t>
    </r>
  </si>
  <si>
    <t>0.484(6.1/12.6)</t>
  </si>
  <si>
    <t>0.848(3.8/4.5)</t>
  </si>
  <si>
    <r>
      <rPr>
        <rFont val="Montserrat, Helvetica, Arial, serif"/>
        <color rgb="FF22292F"/>
        <sz val="11.0"/>
      </rPr>
      <t>Cade Cunningham</t>
    </r>
  </si>
  <si>
    <t>DET</t>
  </si>
  <si>
    <t>0.450(8.8/19.5)</t>
  </si>
  <si>
    <t>0.865(3.8/4.4)</t>
  </si>
  <si>
    <t>3RR</t>
  </si>
  <si>
    <r>
      <rPr>
        <rFont val="Montserrat, Helvetica, Arial, serif"/>
        <color rgb="FF22292F"/>
        <sz val="11.0"/>
      </rPr>
      <t>Myles Turner</t>
    </r>
  </si>
  <si>
    <t>0.535(6.1/11.5)</t>
  </si>
  <si>
    <t>0.778(3.2/4.1)</t>
  </si>
  <si>
    <r>
      <rPr>
        <rFont val="Montserrat, Helvetica, Arial, serif"/>
        <color rgb="FF22292F"/>
        <sz val="11.0"/>
      </rPr>
      <t>Immanuel Quickley</t>
    </r>
  </si>
  <si>
    <t>0.440(6.4/14.7)</t>
  </si>
  <si>
    <t>0.849(3.2/3.8)</t>
  </si>
  <si>
    <r>
      <rPr>
        <rFont val="Montserrat, Helvetica, Arial, serif"/>
        <color rgb="FF22292F"/>
        <sz val="11.0"/>
      </rPr>
      <t>Jamal Murray</t>
    </r>
  </si>
  <si>
    <t>0.471(7.4/15.8)</t>
  </si>
  <si>
    <t>0.841(2.6/3.1)</t>
  </si>
  <si>
    <r>
      <rPr>
        <rFont val="Montserrat, Helvetica, Arial, serif"/>
        <color rgb="FF22292F"/>
        <sz val="11.0"/>
      </rPr>
      <t>Franz Wagner</t>
    </r>
  </si>
  <si>
    <t>ORL</t>
  </si>
  <si>
    <t>0.483(7.2/15.0)</t>
  </si>
  <si>
    <t>0.845(3.7/4.3)</t>
  </si>
  <si>
    <r>
      <rPr>
        <rFont val="Montserrat, Helvetica, Arial, serif"/>
        <color rgb="FF22292F"/>
        <sz val="11.0"/>
      </rPr>
      <t>Tobias Harris</t>
    </r>
  </si>
  <si>
    <t>0.482(6.8/14.1)</t>
  </si>
  <si>
    <t>0.878(2.5/2.9)</t>
  </si>
  <si>
    <r>
      <rPr>
        <rFont val="Montserrat, Helvetica, Arial, serif"/>
        <color rgb="FF22292F"/>
        <sz val="11.0"/>
      </rPr>
      <t>Nikola Vucevic</t>
    </r>
  </si>
  <si>
    <t>CHI</t>
  </si>
  <si>
    <t>0.482(7.1/14.8)</t>
  </si>
  <si>
    <t>0.817(1.5/1.8)</t>
  </si>
  <si>
    <r>
      <rPr>
        <rFont val="Montserrat, Helvetica, Arial, serif"/>
        <color rgb="FF22292F"/>
        <sz val="11.0"/>
      </rPr>
      <t>Jarrett Allen</t>
    </r>
  </si>
  <si>
    <t>0.637(6.2/9.7)</t>
  </si>
  <si>
    <t>0.735(2.6/3.6)</t>
  </si>
  <si>
    <r>
      <rPr>
        <rFont val="Montserrat, Helvetica, Arial, serif"/>
        <color rgb="FF22292F"/>
        <sz val="11.0"/>
      </rPr>
      <t>Rudy Gobert</t>
    </r>
  </si>
  <si>
    <t>0.660(5.5/8.3)</t>
  </si>
  <si>
    <t>0.642(3.4/5.2)</t>
  </si>
  <si>
    <r>
      <rPr>
        <rFont val="Montserrat, Helvetica, Arial, serif"/>
        <color rgb="FF22292F"/>
        <sz val="11.0"/>
      </rPr>
      <t>Darius Garland</t>
    </r>
  </si>
  <si>
    <t>0.455(6.9/15.1)</t>
  </si>
  <si>
    <t>0.850(3.2/3.8)</t>
  </si>
  <si>
    <r>
      <rPr>
        <rFont val="Montserrat, Helvetica, Arial, serif"/>
        <color rgb="FF22292F"/>
        <sz val="11.0"/>
      </rPr>
      <t>Jaylen Brown</t>
    </r>
  </si>
  <si>
    <t>0.495(9.4/19.0)</t>
  </si>
  <si>
    <t>0.737(3.4/4.6)</t>
  </si>
  <si>
    <r>
      <rPr>
        <rFont val="Montserrat, Helvetica, Arial, serif"/>
        <color rgb="FF22292F"/>
        <sz val="11.0"/>
      </rPr>
      <t>Deandre Ayton</t>
    </r>
  </si>
  <si>
    <t>POR</t>
  </si>
  <si>
    <t>0.571(7.6/13.3)</t>
  </si>
  <si>
    <t>0.778(1.8/2.3)</t>
  </si>
  <si>
    <r>
      <rPr>
        <rFont val="Montserrat, Helvetica, Arial, serif"/>
        <color rgb="FF22292F"/>
        <sz val="11.0"/>
      </rPr>
      <t>Bradley Beal</t>
    </r>
  </si>
  <si>
    <t>0.509(7.2/14.2)</t>
  </si>
  <si>
    <t>0.821(2.6/3.1)</t>
  </si>
  <si>
    <r>
      <rPr>
        <rFont val="Montserrat, Helvetica, Arial, serif"/>
        <color rgb="FF22292F"/>
        <sz val="11.0"/>
      </rPr>
      <t>D'Angelo Russell</t>
    </r>
  </si>
  <si>
    <t>0.457(6.2/13.5)</t>
  </si>
  <si>
    <t>0.829(2.3/2.8)</t>
  </si>
  <si>
    <r>
      <rPr>
        <rFont val="Montserrat, Helvetica, Arial, serif"/>
        <color rgb="FF22292F"/>
        <sz val="11.0"/>
      </rPr>
      <t>Jalen Duren</t>
    </r>
  </si>
  <si>
    <t>0.628(5.3/8.5)</t>
  </si>
  <si>
    <t>0.781(2.1/2.7)</t>
  </si>
  <si>
    <r>
      <rPr>
        <rFont val="Montserrat, Helvetica, Arial, serif"/>
        <color rgb="FF22292F"/>
        <sz val="11.0"/>
      </rPr>
      <t>Jrue Holiday</t>
    </r>
  </si>
  <si>
    <t>0.477(5.1/10.6)</t>
  </si>
  <si>
    <t>0.847(1.2/1.4)</t>
  </si>
  <si>
    <r>
      <rPr>
        <rFont val="Montserrat, Helvetica, Arial, serif"/>
        <color rgb="FF22292F"/>
        <sz val="11.0"/>
      </rPr>
      <t>Zion Williamson</t>
    </r>
  </si>
  <si>
    <t>0.573(8.8/15.4)</t>
  </si>
  <si>
    <t>0.714(5.0/7.1)</t>
  </si>
  <si>
    <r>
      <rPr>
        <rFont val="Montserrat, Helvetica, Arial, serif"/>
        <color rgb="FF22292F"/>
        <sz val="11.0"/>
      </rPr>
      <t>Pascal Siakam</t>
    </r>
  </si>
  <si>
    <t>0.539(8.1/15.0)</t>
  </si>
  <si>
    <t>0.742(3.8/5.1)</t>
  </si>
  <si>
    <r>
      <rPr>
        <rFont val="Montserrat, Helvetica, Arial, serif"/>
        <color rgb="FF22292F"/>
        <sz val="11.0"/>
      </rPr>
      <t>Zach LaVine</t>
    </r>
  </si>
  <si>
    <t>0.459(7.5/16.3)</t>
  </si>
  <si>
    <t>0.845(4.2/5.0)</t>
  </si>
  <si>
    <r>
      <rPr>
        <rFont val="Montserrat, Helvetica, Arial, serif"/>
        <color rgb="FF22292F"/>
        <sz val="11.0"/>
      </rPr>
      <t>Jordan Poole</t>
    </r>
  </si>
  <si>
    <t>WAS</t>
  </si>
  <si>
    <t>0.422(6.9/16.3)</t>
  </si>
  <si>
    <t>0.871(3.7/4.2)</t>
  </si>
  <si>
    <r>
      <rPr>
        <rFont val="Montserrat, Helvetica, Arial, serif"/>
        <color rgb="FF22292F"/>
        <sz val="11.0"/>
      </rPr>
      <t>Nicolas Claxton</t>
    </r>
  </si>
  <si>
    <t>BKN</t>
  </si>
  <si>
    <t>0.621(5.4/8.7)</t>
  </si>
  <si>
    <t>0.555(1.7/3.0)</t>
  </si>
  <si>
    <r>
      <rPr>
        <rFont val="Montserrat, Helvetica, Arial, serif"/>
        <color rgb="FF22292F"/>
        <sz val="11.0"/>
      </rPr>
      <t>Miles Bridges</t>
    </r>
  </si>
  <si>
    <t>0.462(7.7/16.6)</t>
  </si>
  <si>
    <t>0.824(2.4/2.9)</t>
  </si>
  <si>
    <r>
      <rPr>
        <rFont val="Montserrat, Helvetica, Arial, serif"/>
        <color rgb="FF22292F"/>
        <sz val="11.0"/>
      </rPr>
      <t>Tyler Herro</t>
    </r>
  </si>
  <si>
    <t>0.440(7.4/16.8)</t>
  </si>
  <si>
    <t>0.903(2.4/2.7)</t>
  </si>
  <si>
    <r>
      <rPr>
        <rFont val="Montserrat, Helvetica, Arial, serif"/>
        <color rgb="FF22292F"/>
        <sz val="11.0"/>
      </rPr>
      <t>Trey Murphy III</t>
    </r>
  </si>
  <si>
    <t>0.455(5.0/11.0)</t>
  </si>
  <si>
    <t>0.864(2.3/2.6)</t>
  </si>
  <si>
    <r>
      <rPr>
        <rFont val="Montserrat, Helvetica, Arial, serif"/>
        <color rgb="FF22292F"/>
        <sz val="11.0"/>
      </rPr>
      <t>Isaiah Hartenstein</t>
    </r>
  </si>
  <si>
    <t>0.621(3.6/5.9)</t>
  </si>
  <si>
    <t>0.700(1.3/1.9)</t>
  </si>
  <si>
    <r>
      <rPr>
        <rFont val="Montserrat, Helvetica, Arial, serif"/>
        <color rgb="FF22292F"/>
        <sz val="11.0"/>
      </rPr>
      <t>Walker Kessler</t>
    </r>
  </si>
  <si>
    <t>0.662(4.2/6.3)</t>
  </si>
  <si>
    <t>0.577(1.1/1.9)</t>
  </si>
  <si>
    <r>
      <rPr>
        <rFont val="Montserrat, Helvetica, Arial, serif"/>
        <color rgb="FF22292F"/>
        <sz val="11.0"/>
      </rPr>
      <t>Mikal Bridges</t>
    </r>
  </si>
  <si>
    <t>0.454(5.5/12.0)</t>
  </si>
  <si>
    <t>0.827(2.7/3.2)</t>
  </si>
  <si>
    <r>
      <rPr>
        <rFont val="Montserrat, Helvetica, Arial, serif"/>
        <color rgb="FF22292F"/>
        <sz val="11.0"/>
      </rPr>
      <t>Brandon Ingram</t>
    </r>
  </si>
  <si>
    <t>0.492(7.5/15.3)</t>
  </si>
  <si>
    <t>0.812(3.8/4.7)</t>
  </si>
  <si>
    <r>
      <rPr>
        <rFont val="Montserrat, Helvetica, Arial, serif"/>
        <color rgb="FF22292F"/>
        <sz val="11.0"/>
      </rPr>
      <t>Devin Vassell</t>
    </r>
  </si>
  <si>
    <t>0.460(7.3/15.8)</t>
  </si>
  <si>
    <t>0.801(2.3/2.9)</t>
  </si>
  <si>
    <r>
      <rPr>
        <rFont val="Montserrat, Helvetica, Arial, serif"/>
        <color rgb="FF22292F"/>
        <sz val="11.0"/>
      </rPr>
      <t>Anfernee Simons</t>
    </r>
  </si>
  <si>
    <t>0.440(7.6/17.2)</t>
  </si>
  <si>
    <t>0.905(3.0/3.3)</t>
  </si>
  <si>
    <r>
      <rPr>
        <rFont val="Montserrat, Helvetica, Arial, serif"/>
        <color rgb="FF22292F"/>
        <sz val="11.0"/>
      </rPr>
      <t>Dereck Lively II</t>
    </r>
  </si>
  <si>
    <t>0.738(4.7/6.3)</t>
  </si>
  <si>
    <t>0.535(0.8/1.6)</t>
  </si>
  <si>
    <r>
      <rPr>
        <rFont val="Montserrat, Helvetica, Arial, serif"/>
        <color rgb="FF22292F"/>
        <sz val="11.0"/>
      </rPr>
      <t>Collin Sexton</t>
    </r>
  </si>
  <si>
    <t>0.487(6.9/14.2)</t>
  </si>
  <si>
    <t>0.843(4.5/5.4)</t>
  </si>
  <si>
    <r>
      <rPr>
        <rFont val="Montserrat, Helvetica, Arial, serif"/>
        <color rgb="FF22292F"/>
        <sz val="11.0"/>
      </rPr>
      <t>Josh Giddey</t>
    </r>
  </si>
  <si>
    <t>0.479(6.7/14.1)</t>
  </si>
  <si>
    <t>0.795(1.5/1.9)</t>
  </si>
  <si>
    <r>
      <rPr>
        <rFont val="Montserrat, Helvetica, Arial, serif"/>
        <color rgb="FF22292F"/>
        <sz val="11.0"/>
      </rPr>
      <t>Mark Williams</t>
    </r>
  </si>
  <si>
    <t>0.641(5.1/8.0)</t>
  </si>
  <si>
    <t>0.704(2.3/3.2)</t>
  </si>
  <si>
    <r>
      <rPr>
        <rFont val="Montserrat, Helvetica, Arial, serif"/>
        <color rgb="FF22292F"/>
        <sz val="11.0"/>
      </rPr>
      <t>Jalen Suggs</t>
    </r>
  </si>
  <si>
    <t>0.465(5.0/10.7)</t>
  </si>
  <si>
    <t>0.758(1.8/2.4)</t>
  </si>
  <si>
    <r>
      <rPr>
        <rFont val="Montserrat, Helvetica, Arial, serif"/>
        <color rgb="FF22292F"/>
        <sz val="11.0"/>
      </rPr>
      <t>Jabari Smith Jr.</t>
    </r>
  </si>
  <si>
    <t>MAKE A COPY</t>
  </si>
  <si>
    <t>0.463(5.0/10.8)</t>
  </si>
  <si>
    <t>0.824(2.1/2.6)</t>
  </si>
  <si>
    <r>
      <rPr>
        <rFont val="Montserrat, Helvetica, Arial, serif"/>
        <color rgb="FF22292F"/>
        <sz val="11.0"/>
      </rPr>
      <t>Taylor Hendricks</t>
    </r>
  </si>
  <si>
    <t>File -&gt; Make a copy</t>
  </si>
  <si>
    <t>0.471(4.3/9.0)</t>
  </si>
  <si>
    <t>0.798(0.9/1.1)</t>
  </si>
  <si>
    <r>
      <rPr>
        <rFont val="Montserrat, Helvetica, Arial, serif"/>
        <color rgb="FF22292F"/>
        <sz val="11.0"/>
      </rPr>
      <t>Bogdan Bogdanovic</t>
    </r>
  </si>
  <si>
    <t>0.434(6.0/13.7)</t>
  </si>
  <si>
    <t>0.889(2.0/2.3)</t>
  </si>
  <si>
    <r>
      <rPr>
        <rFont val="Montserrat, Helvetica, Arial, serif"/>
        <color rgb="FF22292F"/>
        <sz val="11.0"/>
      </rPr>
      <t>Paolo Banchero</t>
    </r>
  </si>
  <si>
    <t>0.462(8.0/17.4)</t>
  </si>
  <si>
    <t>0.731(5.4/7.4)</t>
  </si>
  <si>
    <r>
      <rPr>
        <rFont val="Montserrat, Helvetica, Arial, serif"/>
        <color rgb="FF22292F"/>
        <sz val="11.0"/>
      </rPr>
      <t>Austin Reaves</t>
    </r>
  </si>
  <si>
    <t>0.482(5.2/10.8)</t>
  </si>
  <si>
    <t>0.859(3.4/3.9)</t>
  </si>
  <si>
    <r>
      <rPr>
        <rFont val="Montserrat, Helvetica, Arial, serif"/>
        <color rgb="FF22292F"/>
        <sz val="11.0"/>
      </rPr>
      <t>Keegan Murray</t>
    </r>
  </si>
  <si>
    <t>0.454(5.4/12.0)</t>
  </si>
  <si>
    <t>0.836(1.1/1.3)</t>
  </si>
  <si>
    <r>
      <rPr>
        <rFont val="Montserrat, Helvetica, Arial, serif"/>
        <color rgb="FF22292F"/>
        <sz val="11.0"/>
      </rPr>
      <t>Onyeka Okongwu</t>
    </r>
  </si>
  <si>
    <t>0.617(4.0/6.6)</t>
  </si>
  <si>
    <t>0.785(2.0/2.6)</t>
  </si>
  <si>
    <r>
      <rPr>
        <rFont val="Montserrat, Helvetica, Arial, serif"/>
        <color rgb="FF22292F"/>
        <sz val="11.0"/>
      </rPr>
      <t>OG Anunoby</t>
    </r>
  </si>
  <si>
    <t>0.480(5.8/12.0)</t>
  </si>
  <si>
    <t>0.770(1.3/1.7)</t>
  </si>
  <si>
    <r>
      <rPr>
        <rFont val="Montserrat, Helvetica, Arial, serif"/>
        <color rgb="FF22292F"/>
        <sz val="11.0"/>
      </rPr>
      <t>Coby White</t>
    </r>
  </si>
  <si>
    <t>0.446(6.5/14.6)</t>
  </si>
  <si>
    <t>0.843(2.3/2.7)</t>
  </si>
  <si>
    <r>
      <rPr>
        <rFont val="Montserrat, Helvetica, Arial, serif"/>
        <color rgb="FF22292F"/>
        <sz val="11.0"/>
      </rPr>
      <t>Michael Porter Jr.</t>
    </r>
  </si>
  <si>
    <t>0.485(6.6/13.6)</t>
  </si>
  <si>
    <t>0.818(1.4/1.7)</t>
  </si>
  <si>
    <r>
      <rPr>
        <rFont val="Montserrat, Helvetica, Arial, serif"/>
        <color rgb="FF22292F"/>
        <sz val="11.0"/>
      </rPr>
      <t>Alex Caruso</t>
    </r>
  </si>
  <si>
    <t>0.463(3.1/6.6)</t>
  </si>
  <si>
    <t>0.785(1.1/1.4)</t>
  </si>
  <si>
    <r>
      <rPr>
        <rFont val="Montserrat, Helvetica, Arial, serif"/>
        <color rgb="FF22292F"/>
        <sz val="11.0"/>
      </rPr>
      <t>Herbert Jones</t>
    </r>
  </si>
  <si>
    <t>0.484(3.7/7.7)</t>
  </si>
  <si>
    <t>0.852(1.8/2.2)</t>
  </si>
  <si>
    <r>
      <rPr>
        <rFont val="Montserrat, Helvetica, Arial, serif"/>
        <color rgb="FF22292F"/>
        <sz val="11.0"/>
      </rPr>
      <t>Daniel Gafford</t>
    </r>
  </si>
  <si>
    <t>0.729(4.3/5.9)</t>
  </si>
  <si>
    <t>0.675(1.7/2.5)</t>
  </si>
  <si>
    <r>
      <rPr>
        <rFont val="Montserrat, Helvetica, Arial, serif"/>
        <color rgb="FF22292F"/>
        <sz val="11.0"/>
      </rPr>
      <t>Draymond Green</t>
    </r>
  </si>
  <si>
    <t>0.514(3.3/6.3)</t>
  </si>
  <si>
    <t>0.713(1.0/1.4)</t>
  </si>
  <si>
    <r>
      <rPr>
        <rFont val="Montserrat, Helvetica, Arial, serif"/>
        <color rgb="FF22292F"/>
        <sz val="11.0"/>
      </rPr>
      <t>Jakob Poeltl</t>
    </r>
  </si>
  <si>
    <t>0.640(5.4/8.4)</t>
  </si>
  <si>
    <t>0.575(1.5/2.6)</t>
  </si>
  <si>
    <r>
      <rPr>
        <rFont val="Montserrat, Helvetica, Arial, serif"/>
        <color rgb="FF22292F"/>
        <sz val="11.0"/>
      </rPr>
      <t>Amen Thompson</t>
    </r>
  </si>
  <si>
    <t>0.529(4.8/9.0)</t>
  </si>
  <si>
    <t>0.720(2.2/3.1)</t>
  </si>
  <si>
    <r>
      <rPr>
        <rFont val="Montserrat, Helvetica, Arial, serif"/>
        <color rgb="FF22292F"/>
        <sz val="11.0"/>
      </rPr>
      <t>CJ McCollum</t>
    </r>
  </si>
  <si>
    <t>0.451(6.8/15.0)</t>
  </si>
  <si>
    <t>0.814(1.9/2.3)</t>
  </si>
  <si>
    <r>
      <rPr>
        <rFont val="Montserrat, Helvetica, Arial, serif"/>
        <color rgb="FF22292F"/>
        <sz val="11.0"/>
      </rPr>
      <t>Cam Thomas</t>
    </r>
  </si>
  <si>
    <t>0.440(9.1/20.7)</t>
  </si>
  <si>
    <t>0.861(4.7/5.5)</t>
  </si>
  <si>
    <r>
      <rPr>
        <rFont val="Montserrat, Helvetica, Arial, serif"/>
        <color rgb="FF22292F"/>
        <sz val="11.0"/>
      </rPr>
      <t>Al Horford</t>
    </r>
  </si>
  <si>
    <t>Rank 1</t>
  </si>
  <si>
    <t>0.493(3.7/7.4)</t>
  </si>
  <si>
    <t>0.791(0.3/0.4)</t>
  </si>
  <si>
    <r>
      <rPr>
        <rFont val="Montserrat, Helvetica, Arial, serif"/>
        <color rgb="FF22292F"/>
        <sz val="11.0"/>
      </rPr>
      <t>Ivica Zubac</t>
    </r>
  </si>
  <si>
    <t>0.642(5.1/7.9)</t>
  </si>
  <si>
    <t>0.709(2.2/3.1)</t>
  </si>
  <si>
    <r>
      <rPr>
        <rFont val="Montserrat, Helvetica, Arial, serif"/>
        <color rgb="FF22292F"/>
        <sz val="11.0"/>
      </rPr>
      <t>Khris Middleton</t>
    </r>
  </si>
  <si>
    <t>min 1</t>
  </si>
  <si>
    <t>min 2</t>
  </si>
  <si>
    <t>FGA</t>
  </si>
  <si>
    <t>FTA</t>
  </si>
  <si>
    <t>0.482(6.2/12.9)</t>
  </si>
  <si>
    <t>0.867(2.3/2.6)</t>
  </si>
  <si>
    <r>
      <rPr>
        <rFont val="Montserrat, Helvetica, Arial, serif"/>
        <color rgb="FF22292F"/>
        <sz val="11.0"/>
      </rPr>
      <t>Mike Conley</t>
    </r>
  </si>
  <si>
    <t>0.442(3.9/8.7)</t>
  </si>
  <si>
    <t>0.885(1.7/1.9)</t>
  </si>
  <si>
    <r>
      <rPr>
        <rFont val="Montserrat, Helvetica, Arial, serif"/>
        <color rgb="FF22292F"/>
        <sz val="11.0"/>
      </rPr>
      <t>Jonas Valanciunas</t>
    </r>
  </si>
  <si>
    <t>0.548(5.7/10.4)</t>
  </si>
  <si>
    <t>0.796(2.3/2.9)</t>
  </si>
  <si>
    <r>
      <rPr>
        <rFont val="Montserrat, Helvetica, Arial, serif"/>
        <color rgb="FF22292F"/>
        <sz val="11.0"/>
      </rPr>
      <t>Brandon Miller</t>
    </r>
  </si>
  <si>
    <t>0.445(6.7/15.1)</t>
  </si>
  <si>
    <t>0.837(2.1/2.5)</t>
  </si>
  <si>
    <r>
      <rPr>
        <rFont val="Montserrat, Helvetica, Arial, serif"/>
        <color rgb="FF22292F"/>
        <sz val="11.0"/>
      </rPr>
      <t>Tyus Jones</t>
    </r>
  </si>
  <si>
    <t>0.476(4.8/10.1)</t>
  </si>
  <si>
    <t>0.802(0.9/1.1)</t>
  </si>
  <si>
    <r>
      <rPr>
        <rFont val="Montserrat, Helvetica, Arial, serif"/>
        <color rgb="FF22292F"/>
        <sz val="11.0"/>
      </rPr>
      <t>Brook Lopez</t>
    </r>
  </si>
  <si>
    <t>0.471(4.2/9.0)</t>
  </si>
  <si>
    <t>0.803(1.4/1.8)</t>
  </si>
  <si>
    <r>
      <rPr>
        <rFont val="Montserrat, Helvetica, Arial, serif"/>
        <color rgb="FF22292F"/>
        <sz val="11.0"/>
      </rPr>
      <t>Jerami Grant</t>
    </r>
  </si>
  <si>
    <t>0.463(6.6/14.3)</t>
  </si>
  <si>
    <t>0.814(4.3/5.3)</t>
  </si>
  <si>
    <r>
      <rPr>
        <rFont val="Montserrat, Helvetica, Arial, serif"/>
        <color rgb="FF22292F"/>
        <sz val="11.0"/>
      </rPr>
      <t>Kyle Kuzma</t>
    </r>
  </si>
  <si>
    <t>0.456(8.3/18.1)</t>
  </si>
  <si>
    <t>0.773(2.8/3.6)</t>
  </si>
  <si>
    <r>
      <rPr>
        <rFont val="Montserrat, Helvetica, Arial, serif"/>
        <color rgb="FF22292F"/>
        <sz val="11.0"/>
      </rPr>
      <t>Norman Powell</t>
    </r>
  </si>
  <si>
    <t>0.482(6.5/13.4)</t>
  </si>
  <si>
    <t>0.821(3.3/4.1)</t>
  </si>
  <si>
    <r>
      <rPr>
        <rFont val="Montserrat, Helvetica, Arial, serif"/>
        <color rgb="FF22292F"/>
        <sz val="11.0"/>
      </rPr>
      <t>Clint Capela</t>
    </r>
  </si>
  <si>
    <t>0.597(5.0/8.4)</t>
  </si>
  <si>
    <t>0.631(1.5/2.4)</t>
  </si>
  <si>
    <r>
      <rPr>
        <rFont val="Montserrat, Helvetica, Arial, serif"/>
        <color rgb="FF22292F"/>
        <sz val="11.0"/>
      </rPr>
      <t>Trayce Jackson-Davis</t>
    </r>
  </si>
  <si>
    <t>0.703(5.2/7.4)</t>
  </si>
  <si>
    <t>0.563(1.7/3.0)</t>
  </si>
  <si>
    <r>
      <rPr>
        <rFont val="Montserrat, Helvetica, Arial, serif"/>
        <color rgb="FF22292F"/>
        <sz val="11.0"/>
      </rPr>
      <t>Jalen Green</t>
    </r>
  </si>
  <si>
    <t>0.429(7.0/16.4)</t>
  </si>
  <si>
    <t>0.807(4.0/5.0)</t>
  </si>
  <si>
    <r>
      <rPr>
        <rFont val="Montserrat, Helvetica, Arial, serif"/>
        <color rgb="FF22292F"/>
        <sz val="11.0"/>
      </rPr>
      <t>Naz Reid</t>
    </r>
  </si>
  <si>
    <t>0.472(5.5/11.7)</t>
  </si>
  <si>
    <t>0.735(1.6/2.2)</t>
  </si>
  <si>
    <r>
      <rPr>
        <rFont val="Montserrat, Helvetica, Arial, serif"/>
        <color rgb="FF22292F"/>
        <sz val="11.0"/>
      </rPr>
      <t>Julius Randle</t>
    </r>
  </si>
  <si>
    <t>0.477(7.3/15.3)</t>
  </si>
  <si>
    <t>0.780(4.2/5.4)</t>
  </si>
  <si>
    <r>
      <rPr>
        <rFont val="Montserrat, Helvetica, Arial, serif"/>
        <color rgb="FF22292F"/>
        <sz val="11.0"/>
      </rPr>
      <t>Donte DiVincenzo</t>
    </r>
  </si>
  <si>
    <t>0.444(4.5/10.1)</t>
  </si>
  <si>
    <t>0.786(0.9/1.2)</t>
  </si>
  <si>
    <r>
      <rPr>
        <rFont val="Montserrat, Helvetica, Arial, serif"/>
        <color rgb="FF22292F"/>
        <sz val="11.0"/>
      </rPr>
      <t>John Collins</t>
    </r>
  </si>
  <si>
    <t>0.520(5.3/10.2)</t>
  </si>
  <si>
    <t>0.796(2.0/2.6)</t>
  </si>
  <si>
    <r>
      <rPr>
        <rFont val="Montserrat, Helvetica, Arial, serif"/>
        <color rgb="FF22292F"/>
        <sz val="11.0"/>
      </rPr>
      <t>Chris Paul</t>
    </r>
  </si>
  <si>
    <t>0.441(3.8/8.6)</t>
  </si>
  <si>
    <t>0.831(1.3/1.6)</t>
  </si>
  <si>
    <r>
      <rPr>
        <rFont val="Montserrat, Helvetica, Arial, serif"/>
        <color rgb="FF22292F"/>
        <sz val="11.0"/>
      </rPr>
      <t>Jusuf Nurkic</t>
    </r>
  </si>
  <si>
    <t>0.514(4.7/9.1)</t>
  </si>
  <si>
    <t>0.647(2.4/3.6)</t>
  </si>
  <si>
    <r>
      <rPr>
        <rFont val="Montserrat, Helvetica, Arial, serif"/>
        <color rgb="FF22292F"/>
        <sz val="11.0"/>
      </rPr>
      <t>Cameron Johnson</t>
    </r>
  </si>
  <si>
    <t>0.457(5.2/11.3)</t>
  </si>
  <si>
    <t>0.818(1.9/2.4)</t>
  </si>
  <si>
    <r>
      <rPr>
        <rFont val="Montserrat, Helvetica, Arial, serif"/>
        <color rgb="FF22292F"/>
        <sz val="11.0"/>
      </rPr>
      <t>Terry Rozier</t>
    </r>
  </si>
  <si>
    <t>0.435(6.5/15.0)</t>
  </si>
  <si>
    <t>0.842(2.4/2.9)</t>
  </si>
  <si>
    <r>
      <rPr>
        <rFont val="Montserrat, Helvetica, Arial, serif"/>
        <color rgb="FF22292F"/>
        <sz val="11.0"/>
      </rPr>
      <t>De'Anthony Melton</t>
    </r>
  </si>
  <si>
    <t>0.420(3.5/8.3)</t>
  </si>
  <si>
    <t>0.819(1.1/1.4)</t>
  </si>
  <si>
    <r>
      <rPr>
        <rFont val="Montserrat, Helvetica, Arial, serif"/>
        <color rgb="FF22292F"/>
        <sz val="11.0"/>
      </rPr>
      <t>Keon Ellis</t>
    </r>
  </si>
  <si>
    <t>0.461(2.9/6.2)</t>
  </si>
  <si>
    <t>0.735(0.8/1.0)</t>
  </si>
  <si>
    <r>
      <rPr>
        <rFont val="Montserrat, Helvetica, Arial, serif"/>
        <color rgb="FF22292F"/>
        <sz val="11.0"/>
      </rPr>
      <t>Brandin Podziemski</t>
    </r>
  </si>
  <si>
    <t>0.459(4.4/9.7)</t>
  </si>
  <si>
    <t>0.664(0.9/1.3)</t>
  </si>
  <si>
    <r>
      <rPr>
        <rFont val="Montserrat, Helvetica, Arial, serif"/>
        <color rgb="FF22292F"/>
        <sz val="11.0"/>
      </rPr>
      <t>Dennis Schröder</t>
    </r>
  </si>
  <si>
    <t>0.435(5.2/12.0)</t>
  </si>
  <si>
    <t>0.847(2.9/3.5)</t>
  </si>
  <si>
    <r>
      <rPr>
        <rFont val="Montserrat, Helvetica, Arial, serif"/>
        <color rgb="FF22292F"/>
        <sz val="11.0"/>
      </rPr>
      <t>Jonathan Kuminga</t>
    </r>
  </si>
  <si>
    <t>0.527(6.2/11.7)</t>
  </si>
  <si>
    <t>0.759(2.9/3.8)</t>
  </si>
  <si>
    <r>
      <rPr>
        <rFont val="Montserrat, Helvetica, Arial, serif"/>
        <color rgb="FF22292F"/>
        <sz val="11.0"/>
      </rPr>
      <t>Marcus Smart</t>
    </r>
  </si>
  <si>
    <t>0.420(4.3/10.3)</t>
  </si>
  <si>
    <t>0.751(1.6/2.1)</t>
  </si>
  <si>
    <r>
      <rPr>
        <rFont val="Montserrat, Helvetica, Arial, serif"/>
        <color rgb="FF22292F"/>
        <sz val="11.0"/>
      </rPr>
      <t>Jalen Smith</t>
    </r>
  </si>
  <si>
    <t>0.537(5.0/9.2)</t>
  </si>
  <si>
    <t>0.711(1.7/2.4)</t>
  </si>
  <si>
    <r>
      <rPr>
        <rFont val="Montserrat, Helvetica, Arial, serif"/>
        <color rgb="FF22292F"/>
        <sz val="11.0"/>
      </rPr>
      <t>Corey Kispert</t>
    </r>
  </si>
  <si>
    <t>0.484(5.4/11.1)</t>
  </si>
  <si>
    <t>0.821(1.7/2.0)</t>
  </si>
  <si>
    <r>
      <rPr>
        <rFont val="Montserrat, Helvetica, Arial, serif"/>
        <color rgb="FF22292F"/>
        <sz val="11.0"/>
      </rPr>
      <t>Buddy Hield</t>
    </r>
  </si>
  <si>
    <t>0.445(4.8/10.7)</t>
  </si>
  <si>
    <t>0.835(0.9/1.1)</t>
  </si>
  <si>
    <r>
      <rPr>
        <rFont val="Montserrat, Helvetica, Arial, serif"/>
        <color rgb="FF22292F"/>
        <sz val="11.0"/>
      </rPr>
      <t>Klay Thompson</t>
    </r>
  </si>
  <si>
    <t>0.434(6.2/14.3)</t>
  </si>
  <si>
    <t>0.901(1.5/1.6)</t>
  </si>
  <si>
    <r>
      <rPr>
        <rFont val="Montserrat, Helvetica, Arial, serif"/>
        <color rgb="FF22292F"/>
        <sz val="11.0"/>
      </rPr>
      <t>Grayson Allen</t>
    </r>
  </si>
  <si>
    <t>0.485(3.9/8.0)</t>
  </si>
  <si>
    <t>0.893(1.5/1.7)</t>
  </si>
  <si>
    <r>
      <rPr>
        <rFont val="Montserrat, Helvetica, Arial, serif"/>
        <color rgb="FF22292F"/>
        <sz val="11.0"/>
      </rPr>
      <t>Terance Mann</t>
    </r>
  </si>
  <si>
    <t>0.513(5.0/9.8)</t>
  </si>
  <si>
    <t>0.806(1.5/1.9)</t>
  </si>
  <si>
    <r>
      <rPr>
        <rFont val="Montserrat, Helvetica, Arial, serif"/>
        <color rgb="FF22292F"/>
        <sz val="11.0"/>
      </rPr>
      <t>Bobby Portis</t>
    </r>
  </si>
  <si>
    <t>0.502(5.8/11.5)</t>
  </si>
  <si>
    <t>0.777(1.3/1.7)</t>
  </si>
  <si>
    <r>
      <rPr>
        <rFont val="Montserrat, Helvetica, Arial, serif"/>
        <color rgb="FF22292F"/>
        <sz val="11.0"/>
      </rPr>
      <t>Keyonte George</t>
    </r>
  </si>
  <si>
    <t>0.422(5.4/12.9)</t>
  </si>
  <si>
    <t>0.851(3.0/3.5)</t>
  </si>
  <si>
    <r>
      <rPr>
        <rFont val="Montserrat, Helvetica, Arial, serif"/>
        <color rgb="FF22292F"/>
        <sz val="11.0"/>
      </rPr>
      <t>Kentavious Caldwell-Pope</t>
    </r>
  </si>
  <si>
    <t>0.461(3.6/7.8)</t>
  </si>
  <si>
    <t>0.861(1.3/1.5)</t>
  </si>
  <si>
    <r>
      <rPr>
        <rFont val="Montserrat, Helvetica, Arial, serif"/>
        <color rgb="FF22292F"/>
        <sz val="11.0"/>
      </rPr>
      <t>Alexandre Sarr</t>
    </r>
  </si>
  <si>
    <t>0.448(4.5/10.0)</t>
  </si>
  <si>
    <t>0.711(2.4/3.4)</t>
  </si>
  <si>
    <r>
      <rPr>
        <rFont val="Montserrat, Helvetica, Arial, serif"/>
        <color rgb="FF22292F"/>
        <sz val="11.0"/>
      </rPr>
      <t>Jaden Ivey</t>
    </r>
  </si>
  <si>
    <t>0.435(6.4/14.8)</t>
  </si>
  <si>
    <t>0.759(3.3/4.4)</t>
  </si>
  <si>
    <r>
      <rPr>
        <rFont val="Montserrat, Helvetica, Arial, serif"/>
        <color rgb="FF22292F"/>
        <sz val="11.0"/>
      </rPr>
      <t>RJ Barrett</t>
    </r>
  </si>
  <si>
    <t>0.482(7.9/16.3)</t>
  </si>
  <si>
    <t>0.726(3.9/5.4)</t>
  </si>
  <si>
    <r>
      <rPr>
        <rFont val="Montserrat, Helvetica, Arial, serif"/>
        <color rgb="FF22292F"/>
        <sz val="11.0"/>
      </rPr>
      <t>P.J. Washington</t>
    </r>
  </si>
  <si>
    <t>0.431(4.5/10.5)</t>
  </si>
  <si>
    <t>0.706(1.5/2.1)</t>
  </si>
  <si>
    <r>
      <rPr>
        <rFont val="Montserrat, Helvetica, Arial, serif"/>
        <color rgb="FF22292F"/>
        <sz val="11.0"/>
      </rPr>
      <t>Malik Monk</t>
    </r>
  </si>
  <si>
    <t>0.446(5.1/11.4)</t>
  </si>
  <si>
    <t>0.860(2.4/2.8)</t>
  </si>
  <si>
    <r>
      <rPr>
        <rFont val="Montserrat, Helvetica, Arial, serif"/>
        <color rgb="FF22292F"/>
        <sz val="11.0"/>
      </rPr>
      <t>Luguentz Dort</t>
    </r>
  </si>
  <si>
    <t>0.433(4.2/9.7)</t>
  </si>
  <si>
    <t>0.824(1.7/2.1)</t>
  </si>
  <si>
    <r>
      <rPr>
        <rFont val="Montserrat, Helvetica, Arial, serif"/>
        <color rgb="FF22292F"/>
        <sz val="11.0"/>
      </rPr>
      <t>Ausar Thompson</t>
    </r>
  </si>
  <si>
    <t>0.493(4.4/9.0)</t>
  </si>
  <si>
    <t>0.624(1.3/2.1)</t>
  </si>
  <si>
    <r>
      <rPr>
        <rFont val="Montserrat, Helvetica, Arial, serif"/>
        <color rgb="FF22292F"/>
        <sz val="11.0"/>
      </rPr>
      <t>Rui Hachimura</t>
    </r>
  </si>
  <si>
    <t>0.514(5.8/11.3)</t>
  </si>
  <si>
    <t>0.740(1.7/2.3)</t>
  </si>
  <si>
    <r>
      <rPr>
        <rFont val="Montserrat, Helvetica, Arial, serif"/>
        <color rgb="FF22292F"/>
        <sz val="11.0"/>
      </rPr>
      <t>Josh Hart</t>
    </r>
  </si>
  <si>
    <t>0.457(3.4/7.5)</t>
  </si>
  <si>
    <t>0.765(1.4/1.8)</t>
  </si>
  <si>
    <r>
      <rPr>
        <rFont val="Montserrat, Helvetica, Arial, serif"/>
        <color rgb="FF22292F"/>
        <sz val="11.0"/>
      </rPr>
      <t>Wendell Carter Jr.</t>
    </r>
  </si>
  <si>
    <t>0.525(4.8/9.2)</t>
  </si>
  <si>
    <t>0.722(2.1/2.9)</t>
  </si>
  <si>
    <r>
      <rPr>
        <rFont val="Montserrat, Helvetica, Arial, serif"/>
        <color rgb="FF22292F"/>
        <sz val="11.0"/>
      </rPr>
      <t>Jeremy Sochan</t>
    </r>
  </si>
  <si>
    <t>0.444(4.9/11.0)</t>
  </si>
  <si>
    <t>0.770(1.7/2.2)</t>
  </si>
  <si>
    <r>
      <rPr>
        <rFont val="Montserrat, Helvetica, Arial, serif"/>
        <color rgb="FF22292F"/>
        <sz val="11.0"/>
      </rPr>
      <t>Aaron Nesmith</t>
    </r>
  </si>
  <si>
    <t>0.477(4.2/8.8)</t>
  </si>
  <si>
    <t>0.796(1.6/2.0)</t>
  </si>
  <si>
    <r>
      <rPr>
        <rFont val="Montserrat, Helvetica, Arial, serif"/>
        <color rgb="FF22292F"/>
        <sz val="11.0"/>
      </rPr>
      <t>Brandon Clarke</t>
    </r>
  </si>
  <si>
    <t>0.642(4.8/7.4)</t>
  </si>
  <si>
    <t>0.695(1.8/2.6)</t>
  </si>
  <si>
    <r>
      <rPr>
        <rFont val="Montserrat, Helvetica, Arial, serif"/>
        <color rgb="FF22292F"/>
        <sz val="11.0"/>
      </rPr>
      <t>Marvin Bagley III</t>
    </r>
  </si>
  <si>
    <t>0.558(5.5/9.8)</t>
  </si>
  <si>
    <t>0.755(2.2/2.9)</t>
  </si>
  <si>
    <r>
      <rPr>
        <rFont val="Montserrat, Helvetica, Arial, serif"/>
        <color rgb="FF22292F"/>
        <sz val="11.0"/>
      </rPr>
      <t>Kelly Olynyk</t>
    </r>
  </si>
  <si>
    <t>0.526(3.3/6.3)</t>
  </si>
  <si>
    <t>0.834(2.0/2.4)</t>
  </si>
  <si>
    <r>
      <rPr>
        <rFont val="Montserrat, Helvetica, Arial, serif"/>
        <color rgb="FF22292F"/>
        <sz val="11.0"/>
      </rPr>
      <t>Bilal Coulibaly</t>
    </r>
  </si>
  <si>
    <t>0.441(4.0/9.0)</t>
  </si>
  <si>
    <t>0.706(1.9/2.7)</t>
  </si>
  <si>
    <r>
      <rPr>
        <rFont val="Montserrat, Helvetica, Arial, serif"/>
        <color rgb="FF22292F"/>
        <sz val="11.0"/>
      </rPr>
      <t>Kevin Porter Jr.</t>
    </r>
  </si>
  <si>
    <t>0.442(4.9/11.1)</t>
  </si>
  <si>
    <t>0.785(2.6/3.3)</t>
  </si>
  <si>
    <r>
      <rPr>
        <rFont val="Montserrat, Helvetica, Arial, serif"/>
        <color rgb="FF22292F"/>
        <sz val="11.0"/>
      </rPr>
      <t>Bruce Brown</t>
    </r>
  </si>
  <si>
    <t>0.481(4.4/9.2)</t>
  </si>
  <si>
    <t>0.790(1.6/2.1)</t>
  </si>
  <si>
    <r>
      <rPr>
        <rFont val="Montserrat, Helvetica, Arial, serif"/>
        <color rgb="FF22292F"/>
        <sz val="11.0"/>
      </rPr>
      <t>Kelly Oubre Jr.</t>
    </r>
  </si>
  <si>
    <t>0.435(6.1/14.1)</t>
  </si>
  <si>
    <t>0.760(2.6/3.4)</t>
  </si>
  <si>
    <r>
      <rPr>
        <rFont val="Montserrat, Helvetica, Arial, serif"/>
        <color rgb="FF22292F"/>
        <sz val="11.0"/>
      </rPr>
      <t>Nick Richards</t>
    </r>
  </si>
  <si>
    <t>0.656(3.8/5.8)</t>
  </si>
  <si>
    <t>0.743(2.3/3.0)</t>
  </si>
  <si>
    <r>
      <rPr>
        <rFont val="Montserrat, Helvetica, Arial, serif"/>
        <color rgb="FF22292F"/>
        <sz val="11.0"/>
      </rPr>
      <t>Noah Clowney</t>
    </r>
  </si>
  <si>
    <t>SF,PF,C</t>
  </si>
  <si>
    <t>0.552(3.7/6.6)</t>
  </si>
  <si>
    <t>0.728(1.6/2.1)</t>
  </si>
  <si>
    <r>
      <rPr>
        <rFont val="Montserrat, Helvetica, Arial, serif"/>
        <color rgb="FF22292F"/>
        <sz val="11.0"/>
      </rPr>
      <t>Mitchell Robinson</t>
    </r>
  </si>
  <si>
    <t>0.640(2.9/4.5)</t>
  </si>
  <si>
    <t>0.459(1.0/2.1)</t>
  </si>
  <si>
    <r>
      <rPr>
        <rFont val="Montserrat, Helvetica, Arial, serif"/>
        <color rgb="FF22292F"/>
        <sz val="11.0"/>
      </rPr>
      <t>Donovan Clingan</t>
    </r>
  </si>
  <si>
    <t>0.639(4.1/6.4)</t>
  </si>
  <si>
    <t>0.608(1.8/2.9)</t>
  </si>
  <si>
    <r>
      <rPr>
        <rFont val="Montserrat, Helvetica, Arial, serif"/>
        <color rgb="FF22292F"/>
        <sz val="11.0"/>
      </rPr>
      <t>Tari Eason</t>
    </r>
  </si>
  <si>
    <t>0.457(3.9/8.5)</t>
  </si>
  <si>
    <t>0.732(1.3/1.8)</t>
  </si>
  <si>
    <r>
      <rPr>
        <rFont val="Montserrat, Helvetica, Arial, serif"/>
        <color rgb="FF22292F"/>
        <sz val="11.0"/>
      </rPr>
      <t>Aaron Gordon</t>
    </r>
  </si>
  <si>
    <t>0.560(6.0/10.6)</t>
  </si>
  <si>
    <t>0.632(2.7/4.2)</t>
  </si>
  <si>
    <r>
      <rPr>
        <rFont val="Montserrat, Helvetica, Arial, serif"/>
        <color rgb="FF22292F"/>
        <sz val="11.0"/>
      </rPr>
      <t>Tre Jones</t>
    </r>
  </si>
  <si>
    <t>0.479(3.9/8.0)</t>
  </si>
  <si>
    <t>0.861(1.5/1.7)</t>
  </si>
  <si>
    <r>
      <rPr>
        <rFont val="Montserrat, Helvetica, Arial, serif"/>
        <color rgb="FF22292F"/>
        <sz val="11.0"/>
      </rPr>
      <t>Zach Edey</t>
    </r>
  </si>
  <si>
    <t>0.575(4.2/7.3)</t>
  </si>
  <si>
    <t>0.729(1.8/2.5)</t>
  </si>
  <si>
    <r>
      <rPr>
        <rFont val="Montserrat, Helvetica, Arial, serif"/>
        <color rgb="FF22292F"/>
        <sz val="11.0"/>
      </rPr>
      <t>Scoot Henderson</t>
    </r>
  </si>
  <si>
    <t>0.409(5.6/13.8)</t>
  </si>
  <si>
    <t>0.821(2.9/3.5)</t>
  </si>
  <si>
    <r>
      <rPr>
        <rFont val="Montserrat, Helvetica, Arial, serif"/>
        <color rgb="FF22292F"/>
        <sz val="11.0"/>
      </rPr>
      <t>Kyle Lowry</t>
    </r>
  </si>
  <si>
    <t>0.417(3.0/7.1)</t>
  </si>
  <si>
    <t>0.855(1.5/1.7)</t>
  </si>
  <si>
    <r>
      <rPr>
        <rFont val="Montserrat, Helvetica, Arial, serif"/>
        <color rgb="FF22292F"/>
        <sz val="11.0"/>
      </rPr>
      <t>Dyson Daniels</t>
    </r>
  </si>
  <si>
    <t>0.453(2.8/6.1)</t>
  </si>
  <si>
    <t>0.651(0.7/1.1)</t>
  </si>
  <si>
    <r>
      <rPr>
        <rFont val="Montserrat, Helvetica, Arial, serif"/>
        <color rgb="FF22292F"/>
        <sz val="11.0"/>
      </rPr>
      <t>Andrew Nembhard</t>
    </r>
  </si>
  <si>
    <t>0.477(4.4/9.2)</t>
  </si>
  <si>
    <t>0.800(0.8/1.0)</t>
  </si>
  <si>
    <r>
      <rPr>
        <rFont val="Montserrat, Helvetica, Arial, serif"/>
        <color rgb="FF22292F"/>
        <sz val="11.0"/>
      </rPr>
      <t>Jaden McDaniels</t>
    </r>
  </si>
  <si>
    <t>0.504(4.5/9.0)</t>
  </si>
  <si>
    <t>0.732(1.1/1.5)</t>
  </si>
  <si>
    <r>
      <rPr>
        <rFont val="Montserrat, Helvetica, Arial, serif"/>
        <color rgb="FF22292F"/>
        <sz val="11.0"/>
      </rPr>
      <t>Patrick Williams</t>
    </r>
  </si>
  <si>
    <t>0.829(1.2/1.4)</t>
  </si>
  <si>
    <r>
      <rPr>
        <rFont val="Montserrat, Helvetica, Arial, serif"/>
        <color rgb="FF22292F"/>
        <sz val="11.0"/>
      </rPr>
      <t>Karlo Matkovic</t>
    </r>
  </si>
  <si>
    <t>0.488(3.6/7.4)</t>
  </si>
  <si>
    <t>0.751(1.4/1.9)</t>
  </si>
  <si>
    <r>
      <rPr>
        <rFont val="Montserrat, Helvetica, Arial, serif"/>
        <color rgb="FF22292F"/>
        <sz val="11.0"/>
      </rPr>
      <t>Max Strus</t>
    </r>
  </si>
  <si>
    <t>0.414(4.2/10.0)</t>
  </si>
  <si>
    <t>0.829(1.0/1.2)</t>
  </si>
  <si>
    <r>
      <rPr>
        <rFont val="Montserrat, Helvetica, Arial, serif"/>
        <color rgb="FF22292F"/>
        <sz val="11.0"/>
      </rPr>
      <t>T.J. McConnell</t>
    </r>
  </si>
  <si>
    <t>0.550(4.1/7.4)</t>
  </si>
  <si>
    <t>0.816(0.7/0.9)</t>
  </si>
  <si>
    <r>
      <rPr>
        <rFont val="Montserrat, Helvetica, Arial, serif"/>
        <color rgb="FF22292F"/>
        <sz val="11.0"/>
      </rPr>
      <t>Miles McBride</t>
    </r>
  </si>
  <si>
    <t>0.446(3.9/8.7)</t>
  </si>
  <si>
    <t>0.845(1.0/1.2)</t>
  </si>
  <si>
    <r>
      <rPr>
        <rFont val="Montserrat, Helvetica, Arial, serif"/>
        <color rgb="FF22292F"/>
        <sz val="11.0"/>
      </rPr>
      <t>Deni Avdija</t>
    </r>
  </si>
  <si>
    <t>0.477(4.4/9.1)</t>
  </si>
  <si>
    <t>0.738(2.1/2.9)</t>
  </si>
  <si>
    <r>
      <rPr>
        <rFont val="Montserrat, Helvetica, Arial, serif"/>
        <color rgb="FF22292F"/>
        <sz val="11.0"/>
      </rPr>
      <t>Shaedon Sharpe</t>
    </r>
  </si>
  <si>
    <t>0.434(5.6/12.9)</t>
  </si>
  <si>
    <t>0.812(2.8/3.5)</t>
  </si>
  <si>
    <r>
      <rPr>
        <rFont val="Montserrat, Helvetica, Arial, serif"/>
        <color rgb="FF22292F"/>
        <sz val="11.0"/>
      </rPr>
      <t>Ben Simmons</t>
    </r>
  </si>
  <si>
    <t>0.569(3.0/5.3)</t>
  </si>
  <si>
    <t>0.427(0.5/1.2)</t>
  </si>
  <si>
    <r>
      <rPr>
        <rFont val="Montserrat, Helvetica, Arial, serif"/>
        <color rgb="FF22292F"/>
        <sz val="11.0"/>
      </rPr>
      <t>Jonathan Isaac</t>
    </r>
  </si>
  <si>
    <t>0.496(2.8/5.7)</t>
  </si>
  <si>
    <t>0.704(1.1/1.5)</t>
  </si>
  <si>
    <r>
      <rPr>
        <rFont val="Montserrat, Helvetica, Arial, serif"/>
        <color rgb="FF22292F"/>
        <sz val="11.0"/>
      </rPr>
      <t>Jaime Jaquez Jr.</t>
    </r>
  </si>
  <si>
    <t>0.489(4.6/9.3)</t>
  </si>
  <si>
    <t>0.812(1.9/2.3)</t>
  </si>
  <si>
    <r>
      <rPr>
        <rFont val="Montserrat, Helvetica, Arial, serif"/>
        <color rgb="FF22292F"/>
        <sz val="11.0"/>
      </rPr>
      <t>Kevin Huerter</t>
    </r>
  </si>
  <si>
    <t>0.468(4.5/9.5)</t>
  </si>
  <si>
    <t>0.750(0.9/1.2)</t>
  </si>
  <si>
    <r>
      <rPr>
        <rFont val="Montserrat, Helvetica, Arial, serif"/>
        <color rgb="FF22292F"/>
        <sz val="11.0"/>
      </rPr>
      <t>Lonzo Ball</t>
    </r>
  </si>
  <si>
    <t>0.423(2.7/6.4)</t>
  </si>
  <si>
    <t>0.761(0.4/0.5)</t>
  </si>
  <si>
    <r>
      <rPr>
        <rFont val="Montserrat, Helvetica, Arial, serif"/>
        <color rgb="FF22292F"/>
        <sz val="11.0"/>
      </rPr>
      <t>Vince Williams Jr.</t>
    </r>
  </si>
  <si>
    <t>PG,SG,SF</t>
  </si>
  <si>
    <t>0.454(3.0/6.6)</t>
  </si>
  <si>
    <t>0.803(1.7/2.1)</t>
  </si>
  <si>
    <r>
      <rPr>
        <rFont val="Montserrat, Helvetica, Arial, serif"/>
        <color rgb="FF22292F"/>
        <sz val="11.0"/>
      </rPr>
      <t>Gary Trent Jr.</t>
    </r>
  </si>
  <si>
    <t>0.429(5.3/12.3)</t>
  </si>
  <si>
    <t>0.792(1.6/2.1)</t>
  </si>
  <si>
    <r>
      <rPr>
        <rFont val="Montserrat, Helvetica, Arial, serif"/>
        <color rgb="FF22292F"/>
        <sz val="11.0"/>
      </rPr>
      <t>Keldon Johnson</t>
    </r>
  </si>
  <si>
    <t>0.453(6.1/13.4)</t>
  </si>
  <si>
    <t>0.798(2.8/3.6)</t>
  </si>
  <si>
    <r>
      <rPr>
        <rFont val="Montserrat, Helvetica, Arial, serif"/>
        <color rgb="FF22292F"/>
        <sz val="11.0"/>
      </rPr>
      <t>Christian Braun</t>
    </r>
  </si>
  <si>
    <t>0.468(4.1/8.8)</t>
  </si>
  <si>
    <t>0.731(1.6/2.2)</t>
  </si>
  <si>
    <r>
      <rPr>
        <rFont val="Montserrat, Helvetica, Arial, serif"/>
        <color rgb="FF22292F"/>
        <sz val="11.0"/>
      </rPr>
      <t>Zaccharie Risacher</t>
    </r>
  </si>
  <si>
    <t>0.452(5.1/11.2)</t>
  </si>
  <si>
    <t>0.740(2.1/2.8)</t>
  </si>
  <si>
    <r>
      <rPr>
        <rFont val="Montserrat, Helvetica, Arial, serif"/>
        <color rgb="FF22292F"/>
        <sz val="11.0"/>
      </rPr>
      <t>Jordan Clarkson</t>
    </r>
  </si>
  <si>
    <t>0.431(6.3/14.5)</t>
  </si>
  <si>
    <t>0.846(3.0/3.5)</t>
  </si>
  <si>
    <r>
      <rPr>
        <rFont val="Montserrat, Helvetica, Arial, serif"/>
        <color rgb="FF22292F"/>
        <sz val="11.0"/>
      </rPr>
      <t>Luke Kennard</t>
    </r>
  </si>
  <si>
    <t>0.472(3.7/7.7)</t>
  </si>
  <si>
    <t>0.914(0.9/0.9)</t>
  </si>
  <si>
    <r>
      <rPr>
        <rFont val="Montserrat, Helvetica, Arial, serif"/>
        <color rgb="FF22292F"/>
        <sz val="11.0"/>
      </rPr>
      <t>Andre Drummond</t>
    </r>
  </si>
  <si>
    <t>0.574(4.0/6.9)</t>
  </si>
  <si>
    <t>0.604(1.8/3.0)</t>
  </si>
  <si>
    <r>
      <rPr>
        <rFont val="Montserrat, Helvetica, Arial, serif"/>
        <color rgb="FF22292F"/>
        <sz val="11.0"/>
      </rPr>
      <t>Cole Anthony</t>
    </r>
  </si>
  <si>
    <t>0.444(4.0/9.0)</t>
  </si>
  <si>
    <t>0.855(2.2/2.6)</t>
  </si>
  <si>
    <r>
      <rPr>
        <rFont val="Montserrat, Helvetica, Arial, serif"/>
        <color rgb="FF22292F"/>
        <sz val="11.0"/>
      </rPr>
      <t>Reed Sheppard</t>
    </r>
  </si>
  <si>
    <t>0.472(2.2/4.8)</t>
  </si>
  <si>
    <t>0.835(0.9/1.0)</t>
  </si>
  <si>
    <r>
      <rPr>
        <rFont val="Montserrat, Helvetica, Arial, serif"/>
        <color rgb="FF22292F"/>
        <sz val="11.0"/>
      </rPr>
      <t>Andrew Wiggins</t>
    </r>
  </si>
  <si>
    <t>0.461(5.6/12.1)</t>
  </si>
  <si>
    <r>
      <rPr>
        <rFont val="Montserrat, Helvetica, Arial, serif"/>
        <color rgb="FF22292F"/>
        <sz val="11.0"/>
      </rPr>
      <t>Jarred Vanderbilt</t>
    </r>
  </si>
  <si>
    <t>0.542(3.0/5.6)</t>
  </si>
  <si>
    <t>0.688(1.2/1.7)</t>
  </si>
  <si>
    <r>
      <rPr>
        <rFont val="Montserrat, Helvetica, Arial, serif"/>
        <color rgb="FF22292F"/>
        <sz val="11.0"/>
      </rPr>
      <t>Caleb Martin</t>
    </r>
  </si>
  <si>
    <t>0.447(3.9/8.8)</t>
  </si>
  <si>
    <t>0.796(1.3/1.7)</t>
  </si>
  <si>
    <r>
      <rPr>
        <rFont val="Montserrat, Helvetica, Arial, serif"/>
        <color rgb="FF22292F"/>
        <sz val="11.0"/>
      </rPr>
      <t>Russell Westbrook</t>
    </r>
  </si>
  <si>
    <t>0.444(5.7/12.8)</t>
  </si>
  <si>
    <t>0.668(2.5/3.7)</t>
  </si>
  <si>
    <r>
      <rPr>
        <rFont val="Montserrat, Helvetica, Arial, serif"/>
        <color rgb="FF22292F"/>
        <sz val="11.0"/>
      </rPr>
      <t>Malcolm Brogdon</t>
    </r>
  </si>
  <si>
    <t>0.466(4.3/9.2)</t>
  </si>
  <si>
    <t>0.849(1.9/2.3)</t>
  </si>
  <si>
    <r>
      <rPr>
        <rFont val="Montserrat, Helvetica, Arial, serif"/>
        <color rgb="FF22292F"/>
        <sz val="11.0"/>
      </rPr>
      <t>Caris LeVert</t>
    </r>
  </si>
  <si>
    <t>0.426(4.4/10.3)</t>
  </si>
  <si>
    <t>0.746(1.9/2.5)</t>
  </si>
  <si>
    <r>
      <rPr>
        <rFont val="Montserrat, Helvetica, Arial, serif"/>
        <color rgb="FF22292F"/>
        <sz val="11.0"/>
      </rPr>
      <t>Duncan Robinson</t>
    </r>
  </si>
  <si>
    <t>0.447(4.4/9.8)</t>
  </si>
  <si>
    <t>0.889(1.1/1.3)</t>
  </si>
  <si>
    <r>
      <rPr>
        <rFont val="Montserrat, Helvetica, Arial, serif"/>
        <color rgb="FF22292F"/>
        <sz val="11.0"/>
      </rPr>
      <t>Nikola Jovic</t>
    </r>
  </si>
  <si>
    <t>0.443(3.7/8.4)</t>
  </si>
  <si>
    <t>0.766(1.2/1.6)</t>
  </si>
  <si>
    <r>
      <rPr>
        <rFont val="Montserrat, Helvetica, Arial, serif"/>
        <color rgb="FF22292F"/>
        <sz val="11.0"/>
      </rPr>
      <t>Josh Richardson</t>
    </r>
  </si>
  <si>
    <t>0.436(3.8/8.7)</t>
  </si>
  <si>
    <t>0.885(1.2/1.3)</t>
  </si>
  <si>
    <r>
      <rPr>
        <rFont val="Montserrat, Helvetica, Arial, serif"/>
        <color rgb="FF22292F"/>
        <sz val="11.0"/>
      </rPr>
      <t>Kris Dunn</t>
    </r>
  </si>
  <si>
    <t>0.498(2.9/5.9)</t>
  </si>
  <si>
    <t>0.734(0.7/0.9)</t>
  </si>
  <si>
    <r>
      <rPr>
        <rFont val="Montserrat, Helvetica, Arial, serif"/>
        <color rgb="FF22292F"/>
        <sz val="11.0"/>
      </rPr>
      <t>Ayo Dosunmu</t>
    </r>
  </si>
  <si>
    <t>0.498(4.1/8.2)</t>
  </si>
  <si>
    <t>0.814(1.0/1.2)</t>
  </si>
  <si>
    <r>
      <rPr>
        <rFont val="Montserrat, Helvetica, Arial, serif"/>
        <color rgb="FF22292F"/>
        <sz val="11.0"/>
      </rPr>
      <t>Bennedict Mathurin</t>
    </r>
  </si>
  <si>
    <t>0.443(5.5/12.5)</t>
  </si>
  <si>
    <t>0.826(4.4/5.3)</t>
  </si>
  <si>
    <r>
      <rPr>
        <rFont val="Montserrat, Helvetica, Arial, serif"/>
        <color rgb="FF22292F"/>
        <sz val="11.0"/>
      </rPr>
      <t>Josh Green</t>
    </r>
  </si>
  <si>
    <t>0.472(4.2/8.9)</t>
  </si>
  <si>
    <t>0.709(1.1/1.5)</t>
  </si>
  <si>
    <r>
      <rPr>
        <rFont val="Montserrat, Helvetica, Arial, serif"/>
        <color rgb="FF22292F"/>
        <sz val="11.0"/>
      </rPr>
      <t>Peyton Watson</t>
    </r>
  </si>
  <si>
    <t>0.467(3.7/7.9)</t>
  </si>
  <si>
    <t>0.650(1.3/2.0)</t>
  </si>
  <si>
    <r>
      <rPr>
        <rFont val="Montserrat, Helvetica, Arial, serif"/>
        <color rgb="FF22292F"/>
        <sz val="11.0"/>
      </rPr>
      <t>Daniel Theis</t>
    </r>
  </si>
  <si>
    <t>0.524(3.5/6.7)</t>
  </si>
  <si>
    <t>0.762(0.9/1.2)</t>
  </si>
  <si>
    <r>
      <rPr>
        <rFont val="Montserrat, Helvetica, Arial, serif"/>
        <color rgb="FF22292F"/>
        <sz val="11.0"/>
      </rPr>
      <t>Nickeil Alexander-Walker</t>
    </r>
  </si>
  <si>
    <t>0.441(3.4/7.7)</t>
  </si>
  <si>
    <t>0.733(0.9/1.2)</t>
  </si>
  <si>
    <r>
      <rPr>
        <rFont val="Montserrat, Helvetica, Arial, serif"/>
        <color rgb="FF22292F"/>
        <sz val="11.0"/>
      </rPr>
      <t>Isaiah Jackson</t>
    </r>
  </si>
  <si>
    <t>0.607(3.1/5.1)</t>
  </si>
  <si>
    <t>0.675(1.5/2.3)</t>
  </si>
  <si>
    <r>
      <rPr>
        <rFont val="Montserrat, Helvetica, Arial, serif"/>
        <color rgb="FF22292F"/>
        <sz val="11.0"/>
      </rPr>
      <t>Sam Hauser</t>
    </r>
  </si>
  <si>
    <t>0.450(3.4/7.5)</t>
  </si>
  <si>
    <t>0.821(0.2/0.3)</t>
  </si>
  <si>
    <r>
      <rPr>
        <rFont val="Montserrat, Helvetica, Arial, serif"/>
        <color rgb="FF22292F"/>
        <sz val="11.0"/>
      </rPr>
      <t>Eric Gordon</t>
    </r>
  </si>
  <si>
    <t>0.444(4.1/9.2)</t>
  </si>
  <si>
    <t>0.813(1.4/1.7)</t>
  </si>
  <si>
    <r>
      <rPr>
        <rFont val="Montserrat, Helvetica, Arial, serif"/>
        <color rgb="FF22292F"/>
        <sz val="11.0"/>
      </rPr>
      <t>De'Andre Hunter</t>
    </r>
  </si>
  <si>
    <t>0.460(5.1/11.0)</t>
  </si>
  <si>
    <t>0.836(2.5/3.0)</t>
  </si>
  <si>
    <r>
      <rPr>
        <rFont val="Montserrat, Helvetica, Arial, serif"/>
        <color rgb="FF22292F"/>
        <sz val="11.0"/>
      </rPr>
      <t>Cason Wallace</t>
    </r>
  </si>
  <si>
    <t>0.491(2.9/5.8)</t>
  </si>
  <si>
    <t>0.776(0.4/0.5)</t>
  </si>
  <si>
    <r>
      <rPr>
        <rFont val="Montserrat, Helvetica, Arial, serif"/>
        <color rgb="FF22292F"/>
        <sz val="11.0"/>
      </rPr>
      <t>Nicolas Batum</t>
    </r>
  </si>
  <si>
    <t>0.432(2.1/4.9)</t>
  </si>
  <si>
    <t>0.717(0.4/0.5)</t>
  </si>
  <si>
    <r>
      <rPr>
        <rFont val="Montserrat, Helvetica, Arial, serif"/>
        <color rgb="FF22292F"/>
        <sz val="11.0"/>
      </rPr>
      <t>Harrison Barnes</t>
    </r>
  </si>
  <si>
    <t>0.473(4.0/8.4)</t>
  </si>
  <si>
    <t>0.832(2.8/3.3)</t>
  </si>
  <si>
    <r>
      <rPr>
        <rFont val="Montserrat, Helvetica, Arial, serif"/>
        <color rgb="FF22292F"/>
        <sz val="11.0"/>
      </rPr>
      <t>Larry Nance Jr.</t>
    </r>
  </si>
  <si>
    <t>0.593(2.4/4.1)</t>
  </si>
  <si>
    <t>0.745(0.8/1.0)</t>
  </si>
  <si>
    <r>
      <rPr>
        <rFont val="Montserrat, Helvetica, Arial, serif"/>
        <color rgb="FF22292F"/>
        <sz val="11.0"/>
      </rPr>
      <t>Payton Pritchard</t>
    </r>
  </si>
  <si>
    <t>0.453(4.0/8.8)</t>
  </si>
  <si>
    <t>0.806(0.6/0.7)</t>
  </si>
  <si>
    <r>
      <rPr>
        <rFont val="Montserrat, Helvetica, Arial, serif"/>
        <color rgb="FF22292F"/>
        <sz val="11.0"/>
      </rPr>
      <t>Obi Toppin</t>
    </r>
  </si>
  <si>
    <t>0.520(3.8/7.3)</t>
  </si>
  <si>
    <t>0.792(0.8/1.1)</t>
  </si>
  <si>
    <r>
      <rPr>
        <rFont val="Montserrat, Helvetica, Arial, serif"/>
        <color rgb="FF22292F"/>
        <sz val="11.0"/>
      </rPr>
      <t>Moritz Wagner</t>
    </r>
  </si>
  <si>
    <t>0.560(3.7/6.6)</t>
  </si>
  <si>
    <t>0.826(2.2/2.7)</t>
  </si>
  <si>
    <r>
      <rPr>
        <rFont val="Montserrat, Helvetica, Arial, serif"/>
        <color rgb="FF22292F"/>
        <sz val="11.0"/>
      </rPr>
      <t>Santi Aldama</t>
    </r>
  </si>
  <si>
    <t>0.452(3.5/7.6)</t>
  </si>
  <si>
    <t>0.702(1.1/1.6)</t>
  </si>
  <si>
    <r>
      <rPr>
        <rFont val="Montserrat, Helvetica, Arial, serif"/>
        <color rgb="FF22292F"/>
        <sz val="11.0"/>
      </rPr>
      <t>Matisse Thybulle</t>
    </r>
  </si>
  <si>
    <t>0.414(1.8/4.3)</t>
  </si>
  <si>
    <t>0.721(0.3/0.4)</t>
  </si>
  <si>
    <r>
      <rPr>
        <rFont val="Montserrat, Helvetica, Arial, serif"/>
        <color rgb="FF22292F"/>
        <sz val="11.0"/>
      </rPr>
      <t>Robert Williams III</t>
    </r>
  </si>
  <si>
    <t>0.737(2.4/3.2)</t>
  </si>
  <si>
    <t>0.639(0.5/0.8)</t>
  </si>
  <si>
    <r>
      <rPr>
        <rFont val="Montserrat, Helvetica, Arial, serif"/>
        <color rgb="FF22292F"/>
        <sz val="11.0"/>
      </rPr>
      <t>Taurean Prince</t>
    </r>
  </si>
  <si>
    <t>0.453(3.6/7.9)</t>
  </si>
  <si>
    <t>0.792(1.0/1.2)</t>
  </si>
  <si>
    <r>
      <rPr>
        <rFont val="Montserrat, Helvetica, Arial, serif"/>
        <color rgb="FF22292F"/>
        <sz val="11.0"/>
      </rPr>
      <t>Spencer Dinwiddie</t>
    </r>
  </si>
  <si>
    <t>0.421(3.6/8.5)</t>
  </si>
  <si>
    <r>
      <rPr>
        <rFont val="Montserrat, Helvetica, Arial, serif"/>
        <color rgb="FF22292F"/>
        <sz val="11.0"/>
      </rPr>
      <t>Dillon Brooks</t>
    </r>
  </si>
  <si>
    <t>0.425(4.8/11.2)</t>
  </si>
  <si>
    <t>0.809(1.6/2.0)</t>
  </si>
  <si>
    <r>
      <rPr>
        <rFont val="Montserrat, Helvetica, Arial, serif"/>
        <color rgb="FF22292F"/>
        <sz val="11.0"/>
      </rPr>
      <t>John Konchar</t>
    </r>
  </si>
  <si>
    <t>0.428(1.8/4.1)</t>
  </si>
  <si>
    <t>0.792(0.4/0.5)</t>
  </si>
  <si>
    <r>
      <rPr>
        <rFont val="Montserrat, Helvetica, Arial, serif"/>
        <color rgb="FF22292F"/>
        <sz val="11.0"/>
      </rPr>
      <t>Royce O'Neale</t>
    </r>
  </si>
  <si>
    <t>0.391(2.5/6.3)</t>
  </si>
  <si>
    <t>0.707(0.4/0.6)</t>
  </si>
  <si>
    <r>
      <rPr>
        <rFont val="Montserrat, Helvetica, Arial, serif"/>
        <color rgb="FF22292F"/>
        <sz val="11.0"/>
      </rPr>
      <t>Kyle Anderson</t>
    </r>
  </si>
  <si>
    <t>0.486(2.5/5.2)</t>
  </si>
  <si>
    <t>0.724(1.1/1.5)</t>
  </si>
  <si>
    <r>
      <rPr>
        <rFont val="Montserrat, Helvetica, Arial, serif"/>
        <color rgb="FF22292F"/>
        <sz val="11.0"/>
      </rPr>
      <t>Luke Kornet</t>
    </r>
  </si>
  <si>
    <t>0.684(2.3/3.3)</t>
  </si>
  <si>
    <t>0.866(0.7/0.8)</t>
  </si>
  <si>
    <r>
      <rPr>
        <rFont val="Montserrat, Helvetica, Arial, serif"/>
        <color rgb="FF22292F"/>
        <sz val="11.0"/>
      </rPr>
      <t>Bojan Bogdanovic</t>
    </r>
  </si>
  <si>
    <t>0.449(5.8/12.8)</t>
  </si>
  <si>
    <r>
      <rPr>
        <rFont val="Montserrat, Helvetica, Arial, serif"/>
        <color rgb="FF22292F"/>
        <sz val="11.0"/>
      </rPr>
      <t>Day'Ron Sharpe</t>
    </r>
  </si>
  <si>
    <t>0.561(3.2/5.7)</t>
  </si>
  <si>
    <t>0.635(1.4/2.2)</t>
  </si>
  <si>
    <r>
      <rPr>
        <rFont val="Montserrat, Helvetica, Arial, serif"/>
        <color rgb="FF22292F"/>
        <sz val="11.0"/>
      </rPr>
      <t>Isaac Okoro</t>
    </r>
  </si>
  <si>
    <t>0.491(3.2/6.4)</t>
  </si>
  <si>
    <t>0.714(1.3/1.9)</t>
  </si>
  <si>
    <r>
      <rPr>
        <rFont val="Montserrat, Helvetica, Arial, serif"/>
        <color rgb="FF22292F"/>
        <sz val="11.0"/>
      </rPr>
      <t>Delon Wright</t>
    </r>
  </si>
  <si>
    <t>0.442(1.8/4.1)</t>
  </si>
  <si>
    <t>0.846(0.8/0.9)</t>
  </si>
  <si>
    <r>
      <rPr>
        <rFont val="Montserrat, Helvetica, Arial, serif"/>
        <color rgb="FF22292F"/>
        <sz val="11.0"/>
      </rPr>
      <t>Malik Beasley</t>
    </r>
  </si>
  <si>
    <t>0.425(4.0/9.5)</t>
  </si>
  <si>
    <t>0.754(0.4/0.6)</t>
  </si>
  <si>
    <r>
      <rPr>
        <rFont val="Montserrat, Helvetica, Arial, serif"/>
        <color rgb="FF22292F"/>
        <sz val="11.0"/>
      </rPr>
      <t>Julian Strawther</t>
    </r>
  </si>
  <si>
    <t>0.435(3.8/8.7)</t>
  </si>
  <si>
    <t>0.729(1.0/1.4)</t>
  </si>
  <si>
    <r>
      <rPr>
        <rFont val="Montserrat, Helvetica, Arial, serif"/>
        <color rgb="FF22292F"/>
        <sz val="11.0"/>
      </rPr>
      <t>Zach Collins</t>
    </r>
  </si>
  <si>
    <t>0.501(3.5/7.0)</t>
  </si>
  <si>
    <t>0.760(1.4/1.8)</t>
  </si>
  <si>
    <r>
      <rPr>
        <rFont val="Montserrat, Helvetica, Arial, serif"/>
        <color rgb="FF22292F"/>
        <sz val="11.0"/>
      </rPr>
      <t>Grant Williams</t>
    </r>
  </si>
  <si>
    <t>0.455(3.1/6.8)</t>
  </si>
  <si>
    <t>0.762(1.3/1.6)</t>
  </si>
  <si>
    <r>
      <rPr>
        <rFont val="Montserrat, Helvetica, Arial, serif"/>
        <color rgb="FF22292F"/>
        <sz val="11.0"/>
      </rPr>
      <t>Dorian Finney-Smith</t>
    </r>
  </si>
  <si>
    <t>0.406(2.8/7.0)</t>
  </si>
  <si>
    <t>0.750(0.5/0.7)</t>
  </si>
  <si>
    <r>
      <rPr>
        <rFont val="Montserrat, Helvetica, Arial, serif"/>
        <color rgb="FF22292F"/>
        <sz val="11.0"/>
      </rPr>
      <t>Paul Reed</t>
    </r>
  </si>
  <si>
    <t>0.555(2.3/4.2)</t>
  </si>
  <si>
    <t>0.735(0.6/0.8)</t>
  </si>
  <si>
    <r>
      <rPr>
        <rFont val="Montserrat, Helvetica, Arial, serif"/>
        <color rgb="FF22292F"/>
        <sz val="11.0"/>
      </rPr>
      <t>Dario Saric</t>
    </r>
  </si>
  <si>
    <t>0.464(3.0/6.5)</t>
  </si>
  <si>
    <t>0.842(1.4/1.7)</t>
  </si>
  <si>
    <r>
      <rPr>
        <rFont val="Montserrat, Helvetica, Arial, serif"/>
        <color rgb="FF22292F"/>
        <sz val="11.0"/>
      </rPr>
      <t>Christian Wood</t>
    </r>
  </si>
  <si>
    <t>0.502(3.5/6.9)</t>
  </si>
  <si>
    <t>0.752(1.9/2.5)</t>
  </si>
  <si>
    <r>
      <rPr>
        <rFont val="Montserrat, Helvetica, Arial, serif"/>
        <color rgb="FF22292F"/>
        <sz val="11.0"/>
      </rPr>
      <t>Rob Dillingham</t>
    </r>
  </si>
  <si>
    <t>0.454(3.8/8.4)</t>
  </si>
  <si>
    <t>0.802(1.7/2.2)</t>
  </si>
  <si>
    <r>
      <rPr>
        <rFont val="Montserrat, Helvetica, Arial, serif"/>
        <color rgb="FF22292F"/>
        <sz val="11.0"/>
      </rPr>
      <t>Xavier Tillman Sr.</t>
    </r>
  </si>
  <si>
    <t>0.473(2.9/6.1)</t>
  </si>
  <si>
    <t>0.515(0.7/1.3)</t>
  </si>
  <si>
    <r>
      <rPr>
        <rFont val="Montserrat, Helvetica, Arial, serif"/>
        <color rgb="FF22292F"/>
        <sz val="11.0"/>
      </rPr>
      <t>Gradey Dick</t>
    </r>
  </si>
  <si>
    <t>0.424(4.2/9.9)</t>
  </si>
  <si>
    <t>0.860(1.0/1.1)</t>
  </si>
  <si>
    <r>
      <rPr>
        <rFont val="Montserrat, Helvetica, Arial, serif"/>
        <color rgb="FF22292F"/>
        <sz val="11.0"/>
      </rPr>
      <t>Ron Holland II</t>
    </r>
  </si>
  <si>
    <t>0.440(3.9/8.8)</t>
  </si>
  <si>
    <t>0.740(2.1/2.9)</t>
  </si>
  <si>
    <r>
      <rPr>
        <rFont val="Montserrat, Helvetica, Arial, serif"/>
        <color rgb="FF22292F"/>
        <sz val="11.0"/>
      </rPr>
      <t>Mo Bamba</t>
    </r>
  </si>
  <si>
    <t>0.487(2.3/4.6)</t>
  </si>
  <si>
    <t>0.669(0.8/1.2)</t>
  </si>
  <si>
    <r>
      <rPr>
        <rFont val="Montserrat, Helvetica, Arial, serif"/>
        <color rgb="FF22292F"/>
        <sz val="11.0"/>
      </rPr>
      <t>Derrick Jones Jr.</t>
    </r>
  </si>
  <si>
    <t>0.488(2.9/6.0)</t>
  </si>
  <si>
    <t>0.724(1.3/1.8)</t>
  </si>
  <si>
    <r>
      <rPr>
        <rFont val="Montserrat, Helvetica, Arial, serif"/>
        <color rgb="FF22292F"/>
        <sz val="11.0"/>
      </rPr>
      <t>Isaiah Joe</t>
    </r>
  </si>
  <si>
    <t>0.449(2.9/6.4)</t>
  </si>
  <si>
    <t>0.827(0.8/1.0)</t>
  </si>
  <si>
    <r>
      <rPr>
        <rFont val="Montserrat, Helvetica, Arial, serif"/>
        <color rgb="FF22292F"/>
        <sz val="11.0"/>
      </rPr>
      <t>Naji Marshall</t>
    </r>
  </si>
  <si>
    <t>0.446(3.1/6.8)</t>
  </si>
  <si>
    <t>0.789(1.5/1.9)</t>
  </si>
  <si>
    <r>
      <rPr>
        <rFont val="Montserrat, Helvetica, Arial, serif"/>
        <color rgb="FF22292F"/>
        <sz val="11.0"/>
      </rPr>
      <t>Carlton Carrington</t>
    </r>
  </si>
  <si>
    <t>0.412(3.8/9.3)</t>
  </si>
  <si>
    <t>0.785(1.8/2.2)</t>
  </si>
  <si>
    <r>
      <rPr>
        <rFont val="Montserrat, Helvetica, Arial, serif"/>
        <color rgb="FF22292F"/>
        <sz val="11.0"/>
      </rPr>
      <t>Bones Hyland</t>
    </r>
  </si>
  <si>
    <t>0.395(3.6/9.2)</t>
  </si>
  <si>
    <r>
      <rPr>
        <rFont val="Montserrat, Helvetica, Arial, serif"/>
        <color rgb="FF22292F"/>
        <sz val="11.0"/>
      </rPr>
      <t>GG Jackson II</t>
    </r>
  </si>
  <si>
    <t>0.428(4.5/10.4)</t>
  </si>
  <si>
    <t>0.753(2.1/2.8)</t>
  </si>
  <si>
    <r>
      <rPr>
        <rFont val="Montserrat, Helvetica, Arial, serif"/>
        <color rgb="FF22292F"/>
        <sz val="11.0"/>
      </rPr>
      <t>Neemias Queta</t>
    </r>
  </si>
  <si>
    <t>0.647(2.5/3.8)</t>
  </si>
  <si>
    <t>0.673(0.7/1.0)</t>
  </si>
  <si>
    <r>
      <rPr>
        <rFont val="Montserrat, Helvetica, Arial, serif"/>
        <color rgb="FF22292F"/>
        <sz val="11.0"/>
      </rPr>
      <t>Scotty Pippen Jr.</t>
    </r>
  </si>
  <si>
    <t>0.484(2.7/5.6)</t>
  </si>
  <si>
    <t>0.720(1.2/1.7)</t>
  </si>
  <si>
    <r>
      <rPr>
        <rFont val="Montserrat, Helvetica, Arial, serif"/>
        <color rgb="FF22292F"/>
        <sz val="11.0"/>
      </rPr>
      <t>Brice Sensabaugh</t>
    </r>
  </si>
  <si>
    <t>0.390(3.4/8.8)</t>
  </si>
  <si>
    <t>0.904(1.5/1.7)</t>
  </si>
  <si>
    <r>
      <rPr>
        <rFont val="Montserrat, Helvetica, Arial, serif"/>
        <color rgb="FF22292F"/>
        <sz val="11.0"/>
      </rPr>
      <t>Precious Achiuwa</t>
    </r>
  </si>
  <si>
    <t>0.494(3.1/6.2)</t>
  </si>
  <si>
    <t>0.661(1.1/1.7)</t>
  </si>
  <si>
    <r>
      <rPr>
        <rFont val="Montserrat, Helvetica, Arial, serif"/>
        <color rgb="FF22292F"/>
        <sz val="11.0"/>
      </rPr>
      <t>Marcus Sasser</t>
    </r>
  </si>
  <si>
    <t>0.428(3.1/7.3)</t>
  </si>
  <si>
    <t>0.872(0.8/0.9)</t>
  </si>
  <si>
    <r>
      <rPr>
        <rFont val="Montserrat, Helvetica, Arial, serif"/>
        <color rgb="FF22292F"/>
        <sz val="11.0"/>
      </rPr>
      <t>Trey Lyles</t>
    </r>
  </si>
  <si>
    <t>0.453(2.7/5.9)</t>
  </si>
  <si>
    <t>0.772(1.2/1.6)</t>
  </si>
  <si>
    <r>
      <rPr>
        <rFont val="Montserrat, Helvetica, Arial, serif"/>
        <color rgb="FF22292F"/>
        <sz val="11.0"/>
      </rPr>
      <t>Isaiah Stewart</t>
    </r>
  </si>
  <si>
    <t>0.462(3.0/6.5)</t>
  </si>
  <si>
    <t>0.743(1.4/1.8)</t>
  </si>
  <si>
    <r>
      <rPr>
        <rFont val="Montserrat, Helvetica, Arial, serif"/>
        <color rgb="FF22292F"/>
        <sz val="11.0"/>
      </rPr>
      <t>Georges Niang</t>
    </r>
  </si>
  <si>
    <t>0.446(3.3/7.3)</t>
  </si>
  <si>
    <t>0.853(0.6/0.7)</t>
  </si>
  <si>
    <r>
      <rPr>
        <rFont val="Montserrat, Helvetica, Arial, serif"/>
        <color rgb="FF22292F"/>
        <sz val="11.0"/>
      </rPr>
      <t>Jose Alvarado</t>
    </r>
  </si>
  <si>
    <t>0.411(2.7/6.5)</t>
  </si>
  <si>
    <t>0.757(0.8/1.0)</t>
  </si>
  <si>
    <r>
      <rPr>
        <rFont val="Montserrat, Helvetica, Arial, serif"/>
        <color rgb="FF22292F"/>
        <sz val="11.0"/>
      </rPr>
      <t>Saddiq Bey</t>
    </r>
  </si>
  <si>
    <t>0.419(3.1/7.4)</t>
  </si>
  <si>
    <t>0.854(1.8/2.1)</t>
  </si>
  <si>
    <r>
      <rPr>
        <rFont val="Montserrat, Helvetica, Arial, serif"/>
        <color rgb="FF22292F"/>
        <sz val="11.0"/>
      </rPr>
      <t>Reggie Jackson</t>
    </r>
  </si>
  <si>
    <t>0.422(3.8/9.1)</t>
  </si>
  <si>
    <t>0.852(1.0/1.2)</t>
  </si>
  <si>
    <r>
      <rPr>
        <rFont val="Montserrat, Helvetica, Arial, serif"/>
        <color rgb="FF22292F"/>
        <sz val="11.0"/>
      </rPr>
      <t>Goga Bitadze</t>
    </r>
  </si>
  <si>
    <t>0.583(2.0/3.4)</t>
  </si>
  <si>
    <t>0.617(0.8/1.3)</t>
  </si>
  <si>
    <r>
      <rPr>
        <rFont val="Montserrat, Helvetica, Arial, serif"/>
        <color rgb="FF22292F"/>
        <sz val="11.0"/>
      </rPr>
      <t>Stephon Castle</t>
    </r>
  </si>
  <si>
    <t>0.465(2.7/5.8)</t>
  </si>
  <si>
    <t>0.755(1.6/2.2)</t>
  </si>
  <si>
    <r>
      <rPr>
        <rFont val="Montserrat, Helvetica, Arial, serif"/>
        <color rgb="FF22292F"/>
        <sz val="11.0"/>
      </rPr>
      <t>Gary Payton II</t>
    </r>
  </si>
  <si>
    <t>0.572(2.1/3.6)</t>
  </si>
  <si>
    <t>0.674(0.3/0.4)</t>
  </si>
  <si>
    <r>
      <rPr>
        <rFont val="Montserrat, Helvetica, Arial, serif"/>
        <color rgb="FF22292F"/>
        <sz val="11.0"/>
      </rPr>
      <t>Matas Buzelis</t>
    </r>
  </si>
  <si>
    <t>0.447(3.1/6.8)</t>
  </si>
  <si>
    <t>0.678(0.8/1.2)</t>
  </si>
  <si>
    <r>
      <rPr>
        <rFont val="Montserrat, Helvetica, Arial, serif"/>
        <color rgb="FF22292F"/>
        <sz val="11.0"/>
      </rPr>
      <t>Jonathan Mogbo</t>
    </r>
  </si>
  <si>
    <t>0.635(2.4/3.8)</t>
  </si>
  <si>
    <t>0.697(0.9/1.2)</t>
  </si>
  <si>
    <r>
      <rPr>
        <rFont val="Montserrat, Helvetica, Arial, serif"/>
        <color rgb="FF22292F"/>
        <sz val="11.0"/>
      </rPr>
      <t>Moses Moody</t>
    </r>
  </si>
  <si>
    <t>0.466(3.1/6.6)</t>
  </si>
  <si>
    <t>0.757(1.1/1.5)</t>
  </si>
  <si>
    <r>
      <rPr>
        <rFont val="Montserrat, Helvetica, Arial, serif"/>
        <color rgb="FF22292F"/>
        <sz val="11.0"/>
      </rPr>
      <t>Killian Hayes</t>
    </r>
  </si>
  <si>
    <t>0.385(2.8/7.2)</t>
  </si>
  <si>
    <t>0.764(0.8/1.1)</t>
  </si>
  <si>
    <r>
      <rPr>
        <rFont val="Montserrat, Helvetica, Arial, serif"/>
        <color rgb="FF22292F"/>
        <sz val="11.0"/>
      </rPr>
      <t>Quentin Grimes</t>
    </r>
  </si>
  <si>
    <t>0.435(2.9/6.6)</t>
  </si>
  <si>
    <t>0.792(0.8/1.0)</t>
  </si>
  <si>
    <r>
      <rPr>
        <rFont val="Montserrat, Helvetica, Arial, serif"/>
        <color rgb="FF22292F"/>
        <sz val="11.0"/>
      </rPr>
      <t>Torrey Craig</t>
    </r>
  </si>
  <si>
    <t>0.447(2.1/4.8)</t>
  </si>
  <si>
    <t>0.731(0.4/0.5)</t>
  </si>
  <si>
    <r>
      <rPr>
        <rFont val="Montserrat, Helvetica, Arial, serif"/>
        <color rgb="FF22292F"/>
        <sz val="11.0"/>
      </rPr>
      <t>Gabe Vincent</t>
    </r>
  </si>
  <si>
    <t>0.395(3.0/7.7)</t>
  </si>
  <si>
    <t>0.860(0.9/1.0)</t>
  </si>
  <si>
    <r>
      <rPr>
        <rFont val="Montserrat, Helvetica, Arial, serif"/>
        <color rgb="FF22292F"/>
        <sz val="11.0"/>
      </rPr>
      <t>Julian Champagnie</t>
    </r>
  </si>
  <si>
    <t>0.420(2.3/5.4)</t>
  </si>
  <si>
    <t>0.811(0.9/1.1)</t>
  </si>
  <si>
    <r>
      <rPr>
        <rFont val="Montserrat, Helvetica, Arial, serif"/>
        <color rgb="FF22292F"/>
        <sz val="11.0"/>
      </rPr>
      <t>Drew Eubanks</t>
    </r>
  </si>
  <si>
    <t>0.622(2.0/3.2)</t>
  </si>
  <si>
    <t>0.709(0.8/1.2)</t>
  </si>
  <si>
    <r>
      <rPr>
        <rFont val="Montserrat, Helvetica, Arial, serif"/>
        <color rgb="FF22292F"/>
        <sz val="11.0"/>
      </rPr>
      <t>Pat Connaughton</t>
    </r>
  </si>
  <si>
    <t>0.417(2.4/5.8)</t>
  </si>
  <si>
    <t>0.740(0.5/0.7)</t>
  </si>
  <si>
    <r>
      <rPr>
        <rFont val="Montserrat, Helvetica, Arial, serif"/>
        <color rgb="FF22292F"/>
        <sz val="11.0"/>
      </rPr>
      <t>Toumani Camara</t>
    </r>
  </si>
  <si>
    <t>0.449(2.3/5.1)</t>
  </si>
  <si>
    <t>0.759(0.9/1.2)</t>
  </si>
  <si>
    <r>
      <rPr>
        <rFont val="Montserrat, Helvetica, Arial, serif"/>
        <color rgb="FF22292F"/>
        <sz val="11.0"/>
      </rPr>
      <t>Cody Martin</t>
    </r>
  </si>
  <si>
    <t>0.383(2.6/6.7)</t>
  </si>
  <si>
    <t>0.598(0.6/1.1)</t>
  </si>
  <si>
    <r>
      <rPr>
        <rFont val="Montserrat, Helvetica, Arial, serif"/>
        <color rgb="FF22292F"/>
        <sz val="11.0"/>
      </rPr>
      <t>Alec Burks</t>
    </r>
  </si>
  <si>
    <t>0.399(3.1/7.7)</t>
  </si>
  <si>
    <t>0.841(2.2/2.6)</t>
  </si>
  <si>
    <r>
      <rPr>
        <rFont val="Montserrat, Helvetica, Arial, serif"/>
        <color rgb="FF22292F"/>
        <sz val="11.0"/>
      </rPr>
      <t>Dean Wade</t>
    </r>
  </si>
  <si>
    <t>0.414(1.7/4.0)</t>
  </si>
  <si>
    <t>0.708(0.3/0.5)</t>
  </si>
  <si>
    <r>
      <rPr>
        <rFont val="Montserrat, Helvetica, Arial, serif"/>
        <color rgb="FF22292F"/>
        <sz val="11.0"/>
      </rPr>
      <t>Aaron Wiggins</t>
    </r>
  </si>
  <si>
    <t>0.538(2.5/4.7)</t>
  </si>
  <si>
    <t>0.811(0.7/0.9)</t>
  </si>
  <si>
    <r>
      <rPr>
        <rFont val="Montserrat, Helvetica, Arial, serif"/>
        <color rgb="FF22292F"/>
        <sz val="11.0"/>
      </rPr>
      <t>Shake Milton</t>
    </r>
  </si>
  <si>
    <t>0.457(3.0/6.7)</t>
  </si>
  <si>
    <t>0.847(1.3/1.6)</t>
  </si>
  <si>
    <r>
      <rPr>
        <rFont val="Montserrat, Helvetica, Arial, serif"/>
        <color rgb="FF22292F"/>
        <sz val="11.0"/>
      </rPr>
      <t>Kevin Love</t>
    </r>
  </si>
  <si>
    <t>0.412(2.3/5.7)</t>
  </si>
  <si>
    <t>0.826(1.2/1.4)</t>
  </si>
  <si>
    <r>
      <rPr>
        <rFont val="Montserrat, Helvetica, Arial, serif"/>
        <color rgb="FF22292F"/>
        <sz val="11.0"/>
      </rPr>
      <t>Jarace Walker</t>
    </r>
  </si>
  <si>
    <t>0.409(1.9/4.6)</t>
  </si>
  <si>
    <t>0.895(0.3/0.4)</t>
  </si>
  <si>
    <r>
      <rPr>
        <rFont val="Montserrat, Helvetica, Arial, serif"/>
        <color rgb="FF22292F"/>
        <sz val="11.0"/>
      </rPr>
      <t>Kyshawn George</t>
    </r>
  </si>
  <si>
    <t>0.425(2.1/4.8)</t>
  </si>
  <si>
    <t>0.768(0.5/0.7)</t>
  </si>
  <si>
    <r>
      <rPr>
        <rFont val="Montserrat, Helvetica, Arial, serif"/>
        <color rgb="FF22292F"/>
        <sz val="11.0"/>
      </rPr>
      <t>Josh Minott</t>
    </r>
  </si>
  <si>
    <t>0.487(1.9/3.9)</t>
  </si>
  <si>
    <t>0.915(1.1/1.2)</t>
  </si>
  <si>
    <r>
      <rPr>
        <rFont val="Montserrat, Helvetica, Arial, serif"/>
        <color rgb="FF22292F"/>
        <sz val="11.0"/>
      </rPr>
      <t>Cam Whitmore</t>
    </r>
  </si>
  <si>
    <t>0.454(4.2/9.2)</t>
  </si>
  <si>
    <t>0.677(1.5/2.2)</t>
  </si>
  <si>
    <r>
      <rPr>
        <rFont val="Montserrat, Helvetica, Arial, serif"/>
        <color rgb="FF22292F"/>
        <sz val="11.0"/>
      </rPr>
      <t>Mason Plumlee</t>
    </r>
  </si>
  <si>
    <t>0.654(2.5/3.9)</t>
  </si>
  <si>
    <t>0.652(1.6/2.5)</t>
  </si>
  <si>
    <r>
      <rPr>
        <rFont val="Montserrat, Helvetica, Arial, serif"/>
        <color rgb="FF22292F"/>
        <sz val="11.0"/>
      </rPr>
      <t>Ziaire Williams</t>
    </r>
  </si>
  <si>
    <t>0.408(3.2/7.8)</t>
  </si>
  <si>
    <t>0.811(1.1/1.3)</t>
  </si>
  <si>
    <r>
      <rPr>
        <rFont val="Montserrat, Helvetica, Arial, serif"/>
        <color rgb="FF22292F"/>
        <sz val="11.0"/>
      </rPr>
      <t>Jay Huff</t>
    </r>
  </si>
  <si>
    <t>0.599(1.5/2.5)</t>
  </si>
  <si>
    <t>0.946(1.1/1.1)</t>
  </si>
  <si>
    <r>
      <rPr>
        <rFont val="Montserrat, Helvetica, Arial, serif"/>
        <color rgb="FF22292F"/>
        <sz val="11.0"/>
      </rPr>
      <t>Max Christie</t>
    </r>
  </si>
  <si>
    <t>0.439(2.3/5.3)</t>
  </si>
  <si>
    <t>0.809(0.8/0.9)</t>
  </si>
  <si>
    <r>
      <rPr>
        <rFont val="Montserrat, Helvetica, Arial, serif"/>
        <color rgb="FF22292F"/>
        <sz val="11.0"/>
      </rPr>
      <t>Ryan Dunn</t>
    </r>
  </si>
  <si>
    <t>0.498(1.7/3.3)</t>
  </si>
  <si>
    <t>0.589(0.7/1.1)</t>
  </si>
  <si>
    <r>
      <rPr>
        <rFont val="Montserrat, Helvetica, Arial, serif"/>
        <color rgb="FF22292F"/>
        <sz val="11.0"/>
      </rPr>
      <t>Jericho Sims</t>
    </r>
  </si>
  <si>
    <t>0.744(1.5/2.0)</t>
  </si>
  <si>
    <t>0.694(0.3/0.5)</t>
  </si>
  <si>
    <r>
      <rPr>
        <rFont val="Montserrat, Helvetica, Arial, serif"/>
        <color rgb="FF22292F"/>
        <sz val="11.0"/>
      </rPr>
      <t>Dalton Knecht</t>
    </r>
  </si>
  <si>
    <t>0.444(3.0/6.8)</t>
  </si>
  <si>
    <t>0.770(1.9/2.4)</t>
  </si>
  <si>
    <r>
      <rPr>
        <rFont val="Montserrat, Helvetica, Arial, serif"/>
        <color rgb="FF22292F"/>
        <sz val="11.0"/>
      </rPr>
      <t>Damion Lee</t>
    </r>
  </si>
  <si>
    <t>0.443(2.4/5.4)</t>
  </si>
  <si>
    <t>0.903(1.1/1.2)</t>
  </si>
  <si>
    <r>
      <rPr>
        <rFont val="Montserrat, Helvetica, Arial, serif"/>
        <color rgb="FF22292F"/>
        <sz val="11.0"/>
      </rPr>
      <t>Chris Boucher</t>
    </r>
  </si>
  <si>
    <t>0.497(2.3/4.5)</t>
  </si>
  <si>
    <r>
      <rPr>
        <rFont val="Montserrat, Helvetica, Arial, serif"/>
        <color rgb="FF22292F"/>
        <sz val="11.0"/>
      </rPr>
      <t>Duop Reath</t>
    </r>
  </si>
  <si>
    <t>0.461(2.7/5.9)</t>
  </si>
  <si>
    <t>0.739(0.8/1.1)</t>
  </si>
  <si>
    <r>
      <rPr>
        <rFont val="Montserrat, Helvetica, Arial, serif"/>
        <color rgb="FF22292F"/>
        <sz val="11.0"/>
      </rPr>
      <t>Gary Harris</t>
    </r>
  </si>
  <si>
    <t>0.445(2.0/4.4)</t>
  </si>
  <si>
    <t>0.818(0.5/0.6)</t>
  </si>
  <si>
    <r>
      <rPr>
        <rFont val="Montserrat, Helvetica, Arial, serif"/>
        <color rgb="FF22292F"/>
        <sz val="11.0"/>
      </rPr>
      <t>Dante Exum</t>
    </r>
  </si>
  <si>
    <t>0.535(2.4/4.5)</t>
  </si>
  <si>
    <t>0.782(0.8/1.0)</t>
  </si>
  <si>
    <r>
      <rPr>
        <rFont val="Montserrat, Helvetica, Arial, serif"/>
        <color rgb="FF22292F"/>
        <sz val="11.0"/>
      </rPr>
      <t>Leonard Miller</t>
    </r>
  </si>
  <si>
    <t>0.652(2.2/3.4)</t>
  </si>
  <si>
    <t>0.500(0.2/0.3)</t>
  </si>
  <si>
    <r>
      <rPr>
        <rFont val="Montserrat, Helvetica, Arial, serif"/>
        <color rgb="FF22292F"/>
        <sz val="11.0"/>
      </rPr>
      <t>Steven Adams</t>
    </r>
  </si>
  <si>
    <t>0.597(2.5/4.2)</t>
  </si>
  <si>
    <t>0.366(0.8/2.1)</t>
  </si>
  <si>
    <r>
      <rPr>
        <rFont val="Montserrat, Helvetica, Arial, serif"/>
        <color rgb="FF22292F"/>
        <sz val="11.0"/>
      </rPr>
      <t>James Wiseman</t>
    </r>
  </si>
  <si>
    <t>0.584(3.0/5.1)</t>
  </si>
  <si>
    <t>0.703(1.1/1.6)</t>
  </si>
  <si>
    <r>
      <rPr>
        <rFont val="Montserrat, Helvetica, Arial, serif"/>
        <color rgb="FF22292F"/>
        <sz val="11.0"/>
      </rPr>
      <t>Seth Curry</t>
    </r>
  </si>
  <si>
    <t>0.441(2.6/5.8)</t>
  </si>
  <si>
    <t>0.921(0.7/0.8)</t>
  </si>
  <si>
    <r>
      <rPr>
        <rFont val="Montserrat, Helvetica, Arial, serif"/>
        <color rgb="FF22292F"/>
        <sz val="11.0"/>
      </rPr>
      <t>Jaylin Williams</t>
    </r>
  </si>
  <si>
    <t>0.426(1.6/3.7)</t>
  </si>
  <si>
    <t>0.740(0.6/0.8)</t>
  </si>
  <si>
    <r>
      <rPr>
        <rFont val="Montserrat, Helvetica, Arial, serif"/>
        <color rgb="FF22292F"/>
        <sz val="11.0"/>
      </rPr>
      <t>Trey Jemison</t>
    </r>
  </si>
  <si>
    <t>0.552(1.9/3.4)</t>
  </si>
  <si>
    <t>0.839(0.5/0.6)</t>
  </si>
  <si>
    <r>
      <rPr>
        <rFont val="Montserrat, Helvetica, Arial, serif"/>
        <color rgb="FF22292F"/>
        <sz val="11.0"/>
      </rPr>
      <t>Thomas Bryant</t>
    </r>
  </si>
  <si>
    <t>0.610(2.4/3.9)</t>
  </si>
  <si>
    <t>0.771(1.0/1.3)</t>
  </si>
  <si>
    <r>
      <rPr>
        <rFont val="Montserrat, Helvetica, Arial, serif"/>
        <color rgb="FF22292F"/>
        <sz val="11.0"/>
      </rPr>
      <t>Devin Carter</t>
    </r>
  </si>
  <si>
    <t>0.472(2.0/4.3)</t>
  </si>
  <si>
    <t>0.748(1.2/1.6)</t>
  </si>
  <si>
    <r>
      <rPr>
        <rFont val="Montserrat, Helvetica, Arial, serif"/>
        <color rgb="FF22292F"/>
        <sz val="11.0"/>
      </rPr>
      <t>Joe Ingles</t>
    </r>
  </si>
  <si>
    <t>0.437(1.4/3.3)</t>
  </si>
  <si>
    <t>0.842(0.3/0.4)</t>
  </si>
  <si>
    <r>
      <rPr>
        <rFont val="Montserrat, Helvetica, Arial, serif"/>
        <color rgb="FF22292F"/>
        <sz val="11.0"/>
      </rPr>
      <t>Tim Hardaway Jr.</t>
    </r>
  </si>
  <si>
    <t>0.402(3.2/7.9)</t>
  </si>
  <si>
    <t>0.813(1.2/1.4)</t>
  </si>
  <si>
    <r>
      <rPr>
        <rFont val="Montserrat, Helvetica, Arial, serif"/>
        <color rgb="FF22292F"/>
        <sz val="11.0"/>
      </rPr>
      <t>Tre Mann</t>
    </r>
  </si>
  <si>
    <t>0.419(2.5/6.0)</t>
  </si>
  <si>
    <t>0.771(0.6/0.8)</t>
  </si>
  <si>
    <r>
      <rPr>
        <rFont val="Montserrat, Helvetica, Arial, serif"/>
        <color rgb="FF22292F"/>
        <sz val="11.0"/>
      </rPr>
      <t>Davion Mitchell</t>
    </r>
  </si>
  <si>
    <t>0.453(2.6/5.7)</t>
  </si>
  <si>
    <t>0.741(0.4/0.6)</t>
  </si>
  <si>
    <r>
      <rPr>
        <rFont val="Montserrat, Helvetica, Arial, serif"/>
        <color rgb="FF22292F"/>
        <sz val="11.0"/>
      </rPr>
      <t>Josh Okogie</t>
    </r>
  </si>
  <si>
    <t>0.400(1.8/4.5)</t>
  </si>
  <si>
    <t>0.730(1.5/2.1)</t>
  </si>
  <si>
    <r>
      <rPr>
        <rFont val="Montserrat, Helvetica, Arial, serif"/>
        <color rgb="FF22292F"/>
        <sz val="11.0"/>
      </rPr>
      <t>Jaden Springer</t>
    </r>
  </si>
  <si>
    <t>0.416(1.6/3.8)</t>
  </si>
  <si>
    <t>0.824(0.8/1.0)</t>
  </si>
  <si>
    <r>
      <rPr>
        <rFont val="Montserrat, Helvetica, Arial, serif"/>
        <color rgb="FF22292F"/>
        <sz val="11.0"/>
      </rPr>
      <t>Bol Bol</t>
    </r>
  </si>
  <si>
    <t>0.563(2.0/3.6)</t>
  </si>
  <si>
    <t>0.764(0.6/0.7)</t>
  </si>
  <si>
    <r>
      <rPr>
        <rFont val="Montserrat, Helvetica, Arial, serif"/>
        <color rgb="FF22292F"/>
        <sz val="11.0"/>
      </rPr>
      <t>Cameron Payne</t>
    </r>
  </si>
  <si>
    <t>0.424(2.5/5.9)</t>
  </si>
  <si>
    <t>0.817(0.7/0.8)</t>
  </si>
  <si>
    <r>
      <rPr>
        <rFont val="Montserrat, Helvetica, Arial, serif"/>
        <color rgb="FF22292F"/>
        <sz val="11.0"/>
      </rPr>
      <t>Monte Morris</t>
    </r>
  </si>
  <si>
    <t>0.463(2.0/4.4)</t>
  </si>
  <si>
    <t>0.810(0.5/0.6)</t>
  </si>
  <si>
    <r>
      <rPr>
        <rFont val="Montserrat, Helvetica, Arial, serif"/>
        <color rgb="FF22292F"/>
        <sz val="11.0"/>
      </rPr>
      <t>Amir Coffey</t>
    </r>
  </si>
  <si>
    <t>0.447(2.2/5.0)</t>
  </si>
  <si>
    <t>0.822(1.1/1.4)</t>
  </si>
  <si>
    <r>
      <rPr>
        <rFont val="Montserrat, Helvetica, Arial, serif"/>
        <color rgb="FF22292F"/>
        <sz val="11.0"/>
      </rPr>
      <t>Anthony Black</t>
    </r>
  </si>
  <si>
    <t>0.466(2.2/4.7)</t>
  </si>
  <si>
    <t>0.634(1.0/1.5)</t>
  </si>
  <si>
    <r>
      <rPr>
        <rFont val="Montserrat, Helvetica, Arial, serif"/>
        <color rgb="FF22292F"/>
        <sz val="11.0"/>
      </rPr>
      <t>Cam Reddish</t>
    </r>
  </si>
  <si>
    <t>0.421(2.1/4.9)</t>
  </si>
  <si>
    <t>0.810(0.9/1.2)</t>
  </si>
  <si>
    <r>
      <rPr>
        <rFont val="Montserrat, Helvetica, Arial, serif"/>
        <color rgb="FF22292F"/>
        <sz val="11.0"/>
      </rPr>
      <t>Sam Merrill</t>
    </r>
  </si>
  <si>
    <t>0.402(2.2/5.4)</t>
  </si>
  <si>
    <t>0.923(0.4/0.4)</t>
  </si>
  <si>
    <r>
      <rPr>
        <rFont val="Montserrat, Helvetica, Arial, serif"/>
        <color rgb="FF22292F"/>
        <sz val="11.0"/>
      </rPr>
      <t>Ochai Agbaji</t>
    </r>
  </si>
  <si>
    <t>0.418(2.5/6.0)</t>
  </si>
  <si>
    <t>0.747(0.7/0.9)</t>
  </si>
  <si>
    <r>
      <rPr>
        <rFont val="Montserrat, Helvetica, Arial, serif"/>
        <color rgb="FF22292F"/>
        <sz val="11.0"/>
      </rPr>
      <t>Haywood Highsmith</t>
    </r>
  </si>
  <si>
    <t>0.453(1.8/3.9)</t>
  </si>
  <si>
    <t>0.565(0.3/0.5)</t>
  </si>
  <si>
    <r>
      <rPr>
        <rFont val="Montserrat, Helvetica, Arial, serif"/>
        <color rgb="FF22292F"/>
        <sz val="11.0"/>
      </rPr>
      <t>Malaki Branham</t>
    </r>
  </si>
  <si>
    <t>0.436(3.4/7.8)</t>
  </si>
  <si>
    <t>0.857(0.7/0.8)</t>
  </si>
  <si>
    <r>
      <rPr>
        <rFont val="Montserrat, Helvetica, Arial, serif"/>
        <color rgb="FF22292F"/>
        <sz val="11.0"/>
      </rPr>
      <t>Charles Bassey</t>
    </r>
  </si>
  <si>
    <t>0.665(1.5/2.2)</t>
  </si>
  <si>
    <t>0.630(0.3/0.5)</t>
  </si>
  <si>
    <r>
      <rPr>
        <rFont val="Montserrat, Helvetica, Arial, serif"/>
        <color rgb="FF22292F"/>
        <sz val="11.0"/>
      </rPr>
      <t>Maxi Kleber</t>
    </r>
  </si>
  <si>
    <t>0.443(1.5/3.3)</t>
  </si>
  <si>
    <t>0.705(0.6/0.9)</t>
  </si>
  <si>
    <r>
      <rPr>
        <rFont val="Montserrat, Helvetica, Arial, serif"/>
        <color rgb="FF22292F"/>
        <sz val="11.0"/>
      </rPr>
      <t>Guerschon Yabusele</t>
    </r>
  </si>
  <si>
    <t>0.466(2.0/4.3)</t>
  </si>
  <si>
    <t>0.770(0.9/1.1)</t>
  </si>
  <si>
    <r>
      <rPr>
        <rFont val="Montserrat, Helvetica, Arial, serif"/>
        <color rgb="FF22292F"/>
        <sz val="11.0"/>
      </rPr>
      <t>Kyle Filipowski</t>
    </r>
  </si>
  <si>
    <t>0.506(2.3/4.5)</t>
  </si>
  <si>
    <t>0.672(1.2/1.7)</t>
  </si>
  <si>
    <r>
      <rPr>
        <rFont val="Montserrat, Helvetica, Arial, serif"/>
        <color rgb="FF22292F"/>
        <sz val="11.0"/>
      </rPr>
      <t>Jaxson Hayes</t>
    </r>
  </si>
  <si>
    <t>0.641(2.0/3.1)</t>
  </si>
  <si>
    <t>0.664(1.0/1.5)</t>
  </si>
  <si>
    <r>
      <rPr>
        <rFont val="Montserrat, Helvetica, Arial, serif"/>
        <color rgb="FF22292F"/>
        <sz val="11.0"/>
      </rPr>
      <t>Richaun Holmes</t>
    </r>
  </si>
  <si>
    <t>0.582(2.1/3.5)</t>
  </si>
  <si>
    <t>0.747(0.7/1.0)</t>
  </si>
  <si>
    <r>
      <rPr>
        <rFont val="Montserrat, Helvetica, Arial, serif"/>
        <color rgb="FF22292F"/>
        <sz val="11.0"/>
      </rPr>
      <t>Jock Landale</t>
    </r>
  </si>
  <si>
    <t>0.523(2.0/3.9)</t>
  </si>
  <si>
    <t>0.770(0.9/1.2)</t>
  </si>
  <si>
    <r>
      <rPr>
        <rFont val="Montserrat, Helvetica, Arial, serif"/>
        <color rgb="FF22292F"/>
        <sz val="11.0"/>
      </rPr>
      <t>Craig Porter Jr.</t>
    </r>
  </si>
  <si>
    <t>0.509(2.2/4.4)</t>
  </si>
  <si>
    <t>0.731(0.8/1.1)</t>
  </si>
  <si>
    <r>
      <rPr>
        <rFont val="Montserrat, Helvetica, Arial, serif"/>
        <color rgb="FF22292F"/>
        <sz val="11.0"/>
      </rPr>
      <t>Jordan Hawkins</t>
    </r>
  </si>
  <si>
    <t>0.382(2.9/7.5)</t>
  </si>
  <si>
    <t>0.840(1.1/1.3)</t>
  </si>
  <si>
    <r>
      <rPr>
        <rFont val="Montserrat, Helvetica, Arial, serif"/>
        <color rgb="FF22292F"/>
        <sz val="11.0"/>
      </rPr>
      <t>Jabari Walker</t>
    </r>
  </si>
  <si>
    <t>0.449(2.4/5.3)</t>
  </si>
  <si>
    <t>0.752(1.2/1.6)</t>
  </si>
  <si>
    <r>
      <rPr>
        <rFont val="Montserrat, Helvetica, Arial, serif"/>
        <color rgb="FF22292F"/>
        <sz val="11.0"/>
      </rPr>
      <t>Vasilije Micic</t>
    </r>
  </si>
  <si>
    <t>0.429(2.3/5.2)</t>
  </si>
  <si>
    <r>
      <rPr>
        <rFont val="Montserrat, Helvetica, Arial, serif"/>
        <color rgb="FF22292F"/>
        <sz val="11.0"/>
      </rPr>
      <t>Kenrich Williams</t>
    </r>
  </si>
  <si>
    <t>0.495(2.0/4.0)</t>
  </si>
  <si>
    <t>0.441(0.2/0.3)</t>
  </si>
  <si>
    <r>
      <rPr>
        <rFont val="Montserrat, Helvetica, Arial, serif"/>
        <color rgb="FF22292F"/>
        <sz val="11.0"/>
      </rPr>
      <t>Jordan McLaughlin</t>
    </r>
  </si>
  <si>
    <t>0.453(1.2/2.7)</t>
  </si>
  <si>
    <t>0.765(0.3/0.3)</t>
  </si>
  <si>
    <r>
      <rPr>
        <rFont val="Montserrat, Helvetica, Arial, serif"/>
        <color rgb="FF22292F"/>
        <sz val="11.0"/>
      </rPr>
      <t>Johnny Furphy</t>
    </r>
  </si>
  <si>
    <t>0.457(1.7/3.6)</t>
  </si>
  <si>
    <t>0.761(1.1/1.4)</t>
  </si>
  <si>
    <r>
      <rPr>
        <rFont val="Montserrat, Helvetica, Arial, serif"/>
        <color rgb="FF22292F"/>
        <sz val="11.0"/>
      </rPr>
      <t>Ben Sheppard</t>
    </r>
  </si>
  <si>
    <t>0.393(1.8/4.7)</t>
  </si>
  <si>
    <t>0.887(0.5/0.5)</t>
  </si>
  <si>
    <r>
      <rPr>
        <rFont val="Montserrat, Helvetica, Arial, serif"/>
        <color rgb="FF22292F"/>
        <sz val="11.0"/>
      </rPr>
      <t>Kenyon Martin Jr.</t>
    </r>
  </si>
  <si>
    <t>0.562(2.7/4.8)</t>
  </si>
  <si>
    <t>0.657(0.9/1.4)</t>
  </si>
  <si>
    <r>
      <rPr>
        <rFont val="Montserrat, Helvetica, Arial, serif"/>
        <color rgb="FF22292F"/>
        <sz val="11.0"/>
      </rPr>
      <t>Dwight Powell</t>
    </r>
  </si>
  <si>
    <t>0.719(1.6/2.2)</t>
  </si>
  <si>
    <t>0.678(1.0/1.5)</t>
  </si>
  <si>
    <r>
      <rPr>
        <rFont val="Montserrat, Helvetica, Arial, serif"/>
        <color rgb="FF22292F"/>
        <sz val="11.0"/>
      </rPr>
      <t>Yves Missi</t>
    </r>
  </si>
  <si>
    <t>0.614(2.4/3.9)</t>
  </si>
  <si>
    <t>0.615(1.5/2.4)</t>
  </si>
  <si>
    <r>
      <rPr>
        <rFont val="Montserrat, Helvetica, Arial, serif"/>
        <color rgb="FF22292F"/>
        <sz val="11.0"/>
      </rPr>
      <t>Jake LaRavia</t>
    </r>
  </si>
  <si>
    <t>0.389(1.9/4.9)</t>
  </si>
  <si>
    <t>0.821(1.2/1.5)</t>
  </si>
  <si>
    <r>
      <rPr>
        <rFont val="Montserrat, Helvetica, Arial, serif"/>
        <color rgb="FF22292F"/>
        <sz val="11.0"/>
      </rPr>
      <t>Kel'el Ware</t>
    </r>
  </si>
  <si>
    <t>0.512(2.5/4.8)</t>
  </si>
  <si>
    <t>0.633(1.1/1.8)</t>
  </si>
  <si>
    <r>
      <rPr>
        <rFont val="Montserrat, Helvetica, Arial, serif"/>
        <color rgb="FF22292F"/>
        <sz val="11.0"/>
      </rPr>
      <t>Tristan Da Silva</t>
    </r>
  </si>
  <si>
    <t>0.492(1.9/3.9)</t>
  </si>
  <si>
    <t>0.833(0.9/1.0)</t>
  </si>
  <si>
    <r>
      <rPr>
        <rFont val="Montserrat, Helvetica, Arial, serif"/>
        <color rgb="FF22292F"/>
        <sz val="11.0"/>
      </rPr>
      <t>Simone Fontecchio</t>
    </r>
  </si>
  <si>
    <t>0.426(2.2/5.2)</t>
  </si>
  <si>
    <t>0.818(0.5/0.7)</t>
  </si>
  <si>
    <r>
      <rPr>
        <rFont val="Montserrat, Helvetica, Arial, serif"/>
        <color rgb="FF22292F"/>
        <sz val="11.0"/>
      </rPr>
      <t>Jaden Hardy</t>
    </r>
  </si>
  <si>
    <t>0.420(2.9/6.9)</t>
  </si>
  <si>
    <t>0.802(1.1/1.3)</t>
  </si>
  <si>
    <r>
      <rPr>
        <rFont val="Montserrat, Helvetica, Arial, serif"/>
        <color rgb="FF22292F"/>
        <sz val="11.0"/>
      </rPr>
      <t>Bobi Klintman</t>
    </r>
  </si>
  <si>
    <t>0.439(1.8/4.0)</t>
  </si>
  <si>
    <t>0.786(1.1/1.4)</t>
  </si>
  <si>
    <r>
      <rPr>
        <rFont val="Montserrat, Helvetica, Arial, serif"/>
        <color rgb="FF22292F"/>
        <sz val="11.0"/>
      </rPr>
      <t>Jevon Carter</t>
    </r>
  </si>
  <si>
    <t>0.406(1.8/4.4)</t>
  </si>
  <si>
    <t>0.810(0.2/0.2)</t>
  </si>
  <si>
    <r>
      <rPr>
        <rFont val="Montserrat, Helvetica, Arial, serif"/>
        <color rgb="FF22292F"/>
        <sz val="11.0"/>
      </rPr>
      <t>Tidjane Salaun</t>
    </r>
  </si>
  <si>
    <t>0.404(2.0/5.0)</t>
  </si>
  <si>
    <t>0.776(1.0/1.3)</t>
  </si>
  <si>
    <r>
      <rPr>
        <rFont val="Montserrat, Helvetica, Arial, serif"/>
        <color rgb="FF22292F"/>
        <sz val="11.0"/>
      </rPr>
      <t>Tyler Smith</t>
    </r>
  </si>
  <si>
    <t>0.483(2.0/4.1)</t>
  </si>
  <si>
    <t>0.731(0.6/0.8)</t>
  </si>
  <si>
    <r>
      <rPr>
        <rFont val="Montserrat, Helvetica, Arial, serif"/>
        <color rgb="FF22292F"/>
        <sz val="11.0"/>
      </rPr>
      <t>Andre Jackson Jr.</t>
    </r>
  </si>
  <si>
    <t>0.498(1.3/2.5)</t>
  </si>
  <si>
    <t>0.714(0.2/0.3)</t>
  </si>
  <si>
    <r>
      <rPr>
        <rFont val="Montserrat, Helvetica, Arial, serif"/>
        <color rgb="FF22292F"/>
        <sz val="11.0"/>
      </rPr>
      <t>Jaylon Tyson</t>
    </r>
  </si>
  <si>
    <t>0.452(2.3/5.2)</t>
  </si>
  <si>
    <t>0.779(1.2/1.5)</t>
  </si>
  <si>
    <r>
      <rPr>
        <rFont val="Montserrat, Helvetica, Arial, serif"/>
        <color rgb="FF22292F"/>
        <sz val="11.0"/>
      </rPr>
      <t>Keon Johnson</t>
    </r>
  </si>
  <si>
    <t>0.376(2.4/6.3)</t>
  </si>
  <si>
    <t>0.719(1.2/1.7)</t>
  </si>
  <si>
    <r>
      <rPr>
        <rFont val="Montserrat, Helvetica, Arial, serif"/>
        <color rgb="FF22292F"/>
        <sz val="11.0"/>
      </rPr>
      <t>Chris Duarte</t>
    </r>
  </si>
  <si>
    <t>0.373(1.9/5.1)</t>
  </si>
  <si>
    <t>0.837(0.8/1.0)</t>
  </si>
  <si>
    <r>
      <rPr>
        <rFont val="Montserrat, Helvetica, Arial, serif"/>
        <color rgb="FF22292F"/>
        <sz val="11.0"/>
      </rPr>
      <t>Alex Len</t>
    </r>
  </si>
  <si>
    <t>0.592(1.0/1.7)</t>
  </si>
  <si>
    <t>0.628(0.5/0.8)</t>
  </si>
  <si>
    <r>
      <rPr>
        <rFont val="Montserrat, Helvetica, Arial, serif"/>
        <color rgb="FF22292F"/>
        <sz val="11.0"/>
      </rPr>
      <t>Kevon Looney</t>
    </r>
  </si>
  <si>
    <t>0.617(1.3/2.1)</t>
  </si>
  <si>
    <t>0.633(0.5/0.8)</t>
  </si>
  <si>
    <r>
      <rPr>
        <rFont val="Montserrat, Helvetica, Arial, serif"/>
        <color rgb="FF22292F"/>
        <sz val="11.0"/>
      </rPr>
      <t>Jeremiah Robinson-Earl</t>
    </r>
  </si>
  <si>
    <t>0.452(1.7/3.7)</t>
  </si>
  <si>
    <t>0.806(0.5/0.6)</t>
  </si>
  <si>
    <r>
      <rPr>
        <rFont val="Montserrat, Helvetica, Arial, serif"/>
        <color rgb="FF22292F"/>
        <sz val="11.0"/>
      </rPr>
      <t>Jamal Cain</t>
    </r>
  </si>
  <si>
    <t>0.488(1.6/3.3)</t>
  </si>
  <si>
    <r>
      <rPr>
        <rFont val="Montserrat, Helvetica, Arial, serif"/>
        <color rgb="FF22292F"/>
        <sz val="11.0"/>
      </rPr>
      <t>Dru Smith</t>
    </r>
  </si>
  <si>
    <t>0.421(1.0/2.4)</t>
  </si>
  <si>
    <t>1.000(0.2/0.2)</t>
  </si>
  <si>
    <r>
      <rPr>
        <rFont val="Montserrat, Helvetica, Arial, serif"/>
        <color rgb="FF22292F"/>
        <sz val="11.0"/>
      </rPr>
      <t>Zeke Nnaji</t>
    </r>
  </si>
  <si>
    <t>0.519(1.7/3.2)</t>
  </si>
  <si>
    <t>0.664(0.8/1.2)</t>
  </si>
  <si>
    <r>
      <rPr>
        <rFont val="Montserrat, Helvetica, Arial, serif"/>
        <color rgb="FF22292F"/>
        <sz val="11.0"/>
      </rPr>
      <t>Kobe Bufkin</t>
    </r>
  </si>
  <si>
    <t>0.370(2.7/7.3)</t>
  </si>
  <si>
    <t>0.508(0.3/0.6)</t>
  </si>
  <si>
    <r>
      <rPr>
        <rFont val="Montserrat, Helvetica, Arial, serif"/>
        <color rgb="FF22292F"/>
        <sz val="11.0"/>
      </rPr>
      <t>Trendon Watford</t>
    </r>
  </si>
  <si>
    <t>0.546(1.7/3.2)</t>
  </si>
  <si>
    <t>0.758(0.8/1.0)</t>
  </si>
  <si>
    <r>
      <rPr>
        <rFont val="Montserrat, Helvetica, Arial, serif"/>
        <color rgb="FF22292F"/>
        <sz val="11.0"/>
      </rPr>
      <t>Garrison Mathews</t>
    </r>
  </si>
  <si>
    <t>0.414(1.4/3.3)</t>
  </si>
  <si>
    <t>0.863(0.6/0.7)</t>
  </si>
  <si>
    <r>
      <rPr>
        <rFont val="Montserrat, Helvetica, Arial, serif"/>
        <color rgb="FF22292F"/>
        <sz val="11.0"/>
      </rPr>
      <t>Nikola Djurisic</t>
    </r>
  </si>
  <si>
    <t>0.449(2.2/4.8)</t>
  </si>
  <si>
    <t>0.759(1.7/2.2)</t>
  </si>
  <si>
    <r>
      <rPr>
        <rFont val="Montserrat, Helvetica, Arial, serif"/>
        <color rgb="FF22292F"/>
        <sz val="11.0"/>
      </rPr>
      <t>Adem Bona</t>
    </r>
  </si>
  <si>
    <t>0.590(1.5/2.5)</t>
  </si>
  <si>
    <t>0.702(1.0/1.4)</t>
  </si>
  <si>
    <r>
      <rPr>
        <rFont val="Montserrat, Helvetica, Arial, serif"/>
        <color rgb="FF22292F"/>
        <sz val="11.0"/>
      </rPr>
      <t>Cody Williams</t>
    </r>
  </si>
  <si>
    <t>0.552(2.1/3.7)</t>
  </si>
  <si>
    <t>0.716(1.1/1.5)</t>
  </si>
  <si>
    <r>
      <rPr>
        <rFont val="Montserrat, Helvetica, Arial, serif"/>
        <color rgb="FF22292F"/>
        <sz val="11.0"/>
      </rPr>
      <t>MarJon Beauchamp</t>
    </r>
  </si>
  <si>
    <t>0.432(1.9/4.4)</t>
  </si>
  <si>
    <t>0.710(0.5/0.7)</t>
  </si>
  <si>
    <r>
      <rPr>
        <rFont val="Montserrat, Helvetica, Arial, serif"/>
        <color rgb="FF22292F"/>
        <sz val="11.0"/>
      </rPr>
      <t>Tristan Vukcevic</t>
    </r>
  </si>
  <si>
    <t>0.434(1.5/3.5)</t>
  </si>
  <si>
    <t>0.772(0.9/1.1)</t>
  </si>
  <si>
    <r>
      <rPr>
        <rFont val="Montserrat, Helvetica, Arial, serif"/>
        <color rgb="FF22292F"/>
        <sz val="11.0"/>
      </rPr>
      <t>Aaron Holiday</t>
    </r>
  </si>
  <si>
    <t>0.437(1.4/3.2)</t>
  </si>
  <si>
    <t>0.894(0.4/0.5)</t>
  </si>
  <si>
    <r>
      <rPr>
        <rFont val="Montserrat, Helvetica, Arial, serif"/>
        <color rgb="FF22292F"/>
        <sz val="11.0"/>
      </rPr>
      <t>Derrick Rose</t>
    </r>
  </si>
  <si>
    <t>0.423(2.1/5.1)</t>
  </si>
  <si>
    <t>0.902(0.6/0.6)</t>
  </si>
  <si>
    <r>
      <rPr>
        <rFont val="Montserrat, Helvetica, Arial, serif"/>
        <color rgb="FF22292F"/>
        <sz val="11.0"/>
      </rPr>
      <t>Jordan Walsh</t>
    </r>
  </si>
  <si>
    <t>0.401(0.8/2.0)</t>
  </si>
  <si>
    <t>0.481(0.1/0.3)</t>
  </si>
  <si>
    <r>
      <rPr>
        <rFont val="Montserrat, Helvetica, Arial, serif"/>
        <color rgb="FF22292F"/>
        <sz val="11.0"/>
      </rPr>
      <t>Dalano Banton</t>
    </r>
  </si>
  <si>
    <t>0.408(2.0/4.8)</t>
  </si>
  <si>
    <t>0.773(0.9/1.1)</t>
  </si>
  <si>
    <r>
      <rPr>
        <rFont val="Montserrat, Helvetica, Arial, serif"/>
        <color rgb="FF22292F"/>
        <sz val="11.0"/>
      </rPr>
      <t>Jalen McDaniels</t>
    </r>
  </si>
  <si>
    <t>0.429(1.5/3.5)</t>
  </si>
  <si>
    <t>0.813(0.6/0.8)</t>
  </si>
  <si>
    <r>
      <rPr>
        <rFont val="Montserrat, Helvetica, Arial, serif"/>
        <color rgb="FF22292F"/>
        <sz val="11.0"/>
      </rPr>
      <t>Jalen Wilson</t>
    </r>
  </si>
  <si>
    <t>0.425(1.6/3.7)</t>
  </si>
  <si>
    <t>0.830(0.8/0.9)</t>
  </si>
  <si>
    <r>
      <rPr>
        <rFont val="Montserrat, Helvetica, Arial, serif"/>
        <color rgb="FF22292F"/>
        <sz val="11.0"/>
      </rPr>
      <t>Devonte' Graham</t>
    </r>
  </si>
  <si>
    <t>0.369(1.4/3.7)</t>
  </si>
  <si>
    <t>0.750(0.8/1.0)</t>
  </si>
  <si>
    <r>
      <rPr>
        <rFont val="Montserrat, Helvetica, Arial, serif"/>
        <color rgb="FF22292F"/>
        <sz val="11.0"/>
      </rPr>
      <t>David Jones</t>
    </r>
  </si>
  <si>
    <t>0.461(1.4/3.0)</t>
  </si>
  <si>
    <t>0.795(1.1/1.3)</t>
  </si>
  <si>
    <r>
      <rPr>
        <rFont val="Montserrat, Helvetica, Arial, serif"/>
        <color rgb="FF22292F"/>
        <sz val="11.0"/>
      </rPr>
      <t>Orlando Robinson</t>
    </r>
  </si>
  <si>
    <t>NAME</t>
  </si>
  <si>
    <t>FGM</t>
  </si>
  <si>
    <t>FTM</t>
  </si>
  <si>
    <t>3PM</t>
  </si>
  <si>
    <t>0.514(1.1/2.1)</t>
  </si>
  <si>
    <t>0.726(0.5/0.7)</t>
  </si>
  <si>
    <r>
      <rPr>
        <rFont val="Montserrat, Helvetica, Arial, serif"/>
        <color rgb="FF22292F"/>
        <sz val="11.0"/>
      </rPr>
      <t>Baylor Scheierman</t>
    </r>
  </si>
  <si>
    <t>0.442(1.4/3.2)</t>
  </si>
  <si>
    <t>0.822(0.6/0.7)</t>
  </si>
  <si>
    <r>
      <rPr>
        <rFont val="Montserrat, Helvetica, Arial, serif"/>
        <color rgb="FF22292F"/>
        <sz val="11.0"/>
      </rPr>
      <t>AJ Green</t>
    </r>
  </si>
  <si>
    <t>0.425(1.5/3.5)</t>
  </si>
  <si>
    <t>0.920(0.2/0.3)</t>
  </si>
  <si>
    <r>
      <rPr>
        <rFont val="Montserrat, Helvetica, Arial, serif"/>
        <color rgb="FF22292F"/>
        <sz val="11.0"/>
      </rPr>
      <t>Isaiah Collier</t>
    </r>
  </si>
  <si>
    <t>0.491(2.2/4.5)</t>
  </si>
  <si>
    <t>0.671(1.5/2.3)</t>
  </si>
  <si>
    <r>
      <rPr>
        <rFont val="Montserrat, Helvetica, Arial, serif"/>
        <color rgb="FF22292F"/>
        <sz val="11.0"/>
      </rPr>
      <t>Cory Joseph</t>
    </r>
  </si>
  <si>
    <t>0.416(1.3/3.1)</t>
  </si>
  <si>
    <t>0.776(0.5/0.6)</t>
  </si>
  <si>
    <r>
      <rPr>
        <rFont val="Montserrat, Helvetica, Arial, serif"/>
        <color rgb="FF22292F"/>
        <sz val="11.0"/>
      </rPr>
      <t>DeAndre Jordan</t>
    </r>
  </si>
  <si>
    <t>0.701(1.5/2.1)</t>
  </si>
  <si>
    <t>0.471(0.5/1.0)</t>
  </si>
  <si>
    <r>
      <rPr>
        <rFont val="Montserrat, Helvetica, Arial, serif"/>
        <color rgb="FF22292F"/>
        <sz val="11.0"/>
      </rPr>
      <t>Pelle Larsson</t>
    </r>
  </si>
  <si>
    <t>0.519(1.4/2.7)</t>
  </si>
  <si>
    <r>
      <rPr>
        <rFont val="Montserrat, Helvetica, Arial, serif"/>
        <color rgb="FF22292F"/>
        <sz val="11.0"/>
      </rPr>
      <t>Keita Bates-Diop</t>
    </r>
  </si>
  <si>
    <t>0.487(1.3/2.7)</t>
  </si>
  <si>
    <t>0.778(0.6/0.8)</t>
  </si>
  <si>
    <r>
      <rPr>
        <rFont val="Montserrat, Helvetica, Arial, serif"/>
        <color rgb="FF22292F"/>
        <sz val="11.0"/>
      </rPr>
      <t>Johnny Juzang</t>
    </r>
  </si>
  <si>
    <t>0.402(2.1/5.3)</t>
  </si>
  <si>
    <t>0.667(0.3/0.5)</t>
  </si>
  <si>
    <r>
      <rPr>
        <rFont val="Montserrat, Helvetica, Arial, serif"/>
        <color rgb="FF22292F"/>
        <sz val="11.0"/>
      </rPr>
      <t>Nick Smith Jr.</t>
    </r>
  </si>
  <si>
    <t>0.390(2.1/5.3)</t>
  </si>
  <si>
    <t>0.889(0.2/0.3)</t>
  </si>
  <si>
    <r>
      <rPr>
        <rFont val="Montserrat, Helvetica, Arial, serif"/>
        <color rgb="FF22292F"/>
        <sz val="11.0"/>
      </rPr>
      <t>Vlatko Cancar</t>
    </r>
  </si>
  <si>
    <t>0.476(1.1/2.3)</t>
  </si>
  <si>
    <t>0.927(0.4/0.4)</t>
  </si>
  <si>
    <r>
      <rPr>
        <rFont val="Montserrat, Helvetica, Arial, serif"/>
        <color rgb="FF22292F"/>
        <sz val="11.0"/>
      </rPr>
      <t>KJ Simpson</t>
    </r>
  </si>
  <si>
    <t>0.476(1.2/2.5)</t>
  </si>
  <si>
    <t>0.878(0.8/0.9)</t>
  </si>
  <si>
    <r>
      <rPr>
        <rFont val="Montserrat, Helvetica, Arial, serif"/>
        <color rgb="FF22292F"/>
        <sz val="11.0"/>
      </rPr>
      <t>DaRon Holmes II</t>
    </r>
  </si>
  <si>
    <t>0.545(1.3/2.5)</t>
  </si>
  <si>
    <t>0.713(1.3/1.8)</t>
  </si>
  <si>
    <r>
      <rPr>
        <rFont val="Montserrat, Helvetica, Arial, serif"/>
        <color rgb="FF22292F"/>
        <sz val="11.0"/>
      </rPr>
      <t>Jeff Green</t>
    </r>
  </si>
  <si>
    <t>0.471(1.6/3.3)</t>
  </si>
  <si>
    <t>0.781(1.0/1.3)</t>
  </si>
  <si>
    <r>
      <rPr>
        <rFont val="Montserrat, Helvetica, Arial, serif"/>
        <color rgb="FF22292F"/>
        <sz val="11.0"/>
      </rPr>
      <t>Caleb Houstan</t>
    </r>
  </si>
  <si>
    <t>0.375(1.3/3.5)</t>
  </si>
  <si>
    <t>0.821(0.3/0.4)</t>
  </si>
  <si>
    <r>
      <rPr>
        <rFont val="Montserrat, Helvetica, Arial, serif"/>
        <color rgb="FF22292F"/>
        <sz val="11.0"/>
      </rPr>
      <t>Nassir Little</t>
    </r>
  </si>
  <si>
    <t>0.446(1.4/3.1)</t>
  </si>
  <si>
    <t>0.766(0.4/0.5)</t>
  </si>
  <si>
    <r>
      <rPr>
        <rFont val="Montserrat, Helvetica, Arial, serif"/>
        <color rgb="FF22292F"/>
        <sz val="11.0"/>
      </rPr>
      <t>Ariel Hukporti</t>
    </r>
  </si>
  <si>
    <t>0.563(1.2/2.1)</t>
  </si>
  <si>
    <t>0.615(0.6/1.0)</t>
  </si>
  <si>
    <r>
      <rPr>
        <rFont val="Montserrat, Helvetica, Arial, serif"/>
        <color rgb="FF22292F"/>
        <sz val="11.0"/>
      </rPr>
      <t>Matt Ryan</t>
    </r>
  </si>
  <si>
    <t>0.401(1.4/3.5)</t>
  </si>
  <si>
    <t>0.881(0.4/0.4)</t>
  </si>
  <si>
    <r>
      <rPr>
        <rFont val="Montserrat, Helvetica, Arial, serif"/>
        <color rgb="FF22292F"/>
        <sz val="11.0"/>
      </rPr>
      <t>Ousmane Dieng</t>
    </r>
  </si>
  <si>
    <t>0.422(1.4/3.3)</t>
  </si>
  <si>
    <t>0.750(0.3/0.4)</t>
  </si>
  <si>
    <r>
      <rPr>
        <rFont val="Montserrat, Helvetica, Arial, serif"/>
        <color rgb="FF22292F"/>
        <sz val="11.0"/>
      </rPr>
      <t>Kris Murray</t>
    </r>
  </si>
  <si>
    <t>0.397(1.2/3.1)</t>
  </si>
  <si>
    <t>0.660(0.3/0.5)</t>
  </si>
  <si>
    <r>
      <rPr>
        <rFont val="Montserrat, Helvetica, Arial, serif"/>
        <color rgb="FF22292F"/>
        <sz val="11.0"/>
      </rPr>
      <t>Garrett Temple</t>
    </r>
  </si>
  <si>
    <t>0.384(0.9/2.3)</t>
  </si>
  <si>
    <t>0.816(0.4/0.5)</t>
  </si>
  <si>
    <r>
      <rPr>
        <rFont val="Montserrat, Helvetica, Arial, serif"/>
        <color rgb="FF22292F"/>
        <sz val="11.0"/>
      </rPr>
      <t>Terrence Shannon Jr.</t>
    </r>
  </si>
  <si>
    <t>0.475(1.2/2.6)</t>
  </si>
  <si>
    <t>0.801(1.3/1.6)</t>
  </si>
  <si>
    <r>
      <rPr>
        <rFont val="Montserrat, Helvetica, Arial, serif"/>
        <color rgb="FF22292F"/>
        <sz val="11.0"/>
      </rPr>
      <t>Jamal Shead</t>
    </r>
  </si>
  <si>
    <t>0.407(0.9/2.3)</t>
  </si>
  <si>
    <t>0.778(0.4/0.5)</t>
  </si>
  <si>
    <r>
      <rPr>
        <rFont val="Montserrat, Helvetica, Arial, serif"/>
        <color rgb="FF22292F"/>
        <sz val="11.0"/>
      </rPr>
      <t>Blake Wesley</t>
    </r>
  </si>
  <si>
    <t>0.398(1.4/3.5)</t>
  </si>
  <si>
    <t>0.636(0.6/1.0)</t>
  </si>
  <si>
    <r>
      <rPr>
        <rFont val="Montserrat, Helvetica, Arial, serif"/>
        <color rgb="FF22292F"/>
        <sz val="11.0"/>
      </rPr>
      <t>Dalen Terry</t>
    </r>
  </si>
  <si>
    <t>0.442(1.0/2.2)</t>
  </si>
  <si>
    <t>0.607(0.4/0.6)</t>
  </si>
  <si>
    <r>
      <rPr>
        <rFont val="Montserrat, Helvetica, Arial, serif"/>
        <color rgb="FF22292F"/>
        <sz val="11.0"/>
      </rPr>
      <t>Vít Krejcí</t>
    </r>
  </si>
  <si>
    <t>0.469(0.8/1.8)</t>
  </si>
  <si>
    <t>0.800(0.1/0.1)</t>
  </si>
  <si>
    <r>
      <rPr>
        <rFont val="Montserrat, Helvetica, Arial, serif"/>
        <color rgb="FF22292F"/>
        <sz val="11.0"/>
      </rPr>
      <t>Anthony Gill</t>
    </r>
  </si>
  <si>
    <t>0.500(1.2/2.4)</t>
  </si>
  <si>
    <t>0.762(0.6/0.8)</t>
  </si>
  <si>
    <r>
      <rPr>
        <rFont val="Montserrat, Helvetica, Arial, serif"/>
        <color rgb="FF22292F"/>
        <sz val="11.0"/>
      </rPr>
      <t>Jared McCain</t>
    </r>
  </si>
  <si>
    <t>0.462(1.0/2.1)</t>
  </si>
  <si>
    <t>0.896(0.4/0.5)</t>
  </si>
  <si>
    <t>Average</t>
  </si>
  <si>
    <t>ZScore</t>
  </si>
  <si>
    <t>Rank</t>
  </si>
  <si>
    <t>Adv%</t>
  </si>
  <si>
    <t>Adv+-</t>
  </si>
  <si>
    <t>Value</t>
  </si>
  <si>
    <t>1W+-</t>
  </si>
  <si>
    <t>FrV</t>
  </si>
  <si>
    <t>MonsterBar</t>
  </si>
  <si>
    <t>Name</t>
  </si>
  <si>
    <t>Note</t>
  </si>
  <si>
    <t>Inj</t>
  </si>
  <si>
    <t>Inj Risk</t>
  </si>
  <si>
    <t>Status</t>
  </si>
  <si>
    <t>Josh</t>
  </si>
  <si>
    <t>Matt</t>
  </si>
  <si>
    <t>Conf</t>
  </si>
  <si>
    <t>Tier</t>
  </si>
  <si>
    <t>Role</t>
  </si>
  <si>
    <t>g</t>
  </si>
  <si>
    <t>b2b</t>
  </si>
  <si>
    <t>Analysts</t>
  </si>
  <si>
    <t>m/g</t>
  </si>
  <si>
    <t>p/g</t>
  </si>
  <si>
    <t>3/g</t>
  </si>
  <si>
    <t>r/g</t>
  </si>
  <si>
    <t>a/g</t>
  </si>
  <si>
    <t>s/g</t>
  </si>
  <si>
    <t>b/g</t>
  </si>
  <si>
    <t>fg%</t>
  </si>
  <si>
    <t>ft%</t>
  </si>
  <si>
    <t>to/g</t>
  </si>
  <si>
    <t>USG</t>
  </si>
  <si>
    <t>pV</t>
  </si>
  <si>
    <t>3V</t>
  </si>
  <si>
    <t>rV</t>
  </si>
  <si>
    <t>aV</t>
  </si>
  <si>
    <t>sV</t>
  </si>
  <si>
    <t>bV</t>
  </si>
  <si>
    <t>fg%V</t>
  </si>
  <si>
    <t>ft%V</t>
  </si>
  <si>
    <t>toV</t>
  </si>
  <si>
    <t>Victor Wembanyama</t>
  </si>
  <si>
    <t>SAS</t>
  </si>
  <si>
    <t>[Josh: Healthy and cleared, there is no reason to treat him as anything other than an elite first-rounder. Whether you take him at pick 1 or let him slide to 4, it is all viable. His game still has multiple levels left to unlock, so you are drafting into</t>
  </si>
  <si>
    <t>M</t>
  </si>
  <si>
    <t>C 1</t>
  </si>
  <si>
    <t>ST</t>
  </si>
  <si>
    <t>Nikola Jokic</t>
  </si>
  <si>
    <t>[Josh: Can almost guarantee some regression — minutes will dip, he likely won’t shoot 42% from three or get 1.8 steals, and another triple-double average is unlikely. Even with that, he’s still a fine choice at number one, but not clearly ahead of the res</t>
  </si>
  <si>
    <t>Shai Gilgeous-Alexander</t>
  </si>
  <si>
    <t>G</t>
  </si>
  <si>
    <t>[Josh: The only real concern is Oklahoma City’s 3-3-3 playoff schedule if your league ends March 22. Maybe there are tiny dips in efficiency or defensive numbers, but he’s elite across the board and there’s no reason to overthink it.]</t>
  </si>
  <si>
    <t>PG 1</t>
  </si>
  <si>
    <t>Luka Doncic</t>
  </si>
  <si>
    <t>[Josh: Not really interested in any “revenge season” narrative — he’s just Luka. Still has some FT% volatility, but no playoff schedule worries this season. Easy top-4 pick.]</t>
  </si>
  <si>
    <t>H</t>
  </si>
  <si>
    <t>New Contract</t>
  </si>
  <si>
    <t>Kawhi Leonard</t>
  </si>
  <si>
    <t>F</t>
  </si>
  <si>
    <t>[Josh: There’s doubt about a suspension due to the salary cap circumvention controversy, though it is possible his contract gets voided, but that investigation will take a long time. I will not draft him early because I cannot trust his knees, even though</t>
  </si>
  <si>
    <t>Questionable - salary cap allegations</t>
  </si>
  <si>
    <t>SF 1</t>
  </si>
  <si>
    <t>Stephen Curry</t>
  </si>
  <si>
    <t>GSW</t>
  </si>
  <si>
    <t>PG 2</t>
  </si>
  <si>
    <t>Anthony Davis</t>
  </si>
  <si>
    <t>F/C</t>
  </si>
  <si>
    <t>[Josh: Barely saw him in Dallas after the trade, but he’s still going to be elite. Playing at power forward instead of center hurts his fantasy ceiling (and probably the Mavericks overall), yet he remains a top-tier option. Health is the only real reason</t>
  </si>
  <si>
    <t>PF 1</t>
  </si>
  <si>
    <t>Kristaps Porzingis</t>
  </si>
  <si>
    <t>[Josh: New team but still elite for fantasy purposes. Minutes should hover around 30 with planned rest days to manage health, and the mystery illness appears behind him. With Onyeka Okongwu available, the Atlanta Hawks won’t need to push him hard, which k</t>
  </si>
  <si>
    <t>Unrestricted Free Agent|New Team</t>
  </si>
  <si>
    <t>C 4</t>
  </si>
  <si>
    <t>mST</t>
  </si>
  <si>
    <t>James Harden</t>
  </si>
  <si>
    <t>[Josh: Healthy Kawhi could drop Harden’s usage again like we saw in the second half of last year, but he should still be great. His field goal percentage actually rose when Kawhi returned.]</t>
  </si>
  <si>
    <t>Player Option|New Contract</t>
  </si>
  <si>
    <t>Donovan Mitchell</t>
  </si>
  <si>
    <t>[Josh: Unlikely that Kenny Atkinson pushes his minutes higher, but with Darius Garland and Max Strus sidelined early, his assists and usage could rise. Still the clear offensive hub, and while the long-term role won’t change much, the early-season boost c</t>
  </si>
  <si>
    <t>SG 2</t>
  </si>
  <si>
    <t>Kevin Durant</t>
  </si>
  <si>
    <t>[Josh: He’s still Kevin Durant, but there have been clear drops in his free-throw attempt rate and he’s getting older. Udoka isn’t known for cutting player minutes, yet it would make sense for Houston to manage him more carefully to keep him healthy. Stil</t>
  </si>
  <si>
    <t>Dyson Daniels</t>
  </si>
  <si>
    <t>G/F</t>
  </si>
  <si>
    <t>[Josh: Three steals per game was an outlier and tough to replicate, and that single category will inflate his default rank far beyond his real value. Usage could dip with Kristaps Porzingis in the mix and Jalen Johnson expected to play more games. Risky p</t>
  </si>
  <si>
    <t>Restricted Free Agent</t>
  </si>
  <si>
    <t>SG 3</t>
  </si>
  <si>
    <t>Tyrese Maxey</t>
  </si>
  <si>
    <t>[Josh: Hard player to peg because his usage spikes when Joel Embiid sits but falls back when Embiid plays. The problem is his efficiency craters without Embiid, which hurts his overall fantasy value. There’s also some risk that if Embiid and Paul George m</t>
  </si>
  <si>
    <t>PG 3</t>
  </si>
  <si>
    <t>Joel Embiid</t>
  </si>
  <si>
    <t>[Josh: Last season was a disaster. He looked awful — efficiency cratered, minutes dipped, another knee injury piled on. Not expected to start this season healthy either. I wouldn’t touch him inside the top 50, as the knee looks permanently shot, taking aw</t>
  </si>
  <si>
    <t>Injured - knee (14g) - 11/20/2025</t>
  </si>
  <si>
    <t>C 6</t>
  </si>
  <si>
    <t>Devin Booker</t>
  </si>
  <si>
    <t>[Josh: Back to being the primary point guard with both assists and usage set to rise. Efficiency might take a small hit and there’s always the risk of a late-season shutdown if Phoenix bottoms out, but overall his fantasy value should climb significantly.</t>
  </si>
  <si>
    <t>Amen Thompson</t>
  </si>
  <si>
    <t>[Josh: Elite as a starter last season and should remain in that role, but the question is whether he gets 35 minutes again. Don’t expect reliable threes, but everything else is strong and he should play on-ball more with Jalen Green gone. His rebounds, as</t>
  </si>
  <si>
    <t>Jimmy Butler</t>
  </si>
  <si>
    <t>SF 3</t>
  </si>
  <si>
    <t>Karl-Anthony Towns</t>
  </si>
  <si>
    <t>NYK</t>
  </si>
  <si>
    <t>[Josh: Thrived last season back at center, and the minutes weren’t even maxed out by Thibs’ standards. The concern is Mitchell Robinson’s return — if Towns is pushed back toward more power forward minutes, we’ve already seen that his fantasy numbers take</t>
  </si>
  <si>
    <t>C 2</t>
  </si>
  <si>
    <t>Myles Turner</t>
  </si>
  <si>
    <t>[Josh: No longer in Indiana under Rick Carlisle, so the old minute caps aren’t a concern. Now in Milwaukee, he could see heavier playing time given Doc Rivers’ history of leaning on bigs, which makes him even more appealing in fantasy.]</t>
  </si>
  <si>
    <t>New Team|New Contract</t>
  </si>
  <si>
    <t>Jaren Jackson Jr.</t>
  </si>
  <si>
    <t>[Josh: Steps into stretches as the clear number one option whenever Ja Morant is sidelined. The blocks aren’t spiking back to elite levels, so his fantasy value leans more toward offense now. Coming off offseason surgery, there’s a chance he misses the st</t>
  </si>
  <si>
    <t>Injured - turf toe surgery (7g) - 11/3/2025</t>
  </si>
  <si>
    <t>PF 4</t>
  </si>
  <si>
    <t>Anthony Edwards</t>
  </si>
  <si>
    <t>[Josh: Climbs draft boards this year with some of the usual top names injured, but the growth areas remain assists and free throw attempts. The three-point volume probably isn’t coming down, and it’s tough to trust last year’s percentage fully holding. He</t>
  </si>
  <si>
    <t>L</t>
  </si>
  <si>
    <t>SG 1</t>
  </si>
  <si>
    <t>Jakob Poeltl</t>
  </si>
  <si>
    <t>[Josh: Still underrated. There’s no reason he can’t just repeat last season, with the added bonus of being one of the few centers who chips in steals and assists.]</t>
  </si>
  <si>
    <t>C 5</t>
  </si>
  <si>
    <t>Cade Cunningham</t>
  </si>
  <si>
    <t>[Josh: Will be a popular first-round pick, but it’ll be interesting to see if the loss of shooting around him in Malik Beasley and Tim Hardaway Jr. drags on his efficiency. Usage and playmaking are secure, but spacing could cap his ceiling a bit.]</t>
  </si>
  <si>
    <t>Jalen Johnson</t>
  </si>
  <si>
    <t>[Josh: Injuries have been frustrating the last two years, but there’s no real concern about lingering effects. Kristaps Porzingis arriving could eat into some shot volume, yet the role as a secondary creator and defensive presence remains secure. Strong c</t>
  </si>
  <si>
    <t>PF 2</t>
  </si>
  <si>
    <t>Austin Reaves</t>
  </si>
  <si>
    <t>[Josh: Reaves held up fine alongside Luka and proved himself as a consistent fantasy option. He works both on and off the ball, and his role is secure. He’ll spike when Luka or LeBron sit, but he’s shown he doesn’t need those absences to be relevant.]</t>
  </si>
  <si>
    <t>Player Option</t>
  </si>
  <si>
    <t>Trae Young</t>
  </si>
  <si>
    <t>[Josh: Can push into the first round, but the value is driven almost entirely by assists, which makes the profile a little skewed for category leagues. Still fine to take there if you want that strength locked in. If the three-point percentage climbs even</t>
  </si>
  <si>
    <t>Jamal Murray</t>
  </si>
  <si>
    <t>[Josh: Terrible start last season, but he was awesome down the stretch once healthy. Soft tissue injuries will always be a concern, but with no Michael Porter Jr. or Russell Westbrook around to eat usage or assists, Murray should have a clear path to stro</t>
  </si>
  <si>
    <t>PG 4</t>
  </si>
  <si>
    <t>Evan Mobley</t>
  </si>
  <si>
    <t>[Josh: Could have another level to unlock after last year’s leap. Should see more usage early in the season, and once Max Strus returns and adds depth on the wing, Mobley may slide into more minutes at center. The offensive growth is still the swing skill</t>
  </si>
  <si>
    <t>PF 3</t>
  </si>
  <si>
    <t>Tyler Herro</t>
  </si>
  <si>
    <t>[Josh: Ankle surgery pushes back his season debut until around November or December. That makes him a risky early pick, so he slides outside the top 50 and probably into top-70 range now. Still, his shot selection improved last season, which boosted effic</t>
  </si>
  <si>
    <t>Injured - left foot/ankle (19g) - 11/29/2025</t>
  </si>
  <si>
    <t>SG 4</t>
  </si>
  <si>
    <t>Derrick White</t>
  </si>
  <si>
    <t>[Josh: One of the most reliable Celtics, but carries the same risk as Jaylen Brown when it comes to games played in a potential reset year. Usage and responsibility will climb, which could drag down efficiency and even take a toll on his defensive focus.</t>
  </si>
  <si>
    <t>Payton Pritchard</t>
  </si>
  <si>
    <t>[Josh: Big surprise last season and now rumored to start, which raises both his minute floor and ceiling. Usage and assists should climb, but his fantasy profile leans heavily on points and threes. If the shooting percentage slips, the value dries up quic</t>
  </si>
  <si>
    <t>PG 6</t>
  </si>
  <si>
    <t>Bam Adebayo</t>
  </si>
  <si>
    <t>[Josh: The second half of last season showed a real spike in shooting and more offensive freedom once Jimmy Butler was moved. That looks sustainable going forward, but the days of him being a big shot-blocker are probably gone. Still a strong all-around f</t>
  </si>
  <si>
    <t>O.G. Anunoby</t>
  </si>
  <si>
    <t>[Josh: Had an eye-opening second half with usage spiking when Jalen Brunson was out. That was a promising sign, though the arrival of Mike Brown could mean a few fewer minutes. Still a solid fantasy piece, but don’t expect the same volume if the roster st</t>
  </si>
  <si>
    <t>Jalen Williams</t>
  </si>
  <si>
    <t>[Josh: An up-and-down season has some people penciling him in as an early second-rounder, but I’m not there. A lot of his defensive spikes came when he played center with Chet Holmgren and Isaiah Hartenstein out, and that dropped off later. Even his free</t>
  </si>
  <si>
    <t>Probable - right wrist</t>
  </si>
  <si>
    <t>SF 2</t>
  </si>
  <si>
    <t>Mark Williams</t>
  </si>
  <si>
    <t>[Josh: When healthy in Charlotte he was playing 30+ minutes a night before the late-season tank shutdown. The failed Lakers trade wasn’t about his foot or back, so I’m not docking him for health beyond normal risk. He’s clearly the Suns’ best center, and</t>
  </si>
  <si>
    <t>Restricted Free Agent|New Team</t>
  </si>
  <si>
    <t>Chet Holmgren</t>
  </si>
  <si>
    <t>[Josh: Minutes should climb, but the presence of Isaiah Hartenstein raises some concerns about how much time he spends at center. Usage may not rise much either. Still a player I like plenty, but I’m not pushing him up draft boards beyond where he already</t>
  </si>
  <si>
    <t>Josh Giddey</t>
  </si>
  <si>
    <t>[Josh: Assuming he re-signs, he won’t replicate the hot stretch from the final six weeks of last season where his three-point shooting and defensive stats spiked. Still looks undervalued in fantasy, and with how Chicago leaned on him down the stretch, he</t>
  </si>
  <si>
    <t>Trey Murphy</t>
  </si>
  <si>
    <t>NOR</t>
  </si>
  <si>
    <t>[Josh: Should be ready for opening night, though there’s a chance he’s not quite there. As always, if Zion Williamson misses time his usage spikes, but he can get a little overrated in fantasy circles. Still, the way his game has evolved makes him a stron</t>
  </si>
  <si>
    <t>Questionable - labrum surgery</t>
  </si>
  <si>
    <t>SF 4</t>
  </si>
  <si>
    <t>Ausar Thompson</t>
  </si>
  <si>
    <t>[Josh: Late start last season due to a blood clot, followed by an extended minutes restriction — and even after that was lifted, JB Bickerstaff kept him capped. Shooting is still a problem, and JB has shown a clear preference for spacing. Projected to sta</t>
  </si>
  <si>
    <t>SF 5</t>
  </si>
  <si>
    <t>Walker Kessler</t>
  </si>
  <si>
    <t>[Josh: No extension, but that doesn’t really matter for his role. Should still play around 30 minutes and do his thing as a rebounds and blocks big. Hopefully avoids the late-season threes chucking.]</t>
  </si>
  <si>
    <t>Ivica Zubac</t>
  </si>
  <si>
    <t>[Josh: Broke out last season, but the arrivals of Brook Lopez and John Collins may cap the minutes upside.]</t>
  </si>
  <si>
    <t>Scottie Barnes</t>
  </si>
  <si>
    <t>[Josh: Any shooting growth is a bonus, but last season’s version is a fair baseline with some small improvements. The big question is how his usage shifts now that Ingram is in the mix.]</t>
  </si>
  <si>
    <t>Nikola Vucevic</t>
  </si>
  <si>
    <t>[Josh: Predictably cooled off after a hot shooting stretch, which brought his true value back into focus. There’s talk he may not even open the season in Chicago, and even if he does it’s doubtful he finishes the year there. Given how poorly this franchis</t>
  </si>
  <si>
    <t>Unrestricted Free Agent</t>
  </si>
  <si>
    <t>LaMelo Ball</t>
  </si>
  <si>
    <t>[Josh: Some of last year’s injuries were more about tanking and preservation than long-term concern, but it’s fair to wonder if the team is any better positioned to avoid the same approach again. Brings insane usage, huge three-point volume, and his usual</t>
  </si>
  <si>
    <t>Domantas Sabonis</t>
  </si>
  <si>
    <t>[Josh: Play tailed off when Zach LaVine arrived, though it is unclear if that was the hamstring injury or just the fit. Shot well from three on low volume, but I am not convinced it sticks. Feels very overrated for this season given how many holes remain</t>
  </si>
  <si>
    <t>C 3</t>
  </si>
  <si>
    <t>LeBron James</t>
  </si>
  <si>
    <t>[Josh: LeBron turns 41 in December, and while still brilliant, trusting his health at this stage is tough. Offseason noise adds some unease, and although he’ll have big moments, the risk of missed games lingers.]</t>
  </si>
  <si>
    <t>Giannis Antetokounmpo</t>
  </si>
  <si>
    <t>[Josh: Expected to take on more point guard duties and his usage should spike without Damian Lillard around. The concern is Milwaukee could slide in the standings, which might lead to rest or injury preservation late in the year. Still firmly a top-five f</t>
  </si>
  <si>
    <t>Toumani Camara</t>
  </si>
  <si>
    <t>[Josh: Locked in as a starter and a solid steals contributor. Shooting held up well last season, though it can be streaky. Usage and assists don’t really project higher, so while he is draftable, I doubt the upside.]</t>
  </si>
  <si>
    <t>Onyeka Okongwu</t>
  </si>
  <si>
    <t>[Josh: Flourished when starting last season, but the addition of Kristaps Porzingis puts that role in question. Unlikely to open games alongside Porzingis and Jalen Johnson, yet the minutes should still be strong enough to matter. Expectations need to be</t>
  </si>
  <si>
    <t>C 8</t>
  </si>
  <si>
    <t>Zach Edey</t>
  </si>
  <si>
    <t>[Josh: Iisalo clearly trusted him more once he took over, bumping up both minutes and involvement. That sets him up for a bigger role this year, though offseason surgery that could delay his start cools things a bit. Even so, I’m still aggressively target</t>
  </si>
  <si>
    <t>Injured - ankle surgery (18g) - 11/26/2025</t>
  </si>
  <si>
    <t>Rudy Gobert</t>
  </si>
  <si>
    <t>[Josh: At his age the block rate isn’t spiking back up, and he could even lose a minute or two compared to last season. Still an elite defensive presence, but the offensive contributions keep sliding.]</t>
  </si>
  <si>
    <t>C 7</t>
  </si>
  <si>
    <t>Brandon Miller</t>
  </si>
  <si>
    <t>[Josh: Wrist injury cut his season short, but heading into year three he’s in line for a usage bump. Efficiency remains a concern, though the volume of threes is elite and locks him in as a strong category contributor. Profiles as an early-round option wh</t>
  </si>
  <si>
    <t>Lauri Markkanen</t>
  </si>
  <si>
    <t>[Josh: Looked great in EuroBasket but I don’t let that change the view. Last season was poor with injuries playing a part. Still carries massive risk of missed games due to tanking, and while a trade is possible I doubt it happens. Expect better per-game</t>
  </si>
  <si>
    <t>PF 6</t>
  </si>
  <si>
    <t>Franz Wagner</t>
  </si>
  <si>
    <t>[Josh: Two straight years under 30% from three and his best stretches came when Paolo Banchero was out and he had to carry the offense. With everyone healthy, he’s solid, but last season’s numbers don’t fully reflect his true role.]</t>
  </si>
  <si>
    <t>Ja Morant</t>
  </si>
  <si>
    <t>[Josh: With new coach Tuomas Iisalo expected to lean into more pick-and-roll, there’s a chance his role gets even friendlier for fantasy. The issue remains staying on the court after another season derailed by injuries. With Desmond Bane gone, his usage c</t>
  </si>
  <si>
    <t>Paul George</t>
  </si>
  <si>
    <t>[Josh: Another season wrecked by knee issues, and his shooting fell off badly. Now coming into this year off yet another knee surgery, which means he’ll miss the start. Steals still hold up and the rest of the line is serviceable, but with low usage, shak</t>
  </si>
  <si>
    <t>Injured - knee surgery (10g) - 11/10/2025</t>
  </si>
  <si>
    <t>PF 5</t>
  </si>
  <si>
    <t>Immanuel Quickley</t>
  </si>
  <si>
    <t>[Josh: Would’ve been a great bounceback pick if Ingram wasn’t here. Multiple injuries derailed last season, but he’s still their best shooter and a strong passer. With so few true point guards available late in drafts, I’m still grabbing him, but hard to</t>
  </si>
  <si>
    <t>Tari Eason</t>
  </si>
  <si>
    <t>[Josh: We all love the rebounds and defense Eason brings, but realistically there isn’t a clear path to big minutes. The recurring leg issue from the last two years adds extra worry. Per-minute value can still make him useful, but I’m not convinced this i</t>
  </si>
  <si>
    <t>SF 6</t>
  </si>
  <si>
    <t>Zion Williamson</t>
  </si>
  <si>
    <t>[Josh: Was excellent when he returned from injury last season, even though the Pelicans held him to low minutes. If he ever consistently logs 33 minutes a night and stays healthy, he destroys his ADP. Added back some defensive production that people overl</t>
  </si>
  <si>
    <t>Coby White</t>
  </si>
  <si>
    <t>[Josh: Should be locked in as the starter, though Josh Giddey will take on more of the playmaking load. White will still get usage, but his value leans heavily on scoring, making him prone to efficiency swings with hot and cold stretches. Reliant on big s</t>
  </si>
  <si>
    <t>Deandre Ayton</t>
  </si>
  <si>
    <t>[Josh: Ayton took a big buyout to land in Los Angeles, and while usage won’t be high with Luka and LeBron around, he’s clearly the best center on the roster. That should secure his minutes, and even in a lower-usage role he projects as steady and reliable</t>
  </si>
  <si>
    <t>Player Option|New Contract|New Team</t>
  </si>
  <si>
    <t>Desmond Bane</t>
  </si>
  <si>
    <t>[Josh: Spent most of last year as Memphis’ top or second option, but in Orlando he’s at best the third or tied-for-second behind Paolo Banchero and Franz Wagner. That means a clear usage downtick is coming, even though he’ll still provide valuable spacing</t>
  </si>
  <si>
    <t>New Team</t>
  </si>
  <si>
    <t>Jalen Brunson</t>
  </si>
  <si>
    <t>[Josh: Can feel overrated in fantasy because he doesn’t contribute across enough categories. Could lose a touch of playing time under Brown, and it’s possible the offense shifts away from the constant ball-pounding we saw under Thibs. Solid, but not the f</t>
  </si>
  <si>
    <t>PG 5</t>
  </si>
  <si>
    <t>Isaiah Hartenstein</t>
  </si>
  <si>
    <t>[Josh: Will start some games but not all, and really thrives when Chet Holmgren sits. Injuries nagged him last year, but he’s still a solid back-end fantasy big who can help in the right builds.]</t>
  </si>
  <si>
    <t>Jarrett Allen</t>
  </si>
  <si>
    <t>[Josh: Wore down chasing 82 games last season, with his minutes trending down as the year went on. Expected to see a reduced workload this season, but the Max Strus injury should keep his minutes a bit higher early. Still carries big overdraft risk given</t>
  </si>
  <si>
    <t>Keegan Murray</t>
  </si>
  <si>
    <t>[Josh: No scope for him to do more with DeMar DeRozan, Zach LaVine, and Domantas Sabonis dominating touches. Shooting has been subpar since his rookie year. Still a little underrated for fantasy, but the team pigeonholes him into a low-usage defensive rol</t>
  </si>
  <si>
    <t>PF 8</t>
  </si>
  <si>
    <t>De'Aaron Fox</t>
  </si>
  <si>
    <t>[Josh: Looked rough after the trade to San Antonio and now sits as the clear number two option behind Wembanyama. Usage is still strong, but efficiency, three-point shooting, and even his steals remain unreliable. Feels like he is being drafted too aggres</t>
  </si>
  <si>
    <t>Injured - right hamstring (6g) - 11/5/2025</t>
  </si>
  <si>
    <t>Miles Bridges</t>
  </si>
  <si>
    <t>[Josh: Usually steps up production when others are sidelined, but on a healthy roster he settles in as a third option. Defensive impact has slipped in recent seasons, lowering his all-around value compared to his earlier years.]</t>
  </si>
  <si>
    <t>Jalen Duren</t>
  </si>
  <si>
    <t>[Josh: Got off to a poor start last season with Isaiah Stewart cutting into his upside, but looked much better in the second half. Still, there’s an upper limit here with Stewart around, plus Duren’s lack of spacing and underwhelming shot blocking cap his</t>
  </si>
  <si>
    <t>Darius Garland</t>
  </si>
  <si>
    <t>[Josh: Coming off offseason toe surgery and likely to miss opening night, though the exact return timeline still isn’t clear. His draft value will hinge on when he’s expected back, and even then you have to factor in a ramp-up period and possible back-to-</t>
  </si>
  <si>
    <t>Injured - toe (6g) - 11/1/2025</t>
  </si>
  <si>
    <t>Deni Avdija</t>
  </si>
  <si>
    <t>[Josh: Started slowly last season but broke out when Deandre Ayton and Jerami Grant were sidelined. He should start again, but those big March numbers are unlikely to carry over.]</t>
  </si>
  <si>
    <t>Matas Buzelis</t>
  </si>
  <si>
    <t>[Josh: Played under 20 minutes as a rookie, but should open year two in the starting lineup and push toward 30 minutes a night. If the shooting takes a step forward, he has a path to real fantasy value thanks to his size and versatile game.]</t>
  </si>
  <si>
    <t>Cam Johnson</t>
  </si>
  <si>
    <t>[Josh: Straight 1-for-1 replacement for Michael Porter Jr., but he’s the less talented player. Likely to carry lower usage and somehow even more injury risk. Doesn’t project to fully fill Porter’s role and comes with plenty of downside.]</t>
  </si>
  <si>
    <t>Michael Porter Jr.</t>
  </si>
  <si>
    <t>[Josh: New to Brooklyn and stepping into the Cam Johnson role, with potential to produce more than Johnson did last season. The upside is clear, but the risk tied to the team’s shaky context and possible late-season shutdowns makes him far from safe.]</t>
  </si>
  <si>
    <t>PF 7</t>
  </si>
  <si>
    <t>Tobias Harris</t>
  </si>
  <si>
    <t>[Josh: Slow start last year but settled in with a solid second half. Still projects to start, though Ron Holland or Ausar Thompson could start chipping into his minutes. A little disappointing his usage didn’t spike much, and that may remain the case.]</t>
  </si>
  <si>
    <t>Bradley Beal</t>
  </si>
  <si>
    <t>[Josh: Should start and was efficient in Phoenix despite all the issues there, but health remains a concern. A nice later-round option.]</t>
  </si>
  <si>
    <t>Questionable - knee</t>
  </si>
  <si>
    <t>Player Option|New Team|New Contract</t>
  </si>
  <si>
    <t>SG 5</t>
  </si>
  <si>
    <t>Alexandre Sarr</t>
  </si>
  <si>
    <t>[Josh: Rookie season was limited to about 27 minutes a night, and that number should climb. The field goal percentage was disastrous and can only improve, while the shot blocking already showed real impact. The hope is the calf injury picked up at EuroBas</t>
  </si>
  <si>
    <t>Questionable - calf</t>
  </si>
  <si>
    <t>Cason Wallace</t>
  </si>
  <si>
    <t>[Josh: Started a good chunk of last season and showed his calling card with steals. There’s more usage and assist upside in his game, but it’s unlikely to be unlocked on this roster. For now he’s a specialist, though I wouldn’t be shocked if he eventually</t>
  </si>
  <si>
    <t>Jaylen Brown</t>
  </si>
  <si>
    <t>[Josh: Hobbled late last season and coming off offseason knee surgery. Usage and assists should rise with the roster gutted, but the percentages remain middling and turnovers can be an issue. There’s also the risk of rest days and even a full shutdown if</t>
  </si>
  <si>
    <t>Kel'el Ware</t>
  </si>
  <si>
    <t>[Josh: Started alongside Bam Adebayo in the second half of last season, but Erik Spoelstra often limited his minutes. With no real backup center on the roster, he could shift to a bench role to make staggering easier, which might actually help him get ste</t>
  </si>
  <si>
    <t>Pascal Siakam</t>
  </si>
  <si>
    <t>[Josh: Should be the clear number one option. Could see assists rise like in Toronto, but still offers little on defense. Efficiency may drop without Haliburton feeding him.]</t>
  </si>
  <si>
    <t>Christian Braun</t>
  </si>
  <si>
    <t>[Josh: His shooting was crazy last season, and I’ll always doubt that kind of efficiency repeating. No different here. With Bruce Brown and Tim Hardaway Jr. around, there’s added competition for minutes and touches. I wouldn’t look at his numbers and thin</t>
  </si>
  <si>
    <t>Devin Vassell</t>
  </si>
  <si>
    <t>[Josh: I would start him, but San Antonio may not be sold. Lost usage last year and could see another dip with Fox and Wembanyama commanding the offense. Add in past knee issues and inconsistent shooting, and it is hard to project a breakout. There is sti</t>
  </si>
  <si>
    <t>SF 7</t>
  </si>
  <si>
    <t>Jrue Holiday</t>
  </si>
  <si>
    <t>[Josh: Fell off badly last season, but with Scoot Henderson out he should get more touches to open the year. Usage should rise compared to Boston, and I love him as a late-round pick.]</t>
  </si>
  <si>
    <t>SG 6</t>
  </si>
  <si>
    <t>Alperen Sengun</t>
  </si>
  <si>
    <t>[Josh: Weird drop in FG% last season, possibly tied to VanVleet struggling to feed him, forcing more self-created looks. The bigger worry is Udoka leaning on Steven Adams or Jabari Smith Jr. if he wants to scapegoat Sengun’s defense. Still love the overal</t>
  </si>
  <si>
    <t>Paolo Banchero</t>
  </si>
  <si>
    <t>[Josh: Looked great before the injury, then rusty when he returned, but once he got rolling again he was actually very strong even in category formats. Not worth a mid-second round pick like Yahoo suggests, because he still needs a few sustained improveme</t>
  </si>
  <si>
    <t>Norman Powell</t>
  </si>
  <si>
    <t>[Josh: Relies heavily on usage and hot shooting to matter, and doesn’t bring much else across categories. With Tyler Herro sidelined early, he’s draftable as a short-term scorer, but expect him to trend toward being a drop once the roster stabilizes.]</t>
  </si>
  <si>
    <t>SG 7</t>
  </si>
  <si>
    <t>Kyrie Irving</t>
  </si>
  <si>
    <t>[Josh: Recovering from a torn ACL and may not return until March, and even then he’ll likely sit back-to-backs and have his minutes managed. Wasting a pick in most formats unless you’ve got a very deep bench, play roto, or are in a weekly league where you</t>
  </si>
  <si>
    <t>Injured - torn acl (67g) - 3/15/2026</t>
  </si>
  <si>
    <t>BN</t>
  </si>
  <si>
    <t>Shaedon Sharpe</t>
  </si>
  <si>
    <t>[Josh: With Anfernee Simons gone and Scoot Henderson hurt, he looks like a starter, possibly sliding in next to Jerami Grant. Needs to add more than just scoring, but I do think he is being undervalued in drafts.]</t>
  </si>
  <si>
    <t>Cooper Flagg</t>
  </si>
  <si>
    <t>[Josh: Could easily push into top-35 territory as a rookie and projects as an above-average fantasy contributor across categories by year three. Should start and play 30+ minutes from opening night. The concern is being slotted at small forward, which cou</t>
  </si>
  <si>
    <t>Dereck Lively II</t>
  </si>
  <si>
    <t>[Josh: When healthy, he should start over Daniel Gafford, but he really needs 27+ minutes to be solid for fantasy — unlike Gafford, who can deliver in fewer. Recovering from ankle surgery, though signs point to him being ready for opening night. Makes sen</t>
  </si>
  <si>
    <t>Injured - foot surgery (0g) - 10/1/2025</t>
  </si>
  <si>
    <t>Josh Hart</t>
  </si>
  <si>
    <t>[Josh: Logged ridiculous minutes last season that almost certainly won’t be repeated under Mike Brown. The playoffs exposed his limitations, and if Mitchell Robinson starts he could even slide to the bench. Almost guaranteed to be overdrafted if people le</t>
  </si>
  <si>
    <t>Probable - finger</t>
  </si>
  <si>
    <t>Jordan Poole</t>
  </si>
  <si>
    <t>[Josh: Should open the year as a starter with Dejounte Murray out, and there’s a chance he holds onto that role even after Murray returns. Usage won’t be anywhere near his Washington levels, but he was underrated last season and can still provide value he</t>
  </si>
  <si>
    <t>Aaron Nesmith</t>
  </si>
  <si>
    <t>[Josh: Mainly a steals type, but everyone needs to do more this year. Still think upside is low, though role is solid.]</t>
  </si>
  <si>
    <t>Brandin Podziemski</t>
  </si>
  <si>
    <t>Donte DiVincenzo</t>
  </si>
  <si>
    <t>[Josh: Grabbed the starting point guard job last season before getting hurt almost immediately after. He did struggle early, but if he’s starting again this year he’s a strong draft target. Off the bench though, his fantasy appeal takes a big hit.]</t>
  </si>
  <si>
    <t>PG 7</t>
  </si>
  <si>
    <t>Isaiah Jackson</t>
  </si>
  <si>
    <t>[Josh: Good fantasy profile, but tore his Achilles last season. Re-signed, though likely to miss back-to-backs and be limited early. If he starts opening night, he’ll be a must-add.]</t>
  </si>
  <si>
    <t>Jaden McDaniels</t>
  </si>
  <si>
    <t>[Josh: Showed a midseason boost when injuries opened touches, but once the roster was healthy he fell right back to being a low-usage piece. That leaves him on the outside of standard-league value unless something changes.]</t>
  </si>
  <si>
    <t>Donovan Clingan</t>
  </si>
  <si>
    <t>[Josh: Should open as the starting center. The concern is whether his body type allows him to handle 30 minutes a night. Offense is limited with poor efficiency for a paint-bound big and shaky hands, but the blocks and rebounds are elite. Maybe a bit unde</t>
  </si>
  <si>
    <t>Mikal Bridges</t>
  </si>
  <si>
    <t>[Josh: Last season was disappointing and now Mike Brown could trim his minutes compared to the endless Thibodeau grind. People love to assume he’s indestructible because he’s never missed a game, but that streak isn’t permanent — at some point he will. If</t>
  </si>
  <si>
    <t>Reed Sheppard</t>
  </si>
  <si>
    <t>[Josh: Barely played as a rookie but should be in the rotation now. Still flashed the elite steals and blocks that were there in college, but the shooting was poor. Doubt he plays enough to be a 12-team guy even if VanVleet gets hurt, but it’s time for hi</t>
  </si>
  <si>
    <t>PG 8</t>
  </si>
  <si>
    <t>John Collins</t>
  </si>
  <si>
    <t>[Josh: Won’t do as much as in Utah, but at least there’s no risk of a fake injury ending his season.]</t>
  </si>
  <si>
    <t>Herb Jones</t>
  </si>
  <si>
    <t>[Josh: Defense guarantees his role, but the shooting and lack of usage cap his ceiling. Injuries derailed his season, but if he’s healthy he’s still a solid contributor — just one whose fantasy upside is limited by offensive constraints.]</t>
  </si>
  <si>
    <t>Bobby Portis</t>
  </si>
  <si>
    <t>[Josh: Still the same bench role where he pops whenever Giannis Antetokounmpo or now Myles Turner miss time. Doc Rivers did toy with Jericho Sims as a backup center, but Portis should be locked into around 24 minutes most nights. Not a bad late pick for r</t>
  </si>
  <si>
    <t>Andrew Wiggins</t>
  </si>
  <si>
    <t>[Josh: A healthier start should give him a small bump early on, but he hasn’t looked spectacular since arriving in Miami. The role is steady enough though, and that makes him a safe later-round grab even if the upside is limited.]</t>
  </si>
  <si>
    <t>Julius Randle</t>
  </si>
  <si>
    <t>[Josh: Projects about the same as last season — steady production without a ton of upside. Reliable enough to roster, but don’t expect him to suddenly outkick his established fantasy lane.]</t>
  </si>
  <si>
    <t>Robert Williams</t>
  </si>
  <si>
    <t>[Josh: Same story every year. If he gets over 20 minutes, the fantasy output is strong, but his body just cannot handle an NBA season. I expect him to be ahead of Hansen Yang to start, but there is no trust he lasts.]</t>
  </si>
  <si>
    <t>Naz Reid</t>
  </si>
  <si>
    <t>[Josh: Locked in long term on a new deal, but the team isn’t reducing Julius Randle or Rudy Gobert’s roles to make more room. Works as a solid late-round stash with upside if one of the bigs goes down, but otherwise capped as a bench piece.]</t>
  </si>
  <si>
    <t>Matisse Thybulle</t>
  </si>
  <si>
    <t>[Josh: Purely a steals and blocks streamer at this point. Does not have a starting role, which caps his minutes and keeps him out of standard-league relevance.]</t>
  </si>
  <si>
    <t>Jalen Suggs</t>
  </si>
  <si>
    <t>[Josh: Usage spiked to 28% last year when Paolo Banchero and Franz Wagner were sidelined, but now he’s the fourth option and carries constant injury risk given his physical style. He’s crucial to Orlando’s identity, but fantasy-wise there’s almost no chan</t>
  </si>
  <si>
    <t>Questionable - knee surgery</t>
  </si>
  <si>
    <t>Cam Whitmore</t>
  </si>
  <si>
    <t>[Josh: Houston never gave him the minutes, but Washington made the move to bring him in, and with Bilal Coulibaly sidelined, there’s a real chance they give him a runway. The upside is simple — heavy usage, lots of shots. The risk is equally simple — they</t>
  </si>
  <si>
    <t>Aaron Gordon</t>
  </si>
  <si>
    <t>[Josh: So many calf issues last season and then a hamstring problem in the playoffs. He did transform into a real shooting threat, but I’m still skeptical it holds. Low-upside fantasy option, especially if Denver manages his minutes to protect against fur</t>
  </si>
  <si>
    <t>Kyle Filipowski</t>
  </si>
  <si>
    <t>[Josh: Very good down the stretch and dominated Summer League, but does he actually start? Can’t protect the rim, so he’s likely behind Lauri Markkanen and Walker Kessler, maybe even Ace Bailey, while also competing with Taylor Hendricks and Jusuf Nurkic</t>
  </si>
  <si>
    <t>Nicolas Claxton</t>
  </si>
  <si>
    <t>[Josh: Looked frustrated last season with ejections, flagrants, and technicals piling up while production dipped. A bounceback is possible, but he’s shown he needs strong teammates around him to thrive. With Day’Ron Sharpe and Danny Wolf likely to see min</t>
  </si>
  <si>
    <t>De'Andre Hunter</t>
  </si>
  <si>
    <t>[Josh: Should slide into Max Strus’ spot to open the year. Very much a scoring-only option who needs elite efficiency to matter in fantasy, and too often contributes little elsewhere. Minutes and shots should rise early, but the overall ceiling remains li</t>
  </si>
  <si>
    <t>Sam Hauser</t>
  </si>
  <si>
    <t>[Josh: Likely battling Chris Boucher for a starting spot, and could get rewarded with a bigger role in the same way Payton Pritchard did. Primarily a threes specialist, but there’s some scope for his usage to expand if Boston leans on him more heavily. A</t>
  </si>
  <si>
    <t>DeMar DeRozan</t>
  </si>
  <si>
    <t>[Josh: Finally got to one three per game last season, though free throw percentage wobbled and the midrange dipped a bit. Feels a little overrated for fantasy. Some chatter he could come off the bench or be dealt, but I doubt that happens.]</t>
  </si>
  <si>
    <t>Mitchell Robinson</t>
  </si>
  <si>
    <t>[Josh: Finally healthy heading into the year and could start over Josh Hart. He’s almost certain to play more than last season, and while he’s not a must-draft across all builds, in the right team construction he offers clear value.]</t>
  </si>
  <si>
    <t>Lonzo Ball</t>
  </si>
  <si>
    <t>[Josh: Health remains a mystery, and last season it was his wrist more than his knee that proved the bigger issue. Big opportunity early with the roster gaps, but the question is whether they push him past 25 minutes. If they do, there’s definite fantasy</t>
  </si>
  <si>
    <t>Alex Caruso</t>
  </si>
  <si>
    <t>[Josh: Elite fantasy profile if he plays enough, with steals, assists, and efficiency that translate well. The problem is his health and Oklahoma City’s depth — they’ll want him fresh for the playoffs, which makes him tough to trust for standard leagues.]</t>
  </si>
  <si>
    <t>Zach LaVine</t>
  </si>
  <si>
    <t>[Josh: Became an elite three-point shooter last season and added some assists. Just a solid player, but with Domantas Sabonis and DeMar DeRozan also needing touches, the upside is capped. A little overrated in drafts.]</t>
  </si>
  <si>
    <t>Andrew Nembhard</t>
  </si>
  <si>
    <t>[Josh: Poor shooter in the regular season and hasn’t elevated when Haliburton is out during the year, though he has in the playoffs. Like picking him, but keep expectations cautious.]</t>
  </si>
  <si>
    <t>Neemias Queta</t>
  </si>
  <si>
    <t>[Josh: Got spot starts last season when Al Horford and Kristaps Porzingis rested, and profiles as the opposite type of player to Luka Garza. Brings rebounds, field goal percentage, and blocks, but even as a starter it’s questionable whether he reaches 27+</t>
  </si>
  <si>
    <t>Brandon Ingram</t>
  </si>
  <si>
    <t>[Josh: Hasn’t played yet since the trade and is perpetually injured with slow recoveries. Needs the ball in his hands to be effective, and it’s not clear how much he’ll get that here next to Barnes. Undervalued in drafts due to the injury history, which d</t>
  </si>
  <si>
    <t>Santi Aldama</t>
  </si>
  <si>
    <t>[Josh: Hard to pin down because his value swings on who’s available. If Zach Edey and Jaren Jackson Jr. both miss the start, he’ll be worth drafting as a short-term play, but otherwise he slides back into a backup role without standard-league appeal.]</t>
  </si>
  <si>
    <t>Kevin Huerter</t>
  </si>
  <si>
    <t>[Josh: Could start at small forward, but his value is almost entirely tied to shooting and scoring. Occasionally spikes in steals, though it’s not something to bank on. Would feel a lot better about his outlook if one or two of Coby White, Josh Giddey, or</t>
  </si>
  <si>
    <t>Draymond Green</t>
  </si>
  <si>
    <t>Al Horford</t>
  </si>
  <si>
    <t>Note - multi year</t>
  </si>
  <si>
    <t>Jalen Green</t>
  </si>
  <si>
    <t>[Josh: Part of the Kevin Durant trade, and while there was talk he’d run point, that’s mostly to shield Devin Booker from the PG tag. He’s not the playmaker here. Showed a bit more consistency last season but is still essentially the same player — better</t>
  </si>
  <si>
    <t>Daniel Gafford</t>
  </si>
  <si>
    <t>[Josh: Some believe he’s better than Dereck Lively II, but in reality he only starts when Lively is out. With PJ Washington, Anthony Davis, and Lively all able to play center, it’s hard to see Gafford consistently getting 20+ minutes. Plenty will buy into</t>
  </si>
  <si>
    <t>T.J. McConnell</t>
  </si>
  <si>
    <t>[Josh: Won’t start, but in 21–24 minutes he can still be useful with assists, steals, and FG% combo.]</t>
  </si>
  <si>
    <t>Scotty Pippen Jr.</t>
  </si>
  <si>
    <t>[Josh: Don’t be surprised if he grabs a starting spot. Fit nicely next to Ja Morant last season and puts up big lines whenever Ja sits. The shooting has come along and the steals are elite, giving him sleeper potential that shouldn’t be overlooked.]</t>
  </si>
  <si>
    <t>Chris Boucher</t>
  </si>
  <si>
    <t>[Josh: Could start, but the fantasy gold from prior seasons has dried up and he’s older than most realize. More of a four than a five at this stage, and the high blocks plus elite three-point shooting that once made him stand out aren’t there anymore. If</t>
  </si>
  <si>
    <t>New Team|Unrestricted Free Agent|New Contract</t>
  </si>
  <si>
    <t>Kevin Porter Jr.</t>
  </si>
  <si>
    <t>[Josh: Looks like he could start, though it’s far from guaranteed. Even if the efficiency hasn’t fully improved, his ability to rack up usage and assists makes him a strong late-round target if he’s in the first five.]</t>
  </si>
  <si>
    <t>Kelly Oubre</t>
  </si>
  <si>
    <t>[Josh: Needs big minutes and usage to be fantasy-relevant, but he has improved as a steals contributor. With Jared McCain, Paul George, and Joel Embiid all expected to miss the start of the season, he’s in line for a sizable role early.]</t>
  </si>
  <si>
    <t>Quentin Grimes</t>
  </si>
  <si>
    <t>[Josh: Unsigned at the moment, but likely to land on a one-year deal. Last season he thrived when the big three were out, but couldn’t replicate that with a full roster. If he signs back, the early absences of Embiid and George could make him useful again</t>
  </si>
  <si>
    <t>Taylor Hendricks</t>
  </si>
  <si>
    <t>[Josh: Showed poorly before breaking his leg, but it was a tiny sample. Still has the blocks-steals-threes appeal. The lost development year matters though, and it’s not clear he’s a starter again this season. Could be, so we keep an eye on rotations.]</t>
  </si>
  <si>
    <t>Khris Middleton</t>
  </si>
  <si>
    <t>[Josh: Should still be in the starting lineup, but the way his minutes were kept down after the trade last season feels like the new normal. The role isn’t what it was in Milwaukee, and with so many guards and wings on this roster, there’s no incentive to</t>
  </si>
  <si>
    <t>Kyshawn George</t>
  </si>
  <si>
    <t>[Josh: Coulibaly’s injury helps him in the short term, but even then he may not be locked in as a starter. The defensive production last year was a pleasant surprise, though his role was constantly jerked around. He should shoot it better than he did as a</t>
  </si>
  <si>
    <t>Grayson Allen</t>
  </si>
  <si>
    <t>[Josh: The drop-off last season was predictable, but it went even further than expected. He might step up again here, yet he sits behind Jalen Green and Dillon Brooks in the pecking order. Not a draft target, though it would not shock me if he is a little</t>
  </si>
  <si>
    <t>Dejounte Murray</t>
  </si>
  <si>
    <t>[Josh: Struggled even before the injury and there’s no incentive for the Pelicans to rush him back. When he does return, expect limited minutes and rest on back-to-backs. Not someone to bother drafting this year.]</t>
  </si>
  <si>
    <t>Injured - torn achilles (43g) - 1/15/2026</t>
  </si>
  <si>
    <t>Gary Trent</t>
  </si>
  <si>
    <t>[Josh: Projects to start, but his game remains one-dimensional. Offers threes and steals with the possibility of some scoring if usage climbs, though he looks more like a streamer than a locked-in draft target.]</t>
  </si>
  <si>
    <t>Luguentz Dort</t>
  </si>
  <si>
    <t>[Josh: Still starts, but with limited minutes and no real fantasy juice for standard leagues. Just not worth the roster spot.]</t>
  </si>
  <si>
    <t>Cam Thomas</t>
  </si>
  <si>
    <t>[Josh: Still unsigned as a restricted free agent with Brooklyn showing little interest in a long-term commitment. If he returns, the usage will be massive, but efficiency is shaky and contributions outside of scoring remain limited. Expect the same mix of</t>
  </si>
  <si>
    <t>Unrestricted Free Agent|New Contract</t>
  </si>
  <si>
    <t>Bennedict Mathurin</t>
  </si>
  <si>
    <t>[Josh: Carlisle said he will start. Scoring and FT% are there, but he struggles in other areas. Longer leash this year. Likely worth a late pick.]</t>
  </si>
  <si>
    <t>Ty Jerome</t>
  </si>
  <si>
    <t>[Josh: Looks behind Scotty Pippen Jr. in the rotation pecking order. His production last season was tied to an unsustainable mix of high usage and efficiency off the bench, which makes him tough to trust as anything more than deep-league insurance.]</t>
  </si>
  <si>
    <t>Keon Ellis</t>
  </si>
  <si>
    <t>[Josh: If he somehow started, he would be draftable everywhere with strong shooting and elite steals and blocks. In a rotation role, though, there just is not a big enough spot for him to matter in standard leagues.]</t>
  </si>
  <si>
    <t>Obi Toppin</t>
  </si>
  <si>
    <t>[Josh: More usage should come, and he could play some centre minutes, but his defense and rim protection are poor. Strong efficiency guy, though.]</t>
  </si>
  <si>
    <t>Zaccharie Risacher</t>
  </si>
  <si>
    <t>[Josh: Inconsistent as a rookie, though the shooting came around in the second half. Likely to start, but Quin Snyder has a track record of limiting minutes for young players, and that cap may linger. Expect a bump in opportunity, but the overall producti</t>
  </si>
  <si>
    <t>C.J. McCollum</t>
  </si>
  <si>
    <t>[Josh: Still expected to open as a starter and provide steady production early, but there are too many young guards on this roster to expect consistent usage. Combine that with no realistic chance of playing heavy minutes late in the season, and the risk</t>
  </si>
  <si>
    <t>Goga Bitadze</t>
  </si>
  <si>
    <t>[Josh: Whenever he plays big minutes, he’s a huge fantasy asset. Should cover the backup center role while Mo Wagner rehabs, but the idea of him starting doesn’t look realistic.]</t>
  </si>
  <si>
    <t>Anfernee Simons</t>
  </si>
  <si>
    <t>[Josh: Arrived in the Jrue Holiday trade but Boston is already exploring moving him again, even before the season starts. Rumored to slot in as a sixth man, which caps his usage and makes it tough for him to provide value outside of scoring. Still an elit</t>
  </si>
  <si>
    <t>Caris LeVert</t>
  </si>
  <si>
    <t>[Josh: Solid signing to run the second unit, but doesn’t bring the same shooting punch as Beasley or Hardaway. Could eat into Jaden Ivey’s minutes if the fit sours, but not a standard league draft guy.]</t>
  </si>
  <si>
    <t>New Contract|New Team</t>
  </si>
  <si>
    <t>Buddy Hield</t>
  </si>
  <si>
    <t>Kentavious Caldwell-Pope</t>
  </si>
  <si>
    <t>[Josh: Arrived in the Desmond Bane trade but his fantasy stock has dipped. Still offers steals and threes with low turnovers padding value, but that’s more deep-league material than something to bother with in 12-team drafts.]</t>
  </si>
  <si>
    <t>Player Option|New Team</t>
  </si>
  <si>
    <t>Jay Huff</t>
  </si>
  <si>
    <t>[Josh: Should open the season as starter, though it may not last. Like the flier pick, but he tailed off last season in Memphis. Unlikely to sustain shooting and block rates.]</t>
  </si>
  <si>
    <t>Malik Monk</t>
  </si>
  <si>
    <t>[Josh: Was excellent when starting last season, but Doug Christie pushed him back to the bench down the stretch. Sacramento has been aggressively shopping him and may end up moving him for Jonathan Kuminga. Even if he stays, he is just a bench guy battlin</t>
  </si>
  <si>
    <t>Aaron Wiggins</t>
  </si>
  <si>
    <t>[Josh: Had some blazing-hot stretches where he looked like an offensive weapon, but the role isn’t secure enough for consistent value. Needs to start to be relevant, and that’s not happening regularly.]</t>
  </si>
  <si>
    <t>Jabari Smith Jr.</t>
  </si>
  <si>
    <t>[Josh: I think he starts, but far from a lock. Even if he does, the package isn’t enough to be draftable for most leagues. Too passive, doesn’t consistently impose himself, and the fantasy upside feels capped unless major aggression or efficiency shows up</t>
  </si>
  <si>
    <t>Adem Bona</t>
  </si>
  <si>
    <t>[Josh: With Joel Embiid sidelined to start the season, the hope is Nick Nurse gives him the starting center job. He was excellent in April last year and has to be drafted in all leagues with this opportunity in front of him.]</t>
  </si>
  <si>
    <t>D'Angelo Russell</t>
  </si>
  <si>
    <t>[Josh: Can’t shoot much worse than last season, and he’ll open as the starter while Kyrie Irving recovers. Classic draft-and-cut candidate — useful early for assists and scoring, but once Irving is back he’s likely to slide into irrelevance. With Kyrie no</t>
  </si>
  <si>
    <t>Davion Mitchell</t>
  </si>
  <si>
    <t>[Josh: Played big minutes after the trade but couldn’t secure a starting job. With Tyler Herro out to begin the year, he’s almost forced into a larger role, making him draftable now. Just don’t buy into the three-point shooting he flashed on arrival in Mi</t>
  </si>
  <si>
    <t>Bilal Coulibaly</t>
  </si>
  <si>
    <t>[Josh: Set to miss the start of the season with thumb surgery, and the team has already hinted other wings will get chances. He led the Wizards in minutes last year, but it’s hard to see that repeating. With the role in question and durability issues, he</t>
  </si>
  <si>
    <t>Injured - right thumb (6g) - 11/3/2025</t>
  </si>
  <si>
    <t>Ryan Dunn</t>
  </si>
  <si>
    <t>[Josh: Favored to start, and while he took threes last season the early success quickly faded. Did not bring the elite defensive stats he had in college. Worth a last-round flier, but low usage and shaky percentages are major concerns.]</t>
  </si>
  <si>
    <t>Jerami Grant</t>
  </si>
  <si>
    <t>[Josh: Carrying one of the league’s worst contracts, and his game has fallen off hard. Shot under 40 percent last season, no longer defends, and has not played in April in four years. Might even come off the bench for the first time since his Denver days.</t>
  </si>
  <si>
    <t>Josh Minott</t>
  </si>
  <si>
    <t>[Josh: Has the scaffolding for a great fantasy game and is a dark horse for the starting power forward spot. Brings elite steals, solid blocks, some passing, and a developing jumper. The situation is one to monitor closely because he has sneaky breakout p</t>
  </si>
  <si>
    <t>Wendell Carter Jr.</t>
  </si>
  <si>
    <t>[Josh: Doesn’t put up eye-popping numbers, but should remain the starter. Not really a fantasy target himself, though he continues to block the path for Goga Bitadze.]</t>
  </si>
  <si>
    <t>Dillon Brooks</t>
  </si>
  <si>
    <t>[Josh: Came over in the Kevin Durant trade and should be locked in as a starter. Not a 12-team guy overall, but he has value in streaming spots for threes and steals while soaking up heavy minutes.]</t>
  </si>
  <si>
    <t>Sam Merrill</t>
  </si>
  <si>
    <t>[Josh: Should provide elite three-point shooting, making him a strong streaming option. Like many on this roster, he’ll see more chances early in the season, but his value remains mostly tied to threes.]</t>
  </si>
  <si>
    <t>Ziaire Williams</t>
  </si>
  <si>
    <t>[Josh: Even if he starts, the upside is capped by heavy competition from similarly average options on the roster. Consistency has never been there, but if the depth chart clears and he lands 30+ minutes, then there’s a case to invest more.]</t>
  </si>
  <si>
    <t>Isaiah Stewart</t>
  </si>
  <si>
    <t>[Josh: A good stream whenever Jalen Duren is out and capable of the occasional big game, but he played basically no power forward last season. That caps him as undraftable in 12-teamers. Did show some improvement in shot blocking, though.]</t>
  </si>
  <si>
    <t>Chris Paul</t>
  </si>
  <si>
    <t>[Josh: Still an elite assist guy, but not likely to start. Will spike when Harden or Beal sit, though he isn’t guaranteed to play every night.]</t>
  </si>
  <si>
    <t>Unrestricted Free Agent|New Team|New Contract</t>
  </si>
  <si>
    <t>Ayo Dosunmu</t>
  </si>
  <si>
    <t>[Josh: Needs mid-30s minutes to be fantasy relevant, which likely means he has to start. Even if he does, the upside is limited, and sharing the floor with Josh Giddey, Coby White, and Nikola Vucevic leaves him with little room to touch the ball. More of</t>
  </si>
  <si>
    <t>Day'Ron Sharpe</t>
  </si>
  <si>
    <t>[Josh: Showed real flashes late last season and would be a fantasy breakout if he ever claimed the starting job. Still blocked by Nic Claxton, but the hints of three-point shooting and improved passing add intrigue. If a starting role opens, he’s an insta</t>
  </si>
  <si>
    <t>Larry Nance Jr.</t>
  </si>
  <si>
    <t>[Josh: A huge upgrade at backup center and his presence could cut into Jarrett Allen’s role. Hard to see him playing enough to matter for fantasy in a healthy rotation, but if a starter goes down, Nance can still step in and provide useful value.]</t>
  </si>
  <si>
    <t>Unrestricted Free Agent|New Contract|New Team</t>
  </si>
  <si>
    <t>Ben Sheppard</t>
  </si>
  <si>
    <t>[Josh: Didn’t step up last season. A bit of a nothing player at this stage, hasn’t flashed much fantasy appeal.]</t>
  </si>
  <si>
    <t>Scoot Henderson</t>
  </si>
  <si>
    <t>[Josh: I liked him as a late-round flier, but the torn hamstring likely keeps him out until December and the role is murky when he does return. Too much uncertainty to bother drafting him outside of deep stashes.]</t>
  </si>
  <si>
    <t>Injured - left hamstring (13g) - 11/18/2025</t>
  </si>
  <si>
    <t>Nikola Jovic</t>
  </si>
  <si>
    <t>[Josh: In the mix to start, likely battling Kel’el Ware for that frontcourt spot. If he ever landed 28 minutes a night he’d be a solid fantasy piece, but inconsistency and shaky shooting hold him back. Still worth a late draft swing given the upside if he</t>
  </si>
  <si>
    <t>R.J. Barrett</t>
  </si>
  <si>
    <t>[Josh: Like the rest of this roster, he needs the ball to succeed, and there just isn’t enough to go around. Shooting is still a problem, defense is lacking, and the free throws are rough. Better points league guy than categories. With Ingram here, a down</t>
  </si>
  <si>
    <t>Dorian Finney-Smith</t>
  </si>
  <si>
    <t>[Josh: Gives them great depth, but that depth also means players like Smith, Eason, and even Sengun could be chopped and changed when Udoka sees fit. Even if he starts over Smith, his low-usage game makes him undraftable outside of very deep formats.]</t>
  </si>
  <si>
    <t>Moussa Diabate</t>
  </si>
  <si>
    <t>[Josh: Likely to start, but that doesn’t necessarily mean he’ll see 30+ minutes. Not much of a shot blocker, but adds value with steals and strong rebounding. Got starting opportunities last season and produced, though the overall upside remains limited.]</t>
  </si>
  <si>
    <t>Dennis Schroder</t>
  </si>
  <si>
    <t>[Josh: Likely to open as the starting point guard, but I do not care much. His only real fantasy success has come on bad teams when he got huge usage and shot out of his mind. That is not happening here, and EuroBasket form means nothing for this situatio</t>
  </si>
  <si>
    <t>Jalen Smith</t>
  </si>
  <si>
    <t>[Josh: Brings blocks and some three-point shooting, and could end up as the backup to Nikola Vucevic. Just as possible he falls behind Zach Collins in the rotation, though. If he does stumble into a starting role he’s absolutely worth a flier, but a lot n</t>
  </si>
  <si>
    <t>Keyonte George</t>
  </si>
  <si>
    <t>[Josh: Shifted into a 6th man role last season, but with Collin Sexton gone there’s a real chance he starts again. Field goal percentage has been awful, but that doesn’t mean it can’t improve. If he starts, his value rises, since it’s hard to find PG stat</t>
  </si>
  <si>
    <t>Rui Hachimura</t>
  </si>
  <si>
    <t>[Josh: Hachimura is the probable starter, but Marcus Smart could challenge him. He isn’t a strong category producer and would need elite efficiency to matter. Usage won’t be high, so he’s more of a fringe option.]</t>
  </si>
  <si>
    <t>Brook Lopez</t>
  </si>
  <si>
    <t>[Josh: No way he plays 32 minutes again. Will be the backup to Zubac and more of a streaming option if Zubac is hurt. Still a blocks source, but the role isn’t going to be huge.]</t>
  </si>
  <si>
    <t>Jaylen Wells</t>
  </si>
  <si>
    <t>[Josh: Held a starting job throughout his rookie year but provided no real fantasy value. With usage to redistribute this season, there’s at least a sliver of upside if his game evolves, but for now he’s still just a watchlist name.]</t>
  </si>
  <si>
    <t>Jaden Ivey</t>
  </si>
  <si>
    <t>[Josh: Shot really well before a broken leg ended his season — but is that sustainable? Should start, though the fit with Cade Cunningham has always been clunky. Still has late-draft upside and this feels like a make-or-break year for him.]</t>
  </si>
  <si>
    <t>TOP</t>
  </si>
  <si>
    <t>Don't sort this table!</t>
  </si>
  <si>
    <t>D</t>
  </si>
  <si>
    <t>E</t>
  </si>
  <si>
    <t>I</t>
  </si>
  <si>
    <t>J</t>
  </si>
  <si>
    <t>K</t>
  </si>
  <si>
    <t>N</t>
  </si>
  <si>
    <t>O</t>
  </si>
  <si>
    <t>P</t>
  </si>
  <si>
    <t>Q</t>
  </si>
  <si>
    <t>Current</t>
  </si>
  <si>
    <t>Last</t>
  </si>
  <si>
    <t>Categories Won</t>
  </si>
  <si>
    <t>Winrate</t>
  </si>
  <si>
    <t>PLAYERS</t>
  </si>
  <si>
    <t>STATUS</t>
  </si>
  <si>
    <t>RANK</t>
  </si>
  <si>
    <t>TYPE</t>
  </si>
  <si>
    <t>ACTION</t>
  </si>
  <si>
    <t>Nikola Jokic
DenC</t>
  </si>
  <si>
    <t/>
  </si>
  <si>
    <t>Giannis AntetokounmpoDTD
MilPF</t>
  </si>
  <si>
    <t>Luka Doncic
DalPG</t>
  </si>
  <si>
    <t>James Harden
BknSG, PG</t>
  </si>
  <si>
    <t>Karl-Anthony Towns
MinC</t>
  </si>
  <si>
    <t>Bradley Beal
WshSG</t>
  </si>
  <si>
    <t>Damian Lillard
PorPG</t>
  </si>
  <si>
    <t>Paul George
LACSF, SG</t>
  </si>
  <si>
    <t>Stephen Curry
GSPG</t>
  </si>
  <si>
    <t>Jayson Tatum
BosPF, SF</t>
  </si>
  <si>
    <t>Kevin Durant
BknSF, PF</t>
  </si>
  <si>
    <t>Nikola Vucevic
ChiC</t>
  </si>
  <si>
    <t>Zion WilliamsonO
NOPF</t>
  </si>
  <si>
    <t>De'Aaron Fox
SacPG</t>
  </si>
  <si>
    <t>Joel Embiid
PhiC</t>
  </si>
  <si>
    <t>LeBron JamesO
LALSF, PG, PF</t>
  </si>
  <si>
    <t>Trae Young
AtlPG</t>
  </si>
  <si>
    <t>Fred VanVleet
TorSG, PG</t>
  </si>
  <si>
    <t>Donovan Mitchell
UtahSG, PG</t>
  </si>
  <si>
    <t>Domantas Sabonis
IndPF</t>
  </si>
  <si>
    <t>Anthony Davis
LALPF</t>
  </si>
  <si>
    <t>Julius Randle
NYPF</t>
  </si>
  <si>
    <t>Rudy Gobert
UtahC</t>
  </si>
  <si>
    <t>LaMelo Ball
ChaPG</t>
  </si>
  <si>
    <t>Jimmy Butler
MiaSF, SG</t>
  </si>
  <si>
    <t>Shai Gilgeous-Alexander
OKCSG, PG</t>
  </si>
  <si>
    <t>Dejounte Murray
SAPG, SG</t>
  </si>
  <si>
    <t>Bam Adebayo
MiaC, PF</t>
  </si>
  <si>
    <t>Jrue Holiday
MilPG, SG</t>
  </si>
  <si>
    <t>Ben Simmons
PhiPG</t>
  </si>
  <si>
    <t>Kyrie Irving
BknPG, SG</t>
  </si>
  <si>
    <t>Michael Porter Jr.
DenSF, PF</t>
  </si>
  <si>
    <t>Chris PaulDTD
PhxPG</t>
  </si>
  <si>
    <t>Russell WestbrookO
LALPG</t>
  </si>
  <si>
    <t>Clint CapelaDTD
AtlC</t>
  </si>
  <si>
    <t>Deandre Ayton
PhxC</t>
  </si>
  <si>
    <t>Tobias Harris
PhiSF, PF</t>
  </si>
  <si>
    <t>Devin Booker
PhxSG, PG</t>
  </si>
  <si>
    <t>Khris Middleton
MilSF, SG</t>
  </si>
  <si>
    <t>Christian Wood
HouC, PF</t>
  </si>
  <si>
    <t>Jaylen Brown
BosSG, SF</t>
  </si>
  <si>
    <t>Lonzo Ball
ChiPG</t>
  </si>
  <si>
    <t>Zach LaVine
ChiSG</t>
  </si>
  <si>
    <t>Ja Morant
MemPG</t>
  </si>
  <si>
    <t>Brandon Ingram
NOSF, PF</t>
  </si>
  <si>
    <t>Caris LeVertO
IndSG, SF</t>
  </si>
  <si>
    <t>CJ McCollum
PorSG</t>
  </si>
  <si>
    <t>DeMar DeRozan
ChiSG, SF</t>
  </si>
  <si>
    <t>Collin Sexton
CleSG, PG</t>
  </si>
  <si>
    <t>Montrezl Harrell
WshC, PF</t>
  </si>
  <si>
    <t>Terry Rozier
ChaPG, SG</t>
  </si>
  <si>
    <t>Jusuf Nurkic
PorC</t>
  </si>
  <si>
    <t>Pascal SiakamO
TorPF</t>
  </si>
  <si>
    <t>Draymond Green
GSPF</t>
  </si>
  <si>
    <t>Jakob Poeltl
SAC</t>
  </si>
  <si>
    <t>Anthony Edwards
MinSG, SF</t>
  </si>
  <si>
    <t>Robert Williams III
BosC, PF</t>
  </si>
  <si>
    <t>Tyrese Haliburton
SacPG, SG</t>
  </si>
  <si>
    <t>Kyle Lowry
MiaPG</t>
  </si>
  <si>
    <t>Jalen Suggs
OrlPG, SG</t>
  </si>
  <si>
    <t>Derrick White
SAPG, SG</t>
  </si>
  <si>
    <t>Cade CunninghamDTD
DetPG</t>
  </si>
  <si>
    <t>Buddy Hield
SacSG, SF</t>
  </si>
  <si>
    <t>Jarrett AllenDTD
CleC</t>
  </si>
  <si>
    <t>Malcolm Brogdon
IndPG, SG</t>
  </si>
  <si>
    <t>Spencer Dinwiddie
WshSG, PG</t>
  </si>
  <si>
    <t>Jonathan IsaacO
OrlPF, SF</t>
  </si>
  <si>
    <t>D'Angelo Russell
MinPG, SG</t>
  </si>
  <si>
    <t>Kemba Walker
NYPG</t>
  </si>
  <si>
    <t>Andrew Wiggins
GSSF, SG</t>
  </si>
  <si>
    <t>OG Anunoby
TorSF, PF</t>
  </si>
  <si>
    <t>John Collins
AtlPF</t>
  </si>
  <si>
    <t>Kristaps Porzingis
DalC, PF</t>
  </si>
  <si>
    <t>Chris Boucher
TorC, PF</t>
  </si>
  <si>
    <t>Jerami Grant
DetSF, PF</t>
  </si>
  <si>
    <t>Isaiah StewartDTD
DetC, PF</t>
  </si>
  <si>
    <t>Richaun Holmes
SacC, PF</t>
  </si>
  <si>
    <t>Darius Garland
ClePG, SG</t>
  </si>
  <si>
    <t>Myles Turner
IndC, PF</t>
  </si>
  <si>
    <t>Nickeil Alexander-Walker
NOSG</t>
  </si>
  <si>
    <t>Jaren Jackson Jr.
MemPF</t>
  </si>
  <si>
    <t>RJ Barrett
NYSF, SG</t>
  </si>
  <si>
    <t>Mike Conley
UtahPG</t>
  </si>
  <si>
    <t>P.J. Washington
ChaPF</t>
  </si>
  <si>
    <t>Jalen Green
HouSG</t>
  </si>
  <si>
    <t>Norman Powell
PorSG, SF</t>
  </si>
  <si>
    <t>Ivica ZubacDTD
LACC</t>
  </si>
  <si>
    <t>Devonte' Graham
NOPG, SG</t>
  </si>
  <si>
    <t>Eric Bledsoe
LACPG, SG</t>
  </si>
  <si>
    <t>Mikal Bridges
PhxSF</t>
  </si>
  <si>
    <t>Wendell Carter Jr.
OrlC</t>
  </si>
  <si>
    <t>Robert Covington
PorPF, SF</t>
  </si>
  <si>
    <t>Thaddeus Young
SAPF, SF, C</t>
  </si>
  <si>
    <t>Marcus Smart
BosSG, PG</t>
  </si>
  <si>
    <t>Dennis Schroder
BosPG</t>
  </si>
  <si>
    <t>Bogdan Bogdanovic
AtlSG, SF</t>
  </si>
  <si>
    <t>Harrison Barnes
SacSF, PF</t>
  </si>
  <si>
    <t>Reggie Jackson
LACPG</t>
  </si>
  <si>
    <t>Keldon Johnson
SASF, PF</t>
  </si>
  <si>
    <t>Tim Hardaway Jr.
DalSG, SF</t>
  </si>
  <si>
    <t>RESEARCH</t>
  </si>
  <si>
    <t>%ROST</t>
  </si>
  <si>
    <t>Scottie Barnes
TorPF, SF</t>
  </si>
  <si>
    <t>Donte DiVincenzoO
MilSG, PG</t>
  </si>
  <si>
    <t>Saddiq Bey
DetSF</t>
  </si>
  <si>
    <t>Joe Ingles
UtahSF, SG, PF</t>
  </si>
  <si>
    <t>Miles Bridges
ChaSF, PF</t>
  </si>
  <si>
    <t>Brook Lopez
MilC</t>
  </si>
  <si>
    <t>Daniel Theis
HouC, PF</t>
  </si>
  <si>
    <t>Mitchell RobinsonO
NYC</t>
  </si>
  <si>
    <t>Jordan Clarkson
UtahSG</t>
  </si>
  <si>
    <t>Killian Hayes
DetPG</t>
  </si>
  <si>
    <t>Marvin Bagley III
SacPF</t>
  </si>
  <si>
    <t>Gordon Hayward
ChaSF</t>
  </si>
  <si>
    <t>Evan Fournier
NYSG, SF</t>
  </si>
  <si>
    <t>Brandon Clarke
MemPF, C</t>
  </si>
  <si>
    <t>Jonas Valanciunas
NOC</t>
  </si>
  <si>
    <t>Hassan Whiteside
UtahC</t>
  </si>
  <si>
    <t>Joe Harris
BknSG, SF</t>
  </si>
  <si>
    <t>Malik Beasley
MinSG, SF</t>
  </si>
  <si>
    <t>Kyle Kuzma
WshPF, SF</t>
  </si>
  <si>
    <t>T.J. McConnell
IndPG</t>
  </si>
  <si>
    <t>Lauri Markkanen
ClePF</t>
  </si>
  <si>
    <t>Thomas BryantO
WshC</t>
  </si>
  <si>
    <t>T.J. WarrenO
IndSF</t>
  </si>
  <si>
    <t>Bojan BogdanovicDTD
UtahPF, SF</t>
  </si>
  <si>
    <t>Steven Adams
MemC</t>
  </si>
  <si>
    <t>Bobby Portis
MilPF</t>
  </si>
  <si>
    <t>Mason Plumlee
ChaC</t>
  </si>
  <si>
    <t>Ricky Rubio
ClePG</t>
  </si>
  <si>
    <t>Klay ThompsonO
GSSG</t>
  </si>
  <si>
    <t>Kelly Olynyk
DetC, PF</t>
  </si>
  <si>
    <t>Monte Morris
DenPG</t>
  </si>
  <si>
    <t>John WallO
HouPG</t>
  </si>
  <si>
    <t>Kyle Anderson
MemSF, PF</t>
  </si>
  <si>
    <t>Kevin Porter Jr.
HouSG, PG</t>
  </si>
  <si>
    <t>Alperen Sengun
HouC</t>
  </si>
  <si>
    <t>Tyler Herro
MiaSG, PG</t>
  </si>
  <si>
    <t>Isaiah Roby
OKCPF</t>
  </si>
  <si>
    <t>Andre Drummond
PhiC</t>
  </si>
  <si>
    <t>Isaac OkoroDTD
CleSF</t>
  </si>
  <si>
    <t>Derrick Rose
NYPG</t>
  </si>
  <si>
    <t>Aaron Gordon
DenPF</t>
  </si>
  <si>
    <t>Patrick WilliamsO
ChiSF, PF</t>
  </si>
  <si>
    <t>Markelle FultzO
OrlPG</t>
  </si>
  <si>
    <t>Darius Bazley
OKCSF, PF</t>
  </si>
  <si>
    <t>Otto Porter Jr.
GSSF</t>
  </si>
  <si>
    <t>Serge IbakaDTD
LACC, PF</t>
  </si>
  <si>
    <t>Al Horford
BosC, PF</t>
  </si>
  <si>
    <t>Kelly Oubre Jr.
ChaPF, SF</t>
  </si>
  <si>
    <t>Dillon Brooks
MemSG, SF</t>
  </si>
  <si>
    <t>Rui HachimuraDTD
WshPF, SF</t>
  </si>
  <si>
    <t>Seth Curry
PhiSG, PG</t>
  </si>
  <si>
    <t>Marcus Morris Sr.
LACPF, SF</t>
  </si>
  <si>
    <t>Doug McDermott
SASF, PF</t>
  </si>
  <si>
    <t>Nerlens Noel
NYC</t>
  </si>
  <si>
    <t>LaMarcus Aldridge
BknPF</t>
  </si>
  <si>
    <t>Moses Brown
DalC</t>
  </si>
  <si>
    <t>Cole Anthony
OrlPG</t>
  </si>
  <si>
    <t>Duncan Robinson
MiaSG, SF</t>
  </si>
  <si>
    <t>Enes Kanter
BosC</t>
  </si>
  <si>
    <t>Talen Horton-Tucker
LALSG, SF</t>
  </si>
  <si>
    <t>Jalen Brunson
DalPG</t>
  </si>
  <si>
    <t>Jae Crowder
PhxPF, SF</t>
  </si>
  <si>
    <t>Danny Green
PhiSG, SF</t>
  </si>
  <si>
    <t>Terrence Ross
OrlSG, SF</t>
  </si>
  <si>
    <t>James WisemanO
GSC</t>
  </si>
  <si>
    <t>Daniel Gafford
WshC, PF</t>
  </si>
  <si>
    <t>Goran Dragic
TorPG</t>
  </si>
  <si>
    <t>Kevin Huerter
AtlSG, SF</t>
  </si>
  <si>
    <t>Alec Burks
NYSG</t>
  </si>
  <si>
    <t>Aleksej Pokusevski
OKCPF</t>
  </si>
  <si>
    <t>Evan Mobley
ClePF, C</t>
  </si>
  <si>
    <t>Dorian Finney-Smith
DalSF, PF</t>
  </si>
  <si>
    <t>Chuma OkekeDTD
OrlPF</t>
  </si>
  <si>
    <t>Khem Birch
TorC</t>
  </si>
  <si>
    <t>Terance Mann
LACSF</t>
  </si>
  <si>
    <t>Larry Nance Jr.
PorPF</t>
  </si>
  <si>
    <t>Franz Wagner
OrlSF</t>
  </si>
  <si>
    <t>Coby WhiteO
ChiPG</t>
  </si>
  <si>
    <t>Blake Griffin
BknPF</t>
  </si>
  <si>
    <t>Rudy GayO
UtahPF</t>
  </si>
  <si>
    <t>Josh Hart
NOSG, SF</t>
  </si>
  <si>
    <t>Kenrich Williams
OKCSF</t>
  </si>
  <si>
    <t>Terence Davis
SacSG</t>
  </si>
  <si>
    <t>Tomas Satoransky
NOPG, SG</t>
  </si>
  <si>
    <t>Kendrick Nunn
LALSG</t>
  </si>
  <si>
    <t>Luguentz Dort
OKCSG, SF</t>
  </si>
  <si>
    <t>Shake Milton
PhiPG, SG</t>
  </si>
  <si>
    <t>Nicolas Batum
LACSF, SG</t>
  </si>
  <si>
    <t>Jaxson Hayes
NOC</t>
  </si>
  <si>
    <t>Matisse Thybulle
PhiSF, SG</t>
  </si>
  <si>
    <t>Royce O'Neale
UtahSF, PF</t>
  </si>
  <si>
    <t>Devin Vassell
SASG, SF</t>
  </si>
  <si>
    <t>Victor OladipoO
MiaSG</t>
  </si>
  <si>
    <t>Davis Bertans
WshPF</t>
  </si>
  <si>
    <t>Kevin Love
ClePF</t>
  </si>
  <si>
    <t>Jeremy Lamb
IndSG, SF</t>
  </si>
  <si>
    <t>Bruce Brown
BknSG</t>
  </si>
  <si>
    <t>Derrick Favors
OKCC, PF</t>
  </si>
  <si>
    <t>Ish Smith
ChaPG</t>
  </si>
  <si>
    <t>Cedi Osman
CleSF</t>
  </si>
  <si>
    <t>Cameron Johnson
PhxSF</t>
  </si>
  <si>
    <t>Tyus Jones
MemPG</t>
  </si>
  <si>
    <t>Gary Trent Jr.
TorSG, SF</t>
  </si>
  <si>
    <t>Reggie BullockO
DalSF, SG</t>
  </si>
  <si>
    <t>Willie Cauley-Stein
DalC</t>
  </si>
  <si>
    <t>Hamidou Diallo
DetSG</t>
  </si>
  <si>
    <t>Carmelo AnthonyO
LALPF, SF</t>
  </si>
  <si>
    <t>Naz Reid
MinC</t>
  </si>
  <si>
    <t>De'Anthony Melton
MemPG</t>
  </si>
  <si>
    <t>Nicolas Claxton
BknC, PF</t>
  </si>
  <si>
    <t>De'Andre Hunter
AtlSF, PF</t>
  </si>
  <si>
    <t>Josh Jackson
DetSF, SG</t>
  </si>
  <si>
    <t>Marc Gasol
LALC</t>
  </si>
  <si>
    <t>Bryn Forbes
SASG, PG</t>
  </si>
  <si>
    <t>Lou Williams
AtlSG</t>
  </si>
  <si>
    <t>Josh Richardson
BosSG, SF</t>
  </si>
  <si>
    <t>Paul Millsap
BknPF</t>
  </si>
  <si>
    <t>Maxi Kleber
DalPF</t>
  </si>
  <si>
    <t>Danilo Gallinari
AtlPF, SF</t>
  </si>
  <si>
    <t>Dwight Howard
LALC</t>
  </si>
  <si>
    <t>Kentavious Caldwell-Pope
WshSG, SF</t>
  </si>
  <si>
    <t>Dwight Powell
DalC</t>
  </si>
  <si>
    <t>Onyeka OkongwuO
AtlC</t>
  </si>
  <si>
    <t>Justin Holiday
IndSG, SF</t>
  </si>
  <si>
    <t>Taurean PrinceO
MinSF, PF</t>
  </si>
  <si>
    <t>Patrick BeverleyO
MinPG</t>
  </si>
  <si>
    <t>Rajon Rondo
LALPG</t>
  </si>
  <si>
    <t>Tristan Thompson
SacC, PF</t>
  </si>
  <si>
    <t>Jeff Green
DenPF</t>
  </si>
  <si>
    <t>Cory Joseph
DetPG</t>
  </si>
  <si>
    <t>Patty Mills
BknPG</t>
  </si>
  <si>
    <t>Kira Lewis Jr.
NOPG</t>
  </si>
  <si>
    <t>James Bouknight
ChaSG</t>
  </si>
  <si>
    <t>Saben Lee
DetPG</t>
  </si>
  <si>
    <t>Delon Wright
AtlSG, PG</t>
  </si>
  <si>
    <t>Pat Connaughton
MilSG, SF</t>
  </si>
  <si>
    <t>Anfernee Simons
PorSG, PG</t>
  </si>
  <si>
    <t>George Hill
MilPG, SG</t>
  </si>
  <si>
    <t>Lonnie Walker IV
SASF, SG</t>
  </si>
  <si>
    <t>D.J. Augustin
HouPG</t>
  </si>
  <si>
    <t>Mo Bamba
OrlC</t>
  </si>
  <si>
    <t>JaMychal Green
DenPF</t>
  </si>
  <si>
    <t>Danuel House Jr.
HouSF, SG</t>
  </si>
  <si>
    <t>Cam Reddish
AtlSF, SG</t>
  </si>
  <si>
    <t>Landry Shamet
PhxSG</t>
  </si>
  <si>
    <t>Deni AvdijaDTD
WshSF</t>
  </si>
  <si>
    <t>Willy Hernangomez
NOC</t>
  </si>
  <si>
    <t>Gorgui Dieng
AtlC, PF</t>
  </si>
  <si>
    <t>Garrett Temple
NOSG, SF</t>
  </si>
  <si>
    <t>Eric Gordon
HouSG</t>
  </si>
  <si>
    <t>Kent Bazemore
LALSG, SF</t>
  </si>
  <si>
    <t>Alex Caruso
ChiPG, SG</t>
  </si>
  <si>
    <t>Grayson Allen
MilSG</t>
  </si>
  <si>
    <t>Elfrid Payton
PhxPG</t>
  </si>
  <si>
    <t>Frank Kaminsky
PhxC, PF</t>
  </si>
  <si>
    <t>Gary Harris
OrlSG</t>
  </si>
  <si>
    <t>Furkan Korkmaz
PhiSG</t>
  </si>
  <si>
    <t>Austin Rivers
DenSG</t>
  </si>
  <si>
    <t>Jamal MurrayO
DenPG, SG</t>
  </si>
  <si>
    <t>Trevor ArizaO
LALSF</t>
  </si>
  <si>
    <t>Luke Kennard
LACSG</t>
  </si>
  <si>
    <t>Wayne Ellington
LALSG</t>
  </si>
  <si>
    <t>Kenyon Martin Jr.
HouSF</t>
  </si>
  <si>
    <t>Justise Winslow
LACSF</t>
  </si>
  <si>
    <t>JaVale McGee
PhxC</t>
  </si>
  <si>
    <t>Jordan Poole
GSSG, PG</t>
  </si>
  <si>
    <t>Juancho HernangomezDTD
BosPF, SF</t>
  </si>
  <si>
    <t>PJ Dozier
DenPG</t>
  </si>
  <si>
    <t>Torrey Craig
IndSF</t>
  </si>
  <si>
    <t>DeAndre Jordan
LALC</t>
  </si>
  <si>
    <t>Eric Paschall
UtahPF</t>
  </si>
  <si>
    <t>Aaron Holiday
WshPG, SG</t>
  </si>
  <si>
    <t>Raul Neto
WshPG</t>
  </si>
  <si>
    <t>Sterling Brown
DalSG, SF</t>
  </si>
  <si>
    <t>Moritz Wagner
OrlC, PF</t>
  </si>
  <si>
    <t>Jalen McDaniels
ChaPF</t>
  </si>
  <si>
    <t>Dwayne Bacon
NYSG</t>
  </si>
  <si>
    <t>Damion Lee
GSSF, SG</t>
  </si>
  <si>
    <t>Aaron Nesmith
BosSF</t>
  </si>
  <si>
    <t>Juan Toscano-Anderson
GSPF, SF</t>
  </si>
  <si>
    <t>Josh Okogie
MinSG, SF</t>
  </si>
  <si>
    <t>Andre Iguodala
GSSF, SG</t>
  </si>
  <si>
    <t>Kevon Looney
GSPF</t>
  </si>
  <si>
    <t>Mike Muscala
OKCC, PF</t>
  </si>
  <si>
    <t>DeMarcus Cousins
LACC</t>
  </si>
  <si>
    <t>Jarrett CulverDTD
MemSG, SF</t>
  </si>
  <si>
    <t>Bismack Biyombo
ChaC</t>
  </si>
  <si>
    <t>Maurice Harkless
SacSF</t>
  </si>
  <si>
    <t>James Johnson
BknPF, SF</t>
  </si>
  <si>
    <t>Cody Martin
ChaSF</t>
  </si>
  <si>
    <t>Michael Carter-WilliamsO
OrlPG</t>
  </si>
  <si>
    <t>Al-Farouq Aminu
SAPF</t>
  </si>
  <si>
    <t>D.J. Wilson
OKCPF</t>
  </si>
  <si>
    <t>Trey Burke
DalPG, SG</t>
  </si>
  <si>
    <t>Zach CollinsO
SAC</t>
  </si>
  <si>
    <t>Edmond SumnerO
IndSG</t>
  </si>
  <si>
    <t>Georges Niang
PhiPF</t>
  </si>
  <si>
    <t>Aron Baynes
TorC</t>
  </si>
  <si>
    <t>Brad Wanamaker
ChaPG</t>
  </si>
  <si>
    <t>Robin Lopez
OrlC</t>
  </si>
  <si>
    <t>STATS</t>
  </si>
  <si>
    <t>FANTASY PTS</t>
  </si>
  <si>
    <t>TOT</t>
  </si>
  <si>
    <t>AVG</t>
  </si>
  <si>
    <t>Team 8</t>
  </si>
  <si>
    <t>Team 10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</si>
</sst>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h:mm am/pm"/>
    <numFmt numFmtId="165" formatCode="0.0%"/>
    <numFmt numFmtId="166" formatCode="0.0000"/>
    <numFmt numFmtId="167" formatCode="0.0"/>
    <numFmt numFmtId="168" formatCode="#,##0.0"/>
  </numFmts>
  <fonts count="52">
    <font>
      <sz val="10.0"/>
      <color rgb="FF000000"/>
      <name val="Arial"/>
    </font>
    <font>
      <color rgb="FFFFFFFF"/>
    </font>
    <font>
      <sz val="11.0"/>
      <color rgb="FFFFFFFF"/>
      <name val="Roboto"/>
    </font>
    <font>
      <sz val="11.0"/>
      <color rgb="FF22292F"/>
      <name val="Montserrat"/>
    </font>
    <font/>
    <font>
      <sz val="11.0"/>
      <name val="Montserrat"/>
    </font>
    <font>
      <b/>
      <sz val="11.0"/>
      <color rgb="FFFFFFFF"/>
      <name val="Roboto"/>
    </font>
    <font>
      <color rgb="FF000000"/>
    </font>
    <font>
      <b/>
      <sz val="11.0"/>
      <color rgb="FF000000"/>
      <name val="Roboto"/>
    </font>
    <font>
      <b/>
      <color rgb="FFFFFFFF"/>
    </font>
    <font>
      <b/>
      <sz val="9.0"/>
      <color rgb="FFFFFFFF"/>
    </font>
    <font>
      <u/>
      <sz val="11.0"/>
      <color rgb="FF0000FF"/>
      <name val="Montserrat"/>
    </font>
    <font>
      <sz val="11.0"/>
      <color rgb="FF1155CC"/>
      <name val="Inconsolata"/>
    </font>
    <font>
      <b/>
      <sz val="14.0"/>
      <color rgb="FFFFFFFF"/>
    </font>
    <font>
      <color rgb="FFFFFFFF"/>
      <name val="Arial"/>
    </font>
    <font>
      <b/>
      <sz val="7.0"/>
      <color rgb="FFFFFFFF"/>
    </font>
    <font>
      <b/>
      <sz val="7.0"/>
      <color rgb="FF000000"/>
    </font>
    <font>
      <b/>
    </font>
    <font>
      <b/>
      <name val="Arial"/>
    </font>
    <font>
      <name val="Arial"/>
    </font>
    <font>
      <u/>
      <color rgb="FF0000FF"/>
    </font>
    <font>
      <b/>
      <sz val="14.0"/>
      <color rgb="FFFFFFFF"/>
      <name val="Arial"/>
    </font>
    <font>
      <b/>
      <color rgb="FF000000"/>
    </font>
    <font>
      <sz val="11.0"/>
      <color rgb="FF4285F4"/>
      <name val="Inconsolata"/>
    </font>
    <font>
      <sz val="11.0"/>
      <color rgb="FF7E3794"/>
      <name val="Inconsolata"/>
    </font>
    <font>
      <b/>
      <sz val="12.0"/>
      <color rgb="FFFFFFFF"/>
      <name val="Roboto"/>
    </font>
    <font>
      <b/>
      <sz val="12.0"/>
      <color rgb="FFFFFFFF"/>
    </font>
    <font>
      <b/>
      <color rgb="FFFFFFFF"/>
      <name val="Arial"/>
    </font>
    <font>
      <b/>
      <sz val="11.0"/>
      <name val="Roboto"/>
    </font>
    <font>
      <sz val="9.0"/>
      <name val="Google Sans Mono"/>
    </font>
    <font>
      <sz val="11.0"/>
      <color rgb="FF000000"/>
      <name val="Roboto"/>
    </font>
    <font>
      <sz val="36.0"/>
      <color rgb="FFFFFFFF"/>
    </font>
    <font>
      <sz val="14.0"/>
      <color rgb="FFFFFFFF"/>
    </font>
    <font>
      <u/>
      <color rgb="FF1155CC"/>
      <name val="Arial"/>
    </font>
    <font>
      <sz val="11.0"/>
      <color rgb="FF000000"/>
      <name val="Inconsolata"/>
    </font>
    <font>
      <u/>
      <color rgb="FF0000FF"/>
    </font>
    <font>
      <sz val="11.0"/>
      <color rgb="FFFFFFFF"/>
      <name val="Arial"/>
    </font>
    <font>
      <sz val="11.0"/>
      <name val="Roboto"/>
    </font>
    <font>
      <color rgb="FF000000"/>
      <name val="Arial"/>
    </font>
    <font>
      <sz val="14.0"/>
    </font>
    <font>
      <b/>
      <sz val="12.0"/>
    </font>
    <font>
      <b/>
      <sz val="8.0"/>
      <color rgb="FF48494A"/>
      <name val="-apple-system"/>
    </font>
    <font>
      <sz val="9.0"/>
      <color rgb="FF009444"/>
      <name val="-apple-system"/>
    </font>
    <font>
      <sz val="9.0"/>
      <color rgb="FF797B7D"/>
      <name val="-apple-system"/>
    </font>
    <font>
      <sz val="8.0"/>
      <color rgb="FF151617"/>
      <name val="-apple-system"/>
    </font>
    <font>
      <u/>
      <sz val="8.0"/>
      <color rgb="FF151617"/>
      <name val="-apple-system"/>
    </font>
    <font>
      <sz val="9.0"/>
      <color rgb="FF6C6D6F"/>
      <name val="-apple-system"/>
    </font>
    <font>
      <sz val="9.0"/>
      <color rgb="FFCC0000"/>
      <name val="-apple-system"/>
    </font>
    <font>
      <u/>
      <sz val="8.0"/>
      <color rgb="FF151617"/>
      <name val="-apple-system"/>
    </font>
    <font>
      <u/>
      <sz val="8.0"/>
      <color rgb="FF151617"/>
      <name val="-apple-system"/>
    </font>
    <font>
      <u/>
      <sz val="8.0"/>
      <color rgb="FF151617"/>
      <name val="-apple-system"/>
    </font>
    <font>
      <u/>
      <sz val="8.0"/>
      <color rgb="FF151617"/>
      <name val="-apple-system"/>
    </font>
  </fonts>
  <fills count="6">
    <fill>
      <patternFill patternType="none"/>
    </fill>
    <fill>
      <patternFill patternType="lightGray"/>
    </fill>
    <fill>
      <patternFill patternType="solid">
        <fgColor rgb="FF000000"/>
        <bgColor rgb="FF000000"/>
      </patternFill>
    </fill>
    <fill>
      <patternFill patternType="solid">
        <fgColor rgb="FFF3F2F7"/>
        <bgColor rgb="FFF3F2F7"/>
      </patternFill>
    </fill>
    <fill>
      <patternFill patternType="solid">
        <fgColor rgb="FFFEFEFE"/>
        <bgColor rgb="FFFEFEFE"/>
      </patternFill>
    </fill>
    <fill>
      <patternFill patternType="solid">
        <fgColor rgb="FFFFFFFF"/>
        <bgColor rgb="FFFFFFFF"/>
      </patternFill>
    </fill>
  </fills>
  <borders count="35">
    <border/>
    <border>
      <left style="thin">
        <color rgb="FF000000"/>
      </left>
      <right style="thin">
        <color rgb="FF000000"/>
      </right>
    </border>
    <border>
      <left style="thick">
        <color rgb="FF666666"/>
      </left>
      <right style="thick">
        <color rgb="FF666666"/>
      </right>
      <top style="thick">
        <color rgb="FF666666"/>
      </top>
      <bottom style="thick">
        <color rgb="FF666666"/>
      </bottom>
    </border>
    <border>
      <bottom style="medium">
        <color rgb="FF666666"/>
      </bottom>
    </border>
    <border>
      <left style="medium">
        <color rgb="FF666666"/>
      </left>
      <right style="medium">
        <color rgb="FF666666"/>
      </right>
      <bottom style="medium">
        <color rgb="FF666666"/>
      </bottom>
    </border>
    <border>
      <left style="medium">
        <color rgb="FF666666"/>
      </left>
      <right style="medium">
        <color rgb="FF666666"/>
      </right>
      <top style="medium">
        <color rgb="FF666666"/>
      </top>
      <bottom style="medium">
        <color rgb="FF666666"/>
      </bottom>
    </border>
    <border>
      <left style="medium">
        <color rgb="FF666666"/>
      </left>
      <top style="medium">
        <color rgb="FF666666"/>
      </top>
      <bottom style="medium">
        <color rgb="FF666666"/>
      </bottom>
    </border>
    <border>
      <left style="medium">
        <color rgb="FF666666"/>
      </left>
    </border>
    <border>
      <right style="medium">
        <color rgb="FF666666"/>
      </right>
      <top style="medium">
        <color rgb="FF666666"/>
      </top>
      <bottom style="medium">
        <color rgb="FF666666"/>
      </bottom>
    </border>
    <border>
      <top style="medium">
        <color rgb="FF666666"/>
      </top>
      <bottom style="medium">
        <color rgb="FF666666"/>
      </bottom>
    </border>
    <border>
      <left style="thick">
        <color rgb="FF666666"/>
      </left>
      <right style="medium">
        <color rgb="FF666666"/>
      </right>
      <top style="thick">
        <color rgb="FF666666"/>
      </top>
    </border>
    <border>
      <left style="medium">
        <color rgb="FF666666"/>
      </left>
      <right style="medium">
        <color rgb="FF666666"/>
      </right>
      <top style="thick">
        <color rgb="FF666666"/>
      </top>
    </border>
    <border>
      <left style="medium">
        <color rgb="FF666666"/>
      </left>
      <top style="thick">
        <color rgb="FF666666"/>
      </top>
    </border>
    <border>
      <left style="medium">
        <color rgb="FF666666"/>
      </left>
      <right style="thick">
        <color rgb="FF666666"/>
      </right>
      <top style="thick">
        <color rgb="FF666666"/>
      </top>
    </border>
    <border>
      <left style="thick">
        <color rgb="FF666666"/>
      </left>
      <right style="medium">
        <color rgb="FF666666"/>
      </right>
      <top style="thick">
        <color rgb="FF666666"/>
      </top>
      <bottom style="medium">
        <color rgb="FF666666"/>
      </bottom>
    </border>
    <border>
      <left style="medium">
        <color rgb="FF666666"/>
      </left>
      <top style="thick">
        <color rgb="FF666666"/>
      </top>
      <bottom style="medium">
        <color rgb="FF666666"/>
      </bottom>
    </border>
    <border>
      <left style="medium">
        <color rgb="FF666666"/>
      </left>
      <right style="medium">
        <color rgb="FF666666"/>
      </right>
      <top style="thick">
        <color rgb="FF666666"/>
      </top>
      <bottom style="medium">
        <color rgb="FF666666"/>
      </bottom>
    </border>
    <border>
      <left style="medium">
        <color rgb="FF666666"/>
      </left>
      <right style="thick">
        <color rgb="FF666666"/>
      </right>
      <top style="thick">
        <color rgb="FF666666"/>
      </top>
      <bottom style="medium">
        <color rgb="FF666666"/>
      </bottom>
    </border>
    <border>
      <left style="medium">
        <color rgb="FF666666"/>
      </left>
      <right style="thick">
        <color rgb="FF666666"/>
      </right>
      <top style="medium">
        <color rgb="FF666666"/>
      </top>
      <bottom style="medium">
        <color rgb="FF666666"/>
      </bottom>
    </border>
    <border>
      <left style="medium">
        <color rgb="FF434343"/>
      </left>
      <right style="medium">
        <color rgb="FF434343"/>
      </right>
      <top style="medium">
        <color rgb="FF434343"/>
      </top>
      <bottom style="medium">
        <color rgb="FF434343"/>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434343"/>
      </left>
      <top style="medium">
        <color rgb="FF434343"/>
      </top>
      <bottom style="medium">
        <color rgb="FF434343"/>
      </bottom>
    </border>
    <border>
      <right style="medium">
        <color rgb="FF434343"/>
      </right>
      <top style="medium">
        <color rgb="FF434343"/>
      </top>
      <bottom style="medium">
        <color rgb="FF434343"/>
      </bottom>
    </border>
    <border>
      <left style="thick">
        <color rgb="FF666666"/>
      </left>
      <top style="thick">
        <color rgb="FF666666"/>
      </top>
      <bottom style="thick">
        <color rgb="FF666666"/>
      </bottom>
    </border>
    <border>
      <top style="thin">
        <color rgb="FF000000"/>
      </top>
      <bottom style="thin">
        <color rgb="FF000000"/>
      </bottom>
    </border>
    <border>
      <left style="medium">
        <color rgb="FF434343"/>
      </left>
      <top style="medium">
        <color rgb="FF434343"/>
      </top>
    </border>
    <border>
      <right style="medium">
        <color rgb="FF434343"/>
      </right>
      <top style="medium">
        <color rgb="FF434343"/>
      </top>
    </border>
    <border>
      <left style="medium">
        <color rgb="FF666666"/>
      </left>
      <top style="medium">
        <color rgb="FF666666"/>
      </top>
      <bottom style="thick">
        <color rgb="FF666666"/>
      </bottom>
    </border>
    <border>
      <left style="medium">
        <color rgb="FF666666"/>
      </left>
      <right style="medium">
        <color rgb="FF666666"/>
      </right>
      <top style="medium">
        <color rgb="FF666666"/>
      </top>
      <bottom style="thick">
        <color rgb="FF666666"/>
      </bottom>
    </border>
    <border>
      <left style="medium">
        <color rgb="FF666666"/>
      </left>
      <right style="thick">
        <color rgb="FF666666"/>
      </right>
      <top style="medium">
        <color rgb="FF666666"/>
      </top>
      <bottom style="thick">
        <color rgb="FF666666"/>
      </bottom>
    </border>
    <border>
      <left style="medium">
        <color rgb="FF666666"/>
      </left>
      <bottom style="medium">
        <color rgb="FF666666"/>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4" xfId="0" applyFill="1" applyFont="1" applyNumberFormat="1"/>
    <xf borderId="1" fillId="3" fontId="3" numFmtId="0" xfId="0" applyAlignment="1" applyBorder="1" applyFill="1" applyFont="1">
      <alignment horizontal="center" readingOrder="0"/>
    </xf>
    <xf borderId="0" fillId="2" fontId="1" numFmtId="0" xfId="0" applyAlignment="1" applyFill="1" applyFont="1">
      <alignment horizontal="center" readingOrder="0"/>
    </xf>
    <xf borderId="0" fillId="0" fontId="4" numFmtId="0" xfId="0" applyAlignment="1" applyFont="1">
      <alignment readingOrder="0"/>
    </xf>
    <xf borderId="0" fillId="2" fontId="2" numFmtId="0" xfId="0" applyFill="1" applyFont="1"/>
    <xf borderId="0" fillId="2" fontId="1" numFmtId="0" xfId="0" applyAlignment="1" applyFill="1" applyFont="1">
      <alignment horizontal="center"/>
    </xf>
    <xf borderId="1" fillId="3" fontId="5" numFmtId="0" xfId="0" applyAlignment="1" applyBorder="1" applyFill="1" applyFont="1">
      <alignment horizontal="center" readingOrder="0"/>
    </xf>
    <xf borderId="0" fillId="2" fontId="2" numFmtId="0" xfId="0" applyAlignment="1" applyFill="1" applyFont="1">
      <alignment readingOrder="0"/>
    </xf>
    <xf borderId="0" fillId="2" fontId="6" numFmtId="0" xfId="0" applyAlignment="1" applyFill="1" applyFont="1">
      <alignment readingOrder="0"/>
    </xf>
    <xf borderId="0" fillId="2" fontId="6" numFmtId="0" xfId="0" applyAlignment="1" applyFill="1" applyFont="1">
      <alignment horizontal="center" readingOrder="0"/>
    </xf>
    <xf borderId="0" fillId="2" fontId="6" numFmtId="0" xfId="0" applyAlignment="1" applyFill="1" applyFont="1">
      <alignment horizontal="left" readingOrder="0"/>
    </xf>
    <xf borderId="1" fillId="3" fontId="5" numFmtId="164" xfId="0" applyAlignment="1" applyBorder="1" applyFill="1" applyFont="1" applyNumberFormat="1">
      <alignment horizontal="center" readingOrder="0"/>
    </xf>
    <xf borderId="0" fillId="2" fontId="1" numFmtId="0" xfId="0" applyFill="1" applyFont="1"/>
    <xf borderId="1" fillId="4" fontId="3" numFmtId="0" xfId="0" applyAlignment="1" applyBorder="1" applyFill="1" applyFont="1">
      <alignment horizontal="center" readingOrder="0" vertical="bottom"/>
    </xf>
    <xf borderId="0" fillId="2" fontId="6" numFmtId="4" xfId="0" applyAlignment="1" applyFill="1" applyFont="1" applyNumberFormat="1">
      <alignment readingOrder="0"/>
    </xf>
    <xf borderId="2" fillId="2" fontId="6" numFmtId="4" xfId="0" applyAlignment="1" applyBorder="1" applyFill="1" applyFont="1" applyNumberFormat="1">
      <alignment readingOrder="0"/>
    </xf>
    <xf borderId="0" fillId="0" fontId="4" numFmtId="2" xfId="0" applyFont="1" applyNumberFormat="1"/>
    <xf borderId="2" fillId="2" fontId="6" numFmtId="0" xfId="0" applyAlignment="1" applyBorder="1" applyFill="1" applyFont="1">
      <alignment readingOrder="0"/>
    </xf>
    <xf borderId="0" fillId="2" fontId="4" numFmtId="0" xfId="0" applyFill="1" applyFont="1"/>
    <xf borderId="0" fillId="2" fontId="7" numFmtId="0" xfId="0" applyFill="1" applyFont="1"/>
    <xf borderId="0" fillId="2" fontId="8" numFmtId="0" xfId="0" applyAlignment="1" applyFill="1" applyFont="1">
      <alignment horizontal="center"/>
    </xf>
    <xf borderId="0" fillId="2" fontId="2" numFmtId="3" xfId="0" applyAlignment="1" applyFill="1" applyFont="1" applyNumberFormat="1">
      <alignment readingOrder="0"/>
    </xf>
    <xf borderId="2" fillId="2" fontId="2" numFmtId="3" xfId="0" applyAlignment="1" applyBorder="1" applyFill="1" applyFont="1" applyNumberFormat="1">
      <alignment readingOrder="0"/>
    </xf>
    <xf borderId="0" fillId="0" fontId="4" numFmtId="165" xfId="0" applyFont="1" applyNumberFormat="1"/>
    <xf borderId="3" fillId="2" fontId="6" numFmtId="0" xfId="0" applyAlignment="1" applyBorder="1" applyFill="1" applyFont="1">
      <alignment horizontal="center" readingOrder="0"/>
    </xf>
    <xf borderId="0" fillId="2" fontId="9" numFmtId="0" xfId="0" applyAlignment="1" applyFill="1" applyFont="1">
      <alignment readingOrder="0"/>
    </xf>
    <xf borderId="0" fillId="2" fontId="10" numFmtId="0" xfId="0" applyAlignment="1" applyFill="1" applyFont="1">
      <alignment horizontal="center"/>
    </xf>
    <xf borderId="2" fillId="2" fontId="2" numFmtId="0" xfId="0" applyAlignment="1" applyBorder="1" applyFill="1" applyFont="1">
      <alignment readingOrder="0"/>
    </xf>
    <xf borderId="1" fillId="0" fontId="11" numFmtId="0" xfId="0" applyAlignment="1" applyBorder="1" applyFont="1">
      <alignment horizontal="center" readingOrder="0" vertical="bottom"/>
    </xf>
    <xf borderId="0" fillId="5" fontId="12" numFmtId="0" xfId="0" applyAlignment="1" applyFill="1" applyFont="1">
      <alignment readingOrder="0"/>
    </xf>
    <xf borderId="0" fillId="2" fontId="13" numFmtId="0" xfId="0" applyAlignment="1" applyFill="1" applyFont="1">
      <alignment horizontal="center" readingOrder="0"/>
    </xf>
    <xf borderId="4" fillId="2" fontId="6" numFmtId="0" xfId="0" applyAlignment="1" applyBorder="1" applyFill="1" applyFont="1">
      <alignment horizontal="center" readingOrder="0"/>
    </xf>
    <xf borderId="4" fillId="2" fontId="6" numFmtId="2" xfId="0" applyAlignment="1" applyBorder="1" applyFill="1" applyFont="1" applyNumberFormat="1">
      <alignment horizontal="center" vertical="bottom"/>
    </xf>
    <xf borderId="5" fillId="2" fontId="6" numFmtId="0" xfId="0" applyAlignment="1" applyBorder="1" applyFill="1" applyFont="1">
      <alignment horizontal="center" readingOrder="0"/>
    </xf>
    <xf borderId="0" fillId="2" fontId="6" numFmtId="2" xfId="0" applyAlignment="1" applyFill="1" applyFont="1" applyNumberFormat="1">
      <alignment horizontal="center" vertical="bottom"/>
    </xf>
    <xf borderId="0" fillId="2" fontId="6" numFmtId="0" xfId="0" applyAlignment="1" applyFill="1" applyFont="1">
      <alignment horizontal="center" vertical="bottom"/>
    </xf>
    <xf borderId="0" fillId="2" fontId="6" numFmtId="165" xfId="0" applyAlignment="1" applyFill="1" applyFont="1" applyNumberFormat="1">
      <alignment horizontal="center" vertical="bottom"/>
    </xf>
    <xf borderId="0" fillId="2" fontId="14" numFmtId="2" xfId="0" applyAlignment="1" applyFill="1" applyFont="1" applyNumberFormat="1">
      <alignment horizontal="right" vertical="bottom"/>
    </xf>
    <xf borderId="0" fillId="2" fontId="15" numFmtId="0" xfId="0" applyAlignment="1" applyFill="1" applyFont="1">
      <alignment shrinkToFit="0" wrapText="0"/>
    </xf>
    <xf borderId="0" fillId="2" fontId="16" numFmtId="0" xfId="0" applyFill="1" applyFont="1"/>
    <xf borderId="0" fillId="0" fontId="17" numFmtId="0" xfId="0" applyAlignment="1" applyFont="1">
      <alignment readingOrder="0"/>
    </xf>
    <xf borderId="0" fillId="2" fontId="15" numFmtId="0" xfId="0" applyFill="1" applyFont="1"/>
    <xf borderId="0" fillId="0" fontId="18" numFmtId="0" xfId="0" applyAlignment="1" applyFont="1">
      <alignment vertical="bottom"/>
    </xf>
    <xf borderId="0" fillId="0" fontId="18" numFmtId="0" xfId="0" applyAlignment="1" applyFont="1">
      <alignment readingOrder="0" vertical="bottom"/>
    </xf>
    <xf borderId="0" fillId="0" fontId="19" numFmtId="0" xfId="0" applyAlignment="1" applyFont="1">
      <alignment readingOrder="0"/>
    </xf>
    <xf borderId="6" fillId="2" fontId="17" numFmtId="0" xfId="0" applyAlignment="1" applyBorder="1" applyFill="1" applyFont="1">
      <alignment horizontal="center"/>
    </xf>
    <xf borderId="7" fillId="2" fontId="6" numFmtId="2" xfId="0" applyAlignment="1" applyBorder="1" applyFill="1" applyFont="1" applyNumberFormat="1">
      <alignment horizontal="center" vertical="bottom"/>
    </xf>
    <xf borderId="5" fillId="2" fontId="6" numFmtId="2" xfId="0" applyAlignment="1" applyBorder="1" applyFill="1" applyFont="1" applyNumberFormat="1">
      <alignment horizontal="center" vertical="bottom"/>
    </xf>
    <xf borderId="0" fillId="0" fontId="20" numFmtId="0" xfId="0" applyFont="1"/>
    <xf borderId="0" fillId="2" fontId="4" numFmtId="0" xfId="0" applyAlignment="1" applyFill="1" applyFont="1">
      <alignment horizontal="center" readingOrder="0"/>
    </xf>
    <xf borderId="6" fillId="2" fontId="6" numFmtId="2" xfId="0" applyAlignment="1" applyBorder="1" applyFill="1" applyFont="1" applyNumberFormat="1">
      <alignment horizontal="center" vertical="bottom"/>
    </xf>
    <xf borderId="0" fillId="0" fontId="19" numFmtId="2" xfId="0" applyAlignment="1" applyFont="1" applyNumberFormat="1">
      <alignment horizontal="right" vertical="bottom"/>
    </xf>
    <xf borderId="0" fillId="2" fontId="21" numFmtId="0" xfId="0" applyAlignment="1" applyFill="1" applyFont="1">
      <alignment horizontal="center" readingOrder="0" vertical="bottom"/>
    </xf>
    <xf borderId="0" fillId="2" fontId="22" numFmtId="0" xfId="0" applyAlignment="1" applyFill="1" applyFont="1">
      <alignment horizontal="center" readingOrder="0" vertical="center"/>
    </xf>
    <xf borderId="0" fillId="2" fontId="9" numFmtId="0" xfId="0" applyAlignment="1" applyFill="1" applyFont="1">
      <alignment horizontal="center" readingOrder="0" vertical="center"/>
    </xf>
    <xf borderId="0" fillId="2" fontId="9" numFmtId="0" xfId="0" applyAlignment="1" applyFill="1" applyFont="1">
      <alignment horizontal="center" readingOrder="0"/>
    </xf>
    <xf borderId="0" fillId="5" fontId="23" numFmtId="2" xfId="0" applyFill="1" applyFont="1" applyNumberFormat="1"/>
    <xf borderId="0" fillId="5" fontId="24" numFmtId="2" xfId="0" applyFill="1" applyFont="1" applyNumberFormat="1"/>
    <xf borderId="0" fillId="2" fontId="22" numFmtId="0" xfId="0" applyAlignment="1" applyFill="1" applyFont="1">
      <alignment readingOrder="0"/>
    </xf>
    <xf borderId="0" fillId="2" fontId="9" numFmtId="0" xfId="0" applyAlignment="1" applyFill="1" applyFont="1">
      <alignment readingOrder="0" vertical="center"/>
    </xf>
    <xf borderId="5" fillId="2" fontId="22" numFmtId="166" xfId="0" applyAlignment="1" applyBorder="1" applyFill="1" applyFont="1" applyNumberFormat="1">
      <alignment horizontal="center"/>
    </xf>
    <xf borderId="0" fillId="2" fontId="9" numFmtId="0" xfId="0" applyFill="1" applyFont="1"/>
    <xf borderId="0" fillId="2" fontId="1" numFmtId="4" xfId="0" applyAlignment="1" applyFill="1" applyFont="1" applyNumberFormat="1">
      <alignment readingOrder="0"/>
    </xf>
    <xf borderId="0" fillId="2" fontId="1" numFmtId="4" xfId="0" applyFill="1" applyFont="1" applyNumberFormat="1"/>
    <xf borderId="2" fillId="2" fontId="9" numFmtId="0" xfId="0" applyAlignment="1" applyBorder="1" applyFill="1" applyFont="1">
      <alignment readingOrder="0"/>
    </xf>
    <xf borderId="6" fillId="2" fontId="6" numFmtId="0" xfId="0" applyAlignment="1" applyBorder="1" applyFill="1" applyFont="1">
      <alignment horizontal="center" readingOrder="0"/>
    </xf>
    <xf borderId="6" fillId="2" fontId="25" numFmtId="0" xfId="0" applyAlignment="1" applyBorder="1" applyFill="1" applyFont="1">
      <alignment horizontal="center" readingOrder="0"/>
    </xf>
    <xf borderId="8" fillId="0" fontId="4" numFmtId="0" xfId="0" applyBorder="1" applyFont="1"/>
    <xf borderId="6" fillId="2" fontId="25" numFmtId="0" xfId="0" applyAlignment="1" applyBorder="1" applyFill="1" applyFont="1">
      <alignment horizontal="center" readingOrder="0" vertical="bottom"/>
    </xf>
    <xf borderId="9" fillId="0" fontId="4" numFmtId="0" xfId="0" applyBorder="1" applyFont="1"/>
    <xf borderId="6" fillId="2" fontId="26" numFmtId="0" xfId="0" applyAlignment="1" applyBorder="1" applyFill="1" applyFont="1">
      <alignment horizontal="center" readingOrder="0"/>
    </xf>
    <xf borderId="5" fillId="2" fontId="26" numFmtId="0" xfId="0" applyAlignment="1" applyBorder="1" applyFill="1" applyFont="1">
      <alignment horizontal="left" readingOrder="0"/>
    </xf>
    <xf borderId="5" fillId="2" fontId="26" numFmtId="0" xfId="0" applyAlignment="1" applyBorder="1" applyFill="1" applyFont="1">
      <alignment horizontal="center" readingOrder="0"/>
    </xf>
    <xf borderId="2" fillId="2" fontId="2" numFmtId="0" xfId="0" applyAlignment="1" applyBorder="1" applyFill="1" applyFont="1">
      <alignment horizontal="center"/>
    </xf>
    <xf borderId="5" fillId="2" fontId="27" numFmtId="0" xfId="0" applyAlignment="1" applyBorder="1" applyFill="1" applyFont="1">
      <alignment horizontal="center" readingOrder="0"/>
    </xf>
    <xf borderId="5" fillId="2" fontId="27" numFmtId="0" xfId="0" applyAlignment="1" applyBorder="1" applyFill="1" applyFont="1">
      <alignment readingOrder="0"/>
    </xf>
    <xf borderId="5" fillId="2" fontId="6" numFmtId="0" xfId="0" applyAlignment="1" applyBorder="1" applyFill="1" applyFont="1">
      <alignment horizontal="center" readingOrder="0" vertical="bottom"/>
    </xf>
    <xf borderId="5" fillId="2" fontId="6" numFmtId="0" xfId="0" applyAlignment="1" applyBorder="1" applyFill="1" applyFont="1">
      <alignment horizontal="right" readingOrder="0"/>
    </xf>
    <xf borderId="5" fillId="2" fontId="6" numFmtId="0" xfId="0" applyAlignment="1" applyBorder="1" applyFill="1" applyFont="1">
      <alignment readingOrder="0"/>
    </xf>
    <xf borderId="6" fillId="2" fontId="27" numFmtId="0" xfId="0" applyAlignment="1" applyBorder="1" applyFill="1" applyFont="1">
      <alignment readingOrder="0"/>
    </xf>
    <xf borderId="6" fillId="2" fontId="22" numFmtId="0" xfId="0" applyAlignment="1" applyBorder="1" applyFill="1" applyFont="1">
      <alignment horizontal="center" readingOrder="0"/>
    </xf>
    <xf borderId="0" fillId="5" fontId="7" numFmtId="0" xfId="0" applyFill="1" applyFont="1"/>
    <xf borderId="2" fillId="2" fontId="2" numFmtId="3" xfId="0" applyAlignment="1" applyBorder="1" applyFill="1" applyFont="1" applyNumberFormat="1">
      <alignment horizontal="center" readingOrder="0"/>
    </xf>
    <xf borderId="10" fillId="2" fontId="6" numFmtId="0" xfId="0" applyAlignment="1" applyBorder="1" applyFill="1" applyFont="1">
      <alignment horizontal="center" readingOrder="0" vertical="bottom"/>
    </xf>
    <xf borderId="11" fillId="2" fontId="6" numFmtId="0" xfId="0" applyAlignment="1" applyBorder="1" applyFill="1" applyFont="1">
      <alignment horizontal="center" readingOrder="0" vertical="bottom"/>
    </xf>
    <xf borderId="12" fillId="2" fontId="6" numFmtId="0" xfId="0" applyAlignment="1" applyBorder="1" applyFill="1" applyFont="1">
      <alignment horizontal="center" readingOrder="0" vertical="bottom"/>
    </xf>
    <xf borderId="0" fillId="2" fontId="6" numFmtId="0" xfId="0" applyAlignment="1" applyFill="1" applyFont="1">
      <alignment horizontal="center" readingOrder="0" vertical="bottom"/>
    </xf>
    <xf borderId="11" fillId="2" fontId="6" numFmtId="0" xfId="0" applyAlignment="1" applyBorder="1" applyFill="1" applyFont="1">
      <alignment horizontal="center" vertical="bottom"/>
    </xf>
    <xf borderId="13" fillId="2" fontId="6" numFmtId="0" xfId="0" applyAlignment="1" applyBorder="1" applyFill="1" applyFont="1">
      <alignment horizontal="center" vertical="bottom"/>
    </xf>
    <xf borderId="14" fillId="0" fontId="18" numFmtId="0" xfId="0" applyAlignment="1" applyBorder="1" applyFont="1">
      <alignment vertical="bottom"/>
    </xf>
    <xf borderId="15" fillId="0" fontId="18" numFmtId="0" xfId="0" applyAlignment="1" applyBorder="1" applyFont="1">
      <alignment vertical="bottom"/>
    </xf>
    <xf borderId="2" fillId="2" fontId="2" numFmtId="3" xfId="0" applyAlignment="1" applyBorder="1" applyFill="1" applyFont="1" applyNumberFormat="1">
      <alignment horizontal="center"/>
    </xf>
    <xf borderId="16" fillId="2" fontId="6" numFmtId="0" xfId="0" applyAlignment="1" applyBorder="1" applyFill="1" applyFont="1">
      <alignment horizontal="center" readingOrder="0"/>
    </xf>
    <xf borderId="16" fillId="2" fontId="6" numFmtId="0" xfId="0" applyAlignment="1" applyBorder="1" applyFill="1" applyFont="1">
      <alignment horizontal="center" readingOrder="0" vertical="bottom"/>
    </xf>
    <xf borderId="16" fillId="2" fontId="6" numFmtId="0" xfId="0" applyAlignment="1" applyBorder="1" applyFill="1" applyFont="1">
      <alignment horizontal="center"/>
    </xf>
    <xf borderId="16" fillId="2" fontId="6" numFmtId="0" xfId="0" applyBorder="1" applyFill="1" applyFont="1"/>
    <xf borderId="16" fillId="2" fontId="6" numFmtId="2" xfId="0" applyBorder="1" applyFill="1" applyFont="1" applyNumberFormat="1"/>
    <xf borderId="16" fillId="0" fontId="28" numFmtId="2" xfId="0" applyBorder="1" applyFont="1" applyNumberFormat="1"/>
    <xf borderId="16" fillId="0" fontId="28" numFmtId="167" xfId="0" applyBorder="1" applyFont="1" applyNumberFormat="1"/>
    <xf borderId="16" fillId="2" fontId="6" numFmtId="167" xfId="0" applyBorder="1" applyFill="1" applyFont="1" applyNumberFormat="1"/>
    <xf borderId="16" fillId="2" fontId="6" numFmtId="167" xfId="0" applyAlignment="1" applyBorder="1" applyFill="1" applyFont="1" applyNumberFormat="1">
      <alignment horizontal="right"/>
    </xf>
    <xf borderId="16" fillId="5" fontId="8" numFmtId="2" xfId="0" applyAlignment="1" applyBorder="1" applyFill="1" applyFont="1" applyNumberFormat="1">
      <alignment horizontal="right"/>
    </xf>
    <xf borderId="17" fillId="0" fontId="28" numFmtId="2" xfId="0" applyBorder="1" applyFont="1" applyNumberFormat="1"/>
    <xf borderId="0" fillId="2" fontId="17" numFmtId="0" xfId="0" applyFill="1" applyFont="1"/>
    <xf borderId="0" fillId="0" fontId="19" numFmtId="0" xfId="0" applyAlignment="1" applyFont="1">
      <alignment horizontal="right" readingOrder="0" vertical="bottom"/>
    </xf>
    <xf borderId="0" fillId="0" fontId="29" numFmtId="0" xfId="0" applyAlignment="1" applyFont="1">
      <alignment horizontal="right" readingOrder="0" vertical="bottom"/>
    </xf>
    <xf borderId="0" fillId="2" fontId="28" numFmtId="0" xfId="0" applyAlignment="1" applyFill="1" applyFont="1">
      <alignment readingOrder="0"/>
    </xf>
    <xf borderId="14" fillId="0" fontId="18" numFmtId="1" xfId="0" applyAlignment="1" applyBorder="1" applyFont="1" applyNumberFormat="1">
      <alignment vertical="bottom"/>
    </xf>
    <xf borderId="6" fillId="0" fontId="18" numFmtId="0" xfId="0" applyAlignment="1" applyBorder="1" applyFont="1">
      <alignment vertical="bottom"/>
    </xf>
    <xf borderId="5" fillId="2" fontId="6" numFmtId="0" xfId="0" applyAlignment="1" applyBorder="1" applyFill="1" applyFont="1">
      <alignment horizontal="center"/>
    </xf>
    <xf borderId="5" fillId="2" fontId="6" numFmtId="0" xfId="0" applyBorder="1" applyFill="1" applyFont="1"/>
    <xf borderId="5" fillId="2" fontId="6" numFmtId="2" xfId="0" applyBorder="1" applyFill="1" applyFont="1" applyNumberFormat="1"/>
    <xf borderId="5" fillId="0" fontId="28" numFmtId="2" xfId="0" applyBorder="1" applyFont="1" applyNumberFormat="1"/>
    <xf borderId="5" fillId="0" fontId="28" numFmtId="167" xfId="0" applyBorder="1" applyFont="1" applyNumberFormat="1"/>
    <xf borderId="5" fillId="2" fontId="6" numFmtId="167" xfId="0" applyBorder="1" applyFill="1" applyFont="1" applyNumberFormat="1"/>
    <xf borderId="5" fillId="2" fontId="6" numFmtId="167" xfId="0" applyAlignment="1" applyBorder="1" applyFill="1" applyFont="1" applyNumberFormat="1">
      <alignment horizontal="right"/>
    </xf>
    <xf borderId="18" fillId="0" fontId="28" numFmtId="2" xfId="0" applyBorder="1" applyFont="1" applyNumberFormat="1"/>
    <xf borderId="0" fillId="2" fontId="28" numFmtId="0" xfId="0" applyAlignment="1" applyFill="1" applyFont="1">
      <alignment vertical="bottom"/>
    </xf>
    <xf borderId="0" fillId="0" fontId="19" numFmtId="2" xfId="0" applyAlignment="1" applyFont="1" applyNumberFormat="1">
      <alignment horizontal="right" readingOrder="0" vertical="bottom"/>
    </xf>
    <xf borderId="19" fillId="2" fontId="6" numFmtId="0" xfId="0" applyAlignment="1" applyBorder="1" applyFill="1" applyFont="1">
      <alignment vertical="bottom"/>
    </xf>
    <xf borderId="20" fillId="0" fontId="28" numFmtId="0" xfId="0" applyAlignment="1" applyBorder="1" applyFont="1">
      <alignment vertical="bottom"/>
    </xf>
    <xf borderId="21" fillId="0" fontId="19" numFmtId="0" xfId="0" applyAlignment="1" applyBorder="1" applyFont="1">
      <alignment vertical="bottom"/>
    </xf>
    <xf borderId="22" fillId="0" fontId="19" numFmtId="0" xfId="0" applyAlignment="1" applyBorder="1" applyFont="1">
      <alignment vertical="bottom"/>
    </xf>
    <xf borderId="19" fillId="2" fontId="27" numFmtId="0" xfId="0" applyAlignment="1" applyBorder="1" applyFill="1" applyFont="1">
      <alignment horizontal="center" vertical="bottom"/>
    </xf>
    <xf borderId="23" fillId="2" fontId="6" numFmtId="0" xfId="0" applyAlignment="1" applyBorder="1" applyFill="1" applyFont="1">
      <alignment horizontal="center" vertical="bottom"/>
    </xf>
    <xf borderId="24" fillId="0" fontId="4" numFmtId="0" xfId="0" applyBorder="1" applyFont="1"/>
    <xf borderId="19" fillId="2" fontId="6" numFmtId="0" xfId="0" applyAlignment="1" applyBorder="1" applyFill="1" applyFont="1">
      <alignment horizontal="center" vertical="bottom"/>
    </xf>
    <xf borderId="19" fillId="2" fontId="6" numFmtId="2" xfId="0" applyAlignment="1" applyBorder="1" applyFill="1" applyFont="1" applyNumberFormat="1">
      <alignment horizontal="center" vertical="bottom"/>
    </xf>
    <xf borderId="20" fillId="2" fontId="19" numFmtId="2" xfId="0" applyAlignment="1" applyBorder="1" applyFill="1" applyFont="1" applyNumberFormat="1">
      <alignment vertical="bottom"/>
    </xf>
    <xf borderId="21" fillId="2" fontId="19" numFmtId="2" xfId="0" applyAlignment="1" applyBorder="1" applyFill="1" applyFont="1" applyNumberFormat="1">
      <alignment vertical="bottom"/>
    </xf>
    <xf borderId="25" fillId="2" fontId="2" numFmtId="3" xfId="0" applyAlignment="1" applyBorder="1" applyFill="1" applyFont="1" applyNumberFormat="1">
      <alignment horizontal="center"/>
    </xf>
    <xf borderId="0" fillId="0" fontId="18" numFmtId="0" xfId="0" applyAlignment="1" applyFont="1">
      <alignment horizontal="right" readingOrder="0" vertical="bottom"/>
    </xf>
    <xf borderId="0" fillId="2" fontId="17" numFmtId="2" xfId="0" applyFill="1" applyFont="1" applyNumberFormat="1"/>
    <xf borderId="19" fillId="2" fontId="14" numFmtId="0" xfId="0" applyAlignment="1" applyBorder="1" applyFill="1" applyFont="1">
      <alignment horizontal="center" vertical="bottom"/>
    </xf>
    <xf borderId="2" fillId="2" fontId="2" numFmtId="4" xfId="0" applyAlignment="1" applyBorder="1" applyFill="1" applyFont="1" applyNumberFormat="1">
      <alignment horizontal="center" vertical="bottom"/>
    </xf>
    <xf borderId="2" fillId="2" fontId="27" numFmtId="0" xfId="0" applyAlignment="1" applyBorder="1" applyFill="1" applyFont="1">
      <alignment vertical="bottom"/>
    </xf>
    <xf borderId="2" fillId="2" fontId="2" numFmtId="0" xfId="0" applyAlignment="1" applyBorder="1" applyFill="1" applyFont="1">
      <alignment horizontal="center" vertical="bottom"/>
    </xf>
    <xf borderId="0" fillId="0" fontId="18" numFmtId="0" xfId="0" applyAlignment="1" applyFont="1">
      <alignment vertical="bottom"/>
    </xf>
    <xf borderId="20" fillId="5" fontId="30" numFmtId="0" xfId="0" applyAlignment="1" applyBorder="1" applyFill="1" applyFont="1">
      <alignment horizontal="center" vertical="bottom"/>
    </xf>
    <xf borderId="2" fillId="2" fontId="2" numFmtId="3" xfId="0" applyAlignment="1" applyBorder="1" applyFill="1" applyFont="1" applyNumberFormat="1">
      <alignment horizontal="center" vertical="bottom"/>
    </xf>
    <xf borderId="21" fillId="5" fontId="30" numFmtId="0" xfId="0" applyAlignment="1" applyBorder="1" applyFill="1" applyFont="1">
      <alignment horizontal="center" vertical="bottom"/>
    </xf>
    <xf borderId="0" fillId="0" fontId="19" numFmtId="167" xfId="0" applyAlignment="1" applyFont="1" applyNumberFormat="1">
      <alignment horizontal="right" readingOrder="0" vertical="bottom"/>
    </xf>
    <xf borderId="0" fillId="0" fontId="19" numFmtId="2" xfId="0" applyAlignment="1" applyFont="1" applyNumberFormat="1">
      <alignment horizontal="right" vertical="bottom"/>
    </xf>
    <xf borderId="25" fillId="2" fontId="2" numFmtId="3" xfId="0" applyAlignment="1" applyBorder="1" applyFill="1" applyFont="1" applyNumberFormat="1">
      <alignment horizontal="center" vertical="bottom"/>
    </xf>
    <xf borderId="22" fillId="2" fontId="31" numFmtId="0" xfId="0" applyAlignment="1" applyBorder="1" applyFill="1" applyFont="1">
      <alignment readingOrder="0"/>
    </xf>
    <xf borderId="26" fillId="0" fontId="4" numFmtId="0" xfId="0" applyBorder="1" applyFont="1"/>
    <xf borderId="20" fillId="0" fontId="4" numFmtId="0" xfId="0" applyBorder="1" applyFont="1"/>
    <xf borderId="0" fillId="2" fontId="31" numFmtId="0" xfId="0" applyAlignment="1" applyFill="1" applyFont="1">
      <alignment readingOrder="0"/>
    </xf>
    <xf borderId="22" fillId="5" fontId="30" numFmtId="0" xfId="0" applyAlignment="1" applyBorder="1" applyFill="1" applyFont="1">
      <alignment horizontal="center" vertical="bottom"/>
    </xf>
    <xf borderId="19" fillId="2" fontId="2" numFmtId="0" xfId="0" applyAlignment="1" applyBorder="1" applyFill="1" applyFont="1">
      <alignment horizontal="center" vertical="bottom"/>
    </xf>
    <xf borderId="22" fillId="2" fontId="32" numFmtId="0" xfId="0" applyAlignment="1" applyBorder="1" applyFill="1" applyFont="1">
      <alignment readingOrder="0"/>
    </xf>
    <xf borderId="23" fillId="2" fontId="2" numFmtId="0" xfId="0" applyAlignment="1" applyBorder="1" applyFill="1" applyFont="1">
      <alignment horizontal="left" vertical="bottom"/>
    </xf>
    <xf borderId="24" fillId="2" fontId="19" numFmtId="0" xfId="0" applyAlignment="1" applyBorder="1" applyFill="1" applyFont="1">
      <alignment vertical="bottom"/>
    </xf>
    <xf borderId="19" fillId="2" fontId="2" numFmtId="168" xfId="0" applyAlignment="1" applyBorder="1" applyFill="1" applyFont="1" applyNumberFormat="1">
      <alignment horizontal="center" vertical="bottom"/>
    </xf>
    <xf borderId="0" fillId="0" fontId="17" numFmtId="0" xfId="0" applyAlignment="1" applyFont="1">
      <alignment horizontal="left" readingOrder="0"/>
    </xf>
    <xf borderId="19" fillId="2" fontId="2" numFmtId="4" xfId="0" applyAlignment="1" applyBorder="1" applyFill="1" applyFont="1" applyNumberFormat="1">
      <alignment horizontal="center" vertical="bottom"/>
    </xf>
    <xf borderId="19" fillId="2" fontId="2" numFmtId="1" xfId="0" applyAlignment="1" applyBorder="1" applyFill="1" applyFont="1" applyNumberFormat="1">
      <alignment horizontal="center" vertical="bottom"/>
    </xf>
    <xf borderId="19" fillId="2" fontId="2" numFmtId="2" xfId="0" applyAlignment="1" applyBorder="1" applyFill="1" applyFont="1" applyNumberFormat="1">
      <alignment horizontal="center" vertical="bottom"/>
    </xf>
    <xf borderId="0" fillId="0" fontId="18" numFmtId="0" xfId="0" applyAlignment="1" applyFont="1">
      <alignment readingOrder="0" vertical="bottom"/>
    </xf>
    <xf borderId="0" fillId="0" fontId="18" numFmtId="0" xfId="0" applyAlignment="1" applyFont="1">
      <alignment vertical="bottom"/>
    </xf>
    <xf borderId="0" fillId="0" fontId="18" numFmtId="0" xfId="0" applyAlignment="1" applyFont="1">
      <alignment vertical="bottom"/>
    </xf>
    <xf borderId="0" fillId="0" fontId="19" numFmtId="0" xfId="0" applyAlignment="1" applyFont="1">
      <alignment vertical="bottom"/>
    </xf>
    <xf borderId="0" fillId="0" fontId="19" numFmtId="0" xfId="0" applyAlignment="1" applyFont="1">
      <alignment horizontal="right" vertical="bottom"/>
    </xf>
    <xf borderId="0" fillId="0" fontId="33" numFmtId="2" xfId="0" applyAlignment="1" applyFont="1" applyNumberFormat="1">
      <alignment vertical="bottom"/>
    </xf>
    <xf borderId="0" fillId="0" fontId="19" numFmtId="165" xfId="0" applyAlignment="1" applyFont="1" applyNumberFormat="1">
      <alignment horizontal="right" vertical="bottom"/>
    </xf>
    <xf borderId="0" fillId="5" fontId="34" numFmtId="2" xfId="0" applyAlignment="1" applyFill="1" applyFont="1" applyNumberFormat="1">
      <alignment vertical="bottom"/>
    </xf>
    <xf borderId="1" fillId="4" fontId="3" numFmtId="0" xfId="0" applyAlignment="1" applyBorder="1" applyFill="1" applyFont="1">
      <alignment horizontal="center" vertical="bottom"/>
    </xf>
    <xf borderId="23" fillId="2" fontId="2" numFmtId="4" xfId="0" applyAlignment="1" applyBorder="1" applyFill="1" applyFont="1" applyNumberFormat="1">
      <alignment horizontal="left" vertical="bottom"/>
    </xf>
    <xf borderId="24" fillId="2" fontId="14" numFmtId="0" xfId="0" applyAlignment="1" applyBorder="1" applyFill="1" applyFont="1">
      <alignment vertical="bottom"/>
    </xf>
    <xf borderId="24" fillId="2" fontId="14" numFmtId="4" xfId="0" applyAlignment="1" applyBorder="1" applyFill="1" applyFont="1" applyNumberFormat="1">
      <alignment vertical="bottom"/>
    </xf>
    <xf borderId="1" fillId="4" fontId="3" numFmtId="0" xfId="0" applyAlignment="1" applyBorder="1" applyFill="1" applyFont="1">
      <alignment horizontal="center" vertical="bottom"/>
    </xf>
    <xf borderId="0" fillId="2" fontId="19" numFmtId="2" xfId="0" applyAlignment="1" applyFill="1" applyFont="1" applyNumberFormat="1">
      <alignment vertical="bottom"/>
    </xf>
    <xf borderId="0" fillId="2" fontId="14" numFmtId="2" xfId="0" applyAlignment="1" applyFill="1" applyFont="1" applyNumberFormat="1">
      <alignment horizontal="center" vertical="bottom"/>
    </xf>
    <xf borderId="0" fillId="0" fontId="4" numFmtId="2" xfId="0" applyAlignment="1" applyFont="1" applyNumberFormat="1">
      <alignment readingOrder="0"/>
    </xf>
    <xf borderId="0" fillId="0" fontId="4" numFmtId="49" xfId="0" applyAlignment="1" applyFont="1" applyNumberFormat="1">
      <alignment readingOrder="0"/>
    </xf>
    <xf borderId="0" fillId="0" fontId="35" numFmtId="0" xfId="0" applyAlignment="1" applyFont="1">
      <alignment readingOrder="0"/>
    </xf>
    <xf borderId="0" fillId="0" fontId="19" numFmtId="4" xfId="0" applyAlignment="1" applyFont="1" applyNumberFormat="1">
      <alignment vertical="bottom"/>
    </xf>
    <xf borderId="0" fillId="0" fontId="19" numFmtId="2" xfId="0" applyAlignment="1" applyFont="1" applyNumberFormat="1">
      <alignment vertical="bottom"/>
    </xf>
    <xf borderId="0" fillId="0" fontId="19" numFmtId="2" xfId="0" applyAlignment="1" applyFont="1" applyNumberFormat="1">
      <alignment readingOrder="0" vertical="bottom"/>
    </xf>
    <xf borderId="0" fillId="0" fontId="19" numFmtId="0" xfId="0" applyAlignment="1" applyFont="1">
      <alignment readingOrder="0" vertical="bottom"/>
    </xf>
    <xf borderId="1" fillId="4" fontId="3" numFmtId="2" xfId="0" applyAlignment="1" applyBorder="1" applyFill="1" applyFont="1" applyNumberFormat="1">
      <alignment horizontal="center" readingOrder="0" vertical="bottom"/>
    </xf>
    <xf borderId="1" fillId="4" fontId="3" numFmtId="1" xfId="0" applyAlignment="1" applyBorder="1" applyFill="1" applyFont="1" applyNumberFormat="1">
      <alignment horizontal="center" readingOrder="0" vertical="bottom"/>
    </xf>
    <xf borderId="5" fillId="5" fontId="8" numFmtId="2" xfId="0" applyAlignment="1" applyBorder="1" applyFill="1" applyFont="1" applyNumberFormat="1">
      <alignment horizontal="right" readingOrder="0"/>
    </xf>
    <xf borderId="5" fillId="0" fontId="28" numFmtId="2" xfId="0" applyAlignment="1" applyBorder="1" applyFont="1" applyNumberFormat="1">
      <alignment readingOrder="0"/>
    </xf>
    <xf borderId="0" fillId="0" fontId="4" numFmtId="164" xfId="0" applyAlignment="1" applyFont="1" applyNumberFormat="1">
      <alignment readingOrder="0"/>
    </xf>
    <xf borderId="27" fillId="2" fontId="2" numFmtId="4" xfId="0" applyAlignment="1" applyBorder="1" applyFill="1" applyFont="1" applyNumberFormat="1">
      <alignment horizontal="left" vertical="bottom"/>
    </xf>
    <xf borderId="28" fillId="2" fontId="14" numFmtId="4" xfId="0" applyAlignment="1" applyBorder="1" applyFill="1" applyFont="1" applyNumberFormat="1">
      <alignment vertical="bottom"/>
    </xf>
    <xf borderId="0" fillId="2" fontId="19" numFmtId="0" xfId="0" applyAlignment="1" applyFill="1" applyFont="1">
      <alignment vertical="bottom"/>
    </xf>
    <xf borderId="0" fillId="2" fontId="14" numFmtId="0" xfId="0" applyAlignment="1" applyFill="1" applyFont="1">
      <alignment horizontal="center" vertical="bottom"/>
    </xf>
    <xf borderId="21" fillId="2" fontId="19" numFmtId="0" xfId="0" applyAlignment="1" applyBorder="1" applyFill="1" applyFont="1">
      <alignment vertical="bottom"/>
    </xf>
    <xf borderId="19" fillId="2" fontId="14" numFmtId="3" xfId="0" applyAlignment="1" applyBorder="1" applyFill="1" applyFont="1" applyNumberFormat="1">
      <alignment horizontal="center" readingOrder="0" vertical="bottom"/>
    </xf>
    <xf borderId="23" fillId="2" fontId="2" numFmtId="0" xfId="0" applyAlignment="1" applyBorder="1" applyFill="1" applyFont="1">
      <alignment horizontal="center" vertical="bottom"/>
    </xf>
    <xf borderId="20" fillId="2" fontId="19" numFmtId="0" xfId="0" applyAlignment="1" applyBorder="1" applyFill="1" applyFont="1">
      <alignment vertical="bottom"/>
    </xf>
    <xf borderId="22" fillId="2" fontId="19" numFmtId="0" xfId="0" applyAlignment="1" applyBorder="1" applyFill="1" applyFont="1">
      <alignment vertical="bottom"/>
    </xf>
    <xf borderId="19" fillId="2" fontId="36" numFmtId="0" xfId="0" applyAlignment="1" applyBorder="1" applyFill="1" applyFont="1">
      <alignment horizontal="center" vertical="bottom"/>
    </xf>
    <xf borderId="19" fillId="2" fontId="2" numFmtId="167" xfId="0" applyAlignment="1" applyBorder="1" applyFill="1" applyFont="1" applyNumberFormat="1">
      <alignment horizontal="right" vertical="bottom"/>
    </xf>
    <xf borderId="19" fillId="2" fontId="19" numFmtId="0" xfId="0" applyAlignment="1" applyBorder="1" applyFill="1" applyFont="1">
      <alignment vertical="bottom"/>
    </xf>
    <xf borderId="19" fillId="2" fontId="2" numFmtId="2" xfId="0" applyAlignment="1" applyBorder="1" applyFill="1" applyFont="1" applyNumberFormat="1">
      <alignment horizontal="right" vertical="bottom"/>
    </xf>
    <xf borderId="0" fillId="2" fontId="17" numFmtId="2" xfId="0" applyAlignment="1" applyFill="1" applyFont="1" applyNumberFormat="1">
      <alignment horizontal="center"/>
    </xf>
    <xf borderId="0" fillId="2" fontId="9" numFmtId="2" xfId="0" applyFill="1" applyFont="1" applyNumberFormat="1"/>
    <xf borderId="0" fillId="2" fontId="17" numFmtId="0" xfId="0" applyAlignment="1" applyFill="1" applyFont="1">
      <alignment horizontal="center"/>
    </xf>
    <xf borderId="0" fillId="2" fontId="9" numFmtId="0" xfId="0" applyAlignment="1" applyFill="1" applyFont="1">
      <alignment horizontal="center"/>
    </xf>
    <xf borderId="0" fillId="0" fontId="18" numFmtId="0" xfId="0" applyAlignment="1" applyFont="1">
      <alignment readingOrder="0" shrinkToFit="0" vertical="bottom" wrapText="0"/>
    </xf>
    <xf borderId="0" fillId="0" fontId="19" numFmtId="0" xfId="0" applyAlignment="1" applyFont="1">
      <alignment horizontal="right" readingOrder="0" shrinkToFit="0" vertical="bottom" wrapText="0"/>
    </xf>
    <xf borderId="0" fillId="0" fontId="19" numFmtId="0" xfId="0" applyAlignment="1" applyFont="1">
      <alignment shrinkToFit="0" vertical="bottom" wrapText="0"/>
    </xf>
    <xf borderId="0" fillId="0" fontId="19" numFmtId="0" xfId="0" applyAlignment="1" applyFont="1">
      <alignment readingOrder="0" shrinkToFit="0" vertical="bottom" wrapText="0"/>
    </xf>
    <xf borderId="0" fillId="0" fontId="19" numFmtId="0" xfId="0" applyAlignment="1" applyFont="1">
      <alignment shrinkToFit="0" vertical="bottom" wrapText="0"/>
    </xf>
    <xf borderId="5" fillId="0" fontId="28" numFmtId="0" xfId="0" applyBorder="1" applyFont="1"/>
    <xf borderId="18" fillId="0" fontId="28" numFmtId="0" xfId="0" applyBorder="1" applyFont="1"/>
    <xf borderId="0" fillId="0" fontId="19" numFmtId="11" xfId="0" applyAlignment="1" applyFont="1" applyNumberFormat="1">
      <alignment horizontal="right" readingOrder="0" shrinkToFit="0" vertical="bottom" wrapText="0"/>
    </xf>
    <xf borderId="0" fillId="0" fontId="19" numFmtId="0" xfId="0" applyAlignment="1" applyFont="1">
      <alignment horizontal="right" readingOrder="0" vertical="bottom"/>
    </xf>
    <xf borderId="0" fillId="0" fontId="19" numFmtId="0" xfId="0" applyAlignment="1" applyFont="1">
      <alignment readingOrder="0" vertical="bottom"/>
    </xf>
    <xf borderId="0" fillId="0" fontId="19" numFmtId="0" xfId="0" applyAlignment="1" applyFont="1">
      <alignment horizontal="right" vertical="bottom"/>
    </xf>
    <xf borderId="0" fillId="0" fontId="19" numFmtId="0" xfId="0" applyAlignment="1" applyFont="1">
      <alignment vertical="bottom"/>
    </xf>
    <xf borderId="0" fillId="0" fontId="28" numFmtId="0" xfId="0" applyAlignment="1" applyFont="1">
      <alignment horizontal="center" vertical="bottom"/>
    </xf>
    <xf borderId="0" fillId="0" fontId="19" numFmtId="0" xfId="0" applyAlignment="1" applyFont="1">
      <alignment horizontal="center" vertical="bottom"/>
    </xf>
    <xf borderId="21" fillId="0" fontId="28" numFmtId="0" xfId="0" applyAlignment="1" applyBorder="1" applyFont="1">
      <alignment vertical="bottom"/>
    </xf>
    <xf borderId="21" fillId="0" fontId="28" numFmtId="0" xfId="0" applyAlignment="1" applyBorder="1" applyFont="1">
      <alignment horizontal="center" vertical="bottom"/>
    </xf>
    <xf borderId="21" fillId="0" fontId="19" numFmtId="0" xfId="0" applyAlignment="1" applyBorder="1" applyFont="1">
      <alignment horizontal="right" vertical="bottom"/>
    </xf>
    <xf borderId="21" fillId="0" fontId="37" numFmtId="0" xfId="0" applyAlignment="1" applyBorder="1" applyFont="1">
      <alignment horizontal="right" vertical="bottom"/>
    </xf>
    <xf borderId="21" fillId="0" fontId="37" numFmtId="0" xfId="0" applyAlignment="1" applyBorder="1" applyFont="1">
      <alignment vertical="bottom"/>
    </xf>
    <xf borderId="21" fillId="0" fontId="37" numFmtId="168" xfId="0" applyAlignment="1" applyBorder="1" applyFont="1" applyNumberFormat="1">
      <alignment horizontal="right" vertical="bottom"/>
    </xf>
    <xf borderId="21" fillId="0" fontId="37" numFmtId="165" xfId="0" applyAlignment="1" applyBorder="1" applyFont="1" applyNumberFormat="1">
      <alignment horizontal="right" vertical="bottom"/>
    </xf>
    <xf borderId="0" fillId="5" fontId="30" numFmtId="0" xfId="0" applyAlignment="1" applyFill="1" applyFont="1">
      <alignment vertical="bottom"/>
    </xf>
    <xf borderId="21" fillId="0" fontId="19" numFmtId="4" xfId="0" applyAlignment="1" applyBorder="1" applyFont="1" applyNumberFormat="1">
      <alignment vertical="bottom"/>
    </xf>
    <xf borderId="21" fillId="0" fontId="19" numFmtId="168" xfId="0" applyAlignment="1" applyBorder="1" applyFont="1" applyNumberFormat="1">
      <alignment vertical="bottom"/>
    </xf>
    <xf borderId="21" fillId="0" fontId="19" numFmtId="165" xfId="0" applyAlignment="1" applyBorder="1" applyFont="1" applyNumberFormat="1">
      <alignment vertical="bottom"/>
    </xf>
    <xf borderId="0" fillId="5" fontId="19" numFmtId="4" xfId="0" applyAlignment="1" applyFill="1" applyFont="1" applyNumberFormat="1">
      <alignment vertical="bottom"/>
    </xf>
    <xf borderId="21" fillId="0" fontId="38" numFmtId="4" xfId="0" applyAlignment="1" applyBorder="1" applyFont="1" applyNumberFormat="1">
      <alignment vertical="bottom"/>
    </xf>
    <xf borderId="0" fillId="5" fontId="38" numFmtId="4" xfId="0" applyAlignment="1" applyFill="1" applyFont="1" applyNumberFormat="1">
      <alignment vertical="bottom"/>
    </xf>
    <xf borderId="21" fillId="0" fontId="19" numFmtId="3" xfId="0" applyAlignment="1" applyBorder="1" applyFont="1" applyNumberFormat="1">
      <alignment horizontal="right" vertical="bottom"/>
    </xf>
    <xf borderId="21" fillId="0" fontId="37" numFmtId="167" xfId="0" applyAlignment="1" applyBorder="1" applyFont="1" applyNumberFormat="1">
      <alignment horizontal="right" vertical="bottom"/>
    </xf>
    <xf borderId="21" fillId="0" fontId="37" numFmtId="2" xfId="0" applyAlignment="1" applyBorder="1" applyFont="1" applyNumberFormat="1">
      <alignment horizontal="right" vertical="bottom"/>
    </xf>
    <xf borderId="21" fillId="0" fontId="38" numFmtId="168" xfId="0" applyAlignment="1" applyBorder="1" applyFont="1" applyNumberFormat="1">
      <alignment vertical="bottom"/>
    </xf>
    <xf borderId="21" fillId="0" fontId="38" numFmtId="165" xfId="0" applyAlignment="1" applyBorder="1" applyFont="1" applyNumberFormat="1">
      <alignment vertical="bottom"/>
    </xf>
    <xf borderId="29" fillId="0" fontId="18" numFmtId="0" xfId="0" applyAlignment="1" applyBorder="1" applyFont="1">
      <alignment vertical="bottom"/>
    </xf>
    <xf borderId="30" fillId="2" fontId="6" numFmtId="0" xfId="0" applyAlignment="1" applyBorder="1" applyFill="1" applyFont="1">
      <alignment horizontal="center" readingOrder="0"/>
    </xf>
    <xf borderId="30" fillId="2" fontId="6" numFmtId="0" xfId="0" applyAlignment="1" applyBorder="1" applyFill="1" applyFont="1">
      <alignment horizontal="center"/>
    </xf>
    <xf borderId="30" fillId="2" fontId="6" numFmtId="0" xfId="0" applyBorder="1" applyFill="1" applyFont="1"/>
    <xf borderId="30" fillId="2" fontId="6" numFmtId="2" xfId="0" applyBorder="1" applyFill="1" applyFont="1" applyNumberFormat="1"/>
    <xf borderId="30" fillId="0" fontId="28" numFmtId="2" xfId="0" applyBorder="1" applyFont="1" applyNumberFormat="1"/>
    <xf borderId="30" fillId="0" fontId="28" numFmtId="167" xfId="0" applyBorder="1" applyFont="1" applyNumberFormat="1"/>
    <xf borderId="30" fillId="2" fontId="6" numFmtId="167" xfId="0" applyBorder="1" applyFill="1" applyFont="1" applyNumberFormat="1"/>
    <xf borderId="30" fillId="2" fontId="6" numFmtId="167" xfId="0" applyAlignment="1" applyBorder="1" applyFill="1" applyFont="1" applyNumberFormat="1">
      <alignment horizontal="right"/>
    </xf>
    <xf borderId="30" fillId="0" fontId="28" numFmtId="0" xfId="0" applyBorder="1" applyFont="1"/>
    <xf borderId="31" fillId="0" fontId="28" numFmtId="0" xfId="0" applyBorder="1" applyFont="1"/>
    <xf borderId="32" fillId="0" fontId="19" numFmtId="0" xfId="0" applyAlignment="1" applyBorder="1" applyFont="1">
      <alignment vertical="bottom"/>
    </xf>
    <xf borderId="0" fillId="2" fontId="2" numFmtId="0" xfId="0" applyAlignment="1" applyFill="1" applyFont="1">
      <alignment horizontal="center" readingOrder="0"/>
    </xf>
    <xf borderId="4" fillId="2" fontId="2" numFmtId="0" xfId="0" applyAlignment="1" applyBorder="1" applyFill="1" applyFont="1">
      <alignment horizontal="center" readingOrder="0"/>
    </xf>
    <xf borderId="4" fillId="2" fontId="2" numFmtId="0" xfId="0" applyAlignment="1" applyBorder="1" applyFill="1" applyFont="1">
      <alignment horizontal="center"/>
    </xf>
    <xf borderId="4" fillId="2" fontId="2" numFmtId="0" xfId="0" applyBorder="1" applyFill="1" applyFont="1"/>
    <xf borderId="4" fillId="2" fontId="2" numFmtId="2" xfId="0" applyBorder="1" applyFill="1" applyFont="1" applyNumberFormat="1"/>
    <xf borderId="4" fillId="0" fontId="37" numFmtId="2" xfId="0" applyBorder="1" applyFont="1" applyNumberFormat="1"/>
    <xf borderId="4" fillId="0" fontId="37" numFmtId="167" xfId="0" applyBorder="1" applyFont="1" applyNumberFormat="1"/>
    <xf borderId="4" fillId="2" fontId="2" numFmtId="167" xfId="0" applyBorder="1" applyFill="1" applyFont="1" applyNumberFormat="1"/>
    <xf borderId="4" fillId="2" fontId="2" numFmtId="167" xfId="0" applyAlignment="1" applyBorder="1" applyFill="1" applyFont="1" applyNumberFormat="1">
      <alignment horizontal="right"/>
    </xf>
    <xf borderId="4" fillId="0" fontId="37" numFmtId="0" xfId="0" applyBorder="1" applyFont="1"/>
    <xf borderId="0" fillId="2" fontId="4" numFmtId="0" xfId="0" applyAlignment="1" applyFill="1" applyFont="1">
      <alignment horizontal="center"/>
    </xf>
    <xf borderId="6" fillId="0" fontId="19" numFmtId="0" xfId="0" applyAlignment="1" applyBorder="1" applyFont="1">
      <alignment vertical="bottom"/>
    </xf>
    <xf borderId="8" fillId="2" fontId="2" numFmtId="0" xfId="0" applyAlignment="1" applyBorder="1" applyFill="1" applyFont="1">
      <alignment horizontal="center" readingOrder="0"/>
    </xf>
    <xf borderId="5" fillId="2" fontId="2" numFmtId="0" xfId="0" applyAlignment="1" applyBorder="1" applyFill="1" applyFont="1">
      <alignment horizontal="center" readingOrder="0"/>
    </xf>
    <xf borderId="5" fillId="2" fontId="2" numFmtId="0" xfId="0" applyAlignment="1" applyBorder="1" applyFill="1" applyFont="1">
      <alignment horizontal="center"/>
    </xf>
    <xf borderId="5" fillId="2" fontId="2" numFmtId="0" xfId="0" applyBorder="1" applyFill="1" applyFont="1"/>
    <xf borderId="5" fillId="2" fontId="2" numFmtId="2" xfId="0" applyBorder="1" applyFill="1" applyFont="1" applyNumberFormat="1"/>
    <xf borderId="5" fillId="0" fontId="37" numFmtId="2" xfId="0" applyBorder="1" applyFont="1" applyNumberFormat="1"/>
    <xf borderId="5" fillId="0" fontId="37" numFmtId="167" xfId="0" applyBorder="1" applyFont="1" applyNumberFormat="1"/>
    <xf borderId="5" fillId="2" fontId="2" numFmtId="167" xfId="0" applyBorder="1" applyFill="1" applyFont="1" applyNumberFormat="1"/>
    <xf borderId="5" fillId="2" fontId="2" numFmtId="167" xfId="0" applyAlignment="1" applyBorder="1" applyFill="1" applyFont="1" applyNumberFormat="1">
      <alignment horizontal="right"/>
    </xf>
    <xf borderId="5" fillId="0" fontId="37" numFmtId="0" xfId="0" applyBorder="1" applyFont="1"/>
    <xf borderId="0" fillId="2" fontId="14" numFmtId="0" xfId="0" applyAlignment="1" applyFill="1" applyFont="1">
      <alignment vertical="bottom"/>
    </xf>
    <xf borderId="0" fillId="2" fontId="1" numFmtId="2" xfId="0" applyFill="1" applyFont="1" applyNumberFormat="1"/>
    <xf borderId="21" fillId="0" fontId="19" numFmtId="0" xfId="0" applyAlignment="1" applyBorder="1" applyFont="1">
      <alignment horizontal="right" readingOrder="0" vertical="bottom"/>
    </xf>
    <xf borderId="33" fillId="0" fontId="39" numFmtId="0" xfId="0" applyAlignment="1" applyBorder="1" applyFont="1">
      <alignment horizontal="center" readingOrder="0" vertical="center"/>
    </xf>
    <xf borderId="33" fillId="0" fontId="4" numFmtId="0" xfId="0" applyAlignment="1" applyBorder="1" applyFont="1">
      <alignment horizontal="center" readingOrder="0" vertical="center"/>
    </xf>
    <xf borderId="0" fillId="5" fontId="34" numFmtId="0" xfId="0" applyAlignment="1" applyFill="1" applyFont="1">
      <alignment horizontal="left"/>
    </xf>
    <xf borderId="34" fillId="0" fontId="4" numFmtId="0" xfId="0" applyBorder="1" applyFont="1"/>
    <xf borderId="0" fillId="0" fontId="40" numFmtId="0" xfId="0" applyAlignment="1" applyFont="1">
      <alignment readingOrder="0"/>
    </xf>
    <xf borderId="0" fillId="5" fontId="34" numFmtId="0" xfId="0" applyAlignment="1" applyFill="1" applyFont="1">
      <alignment horizontal="right"/>
    </xf>
    <xf borderId="0" fillId="5" fontId="34" numFmtId="0" xfId="0" applyFill="1" applyFont="1"/>
    <xf borderId="21" fillId="5" fontId="34" numFmtId="0" xfId="0" applyAlignment="1" applyBorder="1" applyFill="1" applyFont="1">
      <alignment horizontal="center"/>
    </xf>
    <xf borderId="21" fillId="0" fontId="37" numFmtId="0" xfId="0" applyBorder="1" applyFont="1"/>
    <xf borderId="21" fillId="0" fontId="28" numFmtId="0" xfId="0" applyBorder="1" applyFont="1"/>
    <xf borderId="21" fillId="0" fontId="28" numFmtId="0" xfId="0" applyAlignment="1" applyBorder="1" applyFont="1">
      <alignment readingOrder="0" vertical="bottom"/>
    </xf>
    <xf borderId="21" fillId="0" fontId="28" numFmtId="0" xfId="0" applyAlignment="1" applyBorder="1" applyFont="1">
      <alignment readingOrder="0"/>
    </xf>
    <xf borderId="21" fillId="0" fontId="37" numFmtId="0" xfId="0" applyAlignment="1" applyBorder="1" applyFont="1">
      <alignment readingOrder="0"/>
    </xf>
    <xf borderId="21" fillId="0" fontId="37" numFmtId="168" xfId="0" applyBorder="1" applyFont="1" applyNumberFormat="1"/>
    <xf borderId="21" fillId="0" fontId="37" numFmtId="167" xfId="0" applyBorder="1" applyFont="1" applyNumberFormat="1"/>
    <xf borderId="0" fillId="5" fontId="30" numFmtId="0" xfId="0" applyAlignment="1" applyFill="1" applyFont="1">
      <alignment horizontal="left"/>
    </xf>
    <xf borderId="0" fillId="0" fontId="37" numFmtId="0" xfId="0" applyFont="1"/>
    <xf borderId="21" fillId="0" fontId="28" numFmtId="0" xfId="0" applyAlignment="1" applyBorder="1" applyFont="1">
      <alignment horizontal="center" readingOrder="0"/>
    </xf>
    <xf borderId="22" fillId="0" fontId="37" numFmtId="0" xfId="0" applyBorder="1" applyFont="1"/>
    <xf borderId="2" fillId="2" fontId="6" numFmtId="3" xfId="0" applyAlignment="1" applyBorder="1" applyFill="1" applyFont="1" applyNumberFormat="1">
      <alignment readingOrder="0"/>
    </xf>
    <xf borderId="21" fillId="0" fontId="28" numFmtId="0" xfId="0" applyAlignment="1" applyBorder="1" applyFont="1">
      <alignment horizontal="left" readingOrder="0"/>
    </xf>
    <xf borderId="21" fillId="0" fontId="4" numFmtId="0" xfId="0" applyAlignment="1" applyBorder="1" applyFont="1">
      <alignment readingOrder="0"/>
    </xf>
    <xf borderId="21" fillId="5" fontId="30" numFmtId="0" xfId="0" applyAlignment="1" applyBorder="1" applyFill="1" applyFont="1">
      <alignment horizontal="center"/>
    </xf>
    <xf borderId="21" fillId="0" fontId="37" numFmtId="2" xfId="0" applyBorder="1" applyFont="1" applyNumberFormat="1"/>
    <xf borderId="0" fillId="5" fontId="41" numFmtId="0" xfId="0" applyAlignment="1" applyFill="1" applyFont="1">
      <alignment horizontal="center" readingOrder="0" shrinkToFit="0" wrapText="0"/>
    </xf>
    <xf borderId="0" fillId="2" fontId="42" numFmtId="0" xfId="0" applyAlignment="1" applyFill="1" applyFont="1">
      <alignment shrinkToFit="0" wrapText="0"/>
    </xf>
    <xf borderId="0" fillId="2" fontId="43" numFmtId="0" xfId="0" applyAlignment="1" applyFill="1" applyFont="1">
      <alignment readingOrder="0" shrinkToFit="0" wrapText="0"/>
    </xf>
    <xf borderId="0" fillId="5" fontId="44" numFmtId="0" xfId="0" applyAlignment="1" applyFill="1" applyFont="1">
      <alignment horizontal="left" readingOrder="0" shrinkToFit="0" wrapText="0"/>
    </xf>
    <xf borderId="0" fillId="5" fontId="45" numFmtId="0" xfId="0" applyAlignment="1" applyFill="1" applyFont="1">
      <alignment horizontal="left" readingOrder="0" shrinkToFit="0" wrapText="0"/>
    </xf>
    <xf borderId="0" fillId="5" fontId="44" numFmtId="0" xfId="0" applyAlignment="1" applyFill="1" applyFont="1">
      <alignment horizontal="center" readingOrder="0" shrinkToFit="0" wrapText="0"/>
    </xf>
    <xf borderId="0" fillId="5" fontId="43" numFmtId="0" xfId="0" applyAlignment="1" applyFill="1" applyFont="1">
      <alignment readingOrder="0" shrinkToFit="0" wrapText="0"/>
    </xf>
    <xf borderId="0" fillId="5" fontId="42" numFmtId="0" xfId="0" applyAlignment="1" applyFill="1" applyFont="1">
      <alignment shrinkToFit="0" wrapText="0"/>
    </xf>
    <xf borderId="0" fillId="2" fontId="43" numFmtId="0" xfId="0" applyAlignment="1" applyFill="1" applyFont="1">
      <alignment horizontal="left" readingOrder="0" shrinkToFit="0" wrapText="0"/>
    </xf>
    <xf borderId="0" fillId="2" fontId="46" numFmtId="0" xfId="0" applyAlignment="1" applyFill="1" applyFont="1">
      <alignment horizontal="left" readingOrder="0" shrinkToFit="0" wrapText="0"/>
    </xf>
    <xf borderId="0" fillId="2" fontId="46" numFmtId="0" xfId="0" applyAlignment="1" applyFill="1" applyFont="1">
      <alignment horizontal="left" shrinkToFit="0" wrapText="0"/>
    </xf>
    <xf borderId="0" fillId="5" fontId="43" numFmtId="0" xfId="0" applyAlignment="1" applyFill="1" applyFont="1">
      <alignment horizontal="left" readingOrder="0" shrinkToFit="0" wrapText="0"/>
    </xf>
    <xf borderId="0" fillId="5" fontId="46" numFmtId="0" xfId="0" applyAlignment="1" applyFill="1" applyFont="1">
      <alignment horizontal="left" readingOrder="0" shrinkToFit="0" wrapText="0"/>
    </xf>
    <xf borderId="0" fillId="5" fontId="46" numFmtId="0" xfId="0" applyAlignment="1" applyFill="1" applyFont="1">
      <alignment horizontal="left" shrinkToFit="0" wrapText="0"/>
    </xf>
    <xf borderId="0" fillId="5" fontId="46" numFmtId="0" xfId="0" applyAlignment="1" applyFill="1" applyFont="1">
      <alignment horizontal="left" shrinkToFit="0" wrapText="0"/>
    </xf>
    <xf borderId="0" fillId="2" fontId="46" numFmtId="0" xfId="0" applyAlignment="1" applyFill="1" applyFont="1">
      <alignment horizontal="left" shrinkToFit="0" wrapText="0"/>
    </xf>
    <xf borderId="0" fillId="5" fontId="47" numFmtId="0" xfId="0" applyAlignment="1" applyFill="1" applyFont="1">
      <alignment readingOrder="0" shrinkToFit="0" wrapText="0"/>
    </xf>
    <xf borderId="0" fillId="2" fontId="47" numFmtId="0" xfId="0" applyAlignment="1" applyFill="1" applyFont="1">
      <alignment readingOrder="0" shrinkToFit="0" wrapText="0"/>
    </xf>
    <xf borderId="0" fillId="5" fontId="41" numFmtId="0" xfId="0" applyAlignment="1" applyFill="1" applyFont="1">
      <alignment horizontal="right" readingOrder="0" shrinkToFit="0" wrapText="0"/>
    </xf>
    <xf borderId="0" fillId="0" fontId="48" numFmtId="0" xfId="0" applyAlignment="1" applyFont="1">
      <alignment horizontal="right" readingOrder="0" shrinkToFit="0" wrapText="0"/>
    </xf>
    <xf borderId="0" fillId="0" fontId="49" numFmtId="164" xfId="0" applyAlignment="1" applyFont="1" applyNumberFormat="1">
      <alignment horizontal="right" readingOrder="0" shrinkToFit="0" wrapText="0"/>
    </xf>
    <xf borderId="0" fillId="0" fontId="50" numFmtId="0" xfId="0" applyAlignment="1" applyFont="1">
      <alignment horizontal="right" shrinkToFit="0" wrapText="0"/>
    </xf>
    <xf borderId="0" fillId="2" fontId="43" numFmtId="0" xfId="0" applyAlignment="1" applyFill="1" applyFont="1">
      <alignment horizontal="right" readingOrder="0" shrinkToFit="0" wrapText="0"/>
    </xf>
    <xf borderId="0" fillId="0" fontId="43" numFmtId="0" xfId="0" applyAlignment="1" applyFont="1">
      <alignment horizontal="right" readingOrder="0" shrinkToFit="0" wrapText="0"/>
    </xf>
    <xf borderId="0" fillId="0" fontId="42" numFmtId="0" xfId="0" applyAlignment="1" applyFont="1">
      <alignment horizontal="right" shrinkToFit="0" wrapText="0"/>
    </xf>
    <xf borderId="0" fillId="2" fontId="42" numFmtId="0" xfId="0" applyAlignment="1" applyFill="1" applyFont="1">
      <alignment horizontal="right" shrinkToFit="0" wrapText="0"/>
    </xf>
    <xf borderId="0" fillId="2" fontId="47" numFmtId="0" xfId="0" applyAlignment="1" applyFill="1" applyFont="1">
      <alignment horizontal="right" readingOrder="0" shrinkToFit="0" wrapText="0"/>
    </xf>
    <xf borderId="0" fillId="0" fontId="47" numFmtId="0" xfId="0" applyAlignment="1" applyFont="1">
      <alignment horizontal="right" readingOrder="0" shrinkToFit="0" wrapText="0"/>
    </xf>
    <xf borderId="0" fillId="5" fontId="51" numFmtId="0" xfId="0" applyAlignment="1" applyFill="1" applyFont="1">
      <alignment horizontal="right" readingOrder="0" shrinkToFit="0" wrapText="0"/>
    </xf>
    <xf borderId="0" fillId="5" fontId="43" numFmtId="0" xfId="0" applyAlignment="1" applyFill="1" applyFont="1">
      <alignment horizontal="right" readingOrder="0" shrinkToFit="0" wrapText="0"/>
    </xf>
    <xf borderId="0" fillId="5" fontId="30" numFmtId="0" xfId="0" applyAlignment="1" applyFill="1" applyFont="1">
      <alignment horizontal="right"/>
    </xf>
    <xf borderId="0" fillId="0" fontId="4" numFmtId="4" xfId="0" applyAlignment="1" applyFont="1" applyNumberFormat="1">
      <alignment readingOrder="0"/>
    </xf>
    <xf borderId="0" fillId="0" fontId="19" numFmtId="4" xfId="0" applyAlignment="1" applyFont="1" applyNumberFormat="1">
      <alignment horizontal="right" vertical="bottom"/>
    </xf>
    <xf borderId="0" fillId="0" fontId="4" numFmtId="4" xfId="0" applyFont="1" applyNumberFormat="1"/>
    <xf borderId="0" fillId="5" fontId="38" numFmtId="2" xfId="0" applyAlignment="1" applyFill="1" applyFont="1" applyNumberFormat="1">
      <alignment horizontal="right" vertical="bottom"/>
    </xf>
    <xf borderId="0" fillId="5" fontId="34" numFmtId="2" xfId="0" applyAlignment="1" applyFill="1" applyFont="1" applyNumberFormat="1">
      <alignment horizontal="left"/>
    </xf>
  </cellXfs>
  <cellStyles count="1">
    <cellStyle xfId="0" name="Normal" builtinId="0"/>
  </cellStyles>
  <dxfs count="7">
    <dxf>
      <font/>
      <fill>
        <patternFill patternType="solid">
          <fgColor rgb="FF00FF00"/>
          <bgColor rgb="FF00FF00"/>
        </patternFill>
      </fill>
      <border/>
    </dxf>
    <dxf>
      <font>
        <color rgb="FF000000"/>
      </font>
      <fill>
        <patternFill patternType="solid">
          <fgColor rgb="FF00FF00"/>
          <bgColor rgb="FF00FF00"/>
        </patternFill>
      </fill>
      <border/>
    </dxf>
    <dxf>
      <font/>
      <fill>
        <patternFill patternType="solid">
          <fgColor rgb="FFFFFFFF"/>
          <bgColor rgb="FFFFFFFF"/>
        </patternFill>
      </fill>
      <border/>
    </dxf>
    <dxf>
      <font>
        <color rgb="FFFFFFFF"/>
      </font>
      <fill>
        <patternFill patternType="solid">
          <fgColor rgb="FF000000"/>
          <bgColor rgb="FF000000"/>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hashtagbasketball.com/15288/player" TargetMode="External"/><Relationship Id="rId194" Type="http://schemas.openxmlformats.org/officeDocument/2006/relationships/hyperlink" Target="https://hashtagbasketball.com/9659/player" TargetMode="External"/><Relationship Id="rId193" Type="http://schemas.openxmlformats.org/officeDocument/2006/relationships/hyperlink" Target="https://hashtagbasketball.com/10127/player" TargetMode="External"/><Relationship Id="rId192" Type="http://schemas.openxmlformats.org/officeDocument/2006/relationships/hyperlink" Target="https://hashtagbasketball.com/9387/player" TargetMode="External"/><Relationship Id="rId191" Type="http://schemas.openxmlformats.org/officeDocument/2006/relationships/hyperlink" Target="https://hashtagbasketball.com/17312/player" TargetMode="External"/><Relationship Id="rId187" Type="http://schemas.openxmlformats.org/officeDocument/2006/relationships/hyperlink" Target="https://hashtagbasketball.com/27590/player" TargetMode="External"/><Relationship Id="rId186" Type="http://schemas.openxmlformats.org/officeDocument/2006/relationships/hyperlink" Target="https://hashtagbasketball.com/9202/player" TargetMode="External"/><Relationship Id="rId185" Type="http://schemas.openxmlformats.org/officeDocument/2006/relationships/hyperlink" Target="https://hashtagbasketball.com/13740/player" TargetMode="External"/><Relationship Id="rId184" Type="http://schemas.openxmlformats.org/officeDocument/2006/relationships/hyperlink" Target="https://hashtagbasketball.com/9283/player" TargetMode="External"/><Relationship Id="rId189" Type="http://schemas.openxmlformats.org/officeDocument/2006/relationships/hyperlink" Target="https://hashtagbasketball.com/9342/player" TargetMode="External"/><Relationship Id="rId188" Type="http://schemas.openxmlformats.org/officeDocument/2006/relationships/hyperlink" Target="https://hashtagbasketball.com/120004/player" TargetMode="External"/><Relationship Id="rId183" Type="http://schemas.openxmlformats.org/officeDocument/2006/relationships/hyperlink" Target="https://hashtagbasketball.com/120005/player" TargetMode="External"/><Relationship Id="rId182" Type="http://schemas.openxmlformats.org/officeDocument/2006/relationships/hyperlink" Target="https://hashtagbasketball.com/38570/player" TargetMode="External"/><Relationship Id="rId181" Type="http://schemas.openxmlformats.org/officeDocument/2006/relationships/hyperlink" Target="https://hashtagbasketball.com/17305/player" TargetMode="External"/><Relationship Id="rId180" Type="http://schemas.openxmlformats.org/officeDocument/2006/relationships/hyperlink" Target="https://hashtagbasketball.com/15355/player" TargetMode="External"/><Relationship Id="rId176" Type="http://schemas.openxmlformats.org/officeDocument/2006/relationships/hyperlink" Target="https://hashtagbasketball.com/111214/player" TargetMode="External"/><Relationship Id="rId297" Type="http://schemas.openxmlformats.org/officeDocument/2006/relationships/hyperlink" Target="https://hashtagbasketball.com/9390/player" TargetMode="External"/><Relationship Id="rId175" Type="http://schemas.openxmlformats.org/officeDocument/2006/relationships/hyperlink" Target="https://hashtagbasketball.com/13733/player" TargetMode="External"/><Relationship Id="rId296" Type="http://schemas.openxmlformats.org/officeDocument/2006/relationships/hyperlink" Target="https://hashtagbasketball.com/111229/player" TargetMode="External"/><Relationship Id="rId174" Type="http://schemas.openxmlformats.org/officeDocument/2006/relationships/hyperlink" Target="https://hashtagbasketball.com/10087/player" TargetMode="External"/><Relationship Id="rId295" Type="http://schemas.openxmlformats.org/officeDocument/2006/relationships/hyperlink" Target="https://hashtagbasketball.com/9509/player" TargetMode="External"/><Relationship Id="rId173" Type="http://schemas.openxmlformats.org/officeDocument/2006/relationships/hyperlink" Target="https://hashtagbasketball.com/38941/player" TargetMode="External"/><Relationship Id="rId294" Type="http://schemas.openxmlformats.org/officeDocument/2006/relationships/hyperlink" Target="https://hashtagbasketball.com/9191/player" TargetMode="External"/><Relationship Id="rId179" Type="http://schemas.openxmlformats.org/officeDocument/2006/relationships/hyperlink" Target="https://hashtagbasketball.com/38953/player" TargetMode="External"/><Relationship Id="rId178" Type="http://schemas.openxmlformats.org/officeDocument/2006/relationships/hyperlink" Target="https://hashtagbasketball.com/13728/player" TargetMode="External"/><Relationship Id="rId299" Type="http://schemas.openxmlformats.org/officeDocument/2006/relationships/hyperlink" Target="https://hashtagbasketball.com/9467/player" TargetMode="External"/><Relationship Id="rId177" Type="http://schemas.openxmlformats.org/officeDocument/2006/relationships/hyperlink" Target="https://hashtagbasketball.com/15216/player" TargetMode="External"/><Relationship Id="rId298" Type="http://schemas.openxmlformats.org/officeDocument/2006/relationships/hyperlink" Target="https://hashtagbasketball.com/27636/player" TargetMode="External"/><Relationship Id="rId198" Type="http://schemas.openxmlformats.org/officeDocument/2006/relationships/hyperlink" Target="https://hashtagbasketball.com/10129/player" TargetMode="External"/><Relationship Id="rId197" Type="http://schemas.openxmlformats.org/officeDocument/2006/relationships/hyperlink" Target="https://hashtagbasketball.com/9317/player" TargetMode="External"/><Relationship Id="rId196" Type="http://schemas.openxmlformats.org/officeDocument/2006/relationships/hyperlink" Target="https://hashtagbasketball.com/39836/player" TargetMode="External"/><Relationship Id="rId195" Type="http://schemas.openxmlformats.org/officeDocument/2006/relationships/hyperlink" Target="https://hashtagbasketball.com/15300/player" TargetMode="External"/><Relationship Id="rId199" Type="http://schemas.openxmlformats.org/officeDocument/2006/relationships/hyperlink" Target="https://hashtagbasketball.com/31067/player" TargetMode="External"/><Relationship Id="rId150" Type="http://schemas.openxmlformats.org/officeDocument/2006/relationships/hyperlink" Target="https://hashtagbasketball.com/109467/player" TargetMode="External"/><Relationship Id="rId271" Type="http://schemas.openxmlformats.org/officeDocument/2006/relationships/hyperlink" Target="https://hashtagbasketball.com/15323/player" TargetMode="External"/><Relationship Id="rId392" Type="http://schemas.openxmlformats.org/officeDocument/2006/relationships/hyperlink" Target="https://hashtagbasketball.com/111219/player" TargetMode="External"/><Relationship Id="rId270" Type="http://schemas.openxmlformats.org/officeDocument/2006/relationships/hyperlink" Target="https://hashtagbasketball.com/53823/player" TargetMode="External"/><Relationship Id="rId391" Type="http://schemas.openxmlformats.org/officeDocument/2006/relationships/hyperlink" Target="https://hashtagbasketball.com/39834/player" TargetMode="External"/><Relationship Id="rId390" Type="http://schemas.openxmlformats.org/officeDocument/2006/relationships/hyperlink" Target="https://hashtagbasketball.com/37957/player" TargetMode="External"/><Relationship Id="rId1" Type="http://schemas.openxmlformats.org/officeDocument/2006/relationships/hyperlink" Target="https://hashtagbasketball.com/110399/player" TargetMode="External"/><Relationship Id="rId2" Type="http://schemas.openxmlformats.org/officeDocument/2006/relationships/hyperlink" Target="https://hashtagbasketball.com/9196/player" TargetMode="External"/><Relationship Id="rId3" Type="http://schemas.openxmlformats.org/officeDocument/2006/relationships/hyperlink" Target="https://hashtagbasketball.com/15208/player" TargetMode="External"/><Relationship Id="rId149" Type="http://schemas.openxmlformats.org/officeDocument/2006/relationships/hyperlink" Target="https://hashtagbasketball.com/9100/player" TargetMode="External"/><Relationship Id="rId4" Type="http://schemas.openxmlformats.org/officeDocument/2006/relationships/hyperlink" Target="https://hashtagbasketball.com/15200/player" TargetMode="External"/><Relationship Id="rId148" Type="http://schemas.openxmlformats.org/officeDocument/2006/relationships/hyperlink" Target="https://hashtagbasketball.com/15199/player" TargetMode="External"/><Relationship Id="rId269" Type="http://schemas.openxmlformats.org/officeDocument/2006/relationships/hyperlink" Target="https://hashtagbasketball.com/15324/player" TargetMode="External"/><Relationship Id="rId9" Type="http://schemas.openxmlformats.org/officeDocument/2006/relationships/hyperlink" Target="https://hashtagbasketball.com/15202/player" TargetMode="External"/><Relationship Id="rId143" Type="http://schemas.openxmlformats.org/officeDocument/2006/relationships/hyperlink" Target="https://hashtagbasketball.com/13756/player" TargetMode="External"/><Relationship Id="rId264" Type="http://schemas.openxmlformats.org/officeDocument/2006/relationships/hyperlink" Target="https://hashtagbasketball.com/120048/player" TargetMode="External"/><Relationship Id="rId385" Type="http://schemas.openxmlformats.org/officeDocument/2006/relationships/hyperlink" Target="https://hashtagbasketball.com/120022/player" TargetMode="External"/><Relationship Id="rId142" Type="http://schemas.openxmlformats.org/officeDocument/2006/relationships/hyperlink" Target="https://hashtagbasketball.com/17195/player" TargetMode="External"/><Relationship Id="rId263" Type="http://schemas.openxmlformats.org/officeDocument/2006/relationships/hyperlink" Target="https://hashtagbasketball.com/120011/player" TargetMode="External"/><Relationship Id="rId384" Type="http://schemas.openxmlformats.org/officeDocument/2006/relationships/hyperlink" Target="https://hashtagbasketball.com/120035/player" TargetMode="External"/><Relationship Id="rId141" Type="http://schemas.openxmlformats.org/officeDocument/2006/relationships/hyperlink" Target="https://hashtagbasketball.com/111205/player" TargetMode="External"/><Relationship Id="rId262" Type="http://schemas.openxmlformats.org/officeDocument/2006/relationships/hyperlink" Target="https://hashtagbasketball.com/11882/player" TargetMode="External"/><Relationship Id="rId383" Type="http://schemas.openxmlformats.org/officeDocument/2006/relationships/hyperlink" Target="https://hashtagbasketball.com/17236/player" TargetMode="External"/><Relationship Id="rId140" Type="http://schemas.openxmlformats.org/officeDocument/2006/relationships/hyperlink" Target="https://hashtagbasketball.com/17255/player" TargetMode="External"/><Relationship Id="rId261" Type="http://schemas.openxmlformats.org/officeDocument/2006/relationships/hyperlink" Target="https://hashtagbasketball.com/120002/player" TargetMode="External"/><Relationship Id="rId382" Type="http://schemas.openxmlformats.org/officeDocument/2006/relationships/hyperlink" Target="https://hashtagbasketball.com/111223/player" TargetMode="External"/><Relationship Id="rId5" Type="http://schemas.openxmlformats.org/officeDocument/2006/relationships/hyperlink" Target="https://hashtagbasketball.com/9354/player" TargetMode="External"/><Relationship Id="rId147" Type="http://schemas.openxmlformats.org/officeDocument/2006/relationships/hyperlink" Target="https://hashtagbasketball.com/17251/player" TargetMode="External"/><Relationship Id="rId268" Type="http://schemas.openxmlformats.org/officeDocument/2006/relationships/hyperlink" Target="https://hashtagbasketball.com/13790/player" TargetMode="External"/><Relationship Id="rId389" Type="http://schemas.openxmlformats.org/officeDocument/2006/relationships/hyperlink" Target="https://hashtagbasketball.com/120070/player" TargetMode="External"/><Relationship Id="rId6" Type="http://schemas.openxmlformats.org/officeDocument/2006/relationships/hyperlink" Target="https://hashtagbasketball.com/9418/player" TargetMode="External"/><Relationship Id="rId146" Type="http://schemas.openxmlformats.org/officeDocument/2006/relationships/hyperlink" Target="https://hashtagbasketball.com/27883/player" TargetMode="External"/><Relationship Id="rId267" Type="http://schemas.openxmlformats.org/officeDocument/2006/relationships/hyperlink" Target="https://hashtagbasketball.com/31054/player" TargetMode="External"/><Relationship Id="rId388" Type="http://schemas.openxmlformats.org/officeDocument/2006/relationships/hyperlink" Target="https://hashtagbasketball.com/17233/player" TargetMode="External"/><Relationship Id="rId7" Type="http://schemas.openxmlformats.org/officeDocument/2006/relationships/hyperlink" Target="https://hashtagbasketball.com/9325/player" TargetMode="External"/><Relationship Id="rId145" Type="http://schemas.openxmlformats.org/officeDocument/2006/relationships/hyperlink" Target="https://hashtagbasketball.com/38938/player" TargetMode="External"/><Relationship Id="rId266" Type="http://schemas.openxmlformats.org/officeDocument/2006/relationships/hyperlink" Target="https://hashtagbasketball.com/27587/player" TargetMode="External"/><Relationship Id="rId387" Type="http://schemas.openxmlformats.org/officeDocument/2006/relationships/hyperlink" Target="https://hashtagbasketball.com/38958/player" TargetMode="External"/><Relationship Id="rId8" Type="http://schemas.openxmlformats.org/officeDocument/2006/relationships/hyperlink" Target="https://hashtagbasketball.com/27619/player" TargetMode="External"/><Relationship Id="rId144" Type="http://schemas.openxmlformats.org/officeDocument/2006/relationships/hyperlink" Target="https://hashtagbasketball.com/15204/player" TargetMode="External"/><Relationship Id="rId265" Type="http://schemas.openxmlformats.org/officeDocument/2006/relationships/hyperlink" Target="https://hashtagbasketball.com/31043/player" TargetMode="External"/><Relationship Id="rId386" Type="http://schemas.openxmlformats.org/officeDocument/2006/relationships/hyperlink" Target="https://hashtagbasketball.com/9271/player" TargetMode="External"/><Relationship Id="rId260" Type="http://schemas.openxmlformats.org/officeDocument/2006/relationships/hyperlink" Target="https://hashtagbasketball.com/17241/player" TargetMode="External"/><Relationship Id="rId381" Type="http://schemas.openxmlformats.org/officeDocument/2006/relationships/hyperlink" Target="https://hashtagbasketball.com/39851/player" TargetMode="External"/><Relationship Id="rId380" Type="http://schemas.openxmlformats.org/officeDocument/2006/relationships/hyperlink" Target="https://hashtagbasketball.com/15319/player" TargetMode="External"/><Relationship Id="rId139" Type="http://schemas.openxmlformats.org/officeDocument/2006/relationships/hyperlink" Target="https://hashtagbasketball.com/13739/player" TargetMode="External"/><Relationship Id="rId138" Type="http://schemas.openxmlformats.org/officeDocument/2006/relationships/hyperlink" Target="https://hashtagbasketball.com/17273/player" TargetMode="External"/><Relationship Id="rId259" Type="http://schemas.openxmlformats.org/officeDocument/2006/relationships/hyperlink" Target="https://hashtagbasketball.com/9213/player" TargetMode="External"/><Relationship Id="rId137" Type="http://schemas.openxmlformats.org/officeDocument/2006/relationships/hyperlink" Target="https://hashtagbasketball.com/17181/player" TargetMode="External"/><Relationship Id="rId258" Type="http://schemas.openxmlformats.org/officeDocument/2006/relationships/hyperlink" Target="https://hashtagbasketball.com/27593/player" TargetMode="External"/><Relationship Id="rId379" Type="http://schemas.openxmlformats.org/officeDocument/2006/relationships/hyperlink" Target="https://hashtagbasketball.com/120067/player" TargetMode="External"/><Relationship Id="rId132" Type="http://schemas.openxmlformats.org/officeDocument/2006/relationships/hyperlink" Target="https://hashtagbasketball.com/9151/player" TargetMode="External"/><Relationship Id="rId253" Type="http://schemas.openxmlformats.org/officeDocument/2006/relationships/hyperlink" Target="https://hashtagbasketball.com/111221/player" TargetMode="External"/><Relationship Id="rId374" Type="http://schemas.openxmlformats.org/officeDocument/2006/relationships/hyperlink" Target="https://hashtagbasketball.com/120052/player" TargetMode="External"/><Relationship Id="rId131" Type="http://schemas.openxmlformats.org/officeDocument/2006/relationships/hyperlink" Target="https://hashtagbasketball.com/17224/player" TargetMode="External"/><Relationship Id="rId252" Type="http://schemas.openxmlformats.org/officeDocument/2006/relationships/hyperlink" Target="https://hashtagbasketball.com/27843/player" TargetMode="External"/><Relationship Id="rId373" Type="http://schemas.openxmlformats.org/officeDocument/2006/relationships/hyperlink" Target="https://hashtagbasketball.com/53607/player" TargetMode="External"/><Relationship Id="rId130" Type="http://schemas.openxmlformats.org/officeDocument/2006/relationships/hyperlink" Target="https://hashtagbasketball.com/15218/player" TargetMode="External"/><Relationship Id="rId251" Type="http://schemas.openxmlformats.org/officeDocument/2006/relationships/hyperlink" Target="https://hashtagbasketball.com/111224/player" TargetMode="External"/><Relationship Id="rId372" Type="http://schemas.openxmlformats.org/officeDocument/2006/relationships/hyperlink" Target="https://hashtagbasketball.com/120072/player" TargetMode="External"/><Relationship Id="rId250" Type="http://schemas.openxmlformats.org/officeDocument/2006/relationships/hyperlink" Target="https://hashtagbasketball.com/53593/player" TargetMode="External"/><Relationship Id="rId371" Type="http://schemas.openxmlformats.org/officeDocument/2006/relationships/hyperlink" Target="https://hashtagbasketball.com/15297/player" TargetMode="External"/><Relationship Id="rId136" Type="http://schemas.openxmlformats.org/officeDocument/2006/relationships/hyperlink" Target="https://hashtagbasketball.com/38635/player" TargetMode="External"/><Relationship Id="rId257" Type="http://schemas.openxmlformats.org/officeDocument/2006/relationships/hyperlink" Target="https://hashtagbasketball.com/35219/player" TargetMode="External"/><Relationship Id="rId378" Type="http://schemas.openxmlformats.org/officeDocument/2006/relationships/hyperlink" Target="https://hashtagbasketball.com/9268/player" TargetMode="External"/><Relationship Id="rId135" Type="http://schemas.openxmlformats.org/officeDocument/2006/relationships/hyperlink" Target="https://hashtagbasketball.com/120000/player" TargetMode="External"/><Relationship Id="rId256" Type="http://schemas.openxmlformats.org/officeDocument/2006/relationships/hyperlink" Target="https://hashtagbasketball.com/10162/player" TargetMode="External"/><Relationship Id="rId377" Type="http://schemas.openxmlformats.org/officeDocument/2006/relationships/hyperlink" Target="https://hashtagbasketball.com/9498/player" TargetMode="External"/><Relationship Id="rId134" Type="http://schemas.openxmlformats.org/officeDocument/2006/relationships/hyperlink" Target="https://hashtagbasketball.com/9203/player" TargetMode="External"/><Relationship Id="rId255" Type="http://schemas.openxmlformats.org/officeDocument/2006/relationships/hyperlink" Target="https://hashtagbasketball.com/27622/player" TargetMode="External"/><Relationship Id="rId376" Type="http://schemas.openxmlformats.org/officeDocument/2006/relationships/hyperlink" Target="https://hashtagbasketball.com/120015/player" TargetMode="External"/><Relationship Id="rId133" Type="http://schemas.openxmlformats.org/officeDocument/2006/relationships/hyperlink" Target="https://hashtagbasketball.com/111212/player" TargetMode="External"/><Relationship Id="rId254" Type="http://schemas.openxmlformats.org/officeDocument/2006/relationships/hyperlink" Target="https://hashtagbasketball.com/9512/player" TargetMode="External"/><Relationship Id="rId375" Type="http://schemas.openxmlformats.org/officeDocument/2006/relationships/hyperlink" Target="https://hashtagbasketball.com/39849/player" TargetMode="External"/><Relationship Id="rId172" Type="http://schemas.openxmlformats.org/officeDocument/2006/relationships/hyperlink" Target="https://hashtagbasketball.com/27454/player" TargetMode="External"/><Relationship Id="rId293" Type="http://schemas.openxmlformats.org/officeDocument/2006/relationships/hyperlink" Target="https://hashtagbasketball.com/11259/player" TargetMode="External"/><Relationship Id="rId171" Type="http://schemas.openxmlformats.org/officeDocument/2006/relationships/hyperlink" Target="https://hashtagbasketball.com/31065/player" TargetMode="External"/><Relationship Id="rId292" Type="http://schemas.openxmlformats.org/officeDocument/2006/relationships/hyperlink" Target="https://hashtagbasketball.com/13766/player" TargetMode="External"/><Relationship Id="rId170" Type="http://schemas.openxmlformats.org/officeDocument/2006/relationships/hyperlink" Target="https://hashtagbasketball.com/9423/player" TargetMode="External"/><Relationship Id="rId291" Type="http://schemas.openxmlformats.org/officeDocument/2006/relationships/hyperlink" Target="https://hashtagbasketball.com/14134/player" TargetMode="External"/><Relationship Id="rId290" Type="http://schemas.openxmlformats.org/officeDocument/2006/relationships/hyperlink" Target="https://hashtagbasketball.com/120008/player" TargetMode="External"/><Relationship Id="rId165" Type="http://schemas.openxmlformats.org/officeDocument/2006/relationships/hyperlink" Target="https://hashtagbasketball.com/38614/player" TargetMode="External"/><Relationship Id="rId286" Type="http://schemas.openxmlformats.org/officeDocument/2006/relationships/hyperlink" Target="https://hashtagbasketball.com/35209/player" TargetMode="External"/><Relationship Id="rId164" Type="http://schemas.openxmlformats.org/officeDocument/2006/relationships/hyperlink" Target="https://hashtagbasketball.com/39833/player" TargetMode="External"/><Relationship Id="rId285" Type="http://schemas.openxmlformats.org/officeDocument/2006/relationships/hyperlink" Target="https://hashtagbasketball.com/31039/player" TargetMode="External"/><Relationship Id="rId163" Type="http://schemas.openxmlformats.org/officeDocument/2006/relationships/hyperlink" Target="https://hashtagbasketball.com/9490/player" TargetMode="External"/><Relationship Id="rId284" Type="http://schemas.openxmlformats.org/officeDocument/2006/relationships/hyperlink" Target="https://hashtagbasketball.com/9442/player" TargetMode="External"/><Relationship Id="rId162" Type="http://schemas.openxmlformats.org/officeDocument/2006/relationships/hyperlink" Target="https://hashtagbasketball.com/111203/player" TargetMode="External"/><Relationship Id="rId283" Type="http://schemas.openxmlformats.org/officeDocument/2006/relationships/hyperlink" Target="https://hashtagbasketball.com/111216/player" TargetMode="External"/><Relationship Id="rId169" Type="http://schemas.openxmlformats.org/officeDocument/2006/relationships/hyperlink" Target="https://hashtagbasketball.com/17276/player" TargetMode="External"/><Relationship Id="rId168" Type="http://schemas.openxmlformats.org/officeDocument/2006/relationships/hyperlink" Target="https://hashtagbasketball.com/120096/player" TargetMode="External"/><Relationship Id="rId289" Type="http://schemas.openxmlformats.org/officeDocument/2006/relationships/hyperlink" Target="https://hashtagbasketball.com/31087/player" TargetMode="External"/><Relationship Id="rId167" Type="http://schemas.openxmlformats.org/officeDocument/2006/relationships/hyperlink" Target="https://hashtagbasketball.com/27627/player" TargetMode="External"/><Relationship Id="rId288" Type="http://schemas.openxmlformats.org/officeDocument/2006/relationships/hyperlink" Target="https://hashtagbasketball.com/120019/player" TargetMode="External"/><Relationship Id="rId166" Type="http://schemas.openxmlformats.org/officeDocument/2006/relationships/hyperlink" Target="https://hashtagbasketball.com/27700/player" TargetMode="External"/><Relationship Id="rId287" Type="http://schemas.openxmlformats.org/officeDocument/2006/relationships/hyperlink" Target="https://hashtagbasketball.com/38582/player" TargetMode="External"/><Relationship Id="rId161" Type="http://schemas.openxmlformats.org/officeDocument/2006/relationships/hyperlink" Target="https://hashtagbasketball.com/120018/player" TargetMode="External"/><Relationship Id="rId282" Type="http://schemas.openxmlformats.org/officeDocument/2006/relationships/hyperlink" Target="https://hashtagbasketball.com/38847/player" TargetMode="External"/><Relationship Id="rId160" Type="http://schemas.openxmlformats.org/officeDocument/2006/relationships/hyperlink" Target="https://hashtagbasketball.com/27679/player" TargetMode="External"/><Relationship Id="rId281" Type="http://schemas.openxmlformats.org/officeDocument/2006/relationships/hyperlink" Target="https://hashtagbasketball.com/120020/player" TargetMode="External"/><Relationship Id="rId280" Type="http://schemas.openxmlformats.org/officeDocument/2006/relationships/hyperlink" Target="https://hashtagbasketball.com/109468/player" TargetMode="External"/><Relationship Id="rId159" Type="http://schemas.openxmlformats.org/officeDocument/2006/relationships/hyperlink" Target="https://hashtagbasketball.com/9406/player" TargetMode="External"/><Relationship Id="rId154" Type="http://schemas.openxmlformats.org/officeDocument/2006/relationships/hyperlink" Target="https://hashtagbasketball.com/27661/player" TargetMode="External"/><Relationship Id="rId275" Type="http://schemas.openxmlformats.org/officeDocument/2006/relationships/hyperlink" Target="https://hashtagbasketball.com/9507/player" TargetMode="External"/><Relationship Id="rId396" Type="http://schemas.openxmlformats.org/officeDocument/2006/relationships/hyperlink" Target="https://hashtagbasketball.com/38946/player" TargetMode="External"/><Relationship Id="rId153" Type="http://schemas.openxmlformats.org/officeDocument/2006/relationships/hyperlink" Target="https://hashtagbasketball.com/9526/player" TargetMode="External"/><Relationship Id="rId274" Type="http://schemas.openxmlformats.org/officeDocument/2006/relationships/hyperlink" Target="https://hashtagbasketball.com/17334/player" TargetMode="External"/><Relationship Id="rId395" Type="http://schemas.openxmlformats.org/officeDocument/2006/relationships/hyperlink" Target="https://hashtagbasketball.com/120046/player" TargetMode="External"/><Relationship Id="rId152" Type="http://schemas.openxmlformats.org/officeDocument/2006/relationships/hyperlink" Target="https://hashtagbasketball.com/15287/player" TargetMode="External"/><Relationship Id="rId273" Type="http://schemas.openxmlformats.org/officeDocument/2006/relationships/hyperlink" Target="https://hashtagbasketball.com/111248/player" TargetMode="External"/><Relationship Id="rId394" Type="http://schemas.openxmlformats.org/officeDocument/2006/relationships/hyperlink" Target="https://hashtagbasketball.com/120063/player" TargetMode="External"/><Relationship Id="rId151" Type="http://schemas.openxmlformats.org/officeDocument/2006/relationships/hyperlink" Target="https://hashtagbasketball.com/17286/player" TargetMode="External"/><Relationship Id="rId272" Type="http://schemas.openxmlformats.org/officeDocument/2006/relationships/hyperlink" Target="https://hashtagbasketball.com/9456/player" TargetMode="External"/><Relationship Id="rId393" Type="http://schemas.openxmlformats.org/officeDocument/2006/relationships/hyperlink" Target="https://hashtagbasketball.com/9525/player" TargetMode="External"/><Relationship Id="rId158" Type="http://schemas.openxmlformats.org/officeDocument/2006/relationships/hyperlink" Target="https://hashtagbasketball.com/38950/player" TargetMode="External"/><Relationship Id="rId279" Type="http://schemas.openxmlformats.org/officeDocument/2006/relationships/hyperlink" Target="https://hashtagbasketball.com/9161/player" TargetMode="External"/><Relationship Id="rId157" Type="http://schemas.openxmlformats.org/officeDocument/2006/relationships/hyperlink" Target="https://hashtagbasketball.com/120003/player" TargetMode="External"/><Relationship Id="rId278" Type="http://schemas.openxmlformats.org/officeDocument/2006/relationships/hyperlink" Target="https://hashtagbasketball.com/15261/player" TargetMode="External"/><Relationship Id="rId399" Type="http://schemas.openxmlformats.org/officeDocument/2006/relationships/hyperlink" Target="https://hashtagbasketball.com/27720/player" TargetMode="External"/><Relationship Id="rId156" Type="http://schemas.openxmlformats.org/officeDocument/2006/relationships/hyperlink" Target="https://hashtagbasketball.com/15282/player" TargetMode="External"/><Relationship Id="rId277" Type="http://schemas.openxmlformats.org/officeDocument/2006/relationships/hyperlink" Target="https://hashtagbasketball.com/31084/player" TargetMode="External"/><Relationship Id="rId398" Type="http://schemas.openxmlformats.org/officeDocument/2006/relationships/hyperlink" Target="https://hashtagbasketball.com/111260/player" TargetMode="External"/><Relationship Id="rId155" Type="http://schemas.openxmlformats.org/officeDocument/2006/relationships/hyperlink" Target="https://hashtagbasketball.com/111217/player" TargetMode="External"/><Relationship Id="rId276" Type="http://schemas.openxmlformats.org/officeDocument/2006/relationships/hyperlink" Target="https://hashtagbasketball.com/17274/player" TargetMode="External"/><Relationship Id="rId397" Type="http://schemas.openxmlformats.org/officeDocument/2006/relationships/hyperlink" Target="https://hashtagbasketball.com/38947/player" TargetMode="External"/><Relationship Id="rId40" Type="http://schemas.openxmlformats.org/officeDocument/2006/relationships/hyperlink" Target="https://hashtagbasketball.com/27649/player" TargetMode="External"/><Relationship Id="rId42" Type="http://schemas.openxmlformats.org/officeDocument/2006/relationships/hyperlink" Target="https://hashtagbasketball.com/31045/player" TargetMode="External"/><Relationship Id="rId41" Type="http://schemas.openxmlformats.org/officeDocument/2006/relationships/hyperlink" Target="https://hashtagbasketball.com/10165/player" TargetMode="External"/><Relationship Id="rId44" Type="http://schemas.openxmlformats.org/officeDocument/2006/relationships/hyperlink" Target="https://hashtagbasketball.com/9373/player" TargetMode="External"/><Relationship Id="rId43" Type="http://schemas.openxmlformats.org/officeDocument/2006/relationships/hyperlink" Target="https://hashtagbasketball.com/13742/player" TargetMode="External"/><Relationship Id="rId46" Type="http://schemas.openxmlformats.org/officeDocument/2006/relationships/hyperlink" Target="https://hashtagbasketball.com/9252/player" TargetMode="External"/><Relationship Id="rId45" Type="http://schemas.openxmlformats.org/officeDocument/2006/relationships/hyperlink" Target="https://hashtagbasketball.com/31030/player" TargetMode="External"/><Relationship Id="rId48" Type="http://schemas.openxmlformats.org/officeDocument/2006/relationships/hyperlink" Target="https://hashtagbasketball.com/10134/player" TargetMode="External"/><Relationship Id="rId47" Type="http://schemas.openxmlformats.org/officeDocument/2006/relationships/hyperlink" Target="https://hashtagbasketball.com/27724/player" TargetMode="External"/><Relationship Id="rId49" Type="http://schemas.openxmlformats.org/officeDocument/2006/relationships/hyperlink" Target="https://hashtagbasketball.com/31037/player" TargetMode="External"/><Relationship Id="rId31" Type="http://schemas.openxmlformats.org/officeDocument/2006/relationships/hyperlink" Target="https://hashtagbasketball.com/27450/player" TargetMode="External"/><Relationship Id="rId30" Type="http://schemas.openxmlformats.org/officeDocument/2006/relationships/hyperlink" Target="https://hashtagbasketball.com/15201/player" TargetMode="External"/><Relationship Id="rId33" Type="http://schemas.openxmlformats.org/officeDocument/2006/relationships/hyperlink" Target="https://hashtagbasketball.com/31049/player" TargetMode="External"/><Relationship Id="rId32" Type="http://schemas.openxmlformats.org/officeDocument/2006/relationships/hyperlink" Target="https://hashtagbasketball.com/10124/player" TargetMode="External"/><Relationship Id="rId35" Type="http://schemas.openxmlformats.org/officeDocument/2006/relationships/hyperlink" Target="https://hashtagbasketball.com/13755/player" TargetMode="External"/><Relationship Id="rId34" Type="http://schemas.openxmlformats.org/officeDocument/2006/relationships/hyperlink" Target="https://hashtagbasketball.com/13732/player" TargetMode="External"/><Relationship Id="rId37" Type="http://schemas.openxmlformats.org/officeDocument/2006/relationships/hyperlink" Target="https://hashtagbasketball.com/9489/player" TargetMode="External"/><Relationship Id="rId36" Type="http://schemas.openxmlformats.org/officeDocument/2006/relationships/hyperlink" Target="https://hashtagbasketball.com/17189/player" TargetMode="External"/><Relationship Id="rId39" Type="http://schemas.openxmlformats.org/officeDocument/2006/relationships/hyperlink" Target="https://hashtagbasketball.com/9476/player" TargetMode="External"/><Relationship Id="rId38" Type="http://schemas.openxmlformats.org/officeDocument/2006/relationships/hyperlink" Target="https://hashtagbasketball.com/31032/player" TargetMode="External"/><Relationship Id="rId20" Type="http://schemas.openxmlformats.org/officeDocument/2006/relationships/hyperlink" Target="https://hashtagbasketball.com/27469/player" TargetMode="External"/><Relationship Id="rId22" Type="http://schemas.openxmlformats.org/officeDocument/2006/relationships/hyperlink" Target="https://hashtagbasketball.com/10113/player" TargetMode="External"/><Relationship Id="rId21" Type="http://schemas.openxmlformats.org/officeDocument/2006/relationships/hyperlink" Target="https://hashtagbasketball.com/9346/player" TargetMode="External"/><Relationship Id="rId24" Type="http://schemas.openxmlformats.org/officeDocument/2006/relationships/hyperlink" Target="https://hashtagbasketball.com/38617/player" TargetMode="External"/><Relationship Id="rId23" Type="http://schemas.openxmlformats.org/officeDocument/2006/relationships/hyperlink" Target="https://hashtagbasketball.com/13734/player" TargetMode="External"/><Relationship Id="rId401" Type="http://schemas.openxmlformats.org/officeDocument/2006/relationships/drawing" Target="../drawings/drawing4.xml"/><Relationship Id="rId26" Type="http://schemas.openxmlformats.org/officeDocument/2006/relationships/hyperlink" Target="https://hashtagbasketball.com/27638/player" TargetMode="External"/><Relationship Id="rId25" Type="http://schemas.openxmlformats.org/officeDocument/2006/relationships/hyperlink" Target="https://hashtagbasketball.com/15280/player" TargetMode="External"/><Relationship Id="rId28" Type="http://schemas.openxmlformats.org/officeDocument/2006/relationships/hyperlink" Target="https://hashtagbasketball.com/38949/player" TargetMode="External"/><Relationship Id="rId27" Type="http://schemas.openxmlformats.org/officeDocument/2006/relationships/hyperlink" Target="https://hashtagbasketball.com/9250/player" TargetMode="External"/><Relationship Id="rId400" Type="http://schemas.openxmlformats.org/officeDocument/2006/relationships/hyperlink" Target="https://hashtagbasketball.com/120009/player" TargetMode="External"/><Relationship Id="rId29" Type="http://schemas.openxmlformats.org/officeDocument/2006/relationships/hyperlink" Target="https://hashtagbasketball.com/9152/player" TargetMode="External"/><Relationship Id="rId11" Type="http://schemas.openxmlformats.org/officeDocument/2006/relationships/hyperlink" Target="https://hashtagbasketball.com/9232/player" TargetMode="External"/><Relationship Id="rId10" Type="http://schemas.openxmlformats.org/officeDocument/2006/relationships/hyperlink" Target="https://hashtagbasketball.com/13730/player" TargetMode="External"/><Relationship Id="rId13" Type="http://schemas.openxmlformats.org/officeDocument/2006/relationships/hyperlink" Target="https://hashtagbasketball.com/13741/player" TargetMode="External"/><Relationship Id="rId12" Type="http://schemas.openxmlformats.org/officeDocument/2006/relationships/hyperlink" Target="https://hashtagbasketball.com/9218/player" TargetMode="External"/><Relationship Id="rId15" Type="http://schemas.openxmlformats.org/officeDocument/2006/relationships/hyperlink" Target="https://hashtagbasketball.com/9386/player" TargetMode="External"/><Relationship Id="rId14" Type="http://schemas.openxmlformats.org/officeDocument/2006/relationships/hyperlink" Target="https://hashtagbasketball.com/9157/player" TargetMode="External"/><Relationship Id="rId17" Type="http://schemas.openxmlformats.org/officeDocument/2006/relationships/hyperlink" Target="https://hashtagbasketball.com/31033/player" TargetMode="External"/><Relationship Id="rId16" Type="http://schemas.openxmlformats.org/officeDocument/2006/relationships/hyperlink" Target="https://hashtagbasketball.com/9158/player" TargetMode="External"/><Relationship Id="rId19" Type="http://schemas.openxmlformats.org/officeDocument/2006/relationships/hyperlink" Target="https://hashtagbasketball.com/9434/player" TargetMode="External"/><Relationship Id="rId18" Type="http://schemas.openxmlformats.org/officeDocument/2006/relationships/hyperlink" Target="https://hashtagbasketball.com/9445/player" TargetMode="External"/><Relationship Id="rId84" Type="http://schemas.openxmlformats.org/officeDocument/2006/relationships/hyperlink" Target="https://hashtagbasketball.com/35041/player" TargetMode="External"/><Relationship Id="rId83" Type="http://schemas.openxmlformats.org/officeDocument/2006/relationships/hyperlink" Target="https://hashtagbasketball.com/38840/player" TargetMode="External"/><Relationship Id="rId86" Type="http://schemas.openxmlformats.org/officeDocument/2006/relationships/hyperlink" Target="https://hashtagbasketball.com/27342/player" TargetMode="External"/><Relationship Id="rId85" Type="http://schemas.openxmlformats.org/officeDocument/2006/relationships/hyperlink" Target="https://hashtagbasketball.com/38942/player" TargetMode="External"/><Relationship Id="rId88" Type="http://schemas.openxmlformats.org/officeDocument/2006/relationships/hyperlink" Target="https://hashtagbasketball.com/17193/player" TargetMode="External"/><Relationship Id="rId87" Type="http://schemas.openxmlformats.org/officeDocument/2006/relationships/hyperlink" Target="https://hashtagbasketball.com/13750/player" TargetMode="External"/><Relationship Id="rId89" Type="http://schemas.openxmlformats.org/officeDocument/2006/relationships/hyperlink" Target="https://hashtagbasketball.com/15211/player" TargetMode="External"/><Relationship Id="rId80" Type="http://schemas.openxmlformats.org/officeDocument/2006/relationships/hyperlink" Target="https://hashtagbasketball.com/38797/player" TargetMode="External"/><Relationship Id="rId82" Type="http://schemas.openxmlformats.org/officeDocument/2006/relationships/hyperlink" Target="https://hashtagbasketball.com/13726/player" TargetMode="External"/><Relationship Id="rId81" Type="http://schemas.openxmlformats.org/officeDocument/2006/relationships/hyperlink" Target="https://hashtagbasketball.com/111207/player" TargetMode="External"/><Relationship Id="rId73" Type="http://schemas.openxmlformats.org/officeDocument/2006/relationships/hyperlink" Target="https://hashtagbasketball.com/27644/player" TargetMode="External"/><Relationship Id="rId72" Type="http://schemas.openxmlformats.org/officeDocument/2006/relationships/hyperlink" Target="https://hashtagbasketball.com/10149/player" TargetMode="External"/><Relationship Id="rId75" Type="http://schemas.openxmlformats.org/officeDocument/2006/relationships/hyperlink" Target="https://hashtagbasketball.com/109470/player" TargetMode="External"/><Relationship Id="rId74" Type="http://schemas.openxmlformats.org/officeDocument/2006/relationships/hyperlink" Target="https://hashtagbasketball.com/15221/player" TargetMode="External"/><Relationship Id="rId77" Type="http://schemas.openxmlformats.org/officeDocument/2006/relationships/hyperlink" Target="https://hashtagbasketball.com/31035/player" TargetMode="External"/><Relationship Id="rId76" Type="http://schemas.openxmlformats.org/officeDocument/2006/relationships/hyperlink" Target="https://hashtagbasketball.com/15205/player" TargetMode="External"/><Relationship Id="rId79" Type="http://schemas.openxmlformats.org/officeDocument/2006/relationships/hyperlink" Target="https://hashtagbasketball.com/31034/player" TargetMode="External"/><Relationship Id="rId78" Type="http://schemas.openxmlformats.org/officeDocument/2006/relationships/hyperlink" Target="https://hashtagbasketball.com/38835/player" TargetMode="External"/><Relationship Id="rId71" Type="http://schemas.openxmlformats.org/officeDocument/2006/relationships/hyperlink" Target="https://hashtagbasketball.com/15207/player" TargetMode="External"/><Relationship Id="rId70" Type="http://schemas.openxmlformats.org/officeDocument/2006/relationships/hyperlink" Target="https://hashtagbasketball.com/38790/player" TargetMode="External"/><Relationship Id="rId62" Type="http://schemas.openxmlformats.org/officeDocument/2006/relationships/hyperlink" Target="https://hashtagbasketball.com/10123/player" TargetMode="External"/><Relationship Id="rId61" Type="http://schemas.openxmlformats.org/officeDocument/2006/relationships/hyperlink" Target="https://hashtagbasketball.com/16958/player" TargetMode="External"/><Relationship Id="rId64" Type="http://schemas.openxmlformats.org/officeDocument/2006/relationships/hyperlink" Target="https://hashtagbasketball.com/17329/player" TargetMode="External"/><Relationship Id="rId63" Type="http://schemas.openxmlformats.org/officeDocument/2006/relationships/hyperlink" Target="https://hashtagbasketball.com/9343/player" TargetMode="External"/><Relationship Id="rId66" Type="http://schemas.openxmlformats.org/officeDocument/2006/relationships/hyperlink" Target="https://hashtagbasketball.com/15209/player" TargetMode="External"/><Relationship Id="rId65" Type="http://schemas.openxmlformats.org/officeDocument/2006/relationships/hyperlink" Target="https://hashtagbasketball.com/17252/player" TargetMode="External"/><Relationship Id="rId68" Type="http://schemas.openxmlformats.org/officeDocument/2006/relationships/hyperlink" Target="https://hashtagbasketball.com/31046/player" TargetMode="External"/><Relationship Id="rId67" Type="http://schemas.openxmlformats.org/officeDocument/2006/relationships/hyperlink" Target="https://hashtagbasketball.com/17295/player" TargetMode="External"/><Relationship Id="rId60" Type="http://schemas.openxmlformats.org/officeDocument/2006/relationships/hyperlink" Target="https://hashtagbasketball.com/9355/player" TargetMode="External"/><Relationship Id="rId69" Type="http://schemas.openxmlformats.org/officeDocument/2006/relationships/hyperlink" Target="https://hashtagbasketball.com/15281/player" TargetMode="External"/><Relationship Id="rId51" Type="http://schemas.openxmlformats.org/officeDocument/2006/relationships/hyperlink" Target="https://hashtagbasketball.com/9412/player" TargetMode="External"/><Relationship Id="rId50" Type="http://schemas.openxmlformats.org/officeDocument/2006/relationships/hyperlink" Target="https://hashtagbasketball.com/9212/player" TargetMode="External"/><Relationship Id="rId53" Type="http://schemas.openxmlformats.org/officeDocument/2006/relationships/hyperlink" Target="https://hashtagbasketball.com/9503/player" TargetMode="External"/><Relationship Id="rId52" Type="http://schemas.openxmlformats.org/officeDocument/2006/relationships/hyperlink" Target="https://hashtagbasketball.com/13749/player" TargetMode="External"/><Relationship Id="rId55" Type="http://schemas.openxmlformats.org/officeDocument/2006/relationships/hyperlink" Target="https://hashtagbasketball.com/10090/player" TargetMode="External"/><Relationship Id="rId54" Type="http://schemas.openxmlformats.org/officeDocument/2006/relationships/hyperlink" Target="https://hashtagbasketball.com/17191/player" TargetMode="External"/><Relationship Id="rId57" Type="http://schemas.openxmlformats.org/officeDocument/2006/relationships/hyperlink" Target="https://hashtagbasketball.com/9523/player" TargetMode="External"/><Relationship Id="rId56" Type="http://schemas.openxmlformats.org/officeDocument/2006/relationships/hyperlink" Target="https://hashtagbasketball.com/15198/player" TargetMode="External"/><Relationship Id="rId59" Type="http://schemas.openxmlformats.org/officeDocument/2006/relationships/hyperlink" Target="https://hashtagbasketball.com/38848/player" TargetMode="External"/><Relationship Id="rId58" Type="http://schemas.openxmlformats.org/officeDocument/2006/relationships/hyperlink" Target="https://hashtagbasketball.com/9285/player" TargetMode="External"/><Relationship Id="rId107" Type="http://schemas.openxmlformats.org/officeDocument/2006/relationships/hyperlink" Target="https://hashtagbasketball.com/13753/player" TargetMode="External"/><Relationship Id="rId228" Type="http://schemas.openxmlformats.org/officeDocument/2006/relationships/hyperlink" Target="https://hashtagbasketball.com/27637/player" TargetMode="External"/><Relationship Id="rId349" Type="http://schemas.openxmlformats.org/officeDocument/2006/relationships/hyperlink" Target="https://hashtagbasketball.com/31050/player" TargetMode="External"/><Relationship Id="rId106" Type="http://schemas.openxmlformats.org/officeDocument/2006/relationships/hyperlink" Target="https://hashtagbasketball.com/9419/player" TargetMode="External"/><Relationship Id="rId227" Type="http://schemas.openxmlformats.org/officeDocument/2006/relationships/hyperlink" Target="https://hashtagbasketball.com/31058/player" TargetMode="External"/><Relationship Id="rId348" Type="http://schemas.openxmlformats.org/officeDocument/2006/relationships/hyperlink" Target="https://hashtagbasketball.com/120023/player" TargetMode="External"/><Relationship Id="rId105" Type="http://schemas.openxmlformats.org/officeDocument/2006/relationships/hyperlink" Target="https://hashtagbasketball.com/9118/player" TargetMode="External"/><Relationship Id="rId226" Type="http://schemas.openxmlformats.org/officeDocument/2006/relationships/hyperlink" Target="https://hashtagbasketball.com/9114/player" TargetMode="External"/><Relationship Id="rId347" Type="http://schemas.openxmlformats.org/officeDocument/2006/relationships/hyperlink" Target="https://hashtagbasketball.com/111232/player" TargetMode="External"/><Relationship Id="rId104" Type="http://schemas.openxmlformats.org/officeDocument/2006/relationships/hyperlink" Target="https://hashtagbasketball.com/9347/player" TargetMode="External"/><Relationship Id="rId225" Type="http://schemas.openxmlformats.org/officeDocument/2006/relationships/hyperlink" Target="https://hashtagbasketball.com/13862/player" TargetMode="External"/><Relationship Id="rId346" Type="http://schemas.openxmlformats.org/officeDocument/2006/relationships/hyperlink" Target="https://hashtagbasketball.com/120017/player" TargetMode="External"/><Relationship Id="rId109" Type="http://schemas.openxmlformats.org/officeDocument/2006/relationships/hyperlink" Target="https://hashtagbasketball.com/9237/player" TargetMode="External"/><Relationship Id="rId108" Type="http://schemas.openxmlformats.org/officeDocument/2006/relationships/hyperlink" Target="https://hashtagbasketball.com/9500/player" TargetMode="External"/><Relationship Id="rId229" Type="http://schemas.openxmlformats.org/officeDocument/2006/relationships/hyperlink" Target="https://hashtagbasketball.com/9495/player" TargetMode="External"/><Relationship Id="rId220" Type="http://schemas.openxmlformats.org/officeDocument/2006/relationships/hyperlink" Target="https://hashtagbasketball.com/9209/player" TargetMode="External"/><Relationship Id="rId341" Type="http://schemas.openxmlformats.org/officeDocument/2006/relationships/hyperlink" Target="https://hashtagbasketball.com/43375/player" TargetMode="External"/><Relationship Id="rId340" Type="http://schemas.openxmlformats.org/officeDocument/2006/relationships/hyperlink" Target="https://hashtagbasketball.com/120016/player" TargetMode="External"/><Relationship Id="rId103" Type="http://schemas.openxmlformats.org/officeDocument/2006/relationships/hyperlink" Target="https://hashtagbasketball.com/110400/player" TargetMode="External"/><Relationship Id="rId224" Type="http://schemas.openxmlformats.org/officeDocument/2006/relationships/hyperlink" Target="https://hashtagbasketball.com/9475/player" TargetMode="External"/><Relationship Id="rId345" Type="http://schemas.openxmlformats.org/officeDocument/2006/relationships/hyperlink" Target="https://hashtagbasketball.com/120027/player" TargetMode="External"/><Relationship Id="rId102" Type="http://schemas.openxmlformats.org/officeDocument/2006/relationships/hyperlink" Target="https://hashtagbasketball.com/9491/player" TargetMode="External"/><Relationship Id="rId223" Type="http://schemas.openxmlformats.org/officeDocument/2006/relationships/hyperlink" Target="https://hashtagbasketball.com/13792/player" TargetMode="External"/><Relationship Id="rId344" Type="http://schemas.openxmlformats.org/officeDocument/2006/relationships/hyperlink" Target="https://hashtagbasketball.com/15293/player" TargetMode="External"/><Relationship Id="rId101" Type="http://schemas.openxmlformats.org/officeDocument/2006/relationships/hyperlink" Target="https://hashtagbasketball.com/9296/player" TargetMode="External"/><Relationship Id="rId222" Type="http://schemas.openxmlformats.org/officeDocument/2006/relationships/hyperlink" Target="https://hashtagbasketball.com/17308/player" TargetMode="External"/><Relationship Id="rId343" Type="http://schemas.openxmlformats.org/officeDocument/2006/relationships/hyperlink" Target="https://hashtagbasketball.com/120040/player" TargetMode="External"/><Relationship Id="rId100" Type="http://schemas.openxmlformats.org/officeDocument/2006/relationships/hyperlink" Target="https://hashtagbasketball.com/9334/player" TargetMode="External"/><Relationship Id="rId221" Type="http://schemas.openxmlformats.org/officeDocument/2006/relationships/hyperlink" Target="https://hashtagbasketball.com/13786/player" TargetMode="External"/><Relationship Id="rId342" Type="http://schemas.openxmlformats.org/officeDocument/2006/relationships/hyperlink" Target="https://hashtagbasketball.com/39838/player" TargetMode="External"/><Relationship Id="rId217" Type="http://schemas.openxmlformats.org/officeDocument/2006/relationships/hyperlink" Target="https://hashtagbasketball.com/17275/player" TargetMode="External"/><Relationship Id="rId338" Type="http://schemas.openxmlformats.org/officeDocument/2006/relationships/hyperlink" Target="https://hashtagbasketball.com/38948/player" TargetMode="External"/><Relationship Id="rId216" Type="http://schemas.openxmlformats.org/officeDocument/2006/relationships/hyperlink" Target="https://hashtagbasketball.com/31059/player" TargetMode="External"/><Relationship Id="rId337" Type="http://schemas.openxmlformats.org/officeDocument/2006/relationships/hyperlink" Target="https://hashtagbasketball.com/120029/player" TargetMode="External"/><Relationship Id="rId215" Type="http://schemas.openxmlformats.org/officeDocument/2006/relationships/hyperlink" Target="https://hashtagbasketball.com/15222/player" TargetMode="External"/><Relationship Id="rId336" Type="http://schemas.openxmlformats.org/officeDocument/2006/relationships/hyperlink" Target="https://hashtagbasketball.com/9177/player" TargetMode="External"/><Relationship Id="rId214" Type="http://schemas.openxmlformats.org/officeDocument/2006/relationships/hyperlink" Target="https://hashtagbasketball.com/27591/player" TargetMode="External"/><Relationship Id="rId335" Type="http://schemas.openxmlformats.org/officeDocument/2006/relationships/hyperlink" Target="https://hashtagbasketball.com/27624/player" TargetMode="External"/><Relationship Id="rId219" Type="http://schemas.openxmlformats.org/officeDocument/2006/relationships/hyperlink" Target="https://hashtagbasketball.com/10155/player" TargetMode="External"/><Relationship Id="rId218" Type="http://schemas.openxmlformats.org/officeDocument/2006/relationships/hyperlink" Target="https://hashtagbasketball.com/15224/player" TargetMode="External"/><Relationship Id="rId339" Type="http://schemas.openxmlformats.org/officeDocument/2006/relationships/hyperlink" Target="https://hashtagbasketball.com/120030/player" TargetMode="External"/><Relationship Id="rId330" Type="http://schemas.openxmlformats.org/officeDocument/2006/relationships/hyperlink" Target="https://hashtagbasketball.com/28550/player" TargetMode="External"/><Relationship Id="rId213" Type="http://schemas.openxmlformats.org/officeDocument/2006/relationships/hyperlink" Target="https://hashtagbasketball.com/27718/player" TargetMode="External"/><Relationship Id="rId334" Type="http://schemas.openxmlformats.org/officeDocument/2006/relationships/hyperlink" Target="https://hashtagbasketball.com/111222/player" TargetMode="External"/><Relationship Id="rId212" Type="http://schemas.openxmlformats.org/officeDocument/2006/relationships/hyperlink" Target="https://hashtagbasketball.com/9286/player" TargetMode="External"/><Relationship Id="rId333" Type="http://schemas.openxmlformats.org/officeDocument/2006/relationships/hyperlink" Target="https://hashtagbasketball.com/120021/player" TargetMode="External"/><Relationship Id="rId211" Type="http://schemas.openxmlformats.org/officeDocument/2006/relationships/hyperlink" Target="https://hashtagbasketball.com/9220/player" TargetMode="External"/><Relationship Id="rId332" Type="http://schemas.openxmlformats.org/officeDocument/2006/relationships/hyperlink" Target="https://hashtagbasketball.com/15341/player" TargetMode="External"/><Relationship Id="rId210" Type="http://schemas.openxmlformats.org/officeDocument/2006/relationships/hyperlink" Target="https://hashtagbasketball.com/9133/player" TargetMode="External"/><Relationship Id="rId331" Type="http://schemas.openxmlformats.org/officeDocument/2006/relationships/hyperlink" Target="https://hashtagbasketball.com/15309/player" TargetMode="External"/><Relationship Id="rId370" Type="http://schemas.openxmlformats.org/officeDocument/2006/relationships/hyperlink" Target="https://hashtagbasketball.com/111247/player" TargetMode="External"/><Relationship Id="rId129" Type="http://schemas.openxmlformats.org/officeDocument/2006/relationships/hyperlink" Target="https://hashtagbasketball.com/9221/player" TargetMode="External"/><Relationship Id="rId128" Type="http://schemas.openxmlformats.org/officeDocument/2006/relationships/hyperlink" Target="https://hashtagbasketball.com/10136/player" TargetMode="External"/><Relationship Id="rId249" Type="http://schemas.openxmlformats.org/officeDocument/2006/relationships/hyperlink" Target="https://hashtagbasketball.com/31068/player" TargetMode="External"/><Relationship Id="rId127" Type="http://schemas.openxmlformats.org/officeDocument/2006/relationships/hyperlink" Target="https://hashtagbasketball.com/31044/player" TargetMode="External"/><Relationship Id="rId248" Type="http://schemas.openxmlformats.org/officeDocument/2006/relationships/hyperlink" Target="https://hashtagbasketball.com/111241/player" TargetMode="External"/><Relationship Id="rId369" Type="http://schemas.openxmlformats.org/officeDocument/2006/relationships/hyperlink" Target="https://hashtagbasketball.com/17317/player" TargetMode="External"/><Relationship Id="rId126" Type="http://schemas.openxmlformats.org/officeDocument/2006/relationships/hyperlink" Target="https://hashtagbasketball.com/27683/player" TargetMode="External"/><Relationship Id="rId247" Type="http://schemas.openxmlformats.org/officeDocument/2006/relationships/hyperlink" Target="https://hashtagbasketball.com/31055/player" TargetMode="External"/><Relationship Id="rId368" Type="http://schemas.openxmlformats.org/officeDocument/2006/relationships/hyperlink" Target="https://hashtagbasketball.com/31075/player" TargetMode="External"/><Relationship Id="rId121" Type="http://schemas.openxmlformats.org/officeDocument/2006/relationships/hyperlink" Target="https://hashtagbasketball.com/53595/player" TargetMode="External"/><Relationship Id="rId242" Type="http://schemas.openxmlformats.org/officeDocument/2006/relationships/hyperlink" Target="https://hashtagbasketball.com/15278/player" TargetMode="External"/><Relationship Id="rId363" Type="http://schemas.openxmlformats.org/officeDocument/2006/relationships/hyperlink" Target="https://hashtagbasketball.com/39835/player" TargetMode="External"/><Relationship Id="rId120" Type="http://schemas.openxmlformats.org/officeDocument/2006/relationships/hyperlink" Target="https://hashtagbasketball.com/15316/player" TargetMode="External"/><Relationship Id="rId241" Type="http://schemas.openxmlformats.org/officeDocument/2006/relationships/hyperlink" Target="https://hashtagbasketball.com/120010/player" TargetMode="External"/><Relationship Id="rId362" Type="http://schemas.openxmlformats.org/officeDocument/2006/relationships/hyperlink" Target="https://hashtagbasketball.com/120006/player" TargetMode="External"/><Relationship Id="rId240" Type="http://schemas.openxmlformats.org/officeDocument/2006/relationships/hyperlink" Target="https://hashtagbasketball.com/111209/player" TargetMode="External"/><Relationship Id="rId361" Type="http://schemas.openxmlformats.org/officeDocument/2006/relationships/hyperlink" Target="https://hashtagbasketball.com/120043/player" TargetMode="External"/><Relationship Id="rId360" Type="http://schemas.openxmlformats.org/officeDocument/2006/relationships/hyperlink" Target="https://hashtagbasketball.com/120059/player" TargetMode="External"/><Relationship Id="rId125" Type="http://schemas.openxmlformats.org/officeDocument/2006/relationships/hyperlink" Target="https://hashtagbasketball.com/9102/player" TargetMode="External"/><Relationship Id="rId246" Type="http://schemas.openxmlformats.org/officeDocument/2006/relationships/hyperlink" Target="https://hashtagbasketball.com/120039/player" TargetMode="External"/><Relationship Id="rId367" Type="http://schemas.openxmlformats.org/officeDocument/2006/relationships/hyperlink" Target="https://hashtagbasketball.com/111234/player" TargetMode="External"/><Relationship Id="rId124" Type="http://schemas.openxmlformats.org/officeDocument/2006/relationships/hyperlink" Target="https://hashtagbasketball.com/31036/player" TargetMode="External"/><Relationship Id="rId245" Type="http://schemas.openxmlformats.org/officeDocument/2006/relationships/hyperlink" Target="https://hashtagbasketball.com/27850/player" TargetMode="External"/><Relationship Id="rId366" Type="http://schemas.openxmlformats.org/officeDocument/2006/relationships/hyperlink" Target="https://hashtagbasketball.com/9142/player" TargetMode="External"/><Relationship Id="rId123" Type="http://schemas.openxmlformats.org/officeDocument/2006/relationships/hyperlink" Target="https://hashtagbasketball.com/9084/player" TargetMode="External"/><Relationship Id="rId244" Type="http://schemas.openxmlformats.org/officeDocument/2006/relationships/hyperlink" Target="https://hashtagbasketball.com/27881/player" TargetMode="External"/><Relationship Id="rId365" Type="http://schemas.openxmlformats.org/officeDocument/2006/relationships/hyperlink" Target="https://hashtagbasketball.com/15220/player" TargetMode="External"/><Relationship Id="rId122" Type="http://schemas.openxmlformats.org/officeDocument/2006/relationships/hyperlink" Target="https://hashtagbasketball.com/111215/player" TargetMode="External"/><Relationship Id="rId243" Type="http://schemas.openxmlformats.org/officeDocument/2006/relationships/hyperlink" Target="https://hashtagbasketball.com/10146/player" TargetMode="External"/><Relationship Id="rId364" Type="http://schemas.openxmlformats.org/officeDocument/2006/relationships/hyperlink" Target="https://hashtagbasketball.com/111238/player" TargetMode="External"/><Relationship Id="rId95" Type="http://schemas.openxmlformats.org/officeDocument/2006/relationships/hyperlink" Target="https://hashtagbasketball.com/111204/player" TargetMode="External"/><Relationship Id="rId94" Type="http://schemas.openxmlformats.org/officeDocument/2006/relationships/hyperlink" Target="https://hashtagbasketball.com/10122/player" TargetMode="External"/><Relationship Id="rId97" Type="http://schemas.openxmlformats.org/officeDocument/2006/relationships/hyperlink" Target="https://hashtagbasketball.com/31056/player" TargetMode="External"/><Relationship Id="rId96" Type="http://schemas.openxmlformats.org/officeDocument/2006/relationships/hyperlink" Target="https://hashtagbasketball.com/9447/player" TargetMode="External"/><Relationship Id="rId99" Type="http://schemas.openxmlformats.org/officeDocument/2006/relationships/hyperlink" Target="https://hashtagbasketball.com/10169/player" TargetMode="External"/><Relationship Id="rId98" Type="http://schemas.openxmlformats.org/officeDocument/2006/relationships/hyperlink" Target="https://hashtagbasketball.com/9082/player" TargetMode="External"/><Relationship Id="rId91" Type="http://schemas.openxmlformats.org/officeDocument/2006/relationships/hyperlink" Target="https://hashtagbasketball.com/31064/player" TargetMode="External"/><Relationship Id="rId90" Type="http://schemas.openxmlformats.org/officeDocument/2006/relationships/hyperlink" Target="https://hashtagbasketball.com/13860/player" TargetMode="External"/><Relationship Id="rId93" Type="http://schemas.openxmlformats.org/officeDocument/2006/relationships/hyperlink" Target="https://hashtagbasketball.com/9228/player" TargetMode="External"/><Relationship Id="rId92" Type="http://schemas.openxmlformats.org/officeDocument/2006/relationships/hyperlink" Target="https://hashtagbasketball.com/17259/player" TargetMode="External"/><Relationship Id="rId118" Type="http://schemas.openxmlformats.org/officeDocument/2006/relationships/hyperlink" Target="https://hashtagbasketball.com/17197/player" TargetMode="External"/><Relationship Id="rId239" Type="http://schemas.openxmlformats.org/officeDocument/2006/relationships/hyperlink" Target="https://hashtagbasketball.com/27462/player" TargetMode="External"/><Relationship Id="rId117" Type="http://schemas.openxmlformats.org/officeDocument/2006/relationships/hyperlink" Target="https://hashtagbasketball.com/9192/player" TargetMode="External"/><Relationship Id="rId238" Type="http://schemas.openxmlformats.org/officeDocument/2006/relationships/hyperlink" Target="https://hashtagbasketball.com/120007/player" TargetMode="External"/><Relationship Id="rId359" Type="http://schemas.openxmlformats.org/officeDocument/2006/relationships/hyperlink" Target="https://hashtagbasketball.com/17315/player" TargetMode="External"/><Relationship Id="rId116" Type="http://schemas.openxmlformats.org/officeDocument/2006/relationships/hyperlink" Target="https://hashtagbasketball.com/9265/player" TargetMode="External"/><Relationship Id="rId237" Type="http://schemas.openxmlformats.org/officeDocument/2006/relationships/hyperlink" Target="https://hashtagbasketball.com/9427/player" TargetMode="External"/><Relationship Id="rId358" Type="http://schemas.openxmlformats.org/officeDocument/2006/relationships/hyperlink" Target="https://hashtagbasketball.com/31122/player" TargetMode="External"/><Relationship Id="rId115" Type="http://schemas.openxmlformats.org/officeDocument/2006/relationships/hyperlink" Target="https://hashtagbasketball.com/13737/player" TargetMode="External"/><Relationship Id="rId236" Type="http://schemas.openxmlformats.org/officeDocument/2006/relationships/hyperlink" Target="https://hashtagbasketball.com/10115/player" TargetMode="External"/><Relationship Id="rId357" Type="http://schemas.openxmlformats.org/officeDocument/2006/relationships/hyperlink" Target="https://hashtagbasketball.com/111211/player" TargetMode="External"/><Relationship Id="rId119" Type="http://schemas.openxmlformats.org/officeDocument/2006/relationships/hyperlink" Target="https://hashtagbasketball.com/9105/player" TargetMode="External"/><Relationship Id="rId110" Type="http://schemas.openxmlformats.org/officeDocument/2006/relationships/hyperlink" Target="https://hashtagbasketball.com/111253/player" TargetMode="External"/><Relationship Id="rId231" Type="http://schemas.openxmlformats.org/officeDocument/2006/relationships/hyperlink" Target="https://hashtagbasketball.com/111225/player" TargetMode="External"/><Relationship Id="rId352" Type="http://schemas.openxmlformats.org/officeDocument/2006/relationships/hyperlink" Target="https://hashtagbasketball.com/9227/player" TargetMode="External"/><Relationship Id="rId230" Type="http://schemas.openxmlformats.org/officeDocument/2006/relationships/hyperlink" Target="https://hashtagbasketball.com/10133/player" TargetMode="External"/><Relationship Id="rId351" Type="http://schemas.openxmlformats.org/officeDocument/2006/relationships/hyperlink" Target="https://hashtagbasketball.com/9431/player" TargetMode="External"/><Relationship Id="rId350" Type="http://schemas.openxmlformats.org/officeDocument/2006/relationships/hyperlink" Target="https://hashtagbasketball.com/31042/player" TargetMode="External"/><Relationship Id="rId114" Type="http://schemas.openxmlformats.org/officeDocument/2006/relationships/hyperlink" Target="https://hashtagbasketball.com/15214/player" TargetMode="External"/><Relationship Id="rId235" Type="http://schemas.openxmlformats.org/officeDocument/2006/relationships/hyperlink" Target="https://hashtagbasketball.com/27884/player" TargetMode="External"/><Relationship Id="rId356" Type="http://schemas.openxmlformats.org/officeDocument/2006/relationships/hyperlink" Target="https://hashtagbasketball.com/27706/player" TargetMode="External"/><Relationship Id="rId113" Type="http://schemas.openxmlformats.org/officeDocument/2006/relationships/hyperlink" Target="https://hashtagbasketball.com/9282/player" TargetMode="External"/><Relationship Id="rId234" Type="http://schemas.openxmlformats.org/officeDocument/2006/relationships/hyperlink" Target="https://hashtagbasketball.com/10117/player" TargetMode="External"/><Relationship Id="rId355" Type="http://schemas.openxmlformats.org/officeDocument/2006/relationships/hyperlink" Target="https://hashtagbasketball.com/35173/player" TargetMode="External"/><Relationship Id="rId112" Type="http://schemas.openxmlformats.org/officeDocument/2006/relationships/hyperlink" Target="https://hashtagbasketball.com/17285/player" TargetMode="External"/><Relationship Id="rId233" Type="http://schemas.openxmlformats.org/officeDocument/2006/relationships/hyperlink" Target="https://hashtagbasketball.com/17270/player" TargetMode="External"/><Relationship Id="rId354" Type="http://schemas.openxmlformats.org/officeDocument/2006/relationships/hyperlink" Target="https://hashtagbasketball.com/53608/player" TargetMode="External"/><Relationship Id="rId111" Type="http://schemas.openxmlformats.org/officeDocument/2006/relationships/hyperlink" Target="https://hashtagbasketball.com/31031/player" TargetMode="External"/><Relationship Id="rId232" Type="http://schemas.openxmlformats.org/officeDocument/2006/relationships/hyperlink" Target="https://hashtagbasketball.com/13784/player" TargetMode="External"/><Relationship Id="rId353" Type="http://schemas.openxmlformats.org/officeDocument/2006/relationships/hyperlink" Target="https://hashtagbasketball.com/31061/player" TargetMode="External"/><Relationship Id="rId305" Type="http://schemas.openxmlformats.org/officeDocument/2006/relationships/hyperlink" Target="https://hashtagbasketball.com/9087/player" TargetMode="External"/><Relationship Id="rId304" Type="http://schemas.openxmlformats.org/officeDocument/2006/relationships/hyperlink" Target="https://hashtagbasketball.com/9513/player" TargetMode="External"/><Relationship Id="rId303" Type="http://schemas.openxmlformats.org/officeDocument/2006/relationships/hyperlink" Target="https://hashtagbasketball.com/120013/player" TargetMode="External"/><Relationship Id="rId302" Type="http://schemas.openxmlformats.org/officeDocument/2006/relationships/hyperlink" Target="https://hashtagbasketball.com/13856/player" TargetMode="External"/><Relationship Id="rId309" Type="http://schemas.openxmlformats.org/officeDocument/2006/relationships/hyperlink" Target="https://hashtagbasketball.com/31057/player" TargetMode="External"/><Relationship Id="rId308" Type="http://schemas.openxmlformats.org/officeDocument/2006/relationships/hyperlink" Target="https://hashtagbasketball.com/15217/player" TargetMode="External"/><Relationship Id="rId307" Type="http://schemas.openxmlformats.org/officeDocument/2006/relationships/hyperlink" Target="https://hashtagbasketball.com/31038/player" TargetMode="External"/><Relationship Id="rId306" Type="http://schemas.openxmlformats.org/officeDocument/2006/relationships/hyperlink" Target="https://hashtagbasketball.com/31047/player" TargetMode="External"/><Relationship Id="rId301" Type="http://schemas.openxmlformats.org/officeDocument/2006/relationships/hyperlink" Target="https://hashtagbasketball.com/111259/player" TargetMode="External"/><Relationship Id="rId300" Type="http://schemas.openxmlformats.org/officeDocument/2006/relationships/hyperlink" Target="https://hashtagbasketball.com/38695/player" TargetMode="External"/><Relationship Id="rId206" Type="http://schemas.openxmlformats.org/officeDocument/2006/relationships/hyperlink" Target="https://hashtagbasketball.com/36104/player" TargetMode="External"/><Relationship Id="rId327" Type="http://schemas.openxmlformats.org/officeDocument/2006/relationships/hyperlink" Target="https://hashtagbasketball.com/111258/player" TargetMode="External"/><Relationship Id="rId205" Type="http://schemas.openxmlformats.org/officeDocument/2006/relationships/hyperlink" Target="https://hashtagbasketball.com/31051/player" TargetMode="External"/><Relationship Id="rId326" Type="http://schemas.openxmlformats.org/officeDocument/2006/relationships/hyperlink" Target="https://hashtagbasketball.com/33899/player" TargetMode="External"/><Relationship Id="rId204" Type="http://schemas.openxmlformats.org/officeDocument/2006/relationships/hyperlink" Target="https://hashtagbasketball.com/17208/player" TargetMode="External"/><Relationship Id="rId325" Type="http://schemas.openxmlformats.org/officeDocument/2006/relationships/hyperlink" Target="https://hashtagbasketball.com/9422/player" TargetMode="External"/><Relationship Id="rId203" Type="http://schemas.openxmlformats.org/officeDocument/2006/relationships/hyperlink" Target="https://hashtagbasketball.com/13777/player" TargetMode="External"/><Relationship Id="rId324" Type="http://schemas.openxmlformats.org/officeDocument/2006/relationships/hyperlink" Target="https://hashtagbasketball.com/17194/player" TargetMode="External"/><Relationship Id="rId209" Type="http://schemas.openxmlformats.org/officeDocument/2006/relationships/hyperlink" Target="https://hashtagbasketball.com/109469/player" TargetMode="External"/><Relationship Id="rId208" Type="http://schemas.openxmlformats.org/officeDocument/2006/relationships/hyperlink" Target="https://hashtagbasketball.com/17190/player" TargetMode="External"/><Relationship Id="rId329" Type="http://schemas.openxmlformats.org/officeDocument/2006/relationships/hyperlink" Target="https://hashtagbasketball.com/38959/player" TargetMode="External"/><Relationship Id="rId207" Type="http://schemas.openxmlformats.org/officeDocument/2006/relationships/hyperlink" Target="https://hashtagbasketball.com/9352/player" TargetMode="External"/><Relationship Id="rId328" Type="http://schemas.openxmlformats.org/officeDocument/2006/relationships/hyperlink" Target="https://hashtagbasketball.com/111210/player" TargetMode="External"/><Relationship Id="rId202" Type="http://schemas.openxmlformats.org/officeDocument/2006/relationships/hyperlink" Target="https://hashtagbasketball.com/38944/player" TargetMode="External"/><Relationship Id="rId323" Type="http://schemas.openxmlformats.org/officeDocument/2006/relationships/hyperlink" Target="https://hashtagbasketball.com/120014/player" TargetMode="External"/><Relationship Id="rId201" Type="http://schemas.openxmlformats.org/officeDocument/2006/relationships/hyperlink" Target="https://hashtagbasketball.com/27652/player" TargetMode="External"/><Relationship Id="rId322" Type="http://schemas.openxmlformats.org/officeDocument/2006/relationships/hyperlink" Target="https://hashtagbasketball.com/120149/player" TargetMode="External"/><Relationship Id="rId200" Type="http://schemas.openxmlformats.org/officeDocument/2006/relationships/hyperlink" Target="https://hashtagbasketball.com/38940/player" TargetMode="External"/><Relationship Id="rId321" Type="http://schemas.openxmlformats.org/officeDocument/2006/relationships/hyperlink" Target="https://hashtagbasketball.com/13817/player" TargetMode="External"/><Relationship Id="rId320" Type="http://schemas.openxmlformats.org/officeDocument/2006/relationships/hyperlink" Target="https://hashtagbasketball.com/31082/player" TargetMode="External"/><Relationship Id="rId316" Type="http://schemas.openxmlformats.org/officeDocument/2006/relationships/hyperlink" Target="https://hashtagbasketball.com/27691/player" TargetMode="External"/><Relationship Id="rId315" Type="http://schemas.openxmlformats.org/officeDocument/2006/relationships/hyperlink" Target="https://hashtagbasketball.com/17196/player" TargetMode="External"/><Relationship Id="rId314" Type="http://schemas.openxmlformats.org/officeDocument/2006/relationships/hyperlink" Target="https://hashtagbasketball.com/111206/player" TargetMode="External"/><Relationship Id="rId313" Type="http://schemas.openxmlformats.org/officeDocument/2006/relationships/hyperlink" Target="https://hashtagbasketball.com/17215/player" TargetMode="External"/><Relationship Id="rId319" Type="http://schemas.openxmlformats.org/officeDocument/2006/relationships/hyperlink" Target="https://hashtagbasketball.com/38740/player" TargetMode="External"/><Relationship Id="rId318" Type="http://schemas.openxmlformats.org/officeDocument/2006/relationships/hyperlink" Target="https://hashtagbasketball.com/15462/player" TargetMode="External"/><Relationship Id="rId317" Type="http://schemas.openxmlformats.org/officeDocument/2006/relationships/hyperlink" Target="https://hashtagbasketball.com/38571/player" TargetMode="External"/><Relationship Id="rId312" Type="http://schemas.openxmlformats.org/officeDocument/2006/relationships/hyperlink" Target="https://hashtagbasketball.com/13791/player" TargetMode="External"/><Relationship Id="rId311" Type="http://schemas.openxmlformats.org/officeDocument/2006/relationships/hyperlink" Target="https://hashtagbasketball.com/9394/player" TargetMode="External"/><Relationship Id="rId310" Type="http://schemas.openxmlformats.org/officeDocument/2006/relationships/hyperlink" Target="https://hashtagbasketball.com/17229/playe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hidden="1" min="1" max="1" width="7.5"/>
    <col customWidth="1" hidden="1" min="2" max="2" width="7.38"/>
    <col customWidth="1" hidden="1" min="3" max="3" width="6.63"/>
    <col customWidth="1" hidden="1" min="4" max="4" width="7.75"/>
    <col customWidth="1" min="5" max="5" width="7.13"/>
    <col customWidth="1" min="6" max="6" width="18.38"/>
    <col customWidth="1" min="7" max="7" width="9.63"/>
    <col customWidth="1" min="8" max="8" width="7.38"/>
    <col customWidth="1" min="9" max="9" width="9.38"/>
    <col customWidth="1" min="10" max="10" width="22.25"/>
    <col customWidth="1" min="11" max="11" width="14.88"/>
    <col customWidth="1" min="12" max="12" width="13.0"/>
    <col customWidth="1" min="13" max="13" width="8.13"/>
    <col customWidth="1" min="14" max="14" width="7.88"/>
    <col customWidth="1" min="15" max="15" width="8.0"/>
    <col customWidth="1" min="16" max="16" width="7.75"/>
    <col customWidth="1" min="17" max="17" width="8.13"/>
    <col customWidth="1" min="18" max="18" width="7.38"/>
    <col customWidth="1" min="19" max="19" width="7.88"/>
    <col customWidth="1" min="20" max="20" width="8.75"/>
    <col customWidth="1" min="21" max="21" width="7.5"/>
    <col customWidth="1" min="22" max="22" width="8.75"/>
    <col customWidth="1" min="23" max="23" width="7.38"/>
    <col customWidth="1" min="24" max="24" width="7.13"/>
    <col customWidth="1" min="25" max="25" width="5.88"/>
    <col customWidth="1" min="26" max="26" width="6.13"/>
    <col customWidth="1" min="27" max="27" width="5.88"/>
    <col customWidth="1" min="28" max="29" width="5.0"/>
    <col customWidth="1" min="30" max="32" width="6.88"/>
    <col customWidth="1" min="33" max="33" width="5.63"/>
    <col customWidth="1" min="34" max="34" width="7.13"/>
    <col customWidth="1" min="35" max="35" width="3.5"/>
    <col customWidth="1" min="36" max="36" width="14.38"/>
    <col customWidth="1" hidden="1" min="37" max="37" width="9.13"/>
    <col customWidth="1" hidden="1" min="38" max="40" width="5.13"/>
    <col customWidth="1" hidden="1" min="41" max="41" width="4.63"/>
    <col customWidth="1" hidden="1" min="42" max="45" width="5.13"/>
    <col hidden="1" min="46" max="48" width="12.63"/>
    <col customWidth="1" min="49" max="49" width="11.25"/>
    <col customWidth="1" min="50" max="50" width="14.38"/>
    <col customWidth="1" min="56" max="56" width="9.63"/>
    <col customWidth="1" min="57" max="57" width="9.88"/>
    <col customWidth="1" min="58" max="58" width="10.63"/>
    <col customWidth="1" min="59" max="59" width="7.38"/>
    <col customWidth="1" min="60" max="60" width="8.13"/>
  </cols>
  <sheetData>
    <row r="1">
      <c r="A1" s="1"/>
      <c r="B1" s="1"/>
      <c r="C1" s="1"/>
      <c r="D1" s="1"/>
      <c r="E1" s="4"/>
      <c r="F1" s="4"/>
      <c r="G1" s="4"/>
      <c r="H1" s="7"/>
      <c r="I1" s="4"/>
      <c r="J1" s="10"/>
      <c r="K1" s="11"/>
      <c r="L1" s="12"/>
      <c r="M1" s="10"/>
      <c r="N1" s="10"/>
      <c r="O1" s="10"/>
      <c r="P1" s="10"/>
      <c r="Q1" s="10"/>
      <c r="R1" s="10"/>
      <c r="S1" s="10"/>
      <c r="T1" s="10"/>
      <c r="U1" s="10"/>
      <c r="V1" s="14"/>
      <c r="W1" s="14"/>
      <c r="X1" s="14"/>
      <c r="Y1" s="14"/>
      <c r="Z1" s="14"/>
      <c r="AA1" s="14"/>
      <c r="AB1" s="14"/>
      <c r="AC1" s="14"/>
      <c r="AD1" s="14"/>
      <c r="AE1" s="14"/>
      <c r="AF1" s="14"/>
      <c r="AG1" s="14"/>
      <c r="AH1" s="14"/>
      <c r="AI1" s="20"/>
      <c r="AJ1" s="14"/>
      <c r="AK1" s="21"/>
      <c r="AL1" s="22"/>
      <c r="AM1" s="22"/>
      <c r="AN1" s="22"/>
      <c r="AO1" s="22"/>
      <c r="AP1" s="22"/>
      <c r="AQ1" s="22"/>
      <c r="AR1" s="22"/>
      <c r="AS1" s="22"/>
      <c r="AT1" s="22"/>
      <c r="AU1" s="22"/>
      <c r="AV1" s="22"/>
      <c r="AW1" s="22"/>
      <c r="AX1" s="21"/>
      <c r="AY1" s="14"/>
      <c r="AZ1" s="14"/>
      <c r="BA1" s="14"/>
      <c r="BB1" s="14"/>
      <c r="BC1" s="14"/>
      <c r="BD1" s="14"/>
      <c r="BE1" s="14"/>
      <c r="BF1" s="14"/>
      <c r="BG1" s="14"/>
      <c r="BH1" s="14"/>
      <c r="BI1" s="14"/>
      <c r="BJ1" s="14"/>
      <c r="BK1" s="14"/>
      <c r="BL1" s="14"/>
      <c r="BM1" s="14"/>
      <c r="BN1" s="14"/>
      <c r="BO1" s="14"/>
      <c r="BP1" s="14"/>
      <c r="BQ1" s="14"/>
      <c r="BR1" s="14"/>
      <c r="BS1" s="14"/>
      <c r="BT1" s="14"/>
      <c r="BU1" s="14"/>
      <c r="BV1" s="14"/>
    </row>
    <row r="2">
      <c r="A2" s="1"/>
      <c r="B2" s="1"/>
      <c r="C2" s="1"/>
      <c r="D2" s="1"/>
      <c r="E2" s="4"/>
      <c r="F2" s="4"/>
      <c r="G2" s="4"/>
      <c r="H2" s="7"/>
      <c r="I2" s="4"/>
      <c r="J2" s="26"/>
      <c r="K2" s="26"/>
      <c r="L2" s="20"/>
      <c r="M2" s="11"/>
      <c r="N2" s="11"/>
      <c r="O2" s="11"/>
      <c r="P2" s="11"/>
      <c r="Q2" s="11"/>
      <c r="R2" s="11"/>
      <c r="S2" s="11"/>
      <c r="T2" s="11"/>
      <c r="U2" s="11"/>
      <c r="V2" s="27"/>
      <c r="W2" s="28"/>
      <c r="Y2" s="28"/>
      <c r="AA2" s="28"/>
      <c r="AC2" s="28"/>
      <c r="AE2" s="28"/>
      <c r="AG2" s="28"/>
      <c r="AI2" s="28"/>
      <c r="AK2" s="28"/>
      <c r="AM2" s="28"/>
      <c r="AO2" s="28"/>
      <c r="AQ2" s="28"/>
      <c r="AS2" s="28"/>
      <c r="AU2" s="28"/>
      <c r="AW2" s="28"/>
      <c r="AX2" s="28"/>
      <c r="AY2" s="28"/>
      <c r="AZ2" s="28"/>
      <c r="BA2" s="28"/>
      <c r="BB2" s="28"/>
      <c r="BC2" s="28"/>
      <c r="BD2" s="14" t="str">
        <f>Draft!AK3</f>
        <v/>
      </c>
      <c r="BE2" s="14" t="str">
        <f>Draft!AL3</f>
        <v/>
      </c>
      <c r="BF2" s="14" t="str">
        <f>Draft!AM3</f>
        <v/>
      </c>
      <c r="BG2" s="14" t="str">
        <f>Draft!AN3</f>
        <v/>
      </c>
      <c r="BH2" s="14" t="str">
        <f>Draft!AO3</f>
        <v/>
      </c>
      <c r="BI2" s="14"/>
      <c r="BJ2" s="14"/>
      <c r="BK2" s="14"/>
      <c r="BL2" s="14"/>
      <c r="BM2" s="14"/>
      <c r="BN2" s="14"/>
      <c r="BO2" s="14"/>
      <c r="BP2" s="14"/>
      <c r="BQ2" s="14"/>
      <c r="BR2" s="14"/>
      <c r="BS2" s="14"/>
      <c r="BT2" s="14"/>
      <c r="BU2" s="14"/>
      <c r="BV2" s="14"/>
    </row>
    <row r="3">
      <c r="A3" s="1"/>
      <c r="B3" s="1"/>
      <c r="C3" s="1"/>
      <c r="D3" s="1"/>
      <c r="E3" s="32"/>
      <c r="F3" s="32"/>
      <c r="G3" s="20"/>
      <c r="H3" s="7"/>
      <c r="I3" s="4"/>
      <c r="J3" s="33" t="s">
        <v>40</v>
      </c>
      <c r="K3" s="34"/>
      <c r="L3" s="35" t="s">
        <v>41</v>
      </c>
      <c r="M3" s="36"/>
      <c r="N3" s="20"/>
      <c r="O3" s="36"/>
      <c r="P3" s="36"/>
      <c r="Q3" s="36"/>
      <c r="R3" s="36"/>
      <c r="S3" s="36"/>
      <c r="T3" s="37"/>
      <c r="U3" s="38"/>
      <c r="V3" s="39"/>
      <c r="W3" s="40"/>
      <c r="Y3" s="40"/>
      <c r="AA3" s="40"/>
      <c r="AC3" s="40"/>
      <c r="AE3" s="40"/>
      <c r="AG3" s="40"/>
      <c r="AI3" s="40"/>
      <c r="AK3" s="41"/>
      <c r="AL3" s="41"/>
      <c r="AM3" s="41"/>
      <c r="AN3" s="41"/>
      <c r="AO3" s="41"/>
      <c r="AP3" s="41"/>
      <c r="AQ3" s="41"/>
      <c r="AR3" s="41"/>
      <c r="AS3" s="41"/>
      <c r="AT3" s="41"/>
      <c r="AU3" s="41"/>
      <c r="AV3" s="41"/>
      <c r="AW3" s="43"/>
      <c r="AX3" s="43"/>
      <c r="AY3" s="43"/>
      <c r="AZ3" s="43"/>
      <c r="BA3" s="43"/>
      <c r="BB3" s="43"/>
      <c r="BC3" s="14"/>
      <c r="BD3" s="14" t="str">
        <f>Draft!AK4</f>
        <v/>
      </c>
      <c r="BE3" s="14" t="str">
        <f>Draft!AL4</f>
        <v/>
      </c>
      <c r="BF3" s="14" t="str">
        <f>Draft!AM4</f>
        <v/>
      </c>
      <c r="BG3" s="14" t="str">
        <f>Draft!AN4</f>
        <v/>
      </c>
      <c r="BH3" s="14" t="str">
        <f>Draft!AO4</f>
        <v/>
      </c>
      <c r="BI3" s="14"/>
      <c r="BJ3" s="14"/>
      <c r="BK3" s="14"/>
      <c r="BL3" s="14"/>
      <c r="BM3" s="14"/>
      <c r="BN3" s="14"/>
      <c r="BO3" s="14"/>
      <c r="BP3" s="14"/>
      <c r="BQ3" s="14"/>
      <c r="BR3" s="14"/>
      <c r="BS3" s="14"/>
      <c r="BT3" s="14"/>
      <c r="BU3" s="14"/>
      <c r="BV3" s="14"/>
    </row>
    <row r="4">
      <c r="A4" s="1"/>
      <c r="B4" s="1"/>
      <c r="C4" s="1"/>
      <c r="D4" s="1"/>
      <c r="E4" s="20"/>
      <c r="F4" s="35" t="s">
        <v>64</v>
      </c>
      <c r="G4" s="47">
        <f>200*13</f>
        <v>2600</v>
      </c>
      <c r="H4" s="48"/>
      <c r="I4" s="4"/>
      <c r="J4" s="35" t="s">
        <v>66</v>
      </c>
      <c r="K4" s="49"/>
      <c r="L4" s="49"/>
      <c r="M4" s="36"/>
      <c r="N4" s="20"/>
      <c r="O4" s="20"/>
      <c r="P4" s="20"/>
      <c r="Q4" s="36"/>
      <c r="R4" s="36"/>
      <c r="S4" s="36"/>
      <c r="T4" s="37"/>
      <c r="U4" s="38"/>
      <c r="V4" s="39"/>
      <c r="W4" s="40"/>
      <c r="Y4" s="40"/>
      <c r="AA4" s="40"/>
      <c r="AC4" s="40"/>
      <c r="AE4" s="40"/>
      <c r="AG4" s="40"/>
      <c r="AI4" s="40"/>
      <c r="AK4" s="41"/>
      <c r="AL4" s="41"/>
      <c r="AM4" s="41"/>
      <c r="AN4" s="41"/>
      <c r="AO4" s="41"/>
      <c r="AP4" s="41"/>
      <c r="AQ4" s="41"/>
      <c r="AR4" s="41"/>
      <c r="AS4" s="41"/>
      <c r="AT4" s="41"/>
      <c r="AU4" s="41"/>
      <c r="AV4" s="41"/>
      <c r="AW4" s="43"/>
      <c r="AX4" s="43"/>
      <c r="AY4" s="43"/>
      <c r="AZ4" s="43"/>
      <c r="BA4" s="43"/>
      <c r="BB4" s="43"/>
      <c r="BC4" s="14"/>
      <c r="BD4" s="14" t="str">
        <f>Draft!AK5</f>
        <v/>
      </c>
      <c r="BE4" s="14" t="str">
        <f>Draft!AL5</f>
        <v/>
      </c>
      <c r="BF4" s="14" t="str">
        <f>Draft!AM5</f>
        <v/>
      </c>
      <c r="BG4" s="14" t="str">
        <f>Draft!AN5</f>
        <v/>
      </c>
      <c r="BH4" s="14" t="str">
        <f>Draft!AO5</f>
        <v/>
      </c>
      <c r="BI4" s="14"/>
      <c r="BJ4" s="14"/>
      <c r="BK4" s="14"/>
      <c r="BL4" s="14"/>
      <c r="BM4" s="14"/>
      <c r="BN4" s="14"/>
      <c r="BO4" s="14"/>
      <c r="BP4" s="14"/>
      <c r="BQ4" s="14"/>
      <c r="BR4" s="14"/>
      <c r="BS4" s="14"/>
      <c r="BT4" s="14"/>
      <c r="BU4" s="14"/>
      <c r="BV4" s="14"/>
    </row>
    <row r="5">
      <c r="A5" s="1"/>
      <c r="B5" s="1"/>
      <c r="C5" s="1"/>
      <c r="D5" s="1"/>
      <c r="E5" s="51"/>
      <c r="F5" s="35" t="s">
        <v>72</v>
      </c>
      <c r="G5" s="52"/>
      <c r="H5" s="48"/>
      <c r="I5" s="4"/>
      <c r="J5" s="35" t="s">
        <v>73</v>
      </c>
      <c r="K5" s="49"/>
      <c r="L5" s="49"/>
      <c r="M5" s="36"/>
      <c r="N5" s="20"/>
      <c r="O5" s="20"/>
      <c r="P5" s="20"/>
      <c r="Q5" s="36"/>
      <c r="R5" s="36"/>
      <c r="S5" s="36"/>
      <c r="T5" s="37"/>
      <c r="U5" s="38"/>
      <c r="V5" s="39"/>
      <c r="W5" s="40"/>
      <c r="Y5" s="40"/>
      <c r="AA5" s="40"/>
      <c r="AC5" s="40"/>
      <c r="AE5" s="40"/>
      <c r="AG5" s="40"/>
      <c r="AI5" s="40"/>
      <c r="AK5" s="41"/>
      <c r="AL5" s="41"/>
      <c r="AM5" s="41"/>
      <c r="AN5" s="41"/>
      <c r="AO5" s="41"/>
      <c r="AP5" s="41"/>
      <c r="AQ5" s="41"/>
      <c r="AR5" s="41"/>
      <c r="AS5" s="41"/>
      <c r="AT5" s="41"/>
      <c r="AU5" s="41"/>
      <c r="AV5" s="41"/>
      <c r="AW5" s="43"/>
      <c r="AX5" s="43"/>
      <c r="AY5" s="43"/>
      <c r="AZ5" s="43"/>
      <c r="BA5" s="43"/>
      <c r="BB5" s="43"/>
      <c r="BC5" s="14"/>
      <c r="BD5" s="14" t="str">
        <f>Draft!AK6</f>
        <v/>
      </c>
      <c r="BE5" s="14" t="str">
        <f>Draft!AL6</f>
        <v/>
      </c>
      <c r="BF5" s="14" t="str">
        <f>Draft!AM6</f>
        <v/>
      </c>
      <c r="BG5" s="14" t="str">
        <f>Draft!AN6</f>
        <v/>
      </c>
      <c r="BH5" s="14" t="str">
        <f>Draft!AO6</f>
        <v/>
      </c>
      <c r="BI5" s="14"/>
      <c r="BJ5" s="14"/>
      <c r="BK5" s="14"/>
      <c r="BL5" s="14"/>
      <c r="BM5" s="14"/>
      <c r="BN5" s="14"/>
      <c r="BO5" s="14"/>
      <c r="BP5" s="14"/>
      <c r="BQ5" s="14"/>
      <c r="BR5" s="14"/>
      <c r="BS5" s="14"/>
      <c r="BT5" s="14"/>
      <c r="BU5" s="14"/>
      <c r="BV5" s="14"/>
    </row>
    <row r="6">
      <c r="A6" s="1"/>
      <c r="B6" s="1"/>
      <c r="C6" s="1"/>
      <c r="D6" s="1"/>
      <c r="E6" s="54"/>
      <c r="F6" s="35" t="s">
        <v>79</v>
      </c>
      <c r="G6" s="52"/>
      <c r="H6" s="48"/>
      <c r="I6" s="4"/>
      <c r="J6" s="35" t="s">
        <v>80</v>
      </c>
      <c r="K6" s="49"/>
      <c r="L6" s="49"/>
      <c r="M6" s="36"/>
      <c r="N6" s="20"/>
      <c r="O6" s="20"/>
      <c r="P6" s="20"/>
      <c r="Q6" s="36"/>
      <c r="R6" s="36"/>
      <c r="S6" s="36"/>
      <c r="T6" s="37"/>
      <c r="U6" s="38"/>
      <c r="V6" s="39"/>
      <c r="W6" s="40"/>
      <c r="Y6" s="40"/>
      <c r="AA6" s="40"/>
      <c r="AC6" s="40"/>
      <c r="AE6" s="40"/>
      <c r="AG6" s="40"/>
      <c r="AI6" s="40"/>
      <c r="AK6" s="41"/>
      <c r="AL6" s="41"/>
      <c r="AM6" s="41"/>
      <c r="AN6" s="41"/>
      <c r="AO6" s="41"/>
      <c r="AP6" s="41"/>
      <c r="AQ6" s="41"/>
      <c r="AR6" s="41"/>
      <c r="AS6" s="41"/>
      <c r="AT6" s="41"/>
      <c r="AU6" s="41"/>
      <c r="AV6" s="41"/>
      <c r="AW6" s="43"/>
      <c r="AX6" s="43"/>
      <c r="AY6" s="43"/>
      <c r="AZ6" s="43"/>
      <c r="BA6" s="43"/>
      <c r="BB6" s="43"/>
      <c r="BC6" s="14"/>
      <c r="BD6" s="14" t="str">
        <f>Draft!AK7</f>
        <v/>
      </c>
      <c r="BE6" s="14" t="str">
        <f>Draft!AL7</f>
        <v/>
      </c>
      <c r="BF6" s="14" t="str">
        <f>Draft!AM7</f>
        <v/>
      </c>
      <c r="BG6" s="14" t="str">
        <f>Draft!AN7</f>
        <v/>
      </c>
      <c r="BH6" s="14" t="str">
        <f>Draft!AO7</f>
        <v/>
      </c>
      <c r="BI6" s="14"/>
      <c r="BJ6" s="14"/>
      <c r="BK6" s="14"/>
      <c r="BL6" s="14"/>
      <c r="BM6" s="14"/>
      <c r="BN6" s="14"/>
      <c r="BO6" s="14"/>
      <c r="BP6" s="14"/>
      <c r="BQ6" s="14"/>
      <c r="BR6" s="14"/>
      <c r="BS6" s="14"/>
      <c r="BT6" s="14"/>
      <c r="BU6" s="14"/>
      <c r="BV6" s="14"/>
    </row>
    <row r="7">
      <c r="A7" s="1"/>
      <c r="B7" s="1"/>
      <c r="C7" s="1"/>
      <c r="D7" s="1"/>
      <c r="E7" s="55"/>
      <c r="F7" s="56"/>
      <c r="H7" s="7"/>
      <c r="I7" s="4"/>
      <c r="J7" s="11"/>
      <c r="K7" s="36"/>
      <c r="L7" s="36"/>
      <c r="M7" s="36"/>
      <c r="N7" s="36"/>
      <c r="O7" s="36"/>
      <c r="P7" s="36"/>
      <c r="Q7" s="36"/>
      <c r="R7" s="36"/>
      <c r="S7" s="36"/>
      <c r="T7" s="37"/>
      <c r="U7" s="38"/>
      <c r="V7" s="39"/>
      <c r="W7" s="40"/>
      <c r="Y7" s="40"/>
      <c r="AA7" s="40"/>
      <c r="AC7" s="40"/>
      <c r="AE7" s="40"/>
      <c r="AG7" s="40"/>
      <c r="AI7" s="40"/>
      <c r="AK7" s="41"/>
      <c r="AL7" s="41"/>
      <c r="AM7" s="41"/>
      <c r="AN7" s="41"/>
      <c r="AO7" s="41"/>
      <c r="AP7" s="41"/>
      <c r="AQ7" s="41"/>
      <c r="AR7" s="41"/>
      <c r="AS7" s="41"/>
      <c r="AT7" s="41"/>
      <c r="AU7" s="41"/>
      <c r="AV7" s="41"/>
      <c r="AW7" s="43"/>
      <c r="AX7" s="43"/>
      <c r="AY7" s="43"/>
      <c r="AZ7" s="43"/>
      <c r="BA7" s="43"/>
      <c r="BB7" s="43"/>
      <c r="BC7" s="14"/>
      <c r="BD7" s="14" t="str">
        <f>Draft!AK8</f>
        <v/>
      </c>
      <c r="BE7" s="14" t="str">
        <f>Draft!AL8</f>
        <v/>
      </c>
      <c r="BF7" s="14" t="str">
        <f>Draft!AM8</f>
        <v/>
      </c>
      <c r="BG7" s="14" t="str">
        <f>Draft!AN8</f>
        <v/>
      </c>
      <c r="BH7" s="14" t="str">
        <f>Draft!AO8</f>
        <v/>
      </c>
      <c r="BI7" s="14"/>
      <c r="BJ7" s="14"/>
      <c r="BK7" s="14"/>
      <c r="BL7" s="14"/>
      <c r="BM7" s="14"/>
      <c r="BN7" s="14"/>
      <c r="BO7" s="14"/>
      <c r="BP7" s="14"/>
      <c r="BQ7" s="14"/>
      <c r="BR7" s="14"/>
      <c r="BS7" s="14"/>
      <c r="BT7" s="14"/>
      <c r="BU7" s="14"/>
      <c r="BV7" s="14"/>
    </row>
    <row r="8">
      <c r="A8" s="1"/>
      <c r="B8" s="1"/>
      <c r="C8" s="57"/>
      <c r="D8" s="57"/>
      <c r="E8" s="56"/>
      <c r="F8" s="56"/>
      <c r="G8" s="56"/>
      <c r="H8" s="7"/>
      <c r="I8" s="4"/>
      <c r="J8" s="1"/>
      <c r="K8" s="36"/>
      <c r="L8" s="36"/>
      <c r="M8" s="36"/>
      <c r="N8" s="36"/>
      <c r="O8" s="36"/>
      <c r="P8" s="36"/>
      <c r="Q8" s="36"/>
      <c r="R8" s="36"/>
      <c r="S8" s="36"/>
      <c r="T8" s="37"/>
      <c r="U8" s="38"/>
      <c r="V8" s="39"/>
      <c r="W8" s="40"/>
      <c r="Y8" s="40"/>
      <c r="AA8" s="40"/>
      <c r="AC8" s="40"/>
      <c r="AE8" s="40"/>
      <c r="AG8" s="40"/>
      <c r="AI8" s="40"/>
      <c r="AK8" s="41"/>
      <c r="AL8" s="41"/>
      <c r="AM8" s="41"/>
      <c r="AN8" s="41"/>
      <c r="AO8" s="41"/>
      <c r="AP8" s="41"/>
      <c r="AQ8" s="41"/>
      <c r="AR8" s="41"/>
      <c r="AS8" s="41"/>
      <c r="AT8" s="41"/>
      <c r="AU8" s="41"/>
      <c r="AV8" s="41"/>
      <c r="AW8" s="43"/>
      <c r="AX8" s="43"/>
      <c r="AY8" s="43"/>
      <c r="AZ8" s="43"/>
      <c r="BA8" s="43"/>
      <c r="BB8" s="43"/>
      <c r="BC8" s="14"/>
      <c r="BD8" s="14" t="str">
        <f>Draft!AK15</f>
        <v/>
      </c>
      <c r="BE8" s="14" t="str">
        <f>Draft!AL15</f>
        <v/>
      </c>
      <c r="BF8" s="14" t="str">
        <f>Draft!AM15</f>
        <v/>
      </c>
      <c r="BG8" s="14" t="str">
        <f>Draft!AN15</f>
        <v/>
      </c>
      <c r="BH8" s="14" t="str">
        <f>Draft!AO15</f>
        <v/>
      </c>
      <c r="BI8" s="14"/>
      <c r="BJ8" s="14"/>
      <c r="BK8" s="14"/>
      <c r="BL8" s="14"/>
      <c r="BM8" s="14"/>
      <c r="BN8" s="14"/>
      <c r="BO8" s="14"/>
      <c r="BP8" s="14"/>
      <c r="BQ8" s="14"/>
      <c r="BR8" s="14"/>
      <c r="BS8" s="14"/>
      <c r="BT8" s="14"/>
      <c r="BU8" s="14"/>
      <c r="BV8" s="14"/>
    </row>
    <row r="9">
      <c r="A9" s="1"/>
      <c r="B9" s="1"/>
      <c r="C9" s="57"/>
      <c r="D9" s="60"/>
      <c r="E9" s="56"/>
      <c r="F9" s="56"/>
      <c r="G9" s="61"/>
      <c r="H9" s="7"/>
      <c r="I9" s="7"/>
      <c r="J9" s="35" t="s">
        <v>93</v>
      </c>
      <c r="K9" s="62">
        <f t="shared" ref="K9:S9" si="1">SUM(Y14:Y1009)/ COUNT($K$14:$K1009)</f>
        <v>-0.01620611813</v>
      </c>
      <c r="L9" s="62">
        <f t="shared" si="1"/>
        <v>-0.01214639756</v>
      </c>
      <c r="M9" s="62">
        <f t="shared" si="1"/>
        <v>-0.03078628189</v>
      </c>
      <c r="N9" s="62">
        <f t="shared" si="1"/>
        <v>0.03364724792</v>
      </c>
      <c r="O9" s="62">
        <f t="shared" si="1"/>
        <v>-0.0647601347</v>
      </c>
      <c r="P9" s="62">
        <f t="shared" si="1"/>
        <v>-0.005134444244</v>
      </c>
      <c r="Q9" s="62">
        <f t="shared" si="1"/>
        <v>0.1519016234</v>
      </c>
      <c r="R9" s="62">
        <f t="shared" si="1"/>
        <v>0.1527805058</v>
      </c>
      <c r="S9" s="62">
        <f t="shared" si="1"/>
        <v>0</v>
      </c>
      <c r="T9" s="14"/>
      <c r="U9" s="14"/>
      <c r="V9" s="14"/>
      <c r="W9" s="63"/>
      <c r="Y9" s="63"/>
      <c r="AA9" s="63"/>
      <c r="AC9" s="63"/>
      <c r="AE9" s="63"/>
      <c r="AG9" s="63"/>
      <c r="AI9" s="63"/>
      <c r="AK9" s="63"/>
      <c r="AM9" s="63"/>
      <c r="AO9" s="63"/>
      <c r="AQ9" s="63"/>
      <c r="AS9" s="63"/>
      <c r="AU9" s="63"/>
      <c r="AW9" s="63"/>
      <c r="AX9" s="63"/>
      <c r="AY9" s="63"/>
      <c r="AZ9" s="63"/>
      <c r="BA9" s="63"/>
      <c r="BB9" s="63"/>
      <c r="BC9" s="63"/>
      <c r="BD9" s="14"/>
      <c r="BE9" s="14"/>
      <c r="BF9" s="14"/>
      <c r="BG9" s="14"/>
      <c r="BH9" s="14"/>
      <c r="BI9" s="14"/>
      <c r="BJ9" s="14"/>
      <c r="BK9" s="14"/>
      <c r="BL9" s="14"/>
      <c r="BM9" s="14"/>
      <c r="BN9" s="14"/>
      <c r="BO9" s="14"/>
      <c r="BP9" s="14"/>
      <c r="BQ9" s="14"/>
      <c r="BR9" s="14"/>
      <c r="BS9" s="14"/>
      <c r="BT9" s="14"/>
      <c r="BU9" s="14"/>
      <c r="BV9" s="14"/>
    </row>
    <row r="10">
      <c r="A10" s="14"/>
      <c r="B10" s="20"/>
      <c r="C10" s="20"/>
      <c r="D10" s="20"/>
      <c r="E10" s="20"/>
      <c r="F10" s="20"/>
      <c r="G10" s="20"/>
      <c r="H10" s="7"/>
      <c r="I10" s="35" t="s">
        <v>107</v>
      </c>
      <c r="J10" s="35" t="s">
        <v>108</v>
      </c>
      <c r="K10" s="35" t="s">
        <v>10</v>
      </c>
      <c r="L10" s="35" t="s">
        <v>109</v>
      </c>
      <c r="M10" s="35" t="s">
        <v>110</v>
      </c>
      <c r="N10" s="35" t="s">
        <v>12</v>
      </c>
      <c r="O10" s="35" t="s">
        <v>13</v>
      </c>
      <c r="P10" s="35" t="s">
        <v>111</v>
      </c>
      <c r="Q10" s="35" t="s">
        <v>8</v>
      </c>
      <c r="R10" s="35" t="s">
        <v>9</v>
      </c>
      <c r="S10" s="35" t="s">
        <v>15</v>
      </c>
      <c r="T10" s="35" t="s">
        <v>46</v>
      </c>
      <c r="U10" s="35" t="s">
        <v>47</v>
      </c>
      <c r="V10" s="35" t="s">
        <v>48</v>
      </c>
      <c r="W10" s="67" t="s">
        <v>49</v>
      </c>
      <c r="X10" s="35" t="s">
        <v>34</v>
      </c>
      <c r="Y10" s="20"/>
      <c r="Z10" s="68" t="s">
        <v>113</v>
      </c>
      <c r="AA10" s="69"/>
      <c r="AB10" s="70" t="s">
        <v>114</v>
      </c>
      <c r="AC10" s="71"/>
      <c r="AD10" s="69"/>
      <c r="AE10" s="72" t="s">
        <v>116</v>
      </c>
      <c r="AF10" s="69"/>
      <c r="AG10" s="73" t="s">
        <v>119</v>
      </c>
      <c r="AH10" s="74"/>
      <c r="AI10" s="7"/>
      <c r="AJ10" s="14"/>
      <c r="AK10" s="21"/>
      <c r="AL10" s="21"/>
      <c r="AM10" s="21"/>
      <c r="AN10" s="21"/>
      <c r="AO10" s="21"/>
      <c r="AP10" s="21"/>
      <c r="AQ10" s="21"/>
      <c r="AR10" s="21"/>
      <c r="AS10" s="21"/>
      <c r="AT10" s="21"/>
      <c r="AU10" s="21"/>
      <c r="AV10" s="21"/>
      <c r="AW10" s="21"/>
      <c r="AX10" s="21"/>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row>
    <row r="11">
      <c r="A11" s="14"/>
      <c r="B11" s="20"/>
      <c r="C11" s="20"/>
      <c r="D11" s="14"/>
      <c r="E11" s="14"/>
      <c r="F11" s="14"/>
      <c r="G11" s="14"/>
      <c r="H11" s="7"/>
      <c r="I11" s="76" t="b">
        <v>1</v>
      </c>
      <c r="J11" s="77" t="b">
        <v>0</v>
      </c>
      <c r="K11" s="78">
        <v>1.0</v>
      </c>
      <c r="L11" s="79">
        <v>1.0</v>
      </c>
      <c r="M11" s="79">
        <v>1.0</v>
      </c>
      <c r="N11" s="79">
        <v>1.0</v>
      </c>
      <c r="O11" s="79">
        <v>1.0</v>
      </c>
      <c r="P11" s="79">
        <v>1.0</v>
      </c>
      <c r="Q11" s="79">
        <v>1.0</v>
      </c>
      <c r="R11" s="79">
        <v>1.0</v>
      </c>
      <c r="S11" s="79">
        <v>0.0</v>
      </c>
      <c r="T11" s="80" t="s">
        <v>46</v>
      </c>
      <c r="U11" s="80" t="s">
        <v>47</v>
      </c>
      <c r="V11" s="80" t="s">
        <v>48</v>
      </c>
      <c r="W11" s="80" t="s">
        <v>49</v>
      </c>
      <c r="X11" s="80" t="s">
        <v>34</v>
      </c>
      <c r="Y11" s="20"/>
      <c r="Z11" s="67" t="s">
        <v>128</v>
      </c>
      <c r="AA11" s="69"/>
      <c r="AB11" s="81" t="b">
        <v>0</v>
      </c>
      <c r="AC11" s="71"/>
      <c r="AD11" s="69"/>
      <c r="AE11" s="82">
        <v>156.0</v>
      </c>
      <c r="AF11" s="69"/>
      <c r="AG11" s="82" t="s">
        <v>134</v>
      </c>
      <c r="AH11" s="69"/>
      <c r="AI11" s="7"/>
      <c r="AJ11" s="14"/>
      <c r="AK11" s="83"/>
      <c r="AL11" s="83"/>
      <c r="AM11" s="83"/>
      <c r="AN11" s="83"/>
      <c r="AO11" s="83"/>
      <c r="AP11" s="83"/>
      <c r="AQ11" s="83"/>
      <c r="AR11" s="83"/>
      <c r="AS11" s="83"/>
      <c r="AT11" s="83"/>
      <c r="AU11" s="83"/>
      <c r="AV11" s="21"/>
      <c r="AW11" s="21"/>
      <c r="AX11" s="21"/>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row>
    <row r="12">
      <c r="A12" s="14"/>
      <c r="B12" s="14"/>
      <c r="C12" s="14"/>
      <c r="D12" s="14"/>
      <c r="E12" s="7"/>
      <c r="F12" s="7"/>
      <c r="G12" s="7"/>
      <c r="H12" s="7"/>
      <c r="I12" s="7"/>
      <c r="J12" s="14"/>
      <c r="K12" s="7"/>
      <c r="L12" s="14"/>
      <c r="M12" s="14"/>
      <c r="N12" s="14"/>
      <c r="O12" s="14"/>
      <c r="P12" s="14"/>
      <c r="Q12" s="14"/>
      <c r="R12" s="14"/>
      <c r="S12" s="14"/>
      <c r="T12" s="14"/>
      <c r="U12" s="14"/>
      <c r="V12" s="14"/>
      <c r="W12" s="14"/>
      <c r="X12" s="14"/>
      <c r="Y12" s="14"/>
      <c r="Z12" s="14"/>
      <c r="AA12" s="14"/>
      <c r="AB12" s="14"/>
      <c r="AC12" s="14"/>
      <c r="AD12" s="14"/>
      <c r="AE12" s="14"/>
      <c r="AF12" s="14"/>
      <c r="AG12" s="14"/>
      <c r="AH12" s="14"/>
      <c r="AI12" s="7"/>
      <c r="AJ12" s="14"/>
      <c r="AK12" s="83"/>
      <c r="AL12" s="83"/>
      <c r="AM12" s="83"/>
      <c r="AN12" s="83"/>
      <c r="AO12" s="83"/>
      <c r="AP12" s="83"/>
      <c r="AQ12" s="83"/>
      <c r="AR12" s="83"/>
      <c r="AS12" s="83"/>
      <c r="AT12" s="83"/>
      <c r="AU12" s="83"/>
      <c r="AV12" s="21"/>
      <c r="AW12" s="21"/>
      <c r="AX12" s="21"/>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row>
    <row r="13">
      <c r="A13" s="85" t="s">
        <v>142</v>
      </c>
      <c r="B13" s="86" t="s">
        <v>145</v>
      </c>
      <c r="C13" s="86" t="s">
        <v>147</v>
      </c>
      <c r="D13" s="87" t="s">
        <v>148</v>
      </c>
      <c r="E13" s="88"/>
      <c r="F13" s="86" t="s">
        <v>149</v>
      </c>
      <c r="G13" s="86" t="s">
        <v>150</v>
      </c>
      <c r="H13" s="86" t="s">
        <v>151</v>
      </c>
      <c r="I13" s="86" t="s">
        <v>152</v>
      </c>
      <c r="J13" s="86" t="s">
        <v>153</v>
      </c>
      <c r="K13" s="86" t="s">
        <v>6</v>
      </c>
      <c r="L13" s="89" t="s">
        <v>154</v>
      </c>
      <c r="M13" s="86" t="s">
        <v>155</v>
      </c>
      <c r="N13" s="89" t="s">
        <v>128</v>
      </c>
      <c r="O13" s="86" t="s">
        <v>156</v>
      </c>
      <c r="P13" s="86" t="s">
        <v>10</v>
      </c>
      <c r="Q13" s="86" t="s">
        <v>109</v>
      </c>
      <c r="R13" s="86" t="s">
        <v>110</v>
      </c>
      <c r="S13" s="86" t="s">
        <v>12</v>
      </c>
      <c r="T13" s="86" t="s">
        <v>13</v>
      </c>
      <c r="U13" s="86" t="s">
        <v>14</v>
      </c>
      <c r="V13" s="86" t="s">
        <v>8</v>
      </c>
      <c r="W13" s="86" t="s">
        <v>9</v>
      </c>
      <c r="X13" s="86" t="s">
        <v>15</v>
      </c>
      <c r="Y13" s="89" t="s">
        <v>50</v>
      </c>
      <c r="Z13" s="89" t="s">
        <v>51</v>
      </c>
      <c r="AA13" s="89" t="s">
        <v>52</v>
      </c>
      <c r="AB13" s="89" t="s">
        <v>53</v>
      </c>
      <c r="AC13" s="89" t="s">
        <v>54</v>
      </c>
      <c r="AD13" s="89" t="s">
        <v>55</v>
      </c>
      <c r="AE13" s="89" t="s">
        <v>56</v>
      </c>
      <c r="AF13" s="89" t="s">
        <v>59</v>
      </c>
      <c r="AG13" s="90" t="s">
        <v>63</v>
      </c>
      <c r="AH13" s="14"/>
      <c r="AI13" s="7"/>
      <c r="AJ13" s="14"/>
      <c r="AK13" s="83"/>
      <c r="AL13" s="83"/>
      <c r="AM13" s="83"/>
      <c r="AN13" s="83"/>
      <c r="AO13" s="83"/>
      <c r="AP13" s="83"/>
      <c r="AQ13" s="83"/>
      <c r="AR13" s="83"/>
      <c r="AS13" s="83"/>
      <c r="AT13" s="83"/>
      <c r="AU13" s="83"/>
      <c r="AV13" s="21"/>
      <c r="AW13" s="21"/>
      <c r="AX13" s="21"/>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row>
    <row r="14">
      <c r="A14" s="91" t="str">
        <f>VLOOKUP($F14,UpdateHashtag!$V$3:$Y$32,COLUMN(B$9),0)</f>
        <v>#N/A</v>
      </c>
      <c r="B14" s="91" t="str">
        <f>VLOOKUP($F14,UpdateHashtag!$V$3:$Y$32,COLUMN(#REF!),0)</f>
        <v>#REF!</v>
      </c>
      <c r="C14" s="91" t="str">
        <f>VLOOKUP($F14,UpdateHashtag!$V$3:$Y$32,COLUMN(#REF!),0)</f>
        <v>#REF!</v>
      </c>
      <c r="D14" s="92" t="str">
        <f t="shared" ref="D14:D410" si="2">SUM(A14:C14)</f>
        <v>#N/A</v>
      </c>
      <c r="E14" s="11"/>
      <c r="F14" s="94" t="str">
        <f>VLOOKUP(J14,UpdateBBM!$C$2:E1009,3,0)</f>
        <v>SAS</v>
      </c>
      <c r="G14" s="95">
        <v>1.0</v>
      </c>
      <c r="H14" s="96">
        <f>IFERROR(__xludf.DUMMYFUNCTION("Filter('NO USAR3'!B5:AA420,IF('NO USAR3'!AB5:AB420="""",FALSE,TRUE),NOT(COUNTIF('NO USAR3'!A5:A200,'NO USAR3'!D5:D420)),IF('NO USAR3'!B5:B420&gt;AE11,FALSE,TRUE))"),1.0)</f>
        <v>1</v>
      </c>
      <c r="I14" s="96"/>
      <c r="J14" s="97" t="str">
        <f>IFERROR(__xludf.DUMMYFUNCTION("""COMPUTED_VALUE"""),"Victor Wembanyama")</f>
        <v>Victor Wembanyama</v>
      </c>
      <c r="K14" s="96">
        <f>IFERROR(__xludf.DUMMYFUNCTION("""COMPUTED_VALUE"""),73.0)</f>
        <v>73</v>
      </c>
      <c r="L14" s="98" t="str">
        <f>IFERROR(__xludf.DUMMYFUNCTION("""COMPUTED_VALUE"""),"C")</f>
        <v>C</v>
      </c>
      <c r="M14" s="99">
        <f>IFERROR(__xludf.DUMMYFUNCTION("""COMPUTED_VALUE"""),11.3425419387325)</f>
        <v>11.34254194</v>
      </c>
      <c r="N14" s="99">
        <f>IFERROR(__xludf.DUMMYFUNCTION("""COMPUTED_VALUE"""),11.589733589107464)</f>
        <v>11.58973359</v>
      </c>
      <c r="O14" s="100">
        <f>IFERROR(__xludf.DUMMYFUNCTION("""COMPUTED_VALUE"""),0.2471916503749636)</f>
        <v>0.2471916504</v>
      </c>
      <c r="P14" s="101">
        <f>IFERROR(__xludf.DUMMYFUNCTION("""COMPUTED_VALUE"""),25.83918)</f>
        <v>25.83918</v>
      </c>
      <c r="Q14" s="101">
        <f>IFERROR(__xludf.DUMMYFUNCTION("""COMPUTED_VALUE"""),3.049863)</f>
        <v>3.049863</v>
      </c>
      <c r="R14" s="101">
        <f>IFERROR(__xludf.DUMMYFUNCTION("""COMPUTED_VALUE"""),11.92123)</f>
        <v>11.92123</v>
      </c>
      <c r="S14" s="102">
        <f>IFERROR(__xludf.DUMMYFUNCTION("""COMPUTED_VALUE"""),3.829315)</f>
        <v>3.829315</v>
      </c>
      <c r="T14" s="101">
        <f>IFERROR(__xludf.DUMMYFUNCTION("""COMPUTED_VALUE"""),1.158356)</f>
        <v>1.158356</v>
      </c>
      <c r="U14" s="101">
        <f>IFERROR(__xludf.DUMMYFUNCTION("""COMPUTED_VALUE"""),3.901507)</f>
        <v>3.901507</v>
      </c>
      <c r="V14" s="98">
        <f>IFERROR(__xludf.DUMMYFUNCTION("""COMPUTED_VALUE"""),0.491121)</f>
        <v>0.491121</v>
      </c>
      <c r="W14" s="98">
        <f>IFERROR(__xludf.DUMMYFUNCTION("""COMPUTED_VALUE"""),0.816988)</f>
        <v>0.816988</v>
      </c>
      <c r="X14" s="101">
        <f>IFERROR(__xludf.DUMMYFUNCTION("""COMPUTED_VALUE"""),2.745479)</f>
        <v>2.745479</v>
      </c>
      <c r="Y14" s="103">
        <f>IFERROR(__xludf.DUMMYFUNCTION("""COMPUTED_VALUE"""),1.520135093083864)</f>
        <v>1.520135093</v>
      </c>
      <c r="Z14" s="99">
        <f>IFERROR(__xludf.DUMMYFUNCTION("""COMPUTED_VALUE"""),1.2365655716765753)</f>
        <v>1.236565572</v>
      </c>
      <c r="AA14" s="99">
        <f>IFERROR(__xludf.DUMMYFUNCTION("""COMPUTED_VALUE"""),2.348916477230807)</f>
        <v>2.348916477</v>
      </c>
      <c r="AB14" s="99">
        <f>IFERROR(__xludf.DUMMYFUNCTION("""COMPUTED_VALUE"""),-0.003704573661539899)</f>
        <v>-0.003704573662</v>
      </c>
      <c r="AC14" s="103">
        <f>IFERROR(__xludf.DUMMYFUNCTION("""COMPUTED_VALUE"""),0.34484979672257154)</f>
        <v>0.3448497967</v>
      </c>
      <c r="AD14" s="99">
        <f>IFERROR(__xludf.DUMMYFUNCTION("""COMPUTED_VALUE"""),5.76537101565873)</f>
        <v>5.765371016</v>
      </c>
      <c r="AE14" s="99">
        <f>IFERROR(__xludf.DUMMYFUNCTION("""COMPUTED_VALUE"""),-0.059921646652902165)</f>
        <v>-0.05992164665</v>
      </c>
      <c r="AF14" s="103">
        <f>IFERROR(__xludf.DUMMYFUNCTION("""COMPUTED_VALUE"""),0.3776002083964553)</f>
        <v>0.3776002084</v>
      </c>
      <c r="AG14" s="104">
        <f>IFERROR(__xludf.DUMMYFUNCTION("""COMPUTED_VALUE"""),0.0)</f>
        <v>0</v>
      </c>
      <c r="AH14" s="105"/>
      <c r="AI14" s="20"/>
      <c r="AJ14" s="14"/>
      <c r="AK14" s="106">
        <v>1.0</v>
      </c>
      <c r="AL14" s="107">
        <v>2.0</v>
      </c>
      <c r="AM14" s="106">
        <v>3.0</v>
      </c>
      <c r="AN14" s="107">
        <v>4.0</v>
      </c>
      <c r="AO14" s="106">
        <v>5.0</v>
      </c>
      <c r="AP14" s="107">
        <v>6.0</v>
      </c>
      <c r="AQ14" s="106">
        <v>7.0</v>
      </c>
      <c r="AR14" s="107">
        <v>8.0</v>
      </c>
      <c r="AS14" s="106">
        <v>9.0</v>
      </c>
      <c r="AT14" s="107">
        <v>10.0</v>
      </c>
      <c r="AU14" s="106">
        <v>11.0</v>
      </c>
      <c r="AV14" s="107">
        <v>12.0</v>
      </c>
      <c r="AW14" s="20"/>
      <c r="AX14" s="20"/>
      <c r="AY14" s="20"/>
      <c r="AZ14" s="20"/>
      <c r="BA14" s="20"/>
      <c r="BB14" s="20"/>
      <c r="BC14" s="20"/>
      <c r="BD14" s="20"/>
      <c r="BE14" s="20"/>
      <c r="BF14" s="20"/>
      <c r="BG14" s="20"/>
      <c r="BH14" s="108"/>
      <c r="BI14" s="108"/>
      <c r="BJ14" s="108"/>
      <c r="BK14" s="108"/>
      <c r="BL14" s="108"/>
      <c r="BM14" s="108"/>
      <c r="BN14" s="108"/>
      <c r="BO14" s="108"/>
      <c r="BP14" s="108"/>
      <c r="BQ14" s="108"/>
      <c r="BR14" s="108"/>
      <c r="BS14" s="108"/>
      <c r="BT14" s="108"/>
      <c r="BU14" s="108"/>
      <c r="BV14" s="108"/>
    </row>
    <row r="15">
      <c r="A15" s="109">
        <f>VLOOKUP($F15,UpdateHashtag!$V$3:$Y$32,COLUMN(B$9),0)</f>
        <v>3</v>
      </c>
      <c r="B15" s="91" t="str">
        <f>VLOOKUP($F15,UpdateHashtag!$V$3:$Y$32,COLUMN(#REF!),0)</f>
        <v>#REF!</v>
      </c>
      <c r="C15" s="91" t="str">
        <f>VLOOKUP($F15,UpdateHashtag!$V$3:$Y$32,COLUMN(#REF!),0)</f>
        <v>#REF!</v>
      </c>
      <c r="D15" s="110" t="str">
        <f t="shared" si="2"/>
        <v>#REF!</v>
      </c>
      <c r="E15" s="11"/>
      <c r="F15" s="94" t="str">
        <f>VLOOKUP(J15,UpdateBBM!$C$2:E1009,3,0)</f>
        <v>DEN</v>
      </c>
      <c r="G15" s="78">
        <v>2.0</v>
      </c>
      <c r="H15" s="111">
        <f>IFERROR(__xludf.DUMMYFUNCTION("""COMPUTED_VALUE"""),2.0)</f>
        <v>2</v>
      </c>
      <c r="I15" s="111"/>
      <c r="J15" s="112" t="str">
        <f>IFERROR(__xludf.DUMMYFUNCTION("""COMPUTED_VALUE"""),"Nikola Jokic")</f>
        <v>Nikola Jokic</v>
      </c>
      <c r="K15" s="111">
        <f>IFERROR(__xludf.DUMMYFUNCTION("""COMPUTED_VALUE"""),73.0)</f>
        <v>73</v>
      </c>
      <c r="L15" s="113" t="str">
        <f>IFERROR(__xludf.DUMMYFUNCTION("""COMPUTED_VALUE"""),"C")</f>
        <v>C</v>
      </c>
      <c r="M15" s="114">
        <f>IFERROR(__xludf.DUMMYFUNCTION("""COMPUTED_VALUE"""),9.4823258240044)</f>
        <v>9.482325824</v>
      </c>
      <c r="N15" s="114">
        <f>IFERROR(__xludf.DUMMYFUNCTION("""COMPUTED_VALUE"""),9.821236890688052)</f>
        <v>9.821236891</v>
      </c>
      <c r="O15" s="115">
        <f>IFERROR(__xludf.DUMMYFUNCTION("""COMPUTED_VALUE"""),0.3389110666836519)</f>
        <v>0.3389110667</v>
      </c>
      <c r="P15" s="116">
        <f>IFERROR(__xludf.DUMMYFUNCTION("""COMPUTED_VALUE"""),27.67616)</f>
        <v>27.67616</v>
      </c>
      <c r="Q15" s="116">
        <f>IFERROR(__xludf.DUMMYFUNCTION("""COMPUTED_VALUE"""),1.596849)</f>
        <v>1.596849</v>
      </c>
      <c r="R15" s="116">
        <f>IFERROR(__xludf.DUMMYFUNCTION("""COMPUTED_VALUE"""),12.16205)</f>
        <v>12.16205</v>
      </c>
      <c r="S15" s="117">
        <f>IFERROR(__xludf.DUMMYFUNCTION("""COMPUTED_VALUE"""),8.994658)</f>
        <v>8.994658</v>
      </c>
      <c r="T15" s="116">
        <f>IFERROR(__xludf.DUMMYFUNCTION("""COMPUTED_VALUE"""),1.430822)</f>
        <v>1.430822</v>
      </c>
      <c r="U15" s="116">
        <f>IFERROR(__xludf.DUMMYFUNCTION("""COMPUTED_VALUE"""),0.715479)</f>
        <v>0.715479</v>
      </c>
      <c r="V15" s="113">
        <f>IFERROR(__xludf.DUMMYFUNCTION("""COMPUTED_VALUE"""),0.585091)</f>
        <v>0.585091</v>
      </c>
      <c r="W15" s="113">
        <f>IFERROR(__xludf.DUMMYFUNCTION("""COMPUTED_VALUE"""),0.810004)</f>
        <v>0.810004</v>
      </c>
      <c r="X15" s="116">
        <f>IFERROR(__xludf.DUMMYFUNCTION("""COMPUTED_VALUE"""),3.115342)</f>
        <v>3.115342</v>
      </c>
      <c r="Y15" s="114">
        <f>IFERROR(__xludf.DUMMYFUNCTION("""COMPUTED_VALUE"""),1.842419662370102)</f>
        <v>1.842419662</v>
      </c>
      <c r="Z15" s="114">
        <f>IFERROR(__xludf.DUMMYFUNCTION("""COMPUTED_VALUE"""),-0.1668039380108046)</f>
        <v>-0.166803938</v>
      </c>
      <c r="AA15" s="114">
        <f>IFERROR(__xludf.DUMMYFUNCTION("""COMPUTED_VALUE"""),2.446533732690303)</f>
        <v>2.446533733</v>
      </c>
      <c r="AB15" s="114">
        <f>IFERROR(__xludf.DUMMYFUNCTION("""COMPUTED_VALUE"""),2.51964036424524)</f>
        <v>2.519640364</v>
      </c>
      <c r="AC15" s="114">
        <f>IFERROR(__xludf.DUMMYFUNCTION("""COMPUTED_VALUE"""),1.1751163763235453)</f>
        <v>1.175116376</v>
      </c>
      <c r="AD15" s="114">
        <f>IFERROR(__xludf.DUMMYFUNCTION("""COMPUTED_VALUE"""),-0.02680311688072257)</f>
        <v>-0.02680311688</v>
      </c>
      <c r="AE15" s="114">
        <f>IFERROR(__xludf.DUMMYFUNCTION("""COMPUTED_VALUE"""),1.5802315736235906)</f>
        <v>1.580231574</v>
      </c>
      <c r="AF15" s="114">
        <f>IFERROR(__xludf.DUMMYFUNCTION("""COMPUTED_VALUE"""),0.28409829831599426)</f>
        <v>0.2840982983</v>
      </c>
      <c r="AG15" s="118">
        <f>IFERROR(__xludf.DUMMYFUNCTION("""COMPUTED_VALUE"""),0.0)</f>
        <v>0</v>
      </c>
      <c r="AH15" s="119"/>
      <c r="AI15" s="20"/>
      <c r="AJ15" s="121" t="s">
        <v>220</v>
      </c>
      <c r="AK15" s="122" t="s">
        <v>221</v>
      </c>
      <c r="AL15" s="123"/>
      <c r="AM15" s="123"/>
      <c r="AN15" s="123"/>
      <c r="AO15" s="123"/>
      <c r="AP15" s="123"/>
      <c r="AQ15" s="123"/>
      <c r="AR15" s="123"/>
      <c r="AS15" s="123"/>
      <c r="AT15" s="123"/>
      <c r="AU15" s="123"/>
      <c r="AV15" s="124"/>
      <c r="AW15" s="125" t="s">
        <v>222</v>
      </c>
      <c r="AX15" s="126" t="s">
        <v>225</v>
      </c>
      <c r="AY15" s="127"/>
      <c r="AZ15" s="128" t="s">
        <v>10</v>
      </c>
      <c r="BA15" s="128" t="s">
        <v>109</v>
      </c>
      <c r="BB15" s="128" t="s">
        <v>110</v>
      </c>
      <c r="BC15" s="128" t="s">
        <v>12</v>
      </c>
      <c r="BD15" s="128" t="s">
        <v>13</v>
      </c>
      <c r="BE15" s="128" t="s">
        <v>14</v>
      </c>
      <c r="BF15" s="128" t="s">
        <v>8</v>
      </c>
      <c r="BG15" s="128" t="s">
        <v>9</v>
      </c>
      <c r="BH15" s="128" t="s">
        <v>15</v>
      </c>
      <c r="BI15" s="129" t="s">
        <v>4</v>
      </c>
      <c r="BJ15" s="129" t="s">
        <v>227</v>
      </c>
      <c r="BK15" s="129" t="s">
        <v>4</v>
      </c>
      <c r="BL15" s="130"/>
      <c r="BM15" s="131"/>
      <c r="BN15" s="131"/>
      <c r="BO15" s="131"/>
      <c r="BP15" s="131"/>
      <c r="BQ15" s="131"/>
      <c r="BR15" s="131"/>
      <c r="BS15" s="131"/>
      <c r="BT15" s="20"/>
      <c r="BU15" s="20"/>
      <c r="BV15" s="20"/>
    </row>
    <row r="16">
      <c r="A16" s="109">
        <f>VLOOKUP($F16,UpdateHashtag!$V$3:$Y$32,COLUMN(B$9),0)</f>
        <v>3</v>
      </c>
      <c r="B16" s="91" t="str">
        <f>VLOOKUP($F16,UpdateHashtag!$V$3:$Y$32,COLUMN(#REF!),0)</f>
        <v>#REF!</v>
      </c>
      <c r="C16" s="91" t="str">
        <f>VLOOKUP($F16,UpdateHashtag!$V$3:$Y$32,COLUMN(#REF!),0)</f>
        <v>#REF!</v>
      </c>
      <c r="D16" s="110" t="str">
        <f t="shared" si="2"/>
        <v>#REF!</v>
      </c>
      <c r="E16" s="11"/>
      <c r="F16" s="94" t="str">
        <f>VLOOKUP(J16,UpdateBBM!$C$2:E1009,3,0)</f>
        <v>LAL</v>
      </c>
      <c r="G16" s="78">
        <v>3.0</v>
      </c>
      <c r="H16" s="111">
        <f>IFERROR(__xludf.DUMMYFUNCTION("""COMPUTED_VALUE"""),3.0)</f>
        <v>3</v>
      </c>
      <c r="I16" s="111"/>
      <c r="J16" s="112" t="str">
        <f>IFERROR(__xludf.DUMMYFUNCTION("""COMPUTED_VALUE"""),"Luka Doncic")</f>
        <v>Luka Doncic</v>
      </c>
      <c r="K16" s="111">
        <f>IFERROR(__xludf.DUMMYFUNCTION("""COMPUTED_VALUE"""),68.0)</f>
        <v>68</v>
      </c>
      <c r="L16" s="113" t="str">
        <f>IFERROR(__xludf.DUMMYFUNCTION("""COMPUTED_VALUE"""),"G")</f>
        <v>G</v>
      </c>
      <c r="M16" s="114">
        <f>IFERROR(__xludf.DUMMYFUNCTION("""COMPUTED_VALUE"""),7.082632867736175)</f>
        <v>7.082632868</v>
      </c>
      <c r="N16" s="114">
        <f>IFERROR(__xludf.DUMMYFUNCTION("""COMPUTED_VALUE"""),7.5056636902266645)</f>
        <v>7.50566369</v>
      </c>
      <c r="O16" s="115">
        <f>IFERROR(__xludf.DUMMYFUNCTION("""COMPUTED_VALUE"""),0.42303082249048973)</f>
        <v>0.4230308225</v>
      </c>
      <c r="P16" s="116">
        <f>IFERROR(__xludf.DUMMYFUNCTION("""COMPUTED_VALUE"""),29.94368)</f>
        <v>29.94368</v>
      </c>
      <c r="Q16" s="116">
        <f>IFERROR(__xludf.DUMMYFUNCTION("""COMPUTED_VALUE"""),3.678088)</f>
        <v>3.678088</v>
      </c>
      <c r="R16" s="116">
        <f>IFERROR(__xludf.DUMMYFUNCTION("""COMPUTED_VALUE"""),7.791029)</f>
        <v>7.791029</v>
      </c>
      <c r="S16" s="117">
        <f>IFERROR(__xludf.DUMMYFUNCTION("""COMPUTED_VALUE"""),7.497059)</f>
        <v>7.497059</v>
      </c>
      <c r="T16" s="116">
        <f>IFERROR(__xludf.DUMMYFUNCTION("""COMPUTED_VALUE"""),1.47)</f>
        <v>1.47</v>
      </c>
      <c r="U16" s="116">
        <f>IFERROR(__xludf.DUMMYFUNCTION("""COMPUTED_VALUE"""),0.44)</f>
        <v>0.44</v>
      </c>
      <c r="V16" s="113">
        <f>IFERROR(__xludf.DUMMYFUNCTION("""COMPUTED_VALUE"""),0.468707)</f>
        <v>0.468707</v>
      </c>
      <c r="W16" s="113">
        <f>IFERROR(__xludf.DUMMYFUNCTION("""COMPUTED_VALUE"""),0.791004)</f>
        <v>0.791004</v>
      </c>
      <c r="X16" s="116">
        <f>IFERROR(__xludf.DUMMYFUNCTION("""COMPUTED_VALUE"""),3.454559)</f>
        <v>3.454559</v>
      </c>
      <c r="Y16" s="114">
        <f>IFERROR(__xludf.DUMMYFUNCTION("""COMPUTED_VALUE"""),2.2402392938020883)</f>
        <v>2.240239294</v>
      </c>
      <c r="Z16" s="114">
        <f>IFERROR(__xludf.DUMMYFUNCTION("""COMPUTED_VALUE"""),1.8433262843905296)</f>
        <v>1.843326284</v>
      </c>
      <c r="AA16" s="114">
        <f>IFERROR(__xludf.DUMMYFUNCTION("""COMPUTED_VALUE"""),0.6747246073027928)</f>
        <v>0.6747246073</v>
      </c>
      <c r="AB16" s="114">
        <f>IFERROR(__xludf.DUMMYFUNCTION("""COMPUTED_VALUE"""),1.788041541928067)</f>
        <v>1.788041542</v>
      </c>
      <c r="AC16" s="114">
        <f>IFERROR(__xludf.DUMMYFUNCTION("""COMPUTED_VALUE"""),1.2945007547619811)</f>
        <v>1.294500755</v>
      </c>
      <c r="AD16" s="114">
        <f>IFERROR(__xludf.DUMMYFUNCTION("""COMPUTED_VALUE"""),-0.5276217970234695)</f>
        <v>-0.527621797</v>
      </c>
      <c r="AE16" s="114">
        <f>IFERROR(__xludf.DUMMYFUNCTION("""COMPUTED_VALUE"""),-0.3727730401818931)</f>
        <v>-0.3727730402</v>
      </c>
      <c r="AF16" s="114">
        <f>IFERROR(__xludf.DUMMYFUNCTION("""COMPUTED_VALUE"""),0.03760424822309971)</f>
        <v>0.03760424822</v>
      </c>
      <c r="AG16" s="118">
        <f>IFERROR(__xludf.DUMMYFUNCTION("""COMPUTED_VALUE"""),0.0)</f>
        <v>0</v>
      </c>
      <c r="AH16" s="134"/>
      <c r="AI16" s="20"/>
      <c r="AJ16" s="135">
        <v>100.0</v>
      </c>
      <c r="AK16" s="140">
        <f t="array" ref="AK16">if(AK$14=$J3,"-", countif(indirect(address(row($J$2)+ VLOOKUP(AK$14,$J$3:$J$8,1),COLUMN($K$4))):indirect(address(row($J$2)+ VLOOKUP(AK$14,$J$3:$J$8,1),COLUMN($S$2)))&gt;indirect(address(row($J3),COLUMN($K$2))):indirect(address(row($J3),COLUMN($S$2))),TRUE()))</f>
        <v>0</v>
      </c>
      <c r="AL16" s="142">
        <f t="array" ref="AL16">if(AL$14=$J3,"-", countif(indirect(address(row($J$2)+ VLOOKUP(AL$14,$J$3:$J$8,1),COLUMN($K$4))):indirect(address(row($J$2)+ VLOOKUP(AL$14,$J$3:$J$8,1),COLUMN($S$2)))&gt;indirect(address(row($J3),COLUMN($K$2))):indirect(address(row($J3),COLUMN($S$2))),TRUE()))</f>
        <v>0</v>
      </c>
      <c r="AM16" s="142">
        <f t="array" ref="AM16">if(AM$14=$J3,"-", countif(indirect(address(row($J$2)+ VLOOKUP(AM$14,$J$3:$J$8,1),COLUMN($K$4))):indirect(address(row($J$2)+ VLOOKUP(AM$14,$J$3:$J$8,1),COLUMN($S$2)))&gt;indirect(address(row($J3),COLUMN($K$2))):indirect(address(row($J3),COLUMN($S$2))),TRUE()))</f>
        <v>0</v>
      </c>
      <c r="AN16" s="142">
        <f t="array" ref="AN16">if(AN$14=$J3,"-", countif(indirect(address(row($J$2)+ VLOOKUP(AN$14,$J$3:$J$8,1),COLUMN($K$4))):indirect(address(row($J$2)+ VLOOKUP(AN$14,$J$3:$J$8,1),COLUMN($S$2)))&gt;indirect(address(row($J3),COLUMN($K$2))):indirect(address(row($J3),COLUMN($S$2))),TRUE()))</f>
        <v>0</v>
      </c>
      <c r="AO16" s="142">
        <f t="array" ref="AO16">if(AO$14=$J3,"-", countif(indirect(address(row($J$2)+ VLOOKUP(AO$14,$J$3:$J$8,1),COLUMN($K$4))):indirect(address(row($J$2)+ VLOOKUP(AO$14,$J$3:$J$8,1),COLUMN($S$2)))&gt;indirect(address(row($J3),COLUMN($K$2))):indirect(address(row($J3),COLUMN($S$2))),TRUE()))</f>
        <v>0</v>
      </c>
      <c r="AP16" s="142">
        <f t="array" ref="AP16">if(AP$14=$J3,"-", countif(indirect(address(row($J$2)+ VLOOKUP(AP$14,$J$3:$J$8,1),COLUMN($K$4))):indirect(address(row($J$2)+ VLOOKUP(AP$14,$J$3:$J$8,1),COLUMN($S$2)))&gt;indirect(address(row($J3),COLUMN($K$2))):indirect(address(row($J3),COLUMN($S$2))),TRUE()))</f>
        <v>0</v>
      </c>
      <c r="AQ16" s="142">
        <f t="array" ref="AQ16">if(AQ$14=$J3,"-", countif(indirect(address(row($J$2)+ VLOOKUP(AQ$14,$J$3:$J$8,1),COLUMN($K$4))):indirect(address(row($J$2)+ VLOOKUP(AQ$14,$J$3:$J$8,1),COLUMN($S$2)))&gt;indirect(address(row($J3),COLUMN($K$2))):indirect(address(row($J3),COLUMN($S$2))),TRUE()))</f>
        <v>0</v>
      </c>
      <c r="AR16" s="142">
        <f t="array" ref="AR16">if(AR$14=$J3,"-", countif(indirect(address(row($J$2)+ VLOOKUP(AR$14,$J$3:$J$8,1),COLUMN($K$4))):indirect(address(row($J$2)+ VLOOKUP(AR$14,$J$3:$J$8,1),COLUMN($S$2)))&gt;indirect(address(row($J3),COLUMN($K$2))):indirect(address(row($J3),COLUMN($S$2))),TRUE()))</f>
        <v>0</v>
      </c>
      <c r="AS16" s="142">
        <f t="array" ref="AS16">if(AS$14=$J3,"-", countif(indirect(address(row($J$2)+ VLOOKUP(AS$14,$J$3:$J$8,1),COLUMN($K$4))):indirect(address(row($J$2)+ VLOOKUP(AS$14,$J$3:$J$8,1),COLUMN($S$2)))&gt;indirect(address(row($J3),COLUMN($K$2))):indirect(address(row($J3),COLUMN($S$2))),TRUE()))</f>
        <v>0</v>
      </c>
      <c r="AT16" s="142">
        <f t="array" ref="AT16">if(AT$14=$J3,"-", countif(indirect(address(row($J$2)+ VLOOKUP(AT$14,$J$3:$J$8,1),COLUMN($K$4))):indirect(address(row($J$2)+ VLOOKUP(AT$14,$J$3:$J$8,1),COLUMN($S$2)))&gt;indirect(address(row($J3),COLUMN($K$2))):indirect(address(row($J3),COLUMN($S$2))),TRUE()))</f>
        <v>0</v>
      </c>
      <c r="AU16" s="142">
        <f t="array" ref="AU16">if(AU$14=$J3,"-", countif(indirect(address(row($J$2)+ VLOOKUP(AU$14,$J$3:$J$8,1),COLUMN($K$4))):indirect(address(row($J$2)+ VLOOKUP(AU$14,$J$3:$J$8,1),COLUMN($S$2)))&gt;indirect(address(row($J3),COLUMN($K$2))):indirect(address(row($J3),COLUMN($S$2))),TRUE()))</f>
        <v>0</v>
      </c>
      <c r="AV16" s="150">
        <f t="array" ref="AV16">if(AV$14=$J3,"-", countif(indirect(address(row($J$2)+ VLOOKUP(AV$14,$J$3:$J$8,1),COLUMN($K$4))):indirect(address(row($J$2)+ VLOOKUP(AV$14,$J$3:$J$8,1),COLUMN($S$2)))&gt;indirect(address(row($J3),COLUMN($K$2))):indirect(address(row($J3),COLUMN($S$2))),TRUE()))</f>
        <v>0</v>
      </c>
      <c r="AW16" s="151">
        <v>1.0</v>
      </c>
      <c r="AX16" s="153" t="str">
        <f t="array" ref="AX16">INDIRECT("Draft!D"&amp;TEXT(VLOOKUP(TRUE,I3:J8,2,0)+2,"0"))</f>
        <v>#N/A</v>
      </c>
      <c r="AY16" s="154"/>
      <c r="AZ16" s="155" t="str">
        <f>IF($AX16="","", VLOOKUP($AX16,'Final Update'!$Q$21:$AE1009,Column(G1),False))</f>
        <v>#N/A</v>
      </c>
      <c r="BA16" s="155" t="str">
        <f>IF($AX16="","", VLOOKUP($AX16,'Final Update'!$Q$21:$AE1009,Column(H1),False))</f>
        <v>#N/A</v>
      </c>
      <c r="BB16" s="155" t="str">
        <f>IF($AX16="","", VLOOKUP($AX16,'Final Update'!$Q$21:$AE1009,Column(I1),False))</f>
        <v>#N/A</v>
      </c>
      <c r="BC16" s="155" t="str">
        <f>IF($AX16="","", VLOOKUP($AX16,'Final Update'!$Q$21:$AE1009,Column(J1),False))</f>
        <v>#N/A</v>
      </c>
      <c r="BD16" s="155" t="str">
        <f>IF($AX16="","", VLOOKUP($AX16,'Final Update'!$Q$21:$AE1009,Column(K1),False))</f>
        <v>#N/A</v>
      </c>
      <c r="BE16" s="155" t="str">
        <f>IF($AX16="","", VLOOKUP($AX16,'Final Update'!$Q$21:$AE1009,Column(L1),False))</f>
        <v>#N/A</v>
      </c>
      <c r="BF16" s="157" t="str">
        <f>IF($AX16="","", VLOOKUP($AX16,'Final Update'!$Q$21:$AE1009,Column(M1),False))</f>
        <v>#N/A</v>
      </c>
      <c r="BG16" s="157" t="str">
        <f>IF($AX16="","", VLOOKUP($AX16,'Final Update'!$Q$21:$AE1009,Column(N1),False))</f>
        <v>#N/A</v>
      </c>
      <c r="BH16" s="157" t="str">
        <f>IF($AX16="","", VLOOKUP($AX16,'Final Update'!$Q$21:$AE1009,Column(O1),False))</f>
        <v>#N/A</v>
      </c>
      <c r="BI16" s="155" t="str">
        <f>IF($AX16="","", VLOOKUP($AX16,'Final Update'!$Q$21:$AE1009,Column(C1),False))</f>
        <v>#N/A</v>
      </c>
      <c r="BJ16" s="158">
        <f t="array" ref="BJ16">COUNTIF(FIND(BK16,$BI$16:$BI$27),"&gt;0")</f>
        <v>0</v>
      </c>
      <c r="BK16" s="159" t="s">
        <v>46</v>
      </c>
      <c r="BL16" s="130"/>
      <c r="BM16" s="131"/>
      <c r="BN16" s="131"/>
      <c r="BO16" s="131"/>
      <c r="BP16" s="131"/>
      <c r="BQ16" s="131"/>
      <c r="BR16" s="131"/>
      <c r="BS16" s="131"/>
      <c r="BT16" s="20"/>
      <c r="BU16" s="20"/>
      <c r="BV16" s="20"/>
    </row>
    <row r="17">
      <c r="A17" s="109">
        <f>VLOOKUP($F17,UpdateHashtag!$V$3:$Y$32,COLUMN(B$9),0)</f>
        <v>4</v>
      </c>
      <c r="B17" s="91" t="str">
        <f>VLOOKUP($F17,UpdateHashtag!$V$3:$Y$32,COLUMN(#REF!),0)</f>
        <v>#REF!</v>
      </c>
      <c r="C17" s="91" t="str">
        <f>VLOOKUP($F17,UpdateHashtag!$V$3:$Y$32,COLUMN(#REF!),0)</f>
        <v>#REF!</v>
      </c>
      <c r="D17" s="110" t="str">
        <f t="shared" si="2"/>
        <v>#REF!</v>
      </c>
      <c r="E17" s="11"/>
      <c r="F17" s="94" t="str">
        <f>VLOOKUP(J17,UpdateBBM!$C$2:E1009,3,0)</f>
        <v>OKC</v>
      </c>
      <c r="G17" s="78">
        <v>4.0</v>
      </c>
      <c r="H17" s="111">
        <f>IFERROR(__xludf.DUMMYFUNCTION("""COMPUTED_VALUE"""),4.0)</f>
        <v>4</v>
      </c>
      <c r="I17" s="111"/>
      <c r="J17" s="112" t="str">
        <f>IFERROR(__xludf.DUMMYFUNCTION("""COMPUTED_VALUE"""),"Shai Gilgeous-Alexander")</f>
        <v>Shai Gilgeous-Alexander</v>
      </c>
      <c r="K17" s="111">
        <f>IFERROR(__xludf.DUMMYFUNCTION("""COMPUTED_VALUE"""),73.0)</f>
        <v>73</v>
      </c>
      <c r="L17" s="113" t="str">
        <f>IFERROR(__xludf.DUMMYFUNCTION("""COMPUTED_VALUE"""),"G")</f>
        <v>G</v>
      </c>
      <c r="M17" s="114">
        <f>IFERROR(__xludf.DUMMYFUNCTION("""COMPUTED_VALUE"""),6.761339091582645)</f>
        <v>6.761339092</v>
      </c>
      <c r="N17" s="114">
        <f>IFERROR(__xludf.DUMMYFUNCTION("""COMPUTED_VALUE"""),6.7798438491212725)</f>
        <v>6.779843849</v>
      </c>
      <c r="O17" s="115">
        <f>IFERROR(__xludf.DUMMYFUNCTION("""COMPUTED_VALUE"""),0.01850475753862746)</f>
        <v>0.01850475754</v>
      </c>
      <c r="P17" s="116">
        <f>IFERROR(__xludf.DUMMYFUNCTION("""COMPUTED_VALUE"""),30.51822)</f>
        <v>30.51822</v>
      </c>
      <c r="Q17" s="116">
        <f>IFERROR(__xludf.DUMMYFUNCTION("""COMPUTED_VALUE"""),1.935479)</f>
        <v>1.935479</v>
      </c>
      <c r="R17" s="116">
        <f>IFERROR(__xludf.DUMMYFUNCTION("""COMPUTED_VALUE"""),4.558082)</f>
        <v>4.558082</v>
      </c>
      <c r="S17" s="117">
        <f>IFERROR(__xludf.DUMMYFUNCTION("""COMPUTED_VALUE"""),6.030685)</f>
        <v>6.030685</v>
      </c>
      <c r="T17" s="116">
        <f>IFERROR(__xludf.DUMMYFUNCTION("""COMPUTED_VALUE"""),1.462877)</f>
        <v>1.462877</v>
      </c>
      <c r="U17" s="116">
        <f>IFERROR(__xludf.DUMMYFUNCTION("""COMPUTED_VALUE"""),0.91589)</f>
        <v>0.91589</v>
      </c>
      <c r="V17" s="113">
        <f>IFERROR(__xludf.DUMMYFUNCTION("""COMPUTED_VALUE"""),0.505971)</f>
        <v>0.505971</v>
      </c>
      <c r="W17" s="113">
        <f>IFERROR(__xludf.DUMMYFUNCTION("""COMPUTED_VALUE"""),0.889004)</f>
        <v>0.889004</v>
      </c>
      <c r="X17" s="116">
        <f>IFERROR(__xludf.DUMMYFUNCTION("""COMPUTED_VALUE"""),1.823288)</f>
        <v>1.823288</v>
      </c>
      <c r="Y17" s="114">
        <f>IFERROR(__xludf.DUMMYFUNCTION("""COMPUTED_VALUE"""),2.341038092067565)</f>
        <v>2.341038092</v>
      </c>
      <c r="Z17" s="114">
        <f>IFERROR(__xludf.DUMMYFUNCTION("""COMPUTED_VALUE"""),0.16025623970629752)</f>
        <v>0.1602562397</v>
      </c>
      <c r="AA17" s="114">
        <f>IFERROR(__xludf.DUMMYFUNCTION("""COMPUTED_VALUE"""),-0.6357621179941515)</f>
        <v>-0.635762118</v>
      </c>
      <c r="AB17" s="114">
        <f>IFERROR(__xludf.DUMMYFUNCTION("""COMPUTED_VALUE"""),1.0716965847823137)</f>
        <v>1.071696585</v>
      </c>
      <c r="AC17" s="114">
        <f>IFERROR(__xludf.DUMMYFUNCTION("""COMPUTED_VALUE"""),1.2727953351995487)</f>
        <v>1.272795335</v>
      </c>
      <c r="AD17" s="114">
        <f>IFERROR(__xludf.DUMMYFUNCTION("""COMPUTED_VALUE"""),0.33754252291791204)</f>
        <v>0.3375425229</v>
      </c>
      <c r="AE17" s="114">
        <f>IFERROR(__xludf.DUMMYFUNCTION("""COMPUTED_VALUE"""),0.1639756592911051)</f>
        <v>0.1639756593</v>
      </c>
      <c r="AF17" s="114">
        <f>IFERROR(__xludf.DUMMYFUNCTION("""COMPUTED_VALUE"""),1.4325394151565307)</f>
        <v>1.432539415</v>
      </c>
      <c r="AG17" s="118">
        <f>IFERROR(__xludf.DUMMYFUNCTION("""COMPUTED_VALUE"""),0.0)</f>
        <v>0</v>
      </c>
      <c r="AH17" s="134"/>
      <c r="AI17" s="20"/>
      <c r="AJ17" s="135">
        <v>100.0</v>
      </c>
      <c r="AK17" s="140">
        <f t="array" ref="AK17">if(AK$14=$J4,"-", countif(indirect(address(row($J$2)+ VLOOKUP(AK$14,$J$3:$J$8,1),COLUMN($K$4))):indirect(address(row($J$2)+ VLOOKUP(AK$14,$J$3:$J$8,1),COLUMN($S$2)))&gt;indirect(address(row($J4),COLUMN($K$2))):indirect(address(row($J4),COLUMN($S$2))),TRUE()))</f>
        <v>0</v>
      </c>
      <c r="AL17" s="142">
        <f t="array" ref="AL17">if(AL$14=$J4,"-", countif(indirect(address(row($J$2)+ VLOOKUP(AL$14,$J$3:$J$8,1),COLUMN($K$4))):indirect(address(row($J$2)+ VLOOKUP(AL$14,$J$3:$J$8,1),COLUMN($S$2)))&gt;indirect(address(row($J4),COLUMN($K$2))):indirect(address(row($J4),COLUMN($S$2))),TRUE()))</f>
        <v>0</v>
      </c>
      <c r="AM17" s="142">
        <f t="array" ref="AM17">if(AM$14=$J4,"-", countif(indirect(address(row($J$2)+ VLOOKUP(AM$14,$J$3:$J$8,1),COLUMN($K$4))):indirect(address(row($J$2)+ VLOOKUP(AM$14,$J$3:$J$8,1),COLUMN($S$2)))&gt;indirect(address(row($J4),COLUMN($K$2))):indirect(address(row($J4),COLUMN($S$2))),TRUE()))</f>
        <v>0</v>
      </c>
      <c r="AN17" s="142">
        <f t="array" ref="AN17">if(AN$14=$J4,"-", countif(indirect(address(row($J$2)+ VLOOKUP(AN$14,$J$3:$J$8,1),COLUMN($K$4))):indirect(address(row($J$2)+ VLOOKUP(AN$14,$J$3:$J$8,1),COLUMN($S$2)))&gt;indirect(address(row($J4),COLUMN($K$2))):indirect(address(row($J4),COLUMN($S$2))),TRUE()))</f>
        <v>0</v>
      </c>
      <c r="AO17" s="142">
        <f t="array" ref="AO17">if(AO$14=$J4,"-", countif(indirect(address(row($J$2)+ VLOOKUP(AO$14,$J$3:$J$8,1),COLUMN($K$4))):indirect(address(row($J$2)+ VLOOKUP(AO$14,$J$3:$J$8,1),COLUMN($S$2)))&gt;indirect(address(row($J4),COLUMN($K$2))):indirect(address(row($J4),COLUMN($S$2))),TRUE()))</f>
        <v>0</v>
      </c>
      <c r="AP17" s="142">
        <f t="array" ref="AP17">if(AP$14=$J4,"-", countif(indirect(address(row($J$2)+ VLOOKUP(AP$14,$J$3:$J$8,1),COLUMN($K$4))):indirect(address(row($J$2)+ VLOOKUP(AP$14,$J$3:$J$8,1),COLUMN($S$2)))&gt;indirect(address(row($J4),COLUMN($K$2))):indirect(address(row($J4),COLUMN($S$2))),TRUE()))</f>
        <v>0</v>
      </c>
      <c r="AQ17" s="142">
        <f t="array" ref="AQ17">if(AQ$14=$J4,"-", countif(indirect(address(row($J$2)+ VLOOKUP(AQ$14,$J$3:$J$8,1),COLUMN($K$4))):indirect(address(row($J$2)+ VLOOKUP(AQ$14,$J$3:$J$8,1),COLUMN($S$2)))&gt;indirect(address(row($J4),COLUMN($K$2))):indirect(address(row($J4),COLUMN($S$2))),TRUE()))</f>
        <v>0</v>
      </c>
      <c r="AR17" s="142">
        <f t="array" ref="AR17">if(AR$14=$J4,"-", countif(indirect(address(row($J$2)+ VLOOKUP(AR$14,$J$3:$J$8,1),COLUMN($K$4))):indirect(address(row($J$2)+ VLOOKUP(AR$14,$J$3:$J$8,1),COLUMN($S$2)))&gt;indirect(address(row($J4),COLUMN($K$2))):indirect(address(row($J4),COLUMN($S$2))),TRUE()))</f>
        <v>0</v>
      </c>
      <c r="AS17" s="142">
        <f t="array" ref="AS17">if(AS$14=$J4,"-", countif(indirect(address(row($J$2)+ VLOOKUP(AS$14,$J$3:$J$8,1),COLUMN($K$4))):indirect(address(row($J$2)+ VLOOKUP(AS$14,$J$3:$J$8,1),COLUMN($S$2)))&gt;indirect(address(row($J4),COLUMN($K$2))):indirect(address(row($J4),COLUMN($S$2))),TRUE()))</f>
        <v>0</v>
      </c>
      <c r="AT17" s="142">
        <f t="array" ref="AT17">if(AT$14=$J4,"-", countif(indirect(address(row($J$2)+ VLOOKUP(AT$14,$J$3:$J$8,1),COLUMN($K$4))):indirect(address(row($J$2)+ VLOOKUP(AT$14,$J$3:$J$8,1),COLUMN($S$2)))&gt;indirect(address(row($J4),COLUMN($K$2))):indirect(address(row($J4),COLUMN($S$2))),TRUE()))</f>
        <v>0</v>
      </c>
      <c r="AU17" s="142">
        <f t="array" ref="AU17">if(AU$14=$J4,"-", countif(indirect(address(row($J$2)+ VLOOKUP(AU$14,$J$3:$J$8,1),COLUMN($K$4))):indirect(address(row($J$2)+ VLOOKUP(AU$14,$J$3:$J$8,1),COLUMN($S$2)))&gt;indirect(address(row($J4),COLUMN($K$2))):indirect(address(row($J4),COLUMN($S$2))),TRUE()))</f>
        <v>0</v>
      </c>
      <c r="AV17" s="150">
        <f t="array" ref="AV17">if(AV$14=$J4,"-", countif(indirect(address(row($J$2)+ VLOOKUP(AV$14,$J$3:$J$8,1),COLUMN($K$4))):indirect(address(row($J$2)+ VLOOKUP(AV$14,$J$3:$J$8,1),COLUMN($S$2)))&gt;indirect(address(row($J4),COLUMN($K$2))):indirect(address(row($J4),COLUMN($S$2))),TRUE()))</f>
        <v>0</v>
      </c>
      <c r="AW17" s="151">
        <v>2.0</v>
      </c>
      <c r="AX17" s="153" t="str">
        <f t="array" ref="AX17">INDIRECT("Draft!E"&amp;TEXT(15-VLOOKUP(TRUE,I3:J8,2,0),"0"))</f>
        <v>#N/A</v>
      </c>
      <c r="AY17" s="154"/>
      <c r="AZ17" s="155" t="str">
        <f>IF($AX17="","", VLOOKUP($AX17,'Final Update'!$Q$21:$AE1009,Column(G2),False))</f>
        <v>#N/A</v>
      </c>
      <c r="BA17" s="155" t="str">
        <f>IF($AX17="","", VLOOKUP($AX17,'Final Update'!$Q$21:$AE1009,Column(H2),False))</f>
        <v>#N/A</v>
      </c>
      <c r="BB17" s="155" t="str">
        <f>IF($AX17="","", VLOOKUP($AX17,'Final Update'!$Q$21:$AE1009,Column(I2),False))</f>
        <v>#N/A</v>
      </c>
      <c r="BC17" s="155" t="str">
        <f>IF($AX17="","", VLOOKUP($AX17,'Final Update'!$Q$21:$AE1009,Column(J2),False))</f>
        <v>#N/A</v>
      </c>
      <c r="BD17" s="155" t="str">
        <f>IF($AX17="","", VLOOKUP($AX17,'Final Update'!$Q$21:$AE1009,Column(K2),False))</f>
        <v>#N/A</v>
      </c>
      <c r="BE17" s="155" t="str">
        <f>IF($AX17="","", VLOOKUP($AX17,'Final Update'!$Q$21:$AE1009,Column(L3),False))</f>
        <v>#N/A</v>
      </c>
      <c r="BF17" s="157" t="str">
        <f>IF($AX17="","", VLOOKUP($AX17,'Final Update'!$Q$21:$AE1009,Column(M2),False))</f>
        <v>#N/A</v>
      </c>
      <c r="BG17" s="157" t="str">
        <f>IF($AX17="","", VLOOKUP($AX17,'Final Update'!$Q$21:$AE1009,Column(N2),False))</f>
        <v>#N/A</v>
      </c>
      <c r="BH17" s="157" t="str">
        <f>IF($AX17="","", VLOOKUP($AX17,'Final Update'!$Q$21:$AE1009,Column(O2),False))</f>
        <v>#N/A</v>
      </c>
      <c r="BI17" s="155" t="str">
        <f>IF($AX17="","", VLOOKUP($AX17,'Final Update'!$Q$21:$AE1009,Column(C2),False))</f>
        <v>#N/A</v>
      </c>
      <c r="BJ17" s="158">
        <f t="array" ref="BJ17">COUNTIF(FIND(BK17,$BI$16:$BI$27),"&gt;0")</f>
        <v>0</v>
      </c>
      <c r="BK17" s="159" t="s">
        <v>47</v>
      </c>
      <c r="BL17" s="130"/>
      <c r="BM17" s="131"/>
      <c r="BN17" s="131"/>
      <c r="BO17" s="131"/>
      <c r="BP17" s="131"/>
      <c r="BQ17" s="131"/>
      <c r="BR17" s="131"/>
      <c r="BS17" s="131"/>
      <c r="BT17" s="20"/>
      <c r="BU17" s="20"/>
      <c r="BV17" s="20"/>
    </row>
    <row r="18">
      <c r="A18" s="109">
        <f>VLOOKUP($F18,UpdateHashtag!$V$3:$Y$32,COLUMN(B$9),0)</f>
        <v>4</v>
      </c>
      <c r="B18" s="91" t="str">
        <f>VLOOKUP($F18,UpdateHashtag!$V$3:$Y$32,COLUMN(#REF!),0)</f>
        <v>#REF!</v>
      </c>
      <c r="C18" s="91" t="str">
        <f>VLOOKUP($F18,UpdateHashtag!$V$3:$Y$32,COLUMN(#REF!),0)</f>
        <v>#REF!</v>
      </c>
      <c r="D18" s="110" t="str">
        <f t="shared" si="2"/>
        <v>#REF!</v>
      </c>
      <c r="E18" s="11"/>
      <c r="F18" s="94" t="str">
        <f>VLOOKUP(J18,UpdateBBM!$C$2:E1009,3,0)</f>
        <v>MIL</v>
      </c>
      <c r="G18" s="78">
        <v>5.0</v>
      </c>
      <c r="H18" s="111">
        <f>IFERROR(__xludf.DUMMYFUNCTION("""COMPUTED_VALUE"""),5.0)</f>
        <v>5</v>
      </c>
      <c r="I18" s="111"/>
      <c r="J18" s="112" t="str">
        <f>IFERROR(__xludf.DUMMYFUNCTION("""COMPUTED_VALUE"""),"Giannis Antetokounmpo")</f>
        <v>Giannis Antetokounmpo</v>
      </c>
      <c r="K18" s="111">
        <f>IFERROR(__xludf.DUMMYFUNCTION("""COMPUTED_VALUE"""),61.0)</f>
        <v>61</v>
      </c>
      <c r="L18" s="113" t="str">
        <f>IFERROR(__xludf.DUMMYFUNCTION("""COMPUTED_VALUE"""),"F,C")</f>
        <v>F,C</v>
      </c>
      <c r="M18" s="114">
        <f>IFERROR(__xludf.DUMMYFUNCTION("""COMPUTED_VALUE"""),6.561425853867311)</f>
        <v>6.561425854</v>
      </c>
      <c r="N18" s="114">
        <f>IFERROR(__xludf.DUMMYFUNCTION("""COMPUTED_VALUE"""),6.83742310901598)</f>
        <v>6.837423109</v>
      </c>
      <c r="O18" s="115">
        <f>IFERROR(__xludf.DUMMYFUNCTION("""COMPUTED_VALUE"""),0.2759972551486687)</f>
        <v>0.2759972551</v>
      </c>
      <c r="P18" s="116">
        <f>IFERROR(__xludf.DUMMYFUNCTION("""COMPUTED_VALUE"""),31.87295)</f>
        <v>31.87295</v>
      </c>
      <c r="Q18" s="116">
        <f>IFERROR(__xludf.DUMMYFUNCTION("""COMPUTED_VALUE"""),0.322951)</f>
        <v>0.322951</v>
      </c>
      <c r="R18" s="116">
        <f>IFERROR(__xludf.DUMMYFUNCTION("""COMPUTED_VALUE"""),11.01738)</f>
        <v>11.01738</v>
      </c>
      <c r="S18" s="117">
        <f>IFERROR(__xludf.DUMMYFUNCTION("""COMPUTED_VALUE"""),8.227213)</f>
        <v>8.227213</v>
      </c>
      <c r="T18" s="116">
        <f>IFERROR(__xludf.DUMMYFUNCTION("""COMPUTED_VALUE"""),0.929508)</f>
        <v>0.929508</v>
      </c>
      <c r="U18" s="116">
        <f>IFERROR(__xludf.DUMMYFUNCTION("""COMPUTED_VALUE"""),0.93)</f>
        <v>0.93</v>
      </c>
      <c r="V18" s="113">
        <f>IFERROR(__xludf.DUMMYFUNCTION("""COMPUTED_VALUE"""),0.582004)</f>
        <v>0.582004</v>
      </c>
      <c r="W18" s="113">
        <f>IFERROR(__xludf.DUMMYFUNCTION("""COMPUTED_VALUE"""),0.638995)</f>
        <v>0.638995</v>
      </c>
      <c r="X18" s="116">
        <f>IFERROR(__xludf.DUMMYFUNCTION("""COMPUTED_VALUE"""),2.861639)</f>
        <v>2.861639</v>
      </c>
      <c r="Y18" s="114">
        <f>IFERROR(__xludf.DUMMYFUNCTION("""COMPUTED_VALUE"""),2.5787154617445047)</f>
        <v>2.578715462</v>
      </c>
      <c r="Z18" s="114">
        <f>IFERROR(__xludf.DUMMYFUNCTION("""COMPUTED_VALUE"""),-1.397177225296222)</f>
        <v>-1.397177225</v>
      </c>
      <c r="AA18" s="114">
        <f>IFERROR(__xludf.DUMMYFUNCTION("""COMPUTED_VALUE"""),1.9825376202128466)</f>
        <v>1.98253762</v>
      </c>
      <c r="AB18" s="114">
        <f>IFERROR(__xludf.DUMMYFUNCTION("""COMPUTED_VALUE"""),2.144732356031291)</f>
        <v>2.144732356</v>
      </c>
      <c r="AC18" s="114">
        <f>IFERROR(__xludf.DUMMYFUNCTION("""COMPUTED_VALUE"""),-0.3525027030701494)</f>
        <v>-0.3525027031</v>
      </c>
      <c r="AD18" s="114">
        <f>IFERROR(__xludf.DUMMYFUNCTION("""COMPUTED_VALUE"""),0.363194393212251)</f>
        <v>0.3631943932</v>
      </c>
      <c r="AE18" s="114">
        <f>IFERROR(__xludf.DUMMYFUNCTION("""COMPUTED_VALUE"""),1.5179232061814574)</f>
        <v>1.517923206</v>
      </c>
      <c r="AF18" s="114">
        <f>IFERROR(__xludf.DUMMYFUNCTION("""COMPUTED_VALUE"""),-1.519645010763219)</f>
        <v>-1.519645011</v>
      </c>
      <c r="AG18" s="118">
        <f>IFERROR(__xludf.DUMMYFUNCTION("""COMPUTED_VALUE"""),0.0)</f>
        <v>0</v>
      </c>
      <c r="AH18" s="134"/>
      <c r="AI18" s="20"/>
      <c r="AJ18" s="135">
        <v>100.0</v>
      </c>
      <c r="AK18" s="140">
        <f t="array" ref="AK18">if(AK$14=$J5,"-", countif(indirect(address(row($J$2)+ VLOOKUP(AK$14,$J$3:$J$8,1),COLUMN($K$4))):indirect(address(row($J$2)+ VLOOKUP(AK$14,$J$3:$J$8,1),COLUMN($S$2)))&gt;indirect(address(row($J5),COLUMN($K$2))):indirect(address(row($J5),COLUMN($S$2))),TRUE()))</f>
        <v>0</v>
      </c>
      <c r="AL18" s="142">
        <f t="array" ref="AL18">if(AL$14=$J5,"-", countif(indirect(address(row($J$2)+ VLOOKUP(AL$14,$J$3:$J$8,1),COLUMN($K$4))):indirect(address(row($J$2)+ VLOOKUP(AL$14,$J$3:$J$8,1),COLUMN($S$2)))&gt;indirect(address(row($J5),COLUMN($K$2))):indirect(address(row($J5),COLUMN($S$2))),TRUE()))</f>
        <v>0</v>
      </c>
      <c r="AM18" s="142">
        <f t="array" ref="AM18">if(AM$14=$J5,"-", countif(indirect(address(row($J$2)+ VLOOKUP(AM$14,$J$3:$J$8,1),COLUMN($K$4))):indirect(address(row($J$2)+ VLOOKUP(AM$14,$J$3:$J$8,1),COLUMN($S$2)))&gt;indirect(address(row($J5),COLUMN($K$2))):indirect(address(row($J5),COLUMN($S$2))),TRUE()))</f>
        <v>0</v>
      </c>
      <c r="AN18" s="142">
        <f t="array" ref="AN18">if(AN$14=$J5,"-", countif(indirect(address(row($J$2)+ VLOOKUP(AN$14,$J$3:$J$8,1),COLUMN($K$4))):indirect(address(row($J$2)+ VLOOKUP(AN$14,$J$3:$J$8,1),COLUMN($S$2)))&gt;indirect(address(row($J5),COLUMN($K$2))):indirect(address(row($J5),COLUMN($S$2))),TRUE()))</f>
        <v>0</v>
      </c>
      <c r="AO18" s="142">
        <f t="array" ref="AO18">if(AO$14=$J5,"-", countif(indirect(address(row($J$2)+ VLOOKUP(AO$14,$J$3:$J$8,1),COLUMN($K$4))):indirect(address(row($J$2)+ VLOOKUP(AO$14,$J$3:$J$8,1),COLUMN($S$2)))&gt;indirect(address(row($J5),COLUMN($K$2))):indirect(address(row($J5),COLUMN($S$2))),TRUE()))</f>
        <v>0</v>
      </c>
      <c r="AP18" s="142">
        <f t="array" ref="AP18">if(AP$14=$J5,"-", countif(indirect(address(row($J$2)+ VLOOKUP(AP$14,$J$3:$J$8,1),COLUMN($K$4))):indirect(address(row($J$2)+ VLOOKUP(AP$14,$J$3:$J$8,1),COLUMN($S$2)))&gt;indirect(address(row($J5),COLUMN($K$2))):indirect(address(row($J5),COLUMN($S$2))),TRUE()))</f>
        <v>0</v>
      </c>
      <c r="AQ18" s="142">
        <f t="array" ref="AQ18">if(AQ$14=$J5,"-", countif(indirect(address(row($J$2)+ VLOOKUP(AQ$14,$J$3:$J$8,1),COLUMN($K$4))):indirect(address(row($J$2)+ VLOOKUP(AQ$14,$J$3:$J$8,1),COLUMN($S$2)))&gt;indirect(address(row($J5),COLUMN($K$2))):indirect(address(row($J5),COLUMN($S$2))),TRUE()))</f>
        <v>0</v>
      </c>
      <c r="AR18" s="142">
        <f t="array" ref="AR18">if(AR$14=$J5,"-", countif(indirect(address(row($J$2)+ VLOOKUP(AR$14,$J$3:$J$8,1),COLUMN($K$4))):indirect(address(row($J$2)+ VLOOKUP(AR$14,$J$3:$J$8,1),COLUMN($S$2)))&gt;indirect(address(row($J5),COLUMN($K$2))):indirect(address(row($J5),COLUMN($S$2))),TRUE()))</f>
        <v>0</v>
      </c>
      <c r="AS18" s="142">
        <f t="array" ref="AS18">if(AS$14=$J5,"-", countif(indirect(address(row($J$2)+ VLOOKUP(AS$14,$J$3:$J$8,1),COLUMN($K$4))):indirect(address(row($J$2)+ VLOOKUP(AS$14,$J$3:$J$8,1),COLUMN($S$2)))&gt;indirect(address(row($J5),COLUMN($K$2))):indirect(address(row($J5),COLUMN($S$2))),TRUE()))</f>
        <v>0</v>
      </c>
      <c r="AT18" s="142">
        <f t="array" ref="AT18">if(AT$14=$J5,"-", countif(indirect(address(row($J$2)+ VLOOKUP(AT$14,$J$3:$J$8,1),COLUMN($K$4))):indirect(address(row($J$2)+ VLOOKUP(AT$14,$J$3:$J$8,1),COLUMN($S$2)))&gt;indirect(address(row($J5),COLUMN($K$2))):indirect(address(row($J5),COLUMN($S$2))),TRUE()))</f>
        <v>0</v>
      </c>
      <c r="AU18" s="142">
        <f t="array" ref="AU18">if(AU$14=$J5,"-", countif(indirect(address(row($J$2)+ VLOOKUP(AU$14,$J$3:$J$8,1),COLUMN($K$4))):indirect(address(row($J$2)+ VLOOKUP(AU$14,$J$3:$J$8,1),COLUMN($S$2)))&gt;indirect(address(row($J5),COLUMN($K$2))):indirect(address(row($J5),COLUMN($S$2))),TRUE()))</f>
        <v>0</v>
      </c>
      <c r="AV18" s="150">
        <f t="array" ref="AV18">if(AV$14=$J5,"-", countif(indirect(address(row($J$2)+ VLOOKUP(AV$14,$J$3:$J$8,1),COLUMN($K$4))):indirect(address(row($J$2)+ VLOOKUP(AV$14,$J$3:$J$8,1),COLUMN($S$2)))&gt;indirect(address(row($J5),COLUMN($K$2))):indirect(address(row($J5),COLUMN($S$2))),TRUE()))</f>
        <v>0</v>
      </c>
      <c r="AW18" s="151">
        <v>3.0</v>
      </c>
      <c r="AX18" s="169" t="str">
        <f t="array" ref="AX18">INDIRECT("Draft!F"&amp;TEXT(VLOOKUP(TRUE,I3:J8,2,0)+2,"0"))</f>
        <v>#N/A</v>
      </c>
      <c r="AY18" s="170"/>
      <c r="AZ18" s="155" t="str">
        <f>IF($AX18="","", VLOOKUP($AX18,'Final Update'!$Q$21:$AE1009,Column(#REF!),False))</f>
        <v>#N/A</v>
      </c>
      <c r="BA18" s="155" t="str">
        <f>IF($AX18="","", VLOOKUP($AX18,'Final Update'!$Q$21:$AE1009,Column(H3),False))</f>
        <v>#N/A</v>
      </c>
      <c r="BB18" s="155" t="str">
        <f>IF($AX18="","", VLOOKUP($AX18,'Final Update'!$Q$21:$AE1009,Column(I3),False))</f>
        <v>#N/A</v>
      </c>
      <c r="BC18" s="155" t="str">
        <f>IF($AX18="","", VLOOKUP($AX18,'Final Update'!$Q$21:$AE1009,Column(J3),False))</f>
        <v>#N/A</v>
      </c>
      <c r="BD18" s="155" t="str">
        <f>IF($AX18="","", VLOOKUP($AX18,'Final Update'!$Q$21:$AE1009,Column(K3),False))</f>
        <v>#N/A</v>
      </c>
      <c r="BE18" s="155" t="str">
        <f>IF($AX18="","", VLOOKUP($AX18,'Final Update'!$Q$21:$AE1009,Column(#REF!),False))</f>
        <v>#N/A</v>
      </c>
      <c r="BF18" s="157" t="str">
        <f>IF($AX18="","", VLOOKUP($AX18,'Final Update'!$Q$21:$AE1009,Column(M3),False))</f>
        <v>#N/A</v>
      </c>
      <c r="BG18" s="157" t="str">
        <f>IF($AX18="","", VLOOKUP($AX18,'Final Update'!$Q$21:$AE1009,Column(#REF!),False))</f>
        <v>#N/A</v>
      </c>
      <c r="BH18" s="157" t="str">
        <f>IF($AX18="","", VLOOKUP($AX18,'Final Update'!$Q$21:$AE1009,Column(#REF!),False))</f>
        <v>#N/A</v>
      </c>
      <c r="BI18" s="155" t="str">
        <f>IF($AX18="","", VLOOKUP($AX18,'Final Update'!$Q$21:$AE1009,Column(C3),False))</f>
        <v>#N/A</v>
      </c>
      <c r="BJ18" s="158">
        <f t="array" ref="BJ18">COUNTIF(FIND(BK18,$BI$16:$BI$27),"&gt;0")</f>
        <v>0</v>
      </c>
      <c r="BK18" s="159" t="s">
        <v>48</v>
      </c>
      <c r="BL18" s="130"/>
      <c r="BM18" s="131"/>
      <c r="BN18" s="131"/>
      <c r="BO18" s="131"/>
      <c r="BP18" s="131"/>
      <c r="BQ18" s="131"/>
      <c r="BR18" s="131"/>
      <c r="BS18" s="131"/>
      <c r="BT18" s="20"/>
      <c r="BU18" s="20"/>
      <c r="BV18" s="20"/>
    </row>
    <row r="19">
      <c r="A19" s="109">
        <f>VLOOKUP($F19,UpdateHashtag!$V$3:$Y$32,COLUMN(B$9),0)</f>
        <v>4</v>
      </c>
      <c r="B19" s="91" t="str">
        <f>VLOOKUP($F19,UpdateHashtag!$V$3:$Y$32,COLUMN(#REF!),0)</f>
        <v>#REF!</v>
      </c>
      <c r="C19" s="91" t="str">
        <f>VLOOKUP($F19,UpdateHashtag!$V$3:$Y$32,COLUMN(#REF!),0)</f>
        <v>#REF!</v>
      </c>
      <c r="D19" s="110" t="str">
        <f t="shared" si="2"/>
        <v>#REF!</v>
      </c>
      <c r="E19" s="11"/>
      <c r="F19" s="94" t="str">
        <f>VLOOKUP(J19,UpdateBBM!$C$2:E1009,3,0)</f>
        <v>ATL</v>
      </c>
      <c r="G19" s="78">
        <v>6.0</v>
      </c>
      <c r="H19" s="111">
        <f>IFERROR(__xludf.DUMMYFUNCTION("""COMPUTED_VALUE"""),6.0)</f>
        <v>6</v>
      </c>
      <c r="I19" s="111"/>
      <c r="J19" s="112" t="str">
        <f>IFERROR(__xludf.DUMMYFUNCTION("""COMPUTED_VALUE"""),"Trae Young")</f>
        <v>Trae Young</v>
      </c>
      <c r="K19" s="111">
        <f>IFERROR(__xludf.DUMMYFUNCTION("""COMPUTED_VALUE"""),77.0)</f>
        <v>77</v>
      </c>
      <c r="L19" s="113" t="str">
        <f>IFERROR(__xludf.DUMMYFUNCTION("""COMPUTED_VALUE"""),"G")</f>
        <v>G</v>
      </c>
      <c r="M19" s="114">
        <f>IFERROR(__xludf.DUMMYFUNCTION("""COMPUTED_VALUE"""),5.693887490632928)</f>
        <v>5.693887491</v>
      </c>
      <c r="N19" s="114">
        <f>IFERROR(__xludf.DUMMYFUNCTION("""COMPUTED_VALUE"""),6.324092755769335)</f>
        <v>6.324092756</v>
      </c>
      <c r="O19" s="115">
        <f>IFERROR(__xludf.DUMMYFUNCTION("""COMPUTED_VALUE"""),0.6302052651364072)</f>
        <v>0.6302052651</v>
      </c>
      <c r="P19" s="116">
        <f>IFERROR(__xludf.DUMMYFUNCTION("""COMPUTED_VALUE"""),25.69468)</f>
        <v>25.69468</v>
      </c>
      <c r="Q19" s="116">
        <f>IFERROR(__xludf.DUMMYFUNCTION("""COMPUTED_VALUE"""),3.18987)</f>
        <v>3.18987</v>
      </c>
      <c r="R19" s="116">
        <f>IFERROR(__xludf.DUMMYFUNCTION("""COMPUTED_VALUE"""),2.885974)</f>
        <v>2.885974</v>
      </c>
      <c r="S19" s="117">
        <f>IFERROR(__xludf.DUMMYFUNCTION("""COMPUTED_VALUE"""),11.73519)</f>
        <v>11.73519</v>
      </c>
      <c r="T19" s="116">
        <f>IFERROR(__xludf.DUMMYFUNCTION("""COMPUTED_VALUE"""),1.171558)</f>
        <v>1.171558</v>
      </c>
      <c r="U19" s="116">
        <f>IFERROR(__xludf.DUMMYFUNCTION("""COMPUTED_VALUE"""),0.077922)</f>
        <v>0.077922</v>
      </c>
      <c r="V19" s="113">
        <f>IFERROR(__xludf.DUMMYFUNCTION("""COMPUTED_VALUE"""),0.419483)</f>
        <v>0.419483</v>
      </c>
      <c r="W19" s="113">
        <f>IFERROR(__xludf.DUMMYFUNCTION("""COMPUTED_VALUE"""),0.883994)</f>
        <v>0.883994</v>
      </c>
      <c r="X19" s="116">
        <f>IFERROR(__xludf.DUMMYFUNCTION("""COMPUTED_VALUE"""),4.29)</f>
        <v>4.29</v>
      </c>
      <c r="Y19" s="114">
        <f>IFERROR(__xludf.DUMMYFUNCTION("""COMPUTED_VALUE"""),1.494783635658165)</f>
        <v>1.494783636</v>
      </c>
      <c r="Z19" s="114">
        <f>IFERROR(__xludf.DUMMYFUNCTION("""COMPUTED_VALUE"""),1.371789014081673)</f>
        <v>1.371789014</v>
      </c>
      <c r="AA19" s="114">
        <f>IFERROR(__xludf.DUMMYFUNCTION("""COMPUTED_VALUE"""),-1.3135571258500867)</f>
        <v>-1.313557126</v>
      </c>
      <c r="AB19" s="114">
        <f>IFERROR(__xludf.DUMMYFUNCTION("""COMPUTED_VALUE"""),3.8584299759654193)</f>
        <v>3.858429976</v>
      </c>
      <c r="AC19" s="114">
        <f>IFERROR(__xludf.DUMMYFUNCTION("""COMPUTED_VALUE"""),0.38507932768750724)</f>
        <v>0.3850793277</v>
      </c>
      <c r="AD19" s="114">
        <f>IFERROR(__xludf.DUMMYFUNCTION("""COMPUTED_VALUE"""),-1.1858767858564676)</f>
        <v>-1.185876786</v>
      </c>
      <c r="AE19" s="114">
        <f>IFERROR(__xludf.DUMMYFUNCTION("""COMPUTED_VALUE"""),-0.9539049358971645)</f>
        <v>-0.9539049359</v>
      </c>
      <c r="AF19" s="114">
        <f>IFERROR(__xludf.DUMMYFUNCTION("""COMPUTED_VALUE"""),1.3537925241302025)</f>
        <v>1.353792524</v>
      </c>
      <c r="AG19" s="118">
        <f>IFERROR(__xludf.DUMMYFUNCTION("""COMPUTED_VALUE"""),0.0)</f>
        <v>0</v>
      </c>
      <c r="AH19" s="134"/>
      <c r="AI19" s="20"/>
      <c r="AJ19" s="135">
        <v>100.0</v>
      </c>
      <c r="AK19" s="140">
        <f t="array" ref="AK19">if(AK$14=$J6,"-", countif(indirect(address(row($J$2)+ VLOOKUP(AK$14,$J$3:$J$8,1),COLUMN($K$4))):indirect(address(row($J$2)+ VLOOKUP(AK$14,$J$3:$J$8,1),COLUMN($S$2)))&gt;indirect(address(row($J6),COLUMN($K$2))):indirect(address(row($J6),COLUMN($S$2))),TRUE()))</f>
        <v>0</v>
      </c>
      <c r="AL19" s="142">
        <f t="array" ref="AL19">if(AL$14=$J6,"-", countif(indirect(address(row($J$2)+ VLOOKUP(AL$14,$J$3:$J$8,1),COLUMN($K$4))):indirect(address(row($J$2)+ VLOOKUP(AL$14,$J$3:$J$8,1),COLUMN($S$2)))&gt;indirect(address(row($J6),COLUMN($K$2))):indirect(address(row($J6),COLUMN($S$2))),TRUE()))</f>
        <v>0</v>
      </c>
      <c r="AM19" s="142">
        <f t="array" ref="AM19">if(AM$14=$J6,"-", countif(indirect(address(row($J$2)+ VLOOKUP(AM$14,$J$3:$J$8,1),COLUMN($K$4))):indirect(address(row($J$2)+ VLOOKUP(AM$14,$J$3:$J$8,1),COLUMN($S$2)))&gt;indirect(address(row($J6),COLUMN($K$2))):indirect(address(row($J6),COLUMN($S$2))),TRUE()))</f>
        <v>0</v>
      </c>
      <c r="AN19" s="142">
        <f t="array" ref="AN19">if(AN$14=$J6,"-", countif(indirect(address(row($J$2)+ VLOOKUP(AN$14,$J$3:$J$8,1),COLUMN($K$4))):indirect(address(row($J$2)+ VLOOKUP(AN$14,$J$3:$J$8,1),COLUMN($S$2)))&gt;indirect(address(row($J6),COLUMN($K$2))):indirect(address(row($J6),COLUMN($S$2))),TRUE()))</f>
        <v>0</v>
      </c>
      <c r="AO19" s="142">
        <f t="array" ref="AO19">if(AO$14=$J6,"-", countif(indirect(address(row($J$2)+ VLOOKUP(AO$14,$J$3:$J$8,1),COLUMN($K$4))):indirect(address(row($J$2)+ VLOOKUP(AO$14,$J$3:$J$8,1),COLUMN($S$2)))&gt;indirect(address(row($J6),COLUMN($K$2))):indirect(address(row($J6),COLUMN($S$2))),TRUE()))</f>
        <v>0</v>
      </c>
      <c r="AP19" s="142">
        <f t="array" ref="AP19">if(AP$14=$J6,"-", countif(indirect(address(row($J$2)+ VLOOKUP(AP$14,$J$3:$J$8,1),COLUMN($K$4))):indirect(address(row($J$2)+ VLOOKUP(AP$14,$J$3:$J$8,1),COLUMN($S$2)))&gt;indirect(address(row($J6),COLUMN($K$2))):indirect(address(row($J6),COLUMN($S$2))),TRUE()))</f>
        <v>0</v>
      </c>
      <c r="AQ19" s="142">
        <f t="array" ref="AQ19">if(AQ$14=$J6,"-", countif(indirect(address(row($J$2)+ VLOOKUP(AQ$14,$J$3:$J$8,1),COLUMN($K$4))):indirect(address(row($J$2)+ VLOOKUP(AQ$14,$J$3:$J$8,1),COLUMN($S$2)))&gt;indirect(address(row($J6),COLUMN($K$2))):indirect(address(row($J6),COLUMN($S$2))),TRUE()))</f>
        <v>0</v>
      </c>
      <c r="AR19" s="142">
        <f t="array" ref="AR19">if(AR$14=$J6,"-", countif(indirect(address(row($J$2)+ VLOOKUP(AR$14,$J$3:$J$8,1),COLUMN($K$4))):indirect(address(row($J$2)+ VLOOKUP(AR$14,$J$3:$J$8,1),COLUMN($S$2)))&gt;indirect(address(row($J6),COLUMN($K$2))):indirect(address(row($J6),COLUMN($S$2))),TRUE()))</f>
        <v>0</v>
      </c>
      <c r="AS19" s="142">
        <f t="array" ref="AS19">if(AS$14=$J6,"-", countif(indirect(address(row($J$2)+ VLOOKUP(AS$14,$J$3:$J$8,1),COLUMN($K$4))):indirect(address(row($J$2)+ VLOOKUP(AS$14,$J$3:$J$8,1),COLUMN($S$2)))&gt;indirect(address(row($J6),COLUMN($K$2))):indirect(address(row($J6),COLUMN($S$2))),TRUE()))</f>
        <v>0</v>
      </c>
      <c r="AT19" s="142">
        <f t="array" ref="AT19">if(AT$14=$J6,"-", countif(indirect(address(row($J$2)+ VLOOKUP(AT$14,$J$3:$J$8,1),COLUMN($K$4))):indirect(address(row($J$2)+ VLOOKUP(AT$14,$J$3:$J$8,1),COLUMN($S$2)))&gt;indirect(address(row($J6),COLUMN($K$2))):indirect(address(row($J6),COLUMN($S$2))),TRUE()))</f>
        <v>0</v>
      </c>
      <c r="AU19" s="142">
        <f t="array" ref="AU19">if(AU$14=$J6,"-", countif(indirect(address(row($J$2)+ VLOOKUP(AU$14,$J$3:$J$8,1),COLUMN($K$4))):indirect(address(row($J$2)+ VLOOKUP(AU$14,$J$3:$J$8,1),COLUMN($S$2)))&gt;indirect(address(row($J6),COLUMN($K$2))):indirect(address(row($J6),COLUMN($S$2))),TRUE()))</f>
        <v>0</v>
      </c>
      <c r="AV19" s="150">
        <f t="array" ref="AV19">if(AV$14=$J6,"-", countif(indirect(address(row($J$2)+ VLOOKUP(AV$14,$J$3:$J$8,1),COLUMN($K$4))):indirect(address(row($J$2)+ VLOOKUP(AV$14,$J$3:$J$8,1),COLUMN($S$2)))&gt;indirect(address(row($J6),COLUMN($K$2))):indirect(address(row($J6),COLUMN($S$2))),TRUE()))</f>
        <v>0</v>
      </c>
      <c r="AW19" s="151">
        <v>4.0</v>
      </c>
      <c r="AX19" s="169" t="str">
        <f t="array" ref="AX19">INDIRECT("Draft!G"&amp;TEXT(15-VLOOKUP(TRUE,I3:J8,2,0),"0"))</f>
        <v>#N/A</v>
      </c>
      <c r="AY19" s="171"/>
      <c r="AZ19" s="155" t="str">
        <f>IF($AX19="","", VLOOKUP($AX19,'Final Update'!$Q$21:$AE1009,Column(#REF!),False))</f>
        <v>#N/A</v>
      </c>
      <c r="BA19" s="155" t="str">
        <f>IF($AX19="","", VLOOKUP($AX19,'Final Update'!$Q$21:$AE1009,Column(#REF!),False))</f>
        <v>#N/A</v>
      </c>
      <c r="BB19" s="155" t="str">
        <f>IF($AX19="","", VLOOKUP($AX19,'Final Update'!$Q$21:$AE1009,Column(I4),False))</f>
        <v>#N/A</v>
      </c>
      <c r="BC19" s="155" t="str">
        <f>IF($AX19="","", VLOOKUP($AX19,'Final Update'!$Q$21:$AE1009,Column(J4),False))</f>
        <v>#N/A</v>
      </c>
      <c r="BD19" s="155" t="str">
        <f>IF($AX19="","", VLOOKUP($AX19,'Final Update'!$Q$21:$AE1009,Column(K4),False))</f>
        <v>#N/A</v>
      </c>
      <c r="BE19" s="155" t="str">
        <f>IF($AX19="","", VLOOKUP($AX19,'Final Update'!$Q$21:$AE1009,Column(L4),False))</f>
        <v>#N/A</v>
      </c>
      <c r="BF19" s="157" t="str">
        <f>IF($AX19="","", VLOOKUP($AX19,'Final Update'!$Q$21:$AE1009,Column(M4),False))</f>
        <v>#N/A</v>
      </c>
      <c r="BG19" s="157" t="str">
        <f>IF($AX19="","", VLOOKUP($AX19,'Final Update'!$Q$21:$AE1009,Column(#REF!),False))</f>
        <v>#N/A</v>
      </c>
      <c r="BH19" s="157" t="str">
        <f>IF($AX19="","", VLOOKUP($AX19,'Final Update'!$Q$21:$AE1009,Column(O3),False))</f>
        <v>#N/A</v>
      </c>
      <c r="BI19" s="155" t="str">
        <f>IF($AX19="","", VLOOKUP($AX19,'Final Update'!$Q$21:$AE1009,Column(C4),False))</f>
        <v>#N/A</v>
      </c>
      <c r="BJ19" s="158">
        <f t="array" ref="BJ19">COUNTIF(FIND(BK19,$BI$16:$BI$27),"&gt;0")</f>
        <v>0</v>
      </c>
      <c r="BK19" s="159" t="s">
        <v>49</v>
      </c>
      <c r="BL19" s="130"/>
      <c r="BM19" s="131"/>
      <c r="BN19" s="131"/>
      <c r="BO19" s="131"/>
      <c r="BP19" s="131"/>
      <c r="BQ19" s="131"/>
      <c r="BR19" s="131"/>
      <c r="BS19" s="131"/>
      <c r="BT19" s="20"/>
      <c r="BU19" s="20"/>
      <c r="BV19" s="20"/>
    </row>
    <row r="20">
      <c r="A20" s="91" t="str">
        <f>VLOOKUP($F20,UpdateHashtag!$V$3:$Y$32,COLUMN(B$9),0)</f>
        <v>#N/A</v>
      </c>
      <c r="B20" s="91" t="str">
        <f>VLOOKUP($F20,UpdateHashtag!$V$3:$Y$32,COLUMN(#REF!),0)</f>
        <v>#REF!</v>
      </c>
      <c r="C20" s="91" t="str">
        <f>VLOOKUP($F20,UpdateHashtag!$V$3:$Y$32,COLUMN(#REF!),0)</f>
        <v>#REF!</v>
      </c>
      <c r="D20" s="110" t="str">
        <f t="shared" si="2"/>
        <v>#N/A</v>
      </c>
      <c r="E20" s="11"/>
      <c r="F20" s="94" t="str">
        <f>VLOOKUP(J20,UpdateBBM!$C$2:E1009,3,0)</f>
        <v>GSW</v>
      </c>
      <c r="G20" s="78">
        <v>7.0</v>
      </c>
      <c r="H20" s="111">
        <f>IFERROR(__xludf.DUMMYFUNCTION("""COMPUTED_VALUE"""),7.0)</f>
        <v>7</v>
      </c>
      <c r="I20" s="111"/>
      <c r="J20" s="112" t="str">
        <f>IFERROR(__xludf.DUMMYFUNCTION("""COMPUTED_VALUE"""),"Stephen Curry")</f>
        <v>Stephen Curry</v>
      </c>
      <c r="K20" s="111">
        <f>IFERROR(__xludf.DUMMYFUNCTION("""COMPUTED_VALUE"""),68.0)</f>
        <v>68</v>
      </c>
      <c r="L20" s="113" t="str">
        <f>IFERROR(__xludf.DUMMYFUNCTION("""COMPUTED_VALUE"""),"G")</f>
        <v>G</v>
      </c>
      <c r="M20" s="114">
        <f>IFERROR(__xludf.DUMMYFUNCTION("""COMPUTED_VALUE"""),5.645798593164934)</f>
        <v>5.645798593</v>
      </c>
      <c r="N20" s="114">
        <f>IFERROR(__xludf.DUMMYFUNCTION("""COMPUTED_VALUE"""),5.903191980581784)</f>
        <v>5.903191981</v>
      </c>
      <c r="O20" s="115">
        <f>IFERROR(__xludf.DUMMYFUNCTION("""COMPUTED_VALUE"""),0.25739338741685014)</f>
        <v>0.2573933874</v>
      </c>
      <c r="P20" s="116">
        <f>IFERROR(__xludf.DUMMYFUNCTION("""COMPUTED_VALUE"""),25.34912)</f>
        <v>25.34912</v>
      </c>
      <c r="Q20" s="116">
        <f>IFERROR(__xludf.DUMMYFUNCTION("""COMPUTED_VALUE"""),4.625882)</f>
        <v>4.625882</v>
      </c>
      <c r="R20" s="116">
        <f>IFERROR(__xludf.DUMMYFUNCTION("""COMPUTED_VALUE"""),4.492059)</f>
        <v>4.492059</v>
      </c>
      <c r="S20" s="117">
        <f>IFERROR(__xludf.DUMMYFUNCTION("""COMPUTED_VALUE"""),5.887794)</f>
        <v>5.887794</v>
      </c>
      <c r="T20" s="116">
        <f>IFERROR(__xludf.DUMMYFUNCTION("""COMPUTED_VALUE"""),1.020882)</f>
        <v>1.020882</v>
      </c>
      <c r="U20" s="116">
        <f>IFERROR(__xludf.DUMMYFUNCTION("""COMPUTED_VALUE"""),0.407647)</f>
        <v>0.407647</v>
      </c>
      <c r="V20" s="113">
        <f>IFERROR(__xludf.DUMMYFUNCTION("""COMPUTED_VALUE"""),0.453424)</f>
        <v>0.453424</v>
      </c>
      <c r="W20" s="113">
        <f>IFERROR(__xludf.DUMMYFUNCTION("""COMPUTED_VALUE"""),0.920009)</f>
        <v>0.920009</v>
      </c>
      <c r="X20" s="116">
        <f>IFERROR(__xludf.DUMMYFUNCTION("""COMPUTED_VALUE"""),2.786618)</f>
        <v>2.786618</v>
      </c>
      <c r="Y20" s="114">
        <f>IFERROR(__xludf.DUMMYFUNCTION("""COMPUTED_VALUE"""),1.4341576866752945)</f>
        <v>1.434157687</v>
      </c>
      <c r="Z20" s="114">
        <f>IFERROR(__xludf.DUMMYFUNCTION("""COMPUTED_VALUE"""),2.758737423625692)</f>
        <v>2.758737424</v>
      </c>
      <c r="AA20" s="114">
        <f>IFERROR(__xludf.DUMMYFUNCTION("""COMPUTED_VALUE"""),-0.662524779140245)</f>
        <v>-0.6625247791</v>
      </c>
      <c r="AB20" s="114">
        <f>IFERROR(__xludf.DUMMYFUNCTION("""COMPUTED_VALUE"""),1.0018922597796107)</f>
        <v>1.00189226</v>
      </c>
      <c r="AC20" s="114">
        <f>IFERROR(__xludf.DUMMYFUNCTION("""COMPUTED_VALUE"""),-0.07406510555537915)</f>
        <v>-0.07406510556</v>
      </c>
      <c r="AD20" s="114">
        <f>IFERROR(__xludf.DUMMYFUNCTION("""COMPUTED_VALUE"""),-0.5864392994779517)</f>
        <v>-0.5864392995</v>
      </c>
      <c r="AE20" s="114">
        <f>IFERROR(__xludf.DUMMYFUNCTION("""COMPUTED_VALUE"""),-0.5687843301986628)</f>
        <v>-0.5687843302</v>
      </c>
      <c r="AF20" s="114">
        <f>IFERROR(__xludf.DUMMYFUNCTION("""COMPUTED_VALUE"""),1.9376933457331804)</f>
        <v>1.937693346</v>
      </c>
      <c r="AG20" s="118">
        <f>IFERROR(__xludf.DUMMYFUNCTION("""COMPUTED_VALUE"""),0.0)</f>
        <v>0</v>
      </c>
      <c r="AH20" s="134"/>
      <c r="AI20" s="20"/>
      <c r="AJ20" s="135">
        <v>100.0</v>
      </c>
      <c r="AK20" s="140">
        <f t="array" ref="AK20">if(AK$14=$F4,"-", countif(indirect(address(row($J$2)+ VLOOKUP(AK$14,$J$3:$J$8,1),COLUMN($K$4))):indirect(address(row($J$2)+ VLOOKUP(AK$14,$J$3:$J$8,1),COLUMN($S$2)))&gt;indirect(address(row($F4),COLUMN($K$2))):indirect(address(row($F4),COLUMN($S$2))),TRUE()))</f>
        <v>0</v>
      </c>
      <c r="AL20" s="142">
        <f t="array" ref="AL20">if(AL$14=$F4,"-", countif(indirect(address(row($J$2)+ VLOOKUP(AL$14,$J$3:$J$8,1),COLUMN($K$4))):indirect(address(row($J$2)+ VLOOKUP(AL$14,$J$3:$J$8,1),COLUMN($S$2)))&gt;indirect(address(row($F4),COLUMN($K$2))):indirect(address(row($F4),COLUMN($S$2))),TRUE()))</f>
        <v>0</v>
      </c>
      <c r="AM20" s="142">
        <f t="array" ref="AM20">if(AM$14=$F4,"-", countif(indirect(address(row($J$2)+ VLOOKUP(AM$14,$J$3:$J$8,1),COLUMN($K$4))):indirect(address(row($J$2)+ VLOOKUP(AM$14,$J$3:$J$8,1),COLUMN($S$2)))&gt;indirect(address(row($F4),COLUMN($K$2))):indirect(address(row($F4),COLUMN($S$2))),TRUE()))</f>
        <v>0</v>
      </c>
      <c r="AN20" s="142">
        <f t="array" ref="AN20">if(AN$14=$F4,"-", countif(indirect(address(row($J$2)+ VLOOKUP(AN$14,$J$3:$J$8,1),COLUMN($K$4))):indirect(address(row($J$2)+ VLOOKUP(AN$14,$J$3:$J$8,1),COLUMN($S$2)))&gt;indirect(address(row($F4),COLUMN($K$2))):indirect(address(row($F4),COLUMN($S$2))),TRUE()))</f>
        <v>0</v>
      </c>
      <c r="AO20" s="142">
        <f t="array" ref="AO20">if(AO$14=$F4,"-", countif(indirect(address(row($J$2)+ VLOOKUP(AO$14,$J$3:$J$8,1),COLUMN($K$4))):indirect(address(row($J$2)+ VLOOKUP(AO$14,$J$3:$J$8,1),COLUMN($S$2)))&gt;indirect(address(row($F4),COLUMN($K$2))):indirect(address(row($F4),COLUMN($S$2))),TRUE()))</f>
        <v>0</v>
      </c>
      <c r="AP20" s="142">
        <f t="array" ref="AP20">if(AP$14=$F4,"-", countif(indirect(address(row($J$2)+ VLOOKUP(AP$14,$J$3:$J$8,1),COLUMN($K$4))):indirect(address(row($J$2)+ VLOOKUP(AP$14,$J$3:$J$8,1),COLUMN($S$2)))&gt;indirect(address(row($F4),COLUMN($K$2))):indirect(address(row($F4),COLUMN($S$2))),TRUE()))</f>
        <v>0</v>
      </c>
      <c r="AQ20" s="142">
        <f t="array" ref="AQ20">if(AQ$14=$F4,"-", countif(indirect(address(row($J$2)+ VLOOKUP(AQ$14,$J$3:$J$8,1),COLUMN($K$4))):indirect(address(row($J$2)+ VLOOKUP(AQ$14,$J$3:$J$8,1),COLUMN($S$2)))&gt;indirect(address(row($F4),COLUMN($K$2))):indirect(address(row($F4),COLUMN($S$2))),TRUE()))</f>
        <v>0</v>
      </c>
      <c r="AR20" s="142">
        <f t="array" ref="AR20">if(AR$14=$F4,"-", countif(indirect(address(row($J$2)+ VLOOKUP(AR$14,$J$3:$J$8,1),COLUMN($K$4))):indirect(address(row($J$2)+ VLOOKUP(AR$14,$J$3:$J$8,1),COLUMN($S$2)))&gt;indirect(address(row($F4),COLUMN($K$2))):indirect(address(row($F4),COLUMN($S$2))),TRUE()))</f>
        <v>0</v>
      </c>
      <c r="AS20" s="142">
        <f t="array" ref="AS20">if(AS$14=$F4,"-", countif(indirect(address(row($J$2)+ VLOOKUP(AS$14,$J$3:$J$8,1),COLUMN($K$4))):indirect(address(row($J$2)+ VLOOKUP(AS$14,$J$3:$J$8,1),COLUMN($S$2)))&gt;indirect(address(row($F4),COLUMN($K$2))):indirect(address(row($F4),COLUMN($S$2))),TRUE()))</f>
        <v>0</v>
      </c>
      <c r="AT20" s="142">
        <f t="array" ref="AT20">if(AT$14=$F4,"-", countif(indirect(address(row($J$2)+ VLOOKUP(AT$14,$J$3:$J$8,1),COLUMN($K$4))):indirect(address(row($J$2)+ VLOOKUP(AT$14,$J$3:$J$8,1),COLUMN($S$2)))&gt;indirect(address(row($F4),COLUMN($K$2))):indirect(address(row($F4),COLUMN($S$2))),TRUE()))</f>
        <v>0</v>
      </c>
      <c r="AU20" s="142">
        <f t="array" ref="AU20">if(AU$14=$F4,"-", countif(indirect(address(row($J$2)+ VLOOKUP(AU$14,$J$3:$J$8,1),COLUMN($K$4))):indirect(address(row($J$2)+ VLOOKUP(AU$14,$J$3:$J$8,1),COLUMN($S$2)))&gt;indirect(address(row($F4),COLUMN($K$2))):indirect(address(row($F4),COLUMN($S$2))),TRUE()))</f>
        <v>0</v>
      </c>
      <c r="AV20" s="150">
        <f t="array" ref="AV20">if(AV$14=$F4,"-", countif(indirect(address(row($J$2)+ VLOOKUP(AV$14,$J$3:$J$8,1),COLUMN($K$4))):indirect(address(row($J$2)+ VLOOKUP(AV$14,$J$3:$J$8,1),COLUMN($S$2)))&gt;indirect(address(row($F4),COLUMN($K$2))):indirect(address(row($F4),COLUMN($S$2))),TRUE()))</f>
        <v>0</v>
      </c>
      <c r="AW20" s="151">
        <v>5.0</v>
      </c>
      <c r="AX20" s="169" t="str">
        <f t="array" ref="AX20">INDIRECT("Draft!H"&amp;TEXT(VLOOKUP(TRUE,I3:J8,2,0)+2,"0"))</f>
        <v>#N/A</v>
      </c>
      <c r="AY20" s="171"/>
      <c r="AZ20" s="155" t="str">
        <f>IF($AX20="","", VLOOKUP($AX20,'Final Update'!$Q$21:$AE1009,Column(F6),False))</f>
        <v>#N/A</v>
      </c>
      <c r="BA20" s="155" t="str">
        <f>IF($AX20="","", VLOOKUP($AX20,'Final Update'!$Q$21:$AE1009,Column(#REF!),False))</f>
        <v>#N/A</v>
      </c>
      <c r="BB20" s="155" t="str">
        <f>IF($AX20="","", VLOOKUP($AX20,'Final Update'!$Q$21:$AE1009,Column(I5),False))</f>
        <v>#N/A</v>
      </c>
      <c r="BC20" s="155" t="str">
        <f>IF($AX20="","", VLOOKUP($AX20,'Final Update'!$Q$21:$AE1009,Column(J5),False))</f>
        <v>#N/A</v>
      </c>
      <c r="BD20" s="155" t="str">
        <f>IF($AX20="","", VLOOKUP($AX20,'Final Update'!$Q$21:$AE1009,Column(K5),False))</f>
        <v>#N/A</v>
      </c>
      <c r="BE20" s="155" t="str">
        <f>IF($AX20="","", VLOOKUP($AX20,'Final Update'!$Q$21:$AE1009,Column(L5),False))</f>
        <v>#N/A</v>
      </c>
      <c r="BF20" s="157" t="str">
        <f>IF($AX20="","", VLOOKUP($AX20,'Final Update'!$Q$21:$AE1009,Column(M5),False))</f>
        <v>#N/A</v>
      </c>
      <c r="BG20" s="157" t="str">
        <f>IF($AX20="","", VLOOKUP($AX20,'Final Update'!$Q$21:$AE1009,Column(#REF!),False))</f>
        <v>#N/A</v>
      </c>
      <c r="BH20" s="157" t="str">
        <f>IF($AX20="","", VLOOKUP($AX20,'Final Update'!$Q$21:$AE1009,Column(G5),False))</f>
        <v>#N/A</v>
      </c>
      <c r="BI20" s="155" t="str">
        <f>IF($AX20="","", VLOOKUP($AX20,'Final Update'!$Q$21:$AE1009,Column(C5),False))</f>
        <v>#N/A</v>
      </c>
      <c r="BJ20" s="158">
        <f t="array" ref="BJ20">COUNTIF(FIND(BK20,$BI$16:$BI$27),"&gt;0")</f>
        <v>0</v>
      </c>
      <c r="BK20" s="159" t="s">
        <v>34</v>
      </c>
      <c r="BL20" s="130"/>
      <c r="BM20" s="131"/>
      <c r="BN20" s="131"/>
      <c r="BO20" s="131"/>
      <c r="BP20" s="131"/>
      <c r="BQ20" s="131"/>
      <c r="BR20" s="131"/>
      <c r="BS20" s="131"/>
      <c r="BT20" s="20"/>
      <c r="BU20" s="20"/>
      <c r="BV20" s="20"/>
    </row>
    <row r="21">
      <c r="A21" s="109">
        <f>VLOOKUP($F21,UpdateHashtag!$V$3:$Y$32,COLUMN(B$9),0)</f>
        <v>4</v>
      </c>
      <c r="B21" s="91" t="str">
        <f>VLOOKUP($F21,UpdateHashtag!$V$3:$Y$32,COLUMN(#REF!),0)</f>
        <v>#REF!</v>
      </c>
      <c r="C21" s="91" t="str">
        <f>VLOOKUP($F21,UpdateHashtag!$V$3:$Y$32,COLUMN(#REF!),0)</f>
        <v>#REF!</v>
      </c>
      <c r="D21" s="110" t="str">
        <f t="shared" si="2"/>
        <v>#REF!</v>
      </c>
      <c r="E21" s="11"/>
      <c r="F21" s="94" t="str">
        <f>VLOOKUP(J21,UpdateBBM!$C$2:E1009,3,0)</f>
        <v>LAC</v>
      </c>
      <c r="G21" s="78">
        <v>8.0</v>
      </c>
      <c r="H21" s="111">
        <f>IFERROR(__xludf.DUMMYFUNCTION("""COMPUTED_VALUE"""),8.0)</f>
        <v>8</v>
      </c>
      <c r="I21" s="111"/>
      <c r="J21" s="112" t="str">
        <f>IFERROR(__xludf.DUMMYFUNCTION("""COMPUTED_VALUE"""),"James Harden")</f>
        <v>James Harden</v>
      </c>
      <c r="K21" s="111">
        <f>IFERROR(__xludf.DUMMYFUNCTION("""COMPUTED_VALUE"""),73.0)</f>
        <v>73</v>
      </c>
      <c r="L21" s="113" t="str">
        <f>IFERROR(__xludf.DUMMYFUNCTION("""COMPUTED_VALUE"""),"G")</f>
        <v>G</v>
      </c>
      <c r="M21" s="114">
        <f>IFERROR(__xludf.DUMMYFUNCTION("""COMPUTED_VALUE"""),5.187333301395962)</f>
        <v>5.187333301</v>
      </c>
      <c r="N21" s="114">
        <f>IFERROR(__xludf.DUMMYFUNCTION("""COMPUTED_VALUE"""),5.630668653098455)</f>
        <v>5.630668653</v>
      </c>
      <c r="O21" s="115">
        <f>IFERROR(__xludf.DUMMYFUNCTION("""COMPUTED_VALUE"""),0.44333535170249316)</f>
        <v>0.4433353517</v>
      </c>
      <c r="P21" s="116">
        <f>IFERROR(__xludf.DUMMYFUNCTION("""COMPUTED_VALUE"""),23.15562)</f>
        <v>23.15562</v>
      </c>
      <c r="Q21" s="116">
        <f>IFERROR(__xludf.DUMMYFUNCTION("""COMPUTED_VALUE"""),3.018356)</f>
        <v>3.018356</v>
      </c>
      <c r="R21" s="116">
        <f>IFERROR(__xludf.DUMMYFUNCTION("""COMPUTED_VALUE"""),5.304658)</f>
        <v>5.304658</v>
      </c>
      <c r="S21" s="117">
        <f>IFERROR(__xludf.DUMMYFUNCTION("""COMPUTED_VALUE"""),8.091781)</f>
        <v>8.091781</v>
      </c>
      <c r="T21" s="116">
        <f>IFERROR(__xludf.DUMMYFUNCTION("""COMPUTED_VALUE"""),1.202329)</f>
        <v>1.202329</v>
      </c>
      <c r="U21" s="116">
        <f>IFERROR(__xludf.DUMMYFUNCTION("""COMPUTED_VALUE"""),0.712192)</f>
        <v>0.712192</v>
      </c>
      <c r="V21" s="113">
        <f>IFERROR(__xludf.DUMMYFUNCTION("""COMPUTED_VALUE"""),0.443798)</f>
        <v>0.443798</v>
      </c>
      <c r="W21" s="113">
        <f>IFERROR(__xludf.DUMMYFUNCTION("""COMPUTED_VALUE"""),0.872994)</f>
        <v>0.872994</v>
      </c>
      <c r="X21" s="116">
        <f>IFERROR(__xludf.DUMMYFUNCTION("""COMPUTED_VALUE"""),3.536438)</f>
        <v>3.536438</v>
      </c>
      <c r="Y21" s="114">
        <f>IFERROR(__xludf.DUMMYFUNCTION("""COMPUTED_VALUE"""),1.0493243173792963)</f>
        <v>1.049324317</v>
      </c>
      <c r="Z21" s="114">
        <f>IFERROR(__xludf.DUMMYFUNCTION("""COMPUTED_VALUE"""),1.206135057489017)</f>
        <v>1.206135057</v>
      </c>
      <c r="AA21" s="114">
        <f>IFERROR(__xludf.DUMMYFUNCTION("""COMPUTED_VALUE"""),-0.3331348440471021)</f>
        <v>-0.333134844</v>
      </c>
      <c r="AB21" s="114">
        <f>IFERROR(__xludf.DUMMYFUNCTION("""COMPUTED_VALUE"""),2.07857186066233)</f>
        <v>2.078571861</v>
      </c>
      <c r="AC21" s="114">
        <f>IFERROR(__xludf.DUMMYFUNCTION("""COMPUTED_VALUE"""),0.47884564319440154)</f>
        <v>0.4788456432</v>
      </c>
      <c r="AD21" s="114">
        <f>IFERROR(__xludf.DUMMYFUNCTION("""COMPUTED_VALUE"""),-0.032778857324201646)</f>
        <v>-0.03277885732</v>
      </c>
      <c r="AE21" s="114">
        <f>IFERROR(__xludf.DUMMYFUNCTION("""COMPUTED_VALUE"""),-0.6850393076828555)</f>
        <v>-0.6850393077</v>
      </c>
      <c r="AF21" s="114">
        <f>IFERROR(__xludf.DUMMYFUNCTION("""COMPUTED_VALUE"""),1.1837054757447134)</f>
        <v>1.183705476</v>
      </c>
      <c r="AG21" s="118">
        <f>IFERROR(__xludf.DUMMYFUNCTION("""COMPUTED_VALUE"""),0.0)</f>
        <v>0</v>
      </c>
      <c r="AH21" s="105"/>
      <c r="AI21" s="20"/>
      <c r="AJ21" s="135">
        <v>100.0</v>
      </c>
      <c r="AK21" s="140" t="str">
        <f t="array" ref="AK21">if(AK$14=#REF!,"-", countif(indirect(address(row($J$2)+ VLOOKUP(AK$14,$J$3:$J$8,1),COLUMN($K$4))):indirect(address(row($J$2)+ VLOOKUP(AK$14,$J$3:$J$8,1),COLUMN($S$2)))&gt;indirect(address(row(#REF!),COLUMN($K$2))):indirect(address(row(#REF!),COLUMN($S$2))),TRUE()))</f>
        <v>#REF!</v>
      </c>
      <c r="AL21" s="142" t="str">
        <f t="array" ref="AL21">if(AL$14=#REF!,"-", countif(indirect(address(row($J$2)+ VLOOKUP(AL$14,$J$3:$J$8,1),COLUMN($K$4))):indirect(address(row($J$2)+ VLOOKUP(AL$14,$J$3:$J$8,1),COLUMN($S$2)))&gt;indirect(address(row(#REF!),COLUMN($K$2))):indirect(address(row(#REF!),COLUMN($S$2))),TRUE()))</f>
        <v>#REF!</v>
      </c>
      <c r="AM21" s="142" t="str">
        <f t="array" ref="AM21">if(AM$14=#REF!,"-", countif(indirect(address(row($J$2)+ VLOOKUP(AM$14,$J$3:$J$8,1),COLUMN($K$4))):indirect(address(row($J$2)+ VLOOKUP(AM$14,$J$3:$J$8,1),COLUMN($S$2)))&gt;indirect(address(row(#REF!),COLUMN($K$2))):indirect(address(row(#REF!),COLUMN($S$2))),TRUE()))</f>
        <v>#REF!</v>
      </c>
      <c r="AN21" s="142" t="str">
        <f t="array" ref="AN21">if(AN$14=#REF!,"-", countif(indirect(address(row($J$2)+ VLOOKUP(AN$14,$J$3:$J$8,1),COLUMN($K$4))):indirect(address(row($J$2)+ VLOOKUP(AN$14,$J$3:$J$8,1),COLUMN($S$2)))&gt;indirect(address(row(#REF!),COLUMN($K$2))):indirect(address(row(#REF!),COLUMN($S$2))),TRUE()))</f>
        <v>#REF!</v>
      </c>
      <c r="AO21" s="142" t="str">
        <f t="array" ref="AO21">if(AO$14=#REF!,"-", countif(indirect(address(row($J$2)+ VLOOKUP(AO$14,$J$3:$J$8,1),COLUMN($K$4))):indirect(address(row($J$2)+ VLOOKUP(AO$14,$J$3:$J$8,1),COLUMN($S$2)))&gt;indirect(address(row(#REF!),COLUMN($K$2))):indirect(address(row(#REF!),COLUMN($S$2))),TRUE()))</f>
        <v>#REF!</v>
      </c>
      <c r="AP21" s="142" t="str">
        <f t="array" ref="AP21">if(AP$14=#REF!,"-", countif(indirect(address(row($J$2)+ VLOOKUP(AP$14,$J$3:$J$8,1),COLUMN($K$4))):indirect(address(row($J$2)+ VLOOKUP(AP$14,$J$3:$J$8,1),COLUMN($S$2)))&gt;indirect(address(row(#REF!),COLUMN($K$2))):indirect(address(row(#REF!),COLUMN($S$2))),TRUE()))</f>
        <v>#REF!</v>
      </c>
      <c r="AQ21" s="142" t="str">
        <f t="array" ref="AQ21">if(AQ$14=#REF!,"-", countif(indirect(address(row($J$2)+ VLOOKUP(AQ$14,$J$3:$J$8,1),COLUMN($K$4))):indirect(address(row($J$2)+ VLOOKUP(AQ$14,$J$3:$J$8,1),COLUMN($S$2)))&gt;indirect(address(row(#REF!),COLUMN($K$2))):indirect(address(row(#REF!),COLUMN($S$2))),TRUE()))</f>
        <v>#REF!</v>
      </c>
      <c r="AR21" s="142" t="str">
        <f t="array" ref="AR21">if(AR$14=#REF!,"-", countif(indirect(address(row($J$2)+ VLOOKUP(AR$14,$J$3:$J$8,1),COLUMN($K$4))):indirect(address(row($J$2)+ VLOOKUP(AR$14,$J$3:$J$8,1),COLUMN($S$2)))&gt;indirect(address(row(#REF!),COLUMN($K$2))):indirect(address(row(#REF!),COLUMN($S$2))),TRUE()))</f>
        <v>#REF!</v>
      </c>
      <c r="AS21" s="142" t="str">
        <f t="array" ref="AS21">if(AS$14=#REF!,"-", countif(indirect(address(row($J$2)+ VLOOKUP(AS$14,$J$3:$J$8,1),COLUMN($K$4))):indirect(address(row($J$2)+ VLOOKUP(AS$14,$J$3:$J$8,1),COLUMN($S$2)))&gt;indirect(address(row(#REF!),COLUMN($K$2))):indirect(address(row(#REF!),COLUMN($S$2))),TRUE()))</f>
        <v>#REF!</v>
      </c>
      <c r="AT21" s="142" t="str">
        <f t="array" ref="AT21">if(AT$14=#REF!,"-", countif(indirect(address(row($J$2)+ VLOOKUP(AT$14,$J$3:$J$8,1),COLUMN($K$4))):indirect(address(row($J$2)+ VLOOKUP(AT$14,$J$3:$J$8,1),COLUMN($S$2)))&gt;indirect(address(row(#REF!),COLUMN($K$2))):indirect(address(row(#REF!),COLUMN($S$2))),TRUE()))</f>
        <v>#REF!</v>
      </c>
      <c r="AU21" s="142" t="str">
        <f t="array" ref="AU21">if(AU$14=#REF!,"-", countif(indirect(address(row($J$2)+ VLOOKUP(AU$14,$J$3:$J$8,1),COLUMN($K$4))):indirect(address(row($J$2)+ VLOOKUP(AU$14,$J$3:$J$8,1),COLUMN($S$2)))&gt;indirect(address(row(#REF!),COLUMN($K$2))):indirect(address(row(#REF!),COLUMN($S$2))),TRUE()))</f>
        <v>#REF!</v>
      </c>
      <c r="AV21" s="150" t="str">
        <f t="array" ref="AV21">if(AV$14=#REF!,"-", countif(indirect(address(row($J$2)+ VLOOKUP(AV$14,$J$3:$J$8,1),COLUMN($K$4))):indirect(address(row($J$2)+ VLOOKUP(AV$14,$J$3:$J$8,1),COLUMN($S$2)))&gt;indirect(address(row(#REF!),COLUMN($K$2))):indirect(address(row(#REF!),COLUMN($S$2))),TRUE()))</f>
        <v>#REF!</v>
      </c>
      <c r="AW21" s="151">
        <v>6.0</v>
      </c>
      <c r="AX21" s="169" t="str">
        <f t="array" ref="AX21">INDIRECT("Draft!I"&amp;TEXT(15-VLOOKUP(TRUE,I3:J8,2,0),"0"))</f>
        <v>#N/A</v>
      </c>
      <c r="AY21" s="171"/>
      <c r="AZ21" s="155" t="str">
        <f>IF($AX21="","", VLOOKUP($AX21,'Final Update'!$Q$21:$AE1009,Column(#REF!),False))</f>
        <v>#N/A</v>
      </c>
      <c r="BA21" s="155" t="str">
        <f>IF($AX21="","", VLOOKUP($AX21,'Final Update'!$Q$21:$AE1009,Column(#REF!),False))</f>
        <v>#N/A</v>
      </c>
      <c r="BB21" s="155" t="str">
        <f>IF($AX21="","", VLOOKUP($AX21,'Final Update'!$Q$21:$AE1009,Column(I6),False))</f>
        <v>#N/A</v>
      </c>
      <c r="BC21" s="155" t="str">
        <f>IF($AX21="","", VLOOKUP($AX21,'Final Update'!$Q$21:$AE1009,Column(J6),False))</f>
        <v>#N/A</v>
      </c>
      <c r="BD21" s="155" t="str">
        <f>IF($AX21="","", VLOOKUP($AX21,'Final Update'!$Q$21:$AE1009,Column(K6),False))</f>
        <v>#N/A</v>
      </c>
      <c r="BE21" s="155" t="str">
        <f>IF($AX21="","", VLOOKUP($AX21,'Final Update'!$Q$21:$AE1009,Column(L6),False))</f>
        <v>#N/A</v>
      </c>
      <c r="BF21" s="157" t="str">
        <f>IF($AX21="","", VLOOKUP($AX21,'Final Update'!$Q$21:$AE1009,Column(M6),False))</f>
        <v>#N/A</v>
      </c>
      <c r="BG21" s="157" t="str">
        <f>IF($AX21="","", VLOOKUP($AX21,'Final Update'!$Q$21:$AE1009,Column(#REF!),False))</f>
        <v>#N/A</v>
      </c>
      <c r="BH21" s="157" t="str">
        <f>IF($AX21="","", VLOOKUP($AX21,'Final Update'!$Q$21:$AE1009,Column(G6),False))</f>
        <v>#N/A</v>
      </c>
      <c r="BI21" s="155" t="str">
        <f>IF($AX21="","", VLOOKUP($AX21,'Final Update'!$Q$21:$AE1009,Column(C6),False))</f>
        <v>#N/A</v>
      </c>
      <c r="BJ21" s="173"/>
      <c r="BK21" s="174"/>
      <c r="BL21" s="131"/>
      <c r="BM21" s="131"/>
      <c r="BN21" s="131"/>
      <c r="BO21" s="131"/>
      <c r="BP21" s="131"/>
      <c r="BQ21" s="131"/>
      <c r="BR21" s="131"/>
      <c r="BS21" s="131"/>
      <c r="BT21" s="20"/>
      <c r="BU21" s="20"/>
      <c r="BV21" s="20"/>
    </row>
    <row r="22">
      <c r="A22" s="109">
        <f>VLOOKUP($F22,UpdateHashtag!$V$3:$Y$32,COLUMN(B$9),0)</f>
        <v>4</v>
      </c>
      <c r="B22" s="91" t="str">
        <f>VLOOKUP($F22,UpdateHashtag!$V$3:$Y$32,COLUMN(#REF!),0)</f>
        <v>#REF!</v>
      </c>
      <c r="C22" s="91" t="str">
        <f>VLOOKUP($F22,UpdateHashtag!$V$3:$Y$32,COLUMN(#REF!),0)</f>
        <v>#REF!</v>
      </c>
      <c r="D22" s="110" t="str">
        <f t="shared" si="2"/>
        <v>#REF!</v>
      </c>
      <c r="E22" s="11"/>
      <c r="F22" s="94" t="str">
        <f>VLOOKUP(J22,UpdateBBM!$C$2:E1009,3,0)</f>
        <v>DAL</v>
      </c>
      <c r="G22" s="78">
        <v>9.0</v>
      </c>
      <c r="H22" s="111">
        <f>IFERROR(__xludf.DUMMYFUNCTION("""COMPUTED_VALUE"""),9.0)</f>
        <v>9</v>
      </c>
      <c r="I22" s="111"/>
      <c r="J22" s="112" t="str">
        <f>IFERROR(__xludf.DUMMYFUNCTION("""COMPUTED_VALUE"""),"Anthony Davis")</f>
        <v>Anthony Davis</v>
      </c>
      <c r="K22" s="111">
        <f>IFERROR(__xludf.DUMMYFUNCTION("""COMPUTED_VALUE"""),62.0)</f>
        <v>62</v>
      </c>
      <c r="L22" s="113" t="str">
        <f>IFERROR(__xludf.DUMMYFUNCTION("""COMPUTED_VALUE"""),"F,C")</f>
        <v>F,C</v>
      </c>
      <c r="M22" s="114">
        <f>IFERROR(__xludf.DUMMYFUNCTION("""COMPUTED_VALUE"""),5.142238350012554)</f>
        <v>5.14223835</v>
      </c>
      <c r="N22" s="114">
        <f>IFERROR(__xludf.DUMMYFUNCTION("""COMPUTED_VALUE"""),5.400510338132858)</f>
        <v>5.400510338</v>
      </c>
      <c r="O22" s="115">
        <f>IFERROR(__xludf.DUMMYFUNCTION("""COMPUTED_VALUE"""),0.2582719881203044)</f>
        <v>0.2582719881</v>
      </c>
      <c r="P22" s="116">
        <f>IFERROR(__xludf.DUMMYFUNCTION("""COMPUTED_VALUE"""),22.60968)</f>
        <v>22.60968</v>
      </c>
      <c r="Q22" s="116">
        <f>IFERROR(__xludf.DUMMYFUNCTION("""COMPUTED_VALUE"""),0.879677)</f>
        <v>0.879677</v>
      </c>
      <c r="R22" s="116">
        <f>IFERROR(__xludf.DUMMYFUNCTION("""COMPUTED_VALUE"""),10.01581)</f>
        <v>10.01581</v>
      </c>
      <c r="S22" s="117">
        <f>IFERROR(__xludf.DUMMYFUNCTION("""COMPUTED_VALUE"""),4.149355)</f>
        <v>4.149355</v>
      </c>
      <c r="T22" s="116">
        <f>IFERROR(__xludf.DUMMYFUNCTION("""COMPUTED_VALUE"""),1.227258)</f>
        <v>1.227258</v>
      </c>
      <c r="U22" s="116">
        <f>IFERROR(__xludf.DUMMYFUNCTION("""COMPUTED_VALUE"""),2.074677)</f>
        <v>2.074677</v>
      </c>
      <c r="V22" s="113">
        <f>IFERROR(__xludf.DUMMYFUNCTION("""COMPUTED_VALUE"""),0.494364)</f>
        <v>0.494364</v>
      </c>
      <c r="W22" s="113">
        <f>IFERROR(__xludf.DUMMYFUNCTION("""COMPUTED_VALUE"""),0.766012)</f>
        <v>0.766012</v>
      </c>
      <c r="X22" s="116">
        <f>IFERROR(__xludf.DUMMYFUNCTION("""COMPUTED_VALUE"""),2.790161)</f>
        <v>2.790161</v>
      </c>
      <c r="Y22" s="114">
        <f>IFERROR(__xludf.DUMMYFUNCTION("""COMPUTED_VALUE"""),0.9535431778153772)</f>
        <v>0.9535431778</v>
      </c>
      <c r="Z22" s="114">
        <f>IFERROR(__xludf.DUMMYFUNCTION("""COMPUTED_VALUE"""),-0.8594726376940267)</f>
        <v>-0.8594726377</v>
      </c>
      <c r="AA22" s="114">
        <f>IFERROR(__xludf.DUMMYFUNCTION("""COMPUTED_VALUE"""),1.576547608791175)</f>
        <v>1.576547609</v>
      </c>
      <c r="AB22" s="114">
        <f>IFERROR(__xludf.DUMMYFUNCTION("""COMPUTED_VALUE"""),0.15263960598493978)</f>
        <v>0.152639606</v>
      </c>
      <c r="AC22" s="114">
        <f>IFERROR(__xludf.DUMMYFUNCTION("""COMPUTED_VALUE"""),0.5548100408178579)</f>
        <v>0.5548100408</v>
      </c>
      <c r="AD22" s="114">
        <f>IFERROR(__xludf.DUMMYFUNCTION("""COMPUTED_VALUE"""),2.4442082793152173)</f>
        <v>2.444208279</v>
      </c>
      <c r="AE22" s="114">
        <f>IFERROR(__xludf.DUMMYFUNCTION("""COMPUTED_VALUE"""),-0.012156836884575905)</f>
        <v>-0.01215683688</v>
      </c>
      <c r="AF22" s="114">
        <f>IFERROR(__xludf.DUMMYFUNCTION("""COMPUTED_VALUE"""),-0.2690815377071333)</f>
        <v>-0.2690815377</v>
      </c>
      <c r="AG22" s="118">
        <f>IFERROR(__xludf.DUMMYFUNCTION("""COMPUTED_VALUE"""),0.0)</f>
        <v>0</v>
      </c>
      <c r="AH22" s="105"/>
      <c r="AI22" s="20"/>
      <c r="AJ22" s="135">
        <v>100.0</v>
      </c>
      <c r="AK22" s="140" t="str">
        <f t="array" ref="AK22">if(AK$14=#REF!,"-", countif(indirect(address(row($J$2)+ VLOOKUP(AK$14,$J$3:$J$8,1),COLUMN($K$4))):indirect(address(row($J$2)+ VLOOKUP(AK$14,$J$3:$J$8,1),COLUMN($S$2)))&gt;indirect(address(row(#REF!),COLUMN($K$2))):indirect(address(row(#REF!),COLUMN($S$2))),TRUE()))</f>
        <v>#REF!</v>
      </c>
      <c r="AL22" s="142" t="str">
        <f t="array" ref="AL22">if(AL$14=#REF!,"-", countif(indirect(address(row($J$2)+ VLOOKUP(AL$14,$J$3:$J$8,1),COLUMN($K$4))):indirect(address(row($J$2)+ VLOOKUP(AL$14,$J$3:$J$8,1),COLUMN($S$2)))&gt;indirect(address(row(#REF!),COLUMN($K$2))):indirect(address(row(#REF!),COLUMN($S$2))),TRUE()))</f>
        <v>#REF!</v>
      </c>
      <c r="AM22" s="142" t="str">
        <f t="array" ref="AM22">if(AM$14=#REF!,"-", countif(indirect(address(row($J$2)+ VLOOKUP(AM$14,$J$3:$J$8,1),COLUMN($K$4))):indirect(address(row($J$2)+ VLOOKUP(AM$14,$J$3:$J$8,1),COLUMN($S$2)))&gt;indirect(address(row(#REF!),COLUMN($K$2))):indirect(address(row(#REF!),COLUMN($S$2))),TRUE()))</f>
        <v>#REF!</v>
      </c>
      <c r="AN22" s="142" t="str">
        <f t="array" ref="AN22">if(AN$14=#REF!,"-", countif(indirect(address(row($J$2)+ VLOOKUP(AN$14,$J$3:$J$8,1),COLUMN($K$4))):indirect(address(row($J$2)+ VLOOKUP(AN$14,$J$3:$J$8,1),COLUMN($S$2)))&gt;indirect(address(row(#REF!),COLUMN($K$2))):indirect(address(row(#REF!),COLUMN($S$2))),TRUE()))</f>
        <v>#REF!</v>
      </c>
      <c r="AO22" s="142" t="str">
        <f t="array" ref="AO22">if(AO$14=#REF!,"-", countif(indirect(address(row($J$2)+ VLOOKUP(AO$14,$J$3:$J$8,1),COLUMN($K$4))):indirect(address(row($J$2)+ VLOOKUP(AO$14,$J$3:$J$8,1),COLUMN($S$2)))&gt;indirect(address(row(#REF!),COLUMN($K$2))):indirect(address(row(#REF!),COLUMN($S$2))),TRUE()))</f>
        <v>#REF!</v>
      </c>
      <c r="AP22" s="142" t="str">
        <f t="array" ref="AP22">if(AP$14=#REF!,"-", countif(indirect(address(row($J$2)+ VLOOKUP(AP$14,$J$3:$J$8,1),COLUMN($K$4))):indirect(address(row($J$2)+ VLOOKUP(AP$14,$J$3:$J$8,1),COLUMN($S$2)))&gt;indirect(address(row(#REF!),COLUMN($K$2))):indirect(address(row(#REF!),COLUMN($S$2))),TRUE()))</f>
        <v>#REF!</v>
      </c>
      <c r="AQ22" s="142" t="str">
        <f t="array" ref="AQ22">if(AQ$14=#REF!,"-", countif(indirect(address(row($J$2)+ VLOOKUP(AQ$14,$J$3:$J$8,1),COLUMN($K$4))):indirect(address(row($J$2)+ VLOOKUP(AQ$14,$J$3:$J$8,1),COLUMN($S$2)))&gt;indirect(address(row(#REF!),COLUMN($K$2))):indirect(address(row(#REF!),COLUMN($S$2))),TRUE()))</f>
        <v>#REF!</v>
      </c>
      <c r="AR22" s="142" t="str">
        <f t="array" ref="AR22">if(AR$14=#REF!,"-", countif(indirect(address(row($J$2)+ VLOOKUP(AR$14,$J$3:$J$8,1),COLUMN($K$4))):indirect(address(row($J$2)+ VLOOKUP(AR$14,$J$3:$J$8,1),COLUMN($S$2)))&gt;indirect(address(row(#REF!),COLUMN($K$2))):indirect(address(row(#REF!),COLUMN($S$2))),TRUE()))</f>
        <v>#REF!</v>
      </c>
      <c r="AS22" s="142" t="str">
        <f t="array" ref="AS22">if(AS$14=#REF!,"-", countif(indirect(address(row($J$2)+ VLOOKUP(AS$14,$J$3:$J$8,1),COLUMN($K$4))):indirect(address(row($J$2)+ VLOOKUP(AS$14,$J$3:$J$8,1),COLUMN($S$2)))&gt;indirect(address(row(#REF!),COLUMN($K$2))):indirect(address(row(#REF!),COLUMN($S$2))),TRUE()))</f>
        <v>#REF!</v>
      </c>
      <c r="AT22" s="142" t="str">
        <f t="array" ref="AT22">if(AT$14=#REF!,"-", countif(indirect(address(row($J$2)+ VLOOKUP(AT$14,$J$3:$J$8,1),COLUMN($K$4))):indirect(address(row($J$2)+ VLOOKUP(AT$14,$J$3:$J$8,1),COLUMN($S$2)))&gt;indirect(address(row(#REF!),COLUMN($K$2))):indirect(address(row(#REF!),COLUMN($S$2))),TRUE()))</f>
        <v>#REF!</v>
      </c>
      <c r="AU22" s="142" t="str">
        <f t="array" ref="AU22">if(AU$14=#REF!,"-", countif(indirect(address(row($J$2)+ VLOOKUP(AU$14,$J$3:$J$8,1),COLUMN($K$4))):indirect(address(row($J$2)+ VLOOKUP(AU$14,$J$3:$J$8,1),COLUMN($S$2)))&gt;indirect(address(row(#REF!),COLUMN($K$2))):indirect(address(row(#REF!),COLUMN($S$2))),TRUE()))</f>
        <v>#REF!</v>
      </c>
      <c r="AV22" s="150" t="str">
        <f t="array" ref="AV22">if(AV$14=#REF!,"-", countif(indirect(address(row($J$2)+ VLOOKUP(AV$14,$J$3:$J$8,1),COLUMN($K$4))):indirect(address(row($J$2)+ VLOOKUP(AV$14,$J$3:$J$8,1),COLUMN($S$2)))&gt;indirect(address(row(#REF!),COLUMN($K$2))):indirect(address(row(#REF!),COLUMN($S$2))),TRUE()))</f>
        <v>#REF!</v>
      </c>
      <c r="AW22" s="151">
        <v>7.0</v>
      </c>
      <c r="AX22" s="169" t="str">
        <f t="array" ref="AX22">INDIRECT("Draft!J"&amp;TEXT(VLOOKUP(TRUE,I3:J8,2,0)+2,"0"))</f>
        <v>#N/A</v>
      </c>
      <c r="AY22" s="171"/>
      <c r="AZ22" s="155" t="str">
        <f>IF($AX22="","", VLOOKUP($AX22,'Final Update'!$Q$21:$AE1009,Column(G7),False))</f>
        <v>#N/A</v>
      </c>
      <c r="BA22" s="155" t="str">
        <f>IF($AX22="","", VLOOKUP($AX22,'Final Update'!$Q$21:$AE1009,Column(H7),False))</f>
        <v>#N/A</v>
      </c>
      <c r="BB22" s="155" t="str">
        <f>IF($AX22="","", VLOOKUP($AX22,'Final Update'!$Q$21:$AE1009,Column(I7),False))</f>
        <v>#N/A</v>
      </c>
      <c r="BC22" s="155" t="str">
        <f>IF($AX22="","", VLOOKUP($AX22,'Final Update'!$Q$21:$AE1009,Column(F4),False))</f>
        <v>#N/A</v>
      </c>
      <c r="BD22" s="155" t="str">
        <f>IF($AX22="","", VLOOKUP($AX22,'Final Update'!$Q$21:$AE1009,Column(K7),False))</f>
        <v>#N/A</v>
      </c>
      <c r="BE22" s="155" t="str">
        <f>IF($AX22="","", VLOOKUP($AX22,'Final Update'!$Q$21:$AE1009,Column(L7),False))</f>
        <v>#N/A</v>
      </c>
      <c r="BF22" s="157" t="str">
        <f>IF($AX22="","", VLOOKUP($AX22,'Final Update'!$Q$21:$AE1009,Column(M7),False))</f>
        <v>#N/A</v>
      </c>
      <c r="BG22" s="157" t="str">
        <f>IF($AX22="","", VLOOKUP($AX22,'Final Update'!$Q$21:$AE1009,Column(N7),False))</f>
        <v>#N/A</v>
      </c>
      <c r="BH22" s="157" t="str">
        <f>IF($AX22="","", VLOOKUP($AX22,'Final Update'!$Q$21:$AE1009,Column(O7),False))</f>
        <v>#N/A</v>
      </c>
      <c r="BI22" s="155" t="str">
        <f>IF($AX22="","", VLOOKUP($AX22,'Final Update'!$Q$21:$AE1009,Column(C7),False))</f>
        <v>#N/A</v>
      </c>
      <c r="BJ22" s="173"/>
      <c r="BK22" s="174"/>
      <c r="BL22" s="131"/>
      <c r="BM22" s="131"/>
      <c r="BN22" s="131"/>
      <c r="BO22" s="131"/>
      <c r="BP22" s="131"/>
      <c r="BQ22" s="131"/>
      <c r="BR22" s="131"/>
      <c r="BS22" s="131"/>
      <c r="BT22" s="20"/>
      <c r="BU22" s="20"/>
      <c r="BV22" s="20"/>
    </row>
    <row r="23">
      <c r="A23" s="109">
        <f>VLOOKUP($F23,UpdateHashtag!$V$3:$Y$32,COLUMN(B$9),0)</f>
        <v>4</v>
      </c>
      <c r="B23" s="91" t="str">
        <f>VLOOKUP($F23,UpdateHashtag!$V$3:$Y$32,COLUMN(#REF!),0)</f>
        <v>#REF!</v>
      </c>
      <c r="C23" s="91" t="str">
        <f>VLOOKUP($F23,UpdateHashtag!$V$3:$Y$32,COLUMN(#REF!),0)</f>
        <v>#REF!</v>
      </c>
      <c r="D23" s="110" t="str">
        <f t="shared" si="2"/>
        <v>#REF!</v>
      </c>
      <c r="E23" s="11"/>
      <c r="F23" s="94" t="str">
        <f>VLOOKUP(J23,UpdateBBM!$C$2:E1009,3,0)</f>
        <v>CHA</v>
      </c>
      <c r="G23" s="78">
        <v>10.0</v>
      </c>
      <c r="H23" s="111">
        <f>IFERROR(__xludf.DUMMYFUNCTION("""COMPUTED_VALUE"""),10.0)</f>
        <v>10</v>
      </c>
      <c r="I23" s="111"/>
      <c r="J23" s="112" t="str">
        <f>IFERROR(__xludf.DUMMYFUNCTION("""COMPUTED_VALUE"""),"LaMelo Ball")</f>
        <v>LaMelo Ball</v>
      </c>
      <c r="K23" s="111">
        <f>IFERROR(__xludf.DUMMYFUNCTION("""COMPUTED_VALUE"""),59.0)</f>
        <v>59</v>
      </c>
      <c r="L23" s="113" t="str">
        <f>IFERROR(__xludf.DUMMYFUNCTION("""COMPUTED_VALUE"""),"G")</f>
        <v>G</v>
      </c>
      <c r="M23" s="114">
        <f>IFERROR(__xludf.DUMMYFUNCTION("""COMPUTED_VALUE"""),4.884388546694007)</f>
        <v>4.884388547</v>
      </c>
      <c r="N23" s="114">
        <f>IFERROR(__xludf.DUMMYFUNCTION("""COMPUTED_VALUE"""),5.331128941088887)</f>
        <v>5.331128941</v>
      </c>
      <c r="O23" s="115">
        <f>IFERROR(__xludf.DUMMYFUNCTION("""COMPUTED_VALUE"""),0.44674039439488045)</f>
        <v>0.4467403944</v>
      </c>
      <c r="P23" s="116">
        <f>IFERROR(__xludf.DUMMYFUNCTION("""COMPUTED_VALUE"""),23.88695)</f>
        <v>23.88695</v>
      </c>
      <c r="Q23" s="116">
        <f>IFERROR(__xludf.DUMMYFUNCTION("""COMPUTED_VALUE"""),3.725254)</f>
        <v>3.725254</v>
      </c>
      <c r="R23" s="116">
        <f>IFERROR(__xludf.DUMMYFUNCTION("""COMPUTED_VALUE"""),4.95)</f>
        <v>4.95</v>
      </c>
      <c r="S23" s="117">
        <f>IFERROR(__xludf.DUMMYFUNCTION("""COMPUTED_VALUE"""),8.13678)</f>
        <v>8.13678</v>
      </c>
      <c r="T23" s="116">
        <f>IFERROR(__xludf.DUMMYFUNCTION("""COMPUTED_VALUE"""),1.252542)</f>
        <v>1.252542</v>
      </c>
      <c r="U23" s="116">
        <f>IFERROR(__xludf.DUMMYFUNCTION("""COMPUTED_VALUE"""),0.272712)</f>
        <v>0.272712</v>
      </c>
      <c r="V23" s="113">
        <f>IFERROR(__xludf.DUMMYFUNCTION("""COMPUTED_VALUE"""),0.416645)</f>
        <v>0.416645</v>
      </c>
      <c r="W23" s="113">
        <f>IFERROR(__xludf.DUMMYFUNCTION("""COMPUTED_VALUE"""),0.850015)</f>
        <v>0.850015</v>
      </c>
      <c r="X23" s="116">
        <f>IFERROR(__xludf.DUMMYFUNCTION("""COMPUTED_VALUE"""),3.550169)</f>
        <v>3.550169</v>
      </c>
      <c r="Y23" s="114">
        <f>IFERROR(__xludf.DUMMYFUNCTION("""COMPUTED_VALUE"""),1.1776307627712463)</f>
        <v>1.177630763</v>
      </c>
      <c r="Z23" s="114">
        <f>IFERROR(__xludf.DUMMYFUNCTION("""COMPUTED_VALUE"""),1.8888807844118063)</f>
        <v>1.888880784</v>
      </c>
      <c r="AA23" s="114">
        <f>IFERROR(__xludf.DUMMYFUNCTION("""COMPUTED_VALUE"""),-0.47689674333600574)</f>
        <v>-0.4768967433</v>
      </c>
      <c r="AB23" s="114">
        <f>IFERROR(__xludf.DUMMYFUNCTION("""COMPUTED_VALUE"""),2.100554524516573)</f>
        <v>2.100554525</v>
      </c>
      <c r="AC23" s="114">
        <f>IFERROR(__xludf.DUMMYFUNCTION("""COMPUTED_VALUE"""),0.6318562051048922)</f>
        <v>0.6318562051</v>
      </c>
      <c r="AD23" s="114">
        <f>IFERROR(__xludf.DUMMYFUNCTION("""COMPUTED_VALUE"""),-0.8317500803543943)</f>
        <v>-0.8317500804</v>
      </c>
      <c r="AE23" s="114">
        <f>IFERROR(__xludf.DUMMYFUNCTION("""COMPUTED_VALUE"""),-0.9829715408115209)</f>
        <v>-0.9829715408</v>
      </c>
      <c r="AF23" s="114">
        <f>IFERROR(__xludf.DUMMYFUNCTION("""COMPUTED_VALUE"""),0.8408534879747702)</f>
        <v>0.840853488</v>
      </c>
      <c r="AG23" s="118">
        <f>IFERROR(__xludf.DUMMYFUNCTION("""COMPUTED_VALUE"""),0.0)</f>
        <v>0</v>
      </c>
      <c r="AH23" s="105"/>
      <c r="AI23" s="20"/>
      <c r="AJ23" s="135">
        <v>100.0</v>
      </c>
      <c r="AK23" s="140" t="str">
        <f t="array" ref="AK23">if(AK$14=#REF!,"-", countif(indirect(address(row($J$2)+ VLOOKUP(AK$14,$J$3:$J$8,1),COLUMN($K$4))):indirect(address(row($J$2)+ VLOOKUP(AK$14,$J$3:$J$8,1),COLUMN($S$2)))&gt;indirect(address(row(#REF!),COLUMN($K$2))):indirect(address(row(#REF!),COLUMN($S$2))),TRUE()))</f>
        <v>#REF!</v>
      </c>
      <c r="AL23" s="142" t="str">
        <f t="array" ref="AL23">if(AL$14=#REF!,"-", countif(indirect(address(row($J$2)+ VLOOKUP(AL$14,$J$3:$J$8,1),COLUMN($K$4))):indirect(address(row($J$2)+ VLOOKUP(AL$14,$J$3:$J$8,1),COLUMN($S$2)))&gt;indirect(address(row(#REF!),COLUMN($K$2))):indirect(address(row(#REF!),COLUMN($S$2))),TRUE()))</f>
        <v>#REF!</v>
      </c>
      <c r="AM23" s="142" t="str">
        <f t="array" ref="AM23">if(AM$14=#REF!,"-", countif(indirect(address(row($J$2)+ VLOOKUP(AM$14,$J$3:$J$8,1),COLUMN($K$4))):indirect(address(row($J$2)+ VLOOKUP(AM$14,$J$3:$J$8,1),COLUMN($S$2)))&gt;indirect(address(row(#REF!),COLUMN($K$2))):indirect(address(row(#REF!),COLUMN($S$2))),TRUE()))</f>
        <v>#REF!</v>
      </c>
      <c r="AN23" s="142" t="str">
        <f t="array" ref="AN23">if(AN$14=#REF!,"-", countif(indirect(address(row($J$2)+ VLOOKUP(AN$14,$J$3:$J$8,1),COLUMN($K$4))):indirect(address(row($J$2)+ VLOOKUP(AN$14,$J$3:$J$8,1),COLUMN($S$2)))&gt;indirect(address(row(#REF!),COLUMN($K$2))):indirect(address(row(#REF!),COLUMN($S$2))),TRUE()))</f>
        <v>#REF!</v>
      </c>
      <c r="AO23" s="142" t="str">
        <f t="array" ref="AO23">if(AO$14=#REF!,"-", countif(indirect(address(row($J$2)+ VLOOKUP(AO$14,$J$3:$J$8,1),COLUMN($K$4))):indirect(address(row($J$2)+ VLOOKUP(AO$14,$J$3:$J$8,1),COLUMN($S$2)))&gt;indirect(address(row(#REF!),COLUMN($K$2))):indirect(address(row(#REF!),COLUMN($S$2))),TRUE()))</f>
        <v>#REF!</v>
      </c>
      <c r="AP23" s="142" t="str">
        <f t="array" ref="AP23">if(AP$14=#REF!,"-", countif(indirect(address(row($J$2)+ VLOOKUP(AP$14,$J$3:$J$8,1),COLUMN($K$4))):indirect(address(row($J$2)+ VLOOKUP(AP$14,$J$3:$J$8,1),COLUMN($S$2)))&gt;indirect(address(row(#REF!),COLUMN($K$2))):indirect(address(row(#REF!),COLUMN($S$2))),TRUE()))</f>
        <v>#REF!</v>
      </c>
      <c r="AQ23" s="142" t="str">
        <f t="array" ref="AQ23">if(AQ$14=#REF!,"-", countif(indirect(address(row($J$2)+ VLOOKUP(AQ$14,$J$3:$J$8,1),COLUMN($K$4))):indirect(address(row($J$2)+ VLOOKUP(AQ$14,$J$3:$J$8,1),COLUMN($S$2)))&gt;indirect(address(row(#REF!),COLUMN($K$2))):indirect(address(row(#REF!),COLUMN($S$2))),TRUE()))</f>
        <v>#REF!</v>
      </c>
      <c r="AR23" s="142" t="str">
        <f t="array" ref="AR23">if(AR$14=#REF!,"-", countif(indirect(address(row($J$2)+ VLOOKUP(AR$14,$J$3:$J$8,1),COLUMN($K$4))):indirect(address(row($J$2)+ VLOOKUP(AR$14,$J$3:$J$8,1),COLUMN($S$2)))&gt;indirect(address(row(#REF!),COLUMN($K$2))):indirect(address(row(#REF!),COLUMN($S$2))),TRUE()))</f>
        <v>#REF!</v>
      </c>
      <c r="AS23" s="142" t="str">
        <f t="array" ref="AS23">if(AS$14=#REF!,"-", countif(indirect(address(row($J$2)+ VLOOKUP(AS$14,$J$3:$J$8,1),COLUMN($K$4))):indirect(address(row($J$2)+ VLOOKUP(AS$14,$J$3:$J$8,1),COLUMN($S$2)))&gt;indirect(address(row(#REF!),COLUMN($K$2))):indirect(address(row(#REF!),COLUMN($S$2))),TRUE()))</f>
        <v>#REF!</v>
      </c>
      <c r="AT23" s="142" t="str">
        <f t="array" ref="AT23">if(AT$14=#REF!,"-", countif(indirect(address(row($J$2)+ VLOOKUP(AT$14,$J$3:$J$8,1),COLUMN($K$4))):indirect(address(row($J$2)+ VLOOKUP(AT$14,$J$3:$J$8,1),COLUMN($S$2)))&gt;indirect(address(row(#REF!),COLUMN($K$2))):indirect(address(row(#REF!),COLUMN($S$2))),TRUE()))</f>
        <v>#REF!</v>
      </c>
      <c r="AU23" s="142" t="str">
        <f t="array" ref="AU23">if(AU$14=#REF!,"-", countif(indirect(address(row($J$2)+ VLOOKUP(AU$14,$J$3:$J$8,1),COLUMN($K$4))):indirect(address(row($J$2)+ VLOOKUP(AU$14,$J$3:$J$8,1),COLUMN($S$2)))&gt;indirect(address(row(#REF!),COLUMN($K$2))):indirect(address(row(#REF!),COLUMN($S$2))),TRUE()))</f>
        <v>#REF!</v>
      </c>
      <c r="AV23" s="150" t="str">
        <f t="array" ref="AV23">if(AV$14=#REF!,"-", countif(indirect(address(row($J$2)+ VLOOKUP(AV$14,$J$3:$J$8,1),COLUMN($K$4))):indirect(address(row($J$2)+ VLOOKUP(AV$14,$J$3:$J$8,1),COLUMN($S$2)))&gt;indirect(address(row(#REF!),COLUMN($K$2))):indirect(address(row(#REF!),COLUMN($S$2))),TRUE()))</f>
        <v>#REF!</v>
      </c>
      <c r="AW23" s="151">
        <v>8.0</v>
      </c>
      <c r="AX23" s="169" t="str">
        <f t="array" ref="AX23">INDIRECT("Draft!K"&amp;TEXT(15-VLOOKUP(TRUE,I3:J8,2,0),"0"))</f>
        <v>#N/A</v>
      </c>
      <c r="AY23" s="171"/>
      <c r="AZ23" s="155" t="str">
        <f>IF($AX23="","", VLOOKUP($AX23,'Final Update'!$Q$21:$AE1009,Column(#REF!),False))</f>
        <v>#N/A</v>
      </c>
      <c r="BA23" s="155" t="str">
        <f>IF($AX23="","", VLOOKUP($AX23,'Final Update'!$Q$21:$AE1009,Column(#REF!),False))</f>
        <v>#N/A</v>
      </c>
      <c r="BB23" s="155" t="str">
        <f>IF($AX23="","", VLOOKUP($AX23,'Final Update'!$Q$21:$AE1009,Column(#REF!),False))</f>
        <v>#N/A</v>
      </c>
      <c r="BC23" s="155" t="str">
        <f>IF($AX23="","", VLOOKUP($AX23,'Final Update'!$Q$21:$AE1009,Column(#REF!),False))</f>
        <v>#N/A</v>
      </c>
      <c r="BD23" s="155" t="str">
        <f>IF($AX23="","", VLOOKUP($AX23,'Final Update'!$Q$21:$AE1009,Column(#REF!),False))</f>
        <v>#N/A</v>
      </c>
      <c r="BE23" s="155" t="str">
        <f>IF($AX23="","", VLOOKUP($AX23,'Final Update'!$Q$21:$AE1009,Column(#REF!),False))</f>
        <v>#N/A</v>
      </c>
      <c r="BF23" s="157" t="str">
        <f>IF($AX23="","", VLOOKUP($AX23,'Final Update'!$Q$21:$AE1009,Column(#REF!),False))</f>
        <v>#N/A</v>
      </c>
      <c r="BG23" s="157" t="str">
        <f>IF($AX23="","", VLOOKUP($AX23,'Final Update'!$Q$21:$AE1009,Column(#REF!),False))</f>
        <v>#N/A</v>
      </c>
      <c r="BH23" s="157" t="str">
        <f>IF($AX23="","", VLOOKUP($AX23,'Final Update'!$Q$21:$AE1009,Column(#REF!),False))</f>
        <v>#N/A</v>
      </c>
      <c r="BI23" s="155" t="str">
        <f>IF($AX23="","", VLOOKUP($AX23,'Final Update'!$Q$21:$AE1009,Column(#REF!),False))</f>
        <v>#N/A</v>
      </c>
      <c r="BJ23" s="173"/>
      <c r="BK23" s="174"/>
      <c r="BL23" s="131"/>
      <c r="BM23" s="131"/>
      <c r="BN23" s="131"/>
      <c r="BO23" s="131"/>
      <c r="BP23" s="131"/>
      <c r="BQ23" s="131"/>
      <c r="BR23" s="131"/>
      <c r="BS23" s="131"/>
      <c r="BT23" s="20"/>
      <c r="BU23" s="20"/>
      <c r="BV23" s="20"/>
    </row>
    <row r="24">
      <c r="A24" s="109">
        <f>VLOOKUP($F24,UpdateHashtag!$V$3:$Y$32,COLUMN(B$9),0)</f>
        <v>4</v>
      </c>
      <c r="B24" s="91" t="str">
        <f>VLOOKUP($F24,UpdateHashtag!$V$3:$Y$32,COLUMN(#REF!),0)</f>
        <v>#REF!</v>
      </c>
      <c r="C24" s="91" t="str">
        <f>VLOOKUP($F24,UpdateHashtag!$V$3:$Y$32,COLUMN(#REF!),0)</f>
        <v>#REF!</v>
      </c>
      <c r="D24" s="110" t="str">
        <f t="shared" si="2"/>
        <v>#REF!</v>
      </c>
      <c r="E24" s="11"/>
      <c r="F24" s="94" t="str">
        <f>VLOOKUP(J24,UpdateBBM!$C$2:E1009,3,0)</f>
        <v>UTA</v>
      </c>
      <c r="G24" s="78">
        <v>11.0</v>
      </c>
      <c r="H24" s="111">
        <f>IFERROR(__xludf.DUMMYFUNCTION("""COMPUTED_VALUE"""),11.0)</f>
        <v>11</v>
      </c>
      <c r="I24" s="111"/>
      <c r="J24" s="112" t="str">
        <f>IFERROR(__xludf.DUMMYFUNCTION("""COMPUTED_VALUE"""),"Walker Kessler")</f>
        <v>Walker Kessler</v>
      </c>
      <c r="K24" s="111">
        <f>IFERROR(__xludf.DUMMYFUNCTION("""COMPUTED_VALUE"""),63.0)</f>
        <v>63</v>
      </c>
      <c r="L24" s="113" t="str">
        <f>IFERROR(__xludf.DUMMYFUNCTION("""COMPUTED_VALUE"""),"C")</f>
        <v>C</v>
      </c>
      <c r="M24" s="114">
        <f>IFERROR(__xludf.DUMMYFUNCTION("""COMPUTED_VALUE"""),4.731795949516306)</f>
        <v>4.73179595</v>
      </c>
      <c r="N24" s="114">
        <f>IFERROR(__xludf.DUMMYFUNCTION("""COMPUTED_VALUE"""),4.692685529793366)</f>
        <v>4.69268553</v>
      </c>
      <c r="O24" s="115">
        <f>IFERROR(__xludf.DUMMYFUNCTION("""COMPUTED_VALUE"""),-0.039110419722940826)</f>
        <v>-0.03911041972</v>
      </c>
      <c r="P24" s="116">
        <f>IFERROR(__xludf.DUMMYFUNCTION("""COMPUTED_VALUE"""),13.72825)</f>
        <v>13.72825</v>
      </c>
      <c r="Q24" s="116">
        <f>IFERROR(__xludf.DUMMYFUNCTION("""COMPUTED_VALUE"""),0.132698)</f>
        <v>0.132698</v>
      </c>
      <c r="R24" s="116">
        <f>IFERROR(__xludf.DUMMYFUNCTION("""COMPUTED_VALUE"""),11.97381)</f>
        <v>11.97381</v>
      </c>
      <c r="S24" s="117">
        <f>IFERROR(__xludf.DUMMYFUNCTION("""COMPUTED_VALUE"""),1.995556)</f>
        <v>1.995556</v>
      </c>
      <c r="T24" s="116">
        <f>IFERROR(__xludf.DUMMYFUNCTION("""COMPUTED_VALUE"""),0.669365)</f>
        <v>0.669365</v>
      </c>
      <c r="U24" s="116">
        <f>IFERROR(__xludf.DUMMYFUNCTION("""COMPUTED_VALUE"""),2.252381)</f>
        <v>2.252381</v>
      </c>
      <c r="V24" s="113">
        <f>IFERROR(__xludf.DUMMYFUNCTION("""COMPUTED_VALUE"""),0.680393)</f>
        <v>0.680393</v>
      </c>
      <c r="W24" s="113">
        <f>IFERROR(__xludf.DUMMYFUNCTION("""COMPUTED_VALUE"""),0.528016)</f>
        <v>0.528016</v>
      </c>
      <c r="X24" s="116">
        <f>IFERROR(__xludf.DUMMYFUNCTION("""COMPUTED_VALUE"""),1.590952)</f>
        <v>1.590952</v>
      </c>
      <c r="Y24" s="114">
        <f>IFERROR(__xludf.DUMMYFUNCTION("""COMPUTED_VALUE"""),-0.6046380991696051)</f>
        <v>-0.6046380992</v>
      </c>
      <c r="Z24" s="114">
        <f>IFERROR(__xludf.DUMMYFUNCTION("""COMPUTED_VALUE"""),-1.5809299347171588)</f>
        <v>-1.580929935</v>
      </c>
      <c r="AA24" s="184">
        <f>IFERROR(__xludf.DUMMYFUNCTION("""COMPUTED_VALUE"""),2.3702299698479496)</f>
        <v>2.37022997</v>
      </c>
      <c r="AB24" s="185">
        <f>IFERROR(__xludf.DUMMYFUNCTION("""COMPUTED_VALUE"""),-0.8995224293181727)</f>
        <v>-0.8995224293</v>
      </c>
      <c r="AC24" s="114">
        <f>IFERROR(__xludf.DUMMYFUNCTION("""COMPUTED_VALUE"""),-1.1452182669098065)</f>
        <v>-1.145218267</v>
      </c>
      <c r="AD24" s="114">
        <f>IFERROR(__xludf.DUMMYFUNCTION("""COMPUTED_VALUE"""),2.767272769661439)</f>
        <v>2.76727277</v>
      </c>
      <c r="AE24" s="114">
        <f>IFERROR(__xludf.DUMMYFUNCTION("""COMPUTED_VALUE"""),3.78549152039872)</f>
        <v>3.78549152</v>
      </c>
      <c r="AF24" s="114">
        <f>IFERROR(__xludf.DUMMYFUNCTION("""COMPUTED_VALUE"""),-2.190819465438121)</f>
        <v>-2.190819465</v>
      </c>
      <c r="AG24" s="118">
        <f>IFERROR(__xludf.DUMMYFUNCTION("""COMPUTED_VALUE"""),0.0)</f>
        <v>0</v>
      </c>
      <c r="AH24" s="105"/>
      <c r="AI24" s="20"/>
      <c r="AJ24" s="135">
        <v>100.0</v>
      </c>
      <c r="AK24" s="140" t="str">
        <f t="array" ref="AK24">if(AK$14=#REF!,"-", countif(indirect(address(row($J$2)+ VLOOKUP(AK$14,$J$3:$J$8,1),COLUMN($K$4))):indirect(address(row($J$2)+ VLOOKUP(AK$14,$J$3:$J$8,1),COLUMN($S$2)))&gt;indirect(address(row(#REF!),COLUMN($K$2))):indirect(address(row(#REF!),COLUMN($S$2))),TRUE()))</f>
        <v>#REF!</v>
      </c>
      <c r="AL24" s="142" t="str">
        <f t="array" ref="AL24">if(AL$14=#REF!,"-", countif(indirect(address(row($J$2)+ VLOOKUP(AL$14,$J$3:$J$8,1),COLUMN($K$4))):indirect(address(row($J$2)+ VLOOKUP(AL$14,$J$3:$J$8,1),COLUMN($S$2)))&gt;indirect(address(row(#REF!),COLUMN($K$2))):indirect(address(row(#REF!),COLUMN($S$2))),TRUE()))</f>
        <v>#REF!</v>
      </c>
      <c r="AM24" s="142" t="str">
        <f t="array" ref="AM24">if(AM$14=#REF!,"-", countif(indirect(address(row($J$2)+ VLOOKUP(AM$14,$J$3:$J$8,1),COLUMN($K$4))):indirect(address(row($J$2)+ VLOOKUP(AM$14,$J$3:$J$8,1),COLUMN($S$2)))&gt;indirect(address(row(#REF!),COLUMN($K$2))):indirect(address(row(#REF!),COLUMN($S$2))),TRUE()))</f>
        <v>#REF!</v>
      </c>
      <c r="AN24" s="142" t="str">
        <f t="array" ref="AN24">if(AN$14=#REF!,"-", countif(indirect(address(row($J$2)+ VLOOKUP(AN$14,$J$3:$J$8,1),COLUMN($K$4))):indirect(address(row($J$2)+ VLOOKUP(AN$14,$J$3:$J$8,1),COLUMN($S$2)))&gt;indirect(address(row(#REF!),COLUMN($K$2))):indirect(address(row(#REF!),COLUMN($S$2))),TRUE()))</f>
        <v>#REF!</v>
      </c>
      <c r="AO24" s="142" t="str">
        <f t="array" ref="AO24">if(AO$14=#REF!,"-", countif(indirect(address(row($J$2)+ VLOOKUP(AO$14,$J$3:$J$8,1),COLUMN($K$4))):indirect(address(row($J$2)+ VLOOKUP(AO$14,$J$3:$J$8,1),COLUMN($S$2)))&gt;indirect(address(row(#REF!),COLUMN($K$2))):indirect(address(row(#REF!),COLUMN($S$2))),TRUE()))</f>
        <v>#REF!</v>
      </c>
      <c r="AP24" s="142" t="str">
        <f t="array" ref="AP24">if(AP$14=#REF!,"-", countif(indirect(address(row($J$2)+ VLOOKUP(AP$14,$J$3:$J$8,1),COLUMN($K$4))):indirect(address(row($J$2)+ VLOOKUP(AP$14,$J$3:$J$8,1),COLUMN($S$2)))&gt;indirect(address(row(#REF!),COLUMN($K$2))):indirect(address(row(#REF!),COLUMN($S$2))),TRUE()))</f>
        <v>#REF!</v>
      </c>
      <c r="AQ24" s="142" t="str">
        <f t="array" ref="AQ24">if(AQ$14=#REF!,"-", countif(indirect(address(row($J$2)+ VLOOKUP(AQ$14,$J$3:$J$8,1),COLUMN($K$4))):indirect(address(row($J$2)+ VLOOKUP(AQ$14,$J$3:$J$8,1),COLUMN($S$2)))&gt;indirect(address(row(#REF!),COLUMN($K$2))):indirect(address(row(#REF!),COLUMN($S$2))),TRUE()))</f>
        <v>#REF!</v>
      </c>
      <c r="AR24" s="142" t="str">
        <f t="array" ref="AR24">if(AR$14=#REF!,"-", countif(indirect(address(row($J$2)+ VLOOKUP(AR$14,$J$3:$J$8,1),COLUMN($K$4))):indirect(address(row($J$2)+ VLOOKUP(AR$14,$J$3:$J$8,1),COLUMN($S$2)))&gt;indirect(address(row(#REF!),COLUMN($K$2))):indirect(address(row(#REF!),COLUMN($S$2))),TRUE()))</f>
        <v>#REF!</v>
      </c>
      <c r="AS24" s="142" t="str">
        <f t="array" ref="AS24">if(AS$14=#REF!,"-", countif(indirect(address(row($J$2)+ VLOOKUP(AS$14,$J$3:$J$8,1),COLUMN($K$4))):indirect(address(row($J$2)+ VLOOKUP(AS$14,$J$3:$J$8,1),COLUMN($S$2)))&gt;indirect(address(row(#REF!),COLUMN($K$2))):indirect(address(row(#REF!),COLUMN($S$2))),TRUE()))</f>
        <v>#REF!</v>
      </c>
      <c r="AT24" s="142" t="str">
        <f t="array" ref="AT24">if(AT$14=#REF!,"-", countif(indirect(address(row($J$2)+ VLOOKUP(AT$14,$J$3:$J$8,1),COLUMN($K$4))):indirect(address(row($J$2)+ VLOOKUP(AT$14,$J$3:$J$8,1),COLUMN($S$2)))&gt;indirect(address(row(#REF!),COLUMN($K$2))):indirect(address(row(#REF!),COLUMN($S$2))),TRUE()))</f>
        <v>#REF!</v>
      </c>
      <c r="AU24" s="142" t="str">
        <f t="array" ref="AU24">if(AU$14=#REF!,"-", countif(indirect(address(row($J$2)+ VLOOKUP(AU$14,$J$3:$J$8,1),COLUMN($K$4))):indirect(address(row($J$2)+ VLOOKUP(AU$14,$J$3:$J$8,1),COLUMN($S$2)))&gt;indirect(address(row(#REF!),COLUMN($K$2))):indirect(address(row(#REF!),COLUMN($S$2))),TRUE()))</f>
        <v>#REF!</v>
      </c>
      <c r="AV24" s="150" t="str">
        <f t="array" ref="AV24">if(AV$14=#REF!,"-", countif(indirect(address(row($J$2)+ VLOOKUP(AV$14,$J$3:$J$8,1),COLUMN($K$4))):indirect(address(row($J$2)+ VLOOKUP(AV$14,$J$3:$J$8,1),COLUMN($S$2)))&gt;indirect(address(row(#REF!),COLUMN($K$2))):indirect(address(row(#REF!),COLUMN($S$2))),TRUE()))</f>
        <v>#REF!</v>
      </c>
      <c r="AW24" s="151">
        <v>9.0</v>
      </c>
      <c r="AX24" s="169" t="str">
        <f t="array" ref="AX24">INDIRECT("Draft!L"&amp;TEXT(VLOOKUP(TRUE,I3:J8,2,0)+2,"0"))</f>
        <v>#N/A</v>
      </c>
      <c r="AY24" s="171"/>
      <c r="AZ24" s="155" t="str">
        <f>IF($AX24="","", VLOOKUP($AX24,'Final Update'!$Q$21:$AE1009,Column(#REF!),False))</f>
        <v>#N/A</v>
      </c>
      <c r="BA24" s="155" t="str">
        <f>IF($AX24="","", VLOOKUP($AX24,'Final Update'!$Q$21:$AE1009,Column(#REF!),False))</f>
        <v>#N/A</v>
      </c>
      <c r="BB24" s="155" t="str">
        <f>IF($AX24="","", VLOOKUP($AX24,'Final Update'!$Q$21:$AE1009,Column(#REF!),False))</f>
        <v>#N/A</v>
      </c>
      <c r="BC24" s="155" t="str">
        <f>IF($AX24="","", VLOOKUP($AX24,'Final Update'!$Q$21:$AE1009,Column(#REF!),False))</f>
        <v>#N/A</v>
      </c>
      <c r="BD24" s="155" t="str">
        <f>IF($AX24="","", VLOOKUP($AX24,'Final Update'!$Q$21:$AE1009,Column(#REF!),False))</f>
        <v>#N/A</v>
      </c>
      <c r="BE24" s="155" t="str">
        <f>IF($AX24="","", VLOOKUP($AX24,'Final Update'!$Q$21:$AE1009,Column(#REF!),False))</f>
        <v>#N/A</v>
      </c>
      <c r="BF24" s="157" t="str">
        <f>IF($AX24="","", VLOOKUP($AX24,'Final Update'!$Q$21:$AE1009,Column(#REF!),False))</f>
        <v>#N/A</v>
      </c>
      <c r="BG24" s="157" t="str">
        <f>IF($AX24="","", VLOOKUP($AX24,'Final Update'!$Q$21:$AE1009,Column(#REF!),False))</f>
        <v>#N/A</v>
      </c>
      <c r="BH24" s="157" t="str">
        <f>IF($AX24="","", VLOOKUP($AX24,'Final Update'!$Q$21:$AE1009,Column(#REF!),False))</f>
        <v>#N/A</v>
      </c>
      <c r="BI24" s="155" t="str">
        <f>IF($AX24="","", VLOOKUP($AX24,'Final Update'!$Q$21:$AE1009,Column(#REF!),False))</f>
        <v>#N/A</v>
      </c>
      <c r="BJ24" s="173"/>
      <c r="BK24" s="174"/>
      <c r="BL24" s="131"/>
      <c r="BM24" s="131"/>
      <c r="BN24" s="131"/>
      <c r="BO24" s="131"/>
      <c r="BP24" s="131"/>
      <c r="BQ24" s="131"/>
      <c r="BR24" s="131"/>
      <c r="BS24" s="131"/>
      <c r="BT24" s="20"/>
      <c r="BU24" s="20"/>
      <c r="BV24" s="20"/>
    </row>
    <row r="25">
      <c r="A25" s="109">
        <f>VLOOKUP($F25,UpdateHashtag!$V$3:$Y$32,COLUMN(B$9),0)</f>
        <v>4</v>
      </c>
      <c r="B25" s="91" t="str">
        <f>VLOOKUP($F25,UpdateHashtag!$V$3:$Y$32,COLUMN(#REF!),0)</f>
        <v>#REF!</v>
      </c>
      <c r="C25" s="91" t="str">
        <f>VLOOKUP($F25,UpdateHashtag!$V$3:$Y$32,COLUMN(#REF!),0)</f>
        <v>#REF!</v>
      </c>
      <c r="D25" s="110" t="str">
        <f t="shared" si="2"/>
        <v>#REF!</v>
      </c>
      <c r="E25" s="11"/>
      <c r="F25" s="94" t="str">
        <f>VLOOKUP(J25,UpdateBBM!$C$2:E1009,3,0)</f>
        <v>PHI</v>
      </c>
      <c r="G25" s="78">
        <v>12.0</v>
      </c>
      <c r="H25" s="111">
        <f>IFERROR(__xludf.DUMMYFUNCTION("""COMPUTED_VALUE"""),12.0)</f>
        <v>12</v>
      </c>
      <c r="I25" s="111"/>
      <c r="J25" s="112" t="str">
        <f>IFERROR(__xludf.DUMMYFUNCTION("""COMPUTED_VALUE"""),"Tyrese Maxey")</f>
        <v>Tyrese Maxey</v>
      </c>
      <c r="K25" s="111">
        <f>IFERROR(__xludf.DUMMYFUNCTION("""COMPUTED_VALUE"""),73.0)</f>
        <v>73</v>
      </c>
      <c r="L25" s="113" t="str">
        <f>IFERROR(__xludf.DUMMYFUNCTION("""COMPUTED_VALUE"""),"G")</f>
        <v>G</v>
      </c>
      <c r="M25" s="114">
        <f>IFERROR(__xludf.DUMMYFUNCTION("""COMPUTED_VALUE"""),4.698406980725171)</f>
        <v>4.698406981</v>
      </c>
      <c r="N25" s="114">
        <f>IFERROR(__xludf.DUMMYFUNCTION("""COMPUTED_VALUE"""),4.8089708900971075)</f>
        <v>4.80897089</v>
      </c>
      <c r="O25" s="115">
        <f>IFERROR(__xludf.DUMMYFUNCTION("""COMPUTED_VALUE"""),0.11056390937193683)</f>
        <v>0.1105639094</v>
      </c>
      <c r="P25" s="116">
        <f>IFERROR(__xludf.DUMMYFUNCTION("""COMPUTED_VALUE"""),25.30397)</f>
        <v>25.30397</v>
      </c>
      <c r="Q25" s="116">
        <f>IFERROR(__xludf.DUMMYFUNCTION("""COMPUTED_VALUE"""),3.17)</f>
        <v>3.17</v>
      </c>
      <c r="R25" s="116">
        <f>IFERROR(__xludf.DUMMYFUNCTION("""COMPUTED_VALUE"""),3.291781)</f>
        <v>3.291781</v>
      </c>
      <c r="S25" s="117">
        <f>IFERROR(__xludf.DUMMYFUNCTION("""COMPUTED_VALUE"""),6.363562)</f>
        <v>6.363562</v>
      </c>
      <c r="T25" s="116">
        <f>IFERROR(__xludf.DUMMYFUNCTION("""COMPUTED_VALUE"""),1.332329)</f>
        <v>1.332329</v>
      </c>
      <c r="U25" s="116">
        <f>IFERROR(__xludf.DUMMYFUNCTION("""COMPUTED_VALUE"""),0.393151)</f>
        <v>0.393151</v>
      </c>
      <c r="V25" s="113">
        <f>IFERROR(__xludf.DUMMYFUNCTION("""COMPUTED_VALUE"""),0.449281)</f>
        <v>0.449281</v>
      </c>
      <c r="W25" s="113">
        <f>IFERROR(__xludf.DUMMYFUNCTION("""COMPUTED_VALUE"""),0.87099)</f>
        <v>0.87099</v>
      </c>
      <c r="X25" s="116">
        <f>IFERROR(__xludf.DUMMYFUNCTION("""COMPUTED_VALUE"""),2.194521)</f>
        <v>2.194521</v>
      </c>
      <c r="Y25" s="114">
        <f>IFERROR(__xludf.DUMMYFUNCTION("""COMPUTED_VALUE"""),1.4262364527460882)</f>
        <v>1.426236453</v>
      </c>
      <c r="Z25" s="114">
        <f>IFERROR(__xludf.DUMMYFUNCTION("""COMPUTED_VALUE"""),1.3525979036329863)</f>
        <v>1.352597904</v>
      </c>
      <c r="AA25" s="114">
        <f>IFERROR(__xludf.DUMMYFUNCTION("""COMPUTED_VALUE"""),-1.1490617949545983)</f>
        <v>-1.149061795</v>
      </c>
      <c r="AB25" s="114">
        <f>IFERROR(__xludf.DUMMYFUNCTION("""COMPUTED_VALUE"""),1.234311825027849)</f>
        <v>1.234311825</v>
      </c>
      <c r="AC25" s="114">
        <f>IFERROR(__xludf.DUMMYFUNCTION("""COMPUTED_VALUE"""),0.8749855481664958)</f>
        <v>0.8749855482</v>
      </c>
      <c r="AD25" s="114">
        <f>IFERROR(__xludf.DUMMYFUNCTION("""COMPUTED_VALUE"""),-0.6127929147711293)</f>
        <v>-0.6127929148</v>
      </c>
      <c r="AE25" s="114">
        <f>IFERROR(__xludf.DUMMYFUNCTION("""COMPUTED_VALUE"""),-0.6195024916189793)</f>
        <v>-0.6195024916</v>
      </c>
      <c r="AF25" s="114">
        <f>IFERROR(__xludf.DUMMYFUNCTION("""COMPUTED_VALUE"""),1.153134566913797)</f>
        <v>1.153134567</v>
      </c>
      <c r="AG25" s="118">
        <f>IFERROR(__xludf.DUMMYFUNCTION("""COMPUTED_VALUE"""),0.0)</f>
        <v>0</v>
      </c>
      <c r="AH25" s="105"/>
      <c r="AI25" s="20"/>
      <c r="AJ25" s="135">
        <v>100.0</v>
      </c>
      <c r="AK25" s="140" t="str">
        <f t="array" ref="AK25">if(AK$14=#REF!,"-", countif(indirect(address(row($J$2)+ VLOOKUP(AK$14,$J$3:$J$8,1),COLUMN($K$4))):indirect(address(row($J$2)+ VLOOKUP(AK$14,$J$3:$J$8,1),COLUMN($S$2)))&gt;indirect(address(row(#REF!),COLUMN($K$2))):indirect(address(row(#REF!),COLUMN($S$2))),TRUE()))</f>
        <v>#REF!</v>
      </c>
      <c r="AL25" s="142" t="str">
        <f t="array" ref="AL25">if(AL$14=#REF!,"-", countif(indirect(address(row($J$2)+ VLOOKUP(AL$14,$J$3:$J$8,1),COLUMN($K$4))):indirect(address(row($J$2)+ VLOOKUP(AL$14,$J$3:$J$8,1),COLUMN($S$2)))&gt;indirect(address(row(#REF!),COLUMN($K$2))):indirect(address(row(#REF!),COLUMN($S$2))),TRUE()))</f>
        <v>#REF!</v>
      </c>
      <c r="AM25" s="142" t="str">
        <f t="array" ref="AM25">if(AM$14=#REF!,"-", countif(indirect(address(row($J$2)+ VLOOKUP(AM$14,$J$3:$J$8,1),COLUMN($K$4))):indirect(address(row($J$2)+ VLOOKUP(AM$14,$J$3:$J$8,1),COLUMN($S$2)))&gt;indirect(address(row(#REF!),COLUMN($K$2))):indirect(address(row(#REF!),COLUMN($S$2))),TRUE()))</f>
        <v>#REF!</v>
      </c>
      <c r="AN25" s="142" t="str">
        <f t="array" ref="AN25">if(AN$14=#REF!,"-", countif(indirect(address(row($J$2)+ VLOOKUP(AN$14,$J$3:$J$8,1),COLUMN($K$4))):indirect(address(row($J$2)+ VLOOKUP(AN$14,$J$3:$J$8,1),COLUMN($S$2)))&gt;indirect(address(row(#REF!),COLUMN($K$2))):indirect(address(row(#REF!),COLUMN($S$2))),TRUE()))</f>
        <v>#REF!</v>
      </c>
      <c r="AO25" s="142" t="str">
        <f t="array" ref="AO25">if(AO$14=#REF!,"-", countif(indirect(address(row($J$2)+ VLOOKUP(AO$14,$J$3:$J$8,1),COLUMN($K$4))):indirect(address(row($J$2)+ VLOOKUP(AO$14,$J$3:$J$8,1),COLUMN($S$2)))&gt;indirect(address(row(#REF!),COLUMN($K$2))):indirect(address(row(#REF!),COLUMN($S$2))),TRUE()))</f>
        <v>#REF!</v>
      </c>
      <c r="AP25" s="142" t="str">
        <f t="array" ref="AP25">if(AP$14=#REF!,"-", countif(indirect(address(row($J$2)+ VLOOKUP(AP$14,$J$3:$J$8,1),COLUMN($K$4))):indirect(address(row($J$2)+ VLOOKUP(AP$14,$J$3:$J$8,1),COLUMN($S$2)))&gt;indirect(address(row(#REF!),COLUMN($K$2))):indirect(address(row(#REF!),COLUMN($S$2))),TRUE()))</f>
        <v>#REF!</v>
      </c>
      <c r="AQ25" s="142" t="str">
        <f t="array" ref="AQ25">if(AQ$14=#REF!,"-", countif(indirect(address(row($J$2)+ VLOOKUP(AQ$14,$J$3:$J$8,1),COLUMN($K$4))):indirect(address(row($J$2)+ VLOOKUP(AQ$14,$J$3:$J$8,1),COLUMN($S$2)))&gt;indirect(address(row(#REF!),COLUMN($K$2))):indirect(address(row(#REF!),COLUMN($S$2))),TRUE()))</f>
        <v>#REF!</v>
      </c>
      <c r="AR25" s="142" t="str">
        <f t="array" ref="AR25">if(AR$14=#REF!,"-", countif(indirect(address(row($J$2)+ VLOOKUP(AR$14,$J$3:$J$8,1),COLUMN($K$4))):indirect(address(row($J$2)+ VLOOKUP(AR$14,$J$3:$J$8,1),COLUMN($S$2)))&gt;indirect(address(row(#REF!),COLUMN($K$2))):indirect(address(row(#REF!),COLUMN($S$2))),TRUE()))</f>
        <v>#REF!</v>
      </c>
      <c r="AS25" s="142" t="str">
        <f t="array" ref="AS25">if(AS$14=#REF!,"-", countif(indirect(address(row($J$2)+ VLOOKUP(AS$14,$J$3:$J$8,1),COLUMN($K$4))):indirect(address(row($J$2)+ VLOOKUP(AS$14,$J$3:$J$8,1),COLUMN($S$2)))&gt;indirect(address(row(#REF!),COLUMN($K$2))):indirect(address(row(#REF!),COLUMN($S$2))),TRUE()))</f>
        <v>#REF!</v>
      </c>
      <c r="AT25" s="142" t="str">
        <f t="array" ref="AT25">if(AT$14=#REF!,"-", countif(indirect(address(row($J$2)+ VLOOKUP(AT$14,$J$3:$J$8,1),COLUMN($K$4))):indirect(address(row($J$2)+ VLOOKUP(AT$14,$J$3:$J$8,1),COLUMN($S$2)))&gt;indirect(address(row(#REF!),COLUMN($K$2))):indirect(address(row(#REF!),COLUMN($S$2))),TRUE()))</f>
        <v>#REF!</v>
      </c>
      <c r="AU25" s="142" t="str">
        <f t="array" ref="AU25">if(AU$14=#REF!,"-", countif(indirect(address(row($J$2)+ VLOOKUP(AU$14,$J$3:$J$8,1),COLUMN($K$4))):indirect(address(row($J$2)+ VLOOKUP(AU$14,$J$3:$J$8,1),COLUMN($S$2)))&gt;indirect(address(row(#REF!),COLUMN($K$2))):indirect(address(row(#REF!),COLUMN($S$2))),TRUE()))</f>
        <v>#REF!</v>
      </c>
      <c r="AV25" s="150" t="str">
        <f t="array" ref="AV25">if(AV$14=#REF!,"-", countif(indirect(address(row($J$2)+ VLOOKUP(AV$14,$J$3:$J$8,1),COLUMN($K$4))):indirect(address(row($J$2)+ VLOOKUP(AV$14,$J$3:$J$8,1),COLUMN($S$2)))&gt;indirect(address(row(#REF!),COLUMN($K$2))):indirect(address(row(#REF!),COLUMN($S$2))),TRUE()))</f>
        <v>#REF!</v>
      </c>
      <c r="AW25" s="151">
        <v>10.0</v>
      </c>
      <c r="AX25" s="169" t="str">
        <f t="array" ref="AX25">INDIRECT("Draft!M"&amp;TEXT(15-VLOOKUP(TRUE,I3:J8,2,0),"0"))</f>
        <v>#N/A</v>
      </c>
      <c r="AY25" s="171"/>
      <c r="AZ25" s="155" t="str">
        <f>IF($AX25="","", VLOOKUP($AX25,'Final Update'!$Q$21:$AE1009,Column(#REF!),False))</f>
        <v>#N/A</v>
      </c>
      <c r="BA25" s="155" t="str">
        <f>IF($AX25="","", VLOOKUP($AX25,'Final Update'!$Q$21:$AE1009,Column(#REF!),False))</f>
        <v>#N/A</v>
      </c>
      <c r="BB25" s="155" t="str">
        <f>IF($AX25="","", VLOOKUP($AX25,'Final Update'!$Q$21:$AE1009,Column(#REF!),False))</f>
        <v>#N/A</v>
      </c>
      <c r="BC25" s="155" t="str">
        <f>IF($AX25="","", VLOOKUP($AX25,'Final Update'!$Q$21:$AE1009,Column(#REF!),False))</f>
        <v>#N/A</v>
      </c>
      <c r="BD25" s="155" t="str">
        <f>IF($AX25="","", VLOOKUP($AX25,'Final Update'!$Q$21:$AE1009,Column(#REF!),False))</f>
        <v>#N/A</v>
      </c>
      <c r="BE25" s="155" t="str">
        <f>IF($AX25="","", VLOOKUP($AX25,'Final Update'!$Q$21:$AE1009,Column(#REF!),False))</f>
        <v>#N/A</v>
      </c>
      <c r="BF25" s="157" t="str">
        <f>IF($AX25="","", VLOOKUP($AX25,'Final Update'!$Q$21:$AE1009,Column(#REF!),False))</f>
        <v>#N/A</v>
      </c>
      <c r="BG25" s="157" t="str">
        <f>IF($AX25="","", VLOOKUP($AX25,'Final Update'!$Q$21:$AE1009,Column(#REF!),False))</f>
        <v>#N/A</v>
      </c>
      <c r="BH25" s="157" t="str">
        <f>IF($AX25="","", VLOOKUP($AX25,'Final Update'!$Q$21:$AE1009,Column(#REF!),False))</f>
        <v>#N/A</v>
      </c>
      <c r="BI25" s="155" t="str">
        <f>IF($AX25="","", VLOOKUP($AX25,'Final Update'!$Q$21:$AE1009,Column(#REF!),False))</f>
        <v>#N/A</v>
      </c>
      <c r="BJ25" s="173"/>
      <c r="BK25" s="174"/>
      <c r="BL25" s="131"/>
      <c r="BM25" s="131"/>
      <c r="BN25" s="131"/>
      <c r="BO25" s="131"/>
      <c r="BP25" s="131"/>
      <c r="BQ25" s="131"/>
      <c r="BR25" s="131"/>
      <c r="BS25" s="131"/>
      <c r="BT25" s="20"/>
      <c r="BU25" s="20"/>
      <c r="BV25" s="20"/>
    </row>
    <row r="26">
      <c r="A26" s="109">
        <f>VLOOKUP($F26,UpdateHashtag!$V$3:$Y$32,COLUMN(B$9),0)</f>
        <v>4</v>
      </c>
      <c r="B26" s="91" t="str">
        <f>VLOOKUP($F26,UpdateHashtag!$V$3:$Y$32,COLUMN(#REF!),0)</f>
        <v>#REF!</v>
      </c>
      <c r="C26" s="91" t="str">
        <f>VLOOKUP($F26,UpdateHashtag!$V$3:$Y$32,COLUMN(#REF!),0)</f>
        <v>#REF!</v>
      </c>
      <c r="D26" s="110" t="str">
        <f t="shared" si="2"/>
        <v>#REF!</v>
      </c>
      <c r="E26" s="11"/>
      <c r="F26" s="94" t="str">
        <f>VLOOKUP(J26,UpdateBBM!$C$2:E1009,3,0)</f>
        <v>LAC</v>
      </c>
      <c r="G26" s="78">
        <v>13.0</v>
      </c>
      <c r="H26" s="111">
        <f>IFERROR(__xludf.DUMMYFUNCTION("""COMPUTED_VALUE"""),13.0)</f>
        <v>13</v>
      </c>
      <c r="I26" s="111"/>
      <c r="J26" s="112" t="str">
        <f>IFERROR(__xludf.DUMMYFUNCTION("""COMPUTED_VALUE"""),"Kawhi Leonard")</f>
        <v>Kawhi Leonard</v>
      </c>
      <c r="K26" s="111">
        <f>IFERROR(__xludf.DUMMYFUNCTION("""COMPUTED_VALUE"""),60.0)</f>
        <v>60</v>
      </c>
      <c r="L26" s="113" t="str">
        <f>IFERROR(__xludf.DUMMYFUNCTION("""COMPUTED_VALUE"""),"F")</f>
        <v>F</v>
      </c>
      <c r="M26" s="114">
        <f>IFERROR(__xludf.DUMMYFUNCTION("""COMPUTED_VALUE"""),4.6090876914442)</f>
        <v>4.609087691</v>
      </c>
      <c r="N26" s="114">
        <f>IFERROR(__xludf.DUMMYFUNCTION("""COMPUTED_VALUE"""),4.618428269192777)</f>
        <v>4.618428269</v>
      </c>
      <c r="O26" s="115">
        <f>IFERROR(__xludf.DUMMYFUNCTION("""COMPUTED_VALUE"""),0.009340577748576884)</f>
        <v>0.009340577749</v>
      </c>
      <c r="P26" s="116">
        <f>IFERROR(__xludf.DUMMYFUNCTION("""COMPUTED_VALUE"""),24.568)</f>
        <v>24.568</v>
      </c>
      <c r="Q26" s="116">
        <f>IFERROR(__xludf.DUMMYFUNCTION("""COMPUTED_VALUE"""),2.273333)</f>
        <v>2.273333</v>
      </c>
      <c r="R26" s="116">
        <f>IFERROR(__xludf.DUMMYFUNCTION("""COMPUTED_VALUE"""),6.321167)</f>
        <v>6.321167</v>
      </c>
      <c r="S26" s="117">
        <f>IFERROR(__xludf.DUMMYFUNCTION("""COMPUTED_VALUE"""),3.1605)</f>
        <v>3.1605</v>
      </c>
      <c r="T26" s="116">
        <f>IFERROR(__xludf.DUMMYFUNCTION("""COMPUTED_VALUE"""),1.653333)</f>
        <v>1.653333</v>
      </c>
      <c r="U26" s="116">
        <f>IFERROR(__xludf.DUMMYFUNCTION("""COMPUTED_VALUE"""),0.617167)</f>
        <v>0.617167</v>
      </c>
      <c r="V26" s="113">
        <f>IFERROR(__xludf.DUMMYFUNCTION("""COMPUTED_VALUE"""),0.504101)</f>
        <v>0.504101</v>
      </c>
      <c r="W26" s="113">
        <f>IFERROR(__xludf.DUMMYFUNCTION("""COMPUTED_VALUE"""),0.859017)</f>
        <v>0.859017</v>
      </c>
      <c r="X26" s="116">
        <f>IFERROR(__xludf.DUMMYFUNCTION("""COMPUTED_VALUE"""),1.786333)</f>
        <v>1.786333</v>
      </c>
      <c r="Y26" s="114">
        <f>IFERROR(__xludf.DUMMYFUNCTION("""COMPUTED_VALUE"""),1.297115953634725)</f>
        <v>1.297115954</v>
      </c>
      <c r="Z26" s="114">
        <f>IFERROR(__xludf.DUMMYFUNCTION("""COMPUTED_VALUE"""),0.4865669306741203)</f>
        <v>0.4865669307</v>
      </c>
      <c r="AA26" s="114">
        <f>IFERROR(__xludf.DUMMYFUNCTION("""COMPUTED_VALUE"""),0.07891074489848583)</f>
        <v>0.0789107449</v>
      </c>
      <c r="AB26" s="114">
        <f>IFERROR(__xludf.DUMMYFUNCTION("""COMPUTED_VALUE"""),-0.3304303970281824)</f>
        <v>-0.330430397</v>
      </c>
      <c r="AC26" s="114">
        <f>IFERROR(__xludf.DUMMYFUNCTION("""COMPUTED_VALUE"""),1.8531585793638956)</f>
        <v>1.853158579</v>
      </c>
      <c r="AD26" s="114">
        <f>IFERROR(__xludf.DUMMYFUNCTION("""COMPUTED_VALUE"""),-0.20553356850205748)</f>
        <v>-0.2055335685</v>
      </c>
      <c r="AE26" s="114">
        <f>IFERROR(__xludf.DUMMYFUNCTION("""COMPUTED_VALUE"""),0.1350520395842976)</f>
        <v>0.1350520396</v>
      </c>
      <c r="AF26" s="114">
        <f>IFERROR(__xludf.DUMMYFUNCTION("""COMPUTED_VALUE"""),0.9731575895393098)</f>
        <v>0.9731575895</v>
      </c>
      <c r="AG26" s="118">
        <f>IFERROR(__xludf.DUMMYFUNCTION("""COMPUTED_VALUE"""),0.0)</f>
        <v>0</v>
      </c>
      <c r="AH26" s="105"/>
      <c r="AI26" s="20"/>
      <c r="AJ26" s="135">
        <v>100.0</v>
      </c>
      <c r="AK26" s="140" t="str">
        <f t="array" ref="AK26">if(AK$14=#REF!,"-", countif(indirect(address(row($J$2)+ VLOOKUP(AK$14,$J$3:$J$8,1),COLUMN($K$4))):indirect(address(row($J$2)+ VLOOKUP(AK$14,$J$3:$J$8,1),COLUMN($S$2)))&gt;indirect(address(row(#REF!),COLUMN($K$2))):indirect(address(row(#REF!),COLUMN($S$2))),TRUE()))</f>
        <v>#REF!</v>
      </c>
      <c r="AL26" s="142" t="str">
        <f t="array" ref="AL26">if(AL$14=#REF!,"-", countif(indirect(address(row($J$2)+ VLOOKUP(AL$14,$J$3:$J$8,1),COLUMN($K$4))):indirect(address(row($J$2)+ VLOOKUP(AL$14,$J$3:$J$8,1),COLUMN($S$2)))&gt;indirect(address(row(#REF!),COLUMN($K$2))):indirect(address(row(#REF!),COLUMN($S$2))),TRUE()))</f>
        <v>#REF!</v>
      </c>
      <c r="AM26" s="142" t="str">
        <f t="array" ref="AM26">if(AM$14=#REF!,"-", countif(indirect(address(row($J$2)+ VLOOKUP(AM$14,$J$3:$J$8,1),COLUMN($K$4))):indirect(address(row($J$2)+ VLOOKUP(AM$14,$J$3:$J$8,1),COLUMN($S$2)))&gt;indirect(address(row(#REF!),COLUMN($K$2))):indirect(address(row(#REF!),COLUMN($S$2))),TRUE()))</f>
        <v>#REF!</v>
      </c>
      <c r="AN26" s="142" t="str">
        <f t="array" ref="AN26">if(AN$14=#REF!,"-", countif(indirect(address(row($J$2)+ VLOOKUP(AN$14,$J$3:$J$8,1),COLUMN($K$4))):indirect(address(row($J$2)+ VLOOKUP(AN$14,$J$3:$J$8,1),COLUMN($S$2)))&gt;indirect(address(row(#REF!),COLUMN($K$2))):indirect(address(row(#REF!),COLUMN($S$2))),TRUE()))</f>
        <v>#REF!</v>
      </c>
      <c r="AO26" s="142" t="str">
        <f t="array" ref="AO26">if(AO$14=#REF!,"-", countif(indirect(address(row($J$2)+ VLOOKUP(AO$14,$J$3:$J$8,1),COLUMN($K$4))):indirect(address(row($J$2)+ VLOOKUP(AO$14,$J$3:$J$8,1),COLUMN($S$2)))&gt;indirect(address(row(#REF!),COLUMN($K$2))):indirect(address(row(#REF!),COLUMN($S$2))),TRUE()))</f>
        <v>#REF!</v>
      </c>
      <c r="AP26" s="142" t="str">
        <f t="array" ref="AP26">if(AP$14=#REF!,"-", countif(indirect(address(row($J$2)+ VLOOKUP(AP$14,$J$3:$J$8,1),COLUMN($K$4))):indirect(address(row($J$2)+ VLOOKUP(AP$14,$J$3:$J$8,1),COLUMN($S$2)))&gt;indirect(address(row(#REF!),COLUMN($K$2))):indirect(address(row(#REF!),COLUMN($S$2))),TRUE()))</f>
        <v>#REF!</v>
      </c>
      <c r="AQ26" s="142" t="str">
        <f t="array" ref="AQ26">if(AQ$14=#REF!,"-", countif(indirect(address(row($J$2)+ VLOOKUP(AQ$14,$J$3:$J$8,1),COLUMN($K$4))):indirect(address(row($J$2)+ VLOOKUP(AQ$14,$J$3:$J$8,1),COLUMN($S$2)))&gt;indirect(address(row(#REF!),COLUMN($K$2))):indirect(address(row(#REF!),COLUMN($S$2))),TRUE()))</f>
        <v>#REF!</v>
      </c>
      <c r="AR26" s="142" t="str">
        <f t="array" ref="AR26">if(AR$14=#REF!,"-", countif(indirect(address(row($J$2)+ VLOOKUP(AR$14,$J$3:$J$8,1),COLUMN($K$4))):indirect(address(row($J$2)+ VLOOKUP(AR$14,$J$3:$J$8,1),COLUMN($S$2)))&gt;indirect(address(row(#REF!),COLUMN($K$2))):indirect(address(row(#REF!),COLUMN($S$2))),TRUE()))</f>
        <v>#REF!</v>
      </c>
      <c r="AS26" s="142" t="str">
        <f t="array" ref="AS26">if(AS$14=#REF!,"-", countif(indirect(address(row($J$2)+ VLOOKUP(AS$14,$J$3:$J$8,1),COLUMN($K$4))):indirect(address(row($J$2)+ VLOOKUP(AS$14,$J$3:$J$8,1),COLUMN($S$2)))&gt;indirect(address(row(#REF!),COLUMN($K$2))):indirect(address(row(#REF!),COLUMN($S$2))),TRUE()))</f>
        <v>#REF!</v>
      </c>
      <c r="AT26" s="142" t="str">
        <f t="array" ref="AT26">if(AT$14=#REF!,"-", countif(indirect(address(row($J$2)+ VLOOKUP(AT$14,$J$3:$J$8,1),COLUMN($K$4))):indirect(address(row($J$2)+ VLOOKUP(AT$14,$J$3:$J$8,1),COLUMN($S$2)))&gt;indirect(address(row(#REF!),COLUMN($K$2))):indirect(address(row(#REF!),COLUMN($S$2))),TRUE()))</f>
        <v>#REF!</v>
      </c>
      <c r="AU26" s="142" t="str">
        <f t="array" ref="AU26">if(AU$14=#REF!,"-", countif(indirect(address(row($J$2)+ VLOOKUP(AU$14,$J$3:$J$8,1),COLUMN($K$4))):indirect(address(row($J$2)+ VLOOKUP(AU$14,$J$3:$J$8,1),COLUMN($S$2)))&gt;indirect(address(row(#REF!),COLUMN($K$2))):indirect(address(row(#REF!),COLUMN($S$2))),TRUE()))</f>
        <v>#REF!</v>
      </c>
      <c r="AV26" s="150" t="str">
        <f t="array" ref="AV26">if(AV$14=#REF!,"-", countif(indirect(address(row($J$2)+ VLOOKUP(AV$14,$J$3:$J$8,1),COLUMN($K$4))):indirect(address(row($J$2)+ VLOOKUP(AV$14,$J$3:$J$8,1),COLUMN($S$2)))&gt;indirect(address(row(#REF!),COLUMN($K$2))):indirect(address(row(#REF!),COLUMN($S$2))),TRUE()))</f>
        <v>#REF!</v>
      </c>
      <c r="AW26" s="151">
        <v>11.0</v>
      </c>
      <c r="AX26" s="169" t="str">
        <f t="array" ref="AX26">INDIRECT("Draft!N"&amp;TEXT(VLOOKUP(TRUE,I3:J8,2,0)+2,"0"))</f>
        <v>#N/A</v>
      </c>
      <c r="AY26" s="171"/>
      <c r="AZ26" s="155" t="str">
        <f>IF($AX26="","", VLOOKUP($AX26,'Final Update'!$Q$21:$AE1009,Column(#REF!),False))</f>
        <v>#N/A</v>
      </c>
      <c r="BA26" s="155" t="str">
        <f>IF($AX26="","", VLOOKUP($AX26,'Final Update'!$Q$21:$AE1009,Column(#REF!),False))</f>
        <v>#N/A</v>
      </c>
      <c r="BB26" s="155" t="str">
        <f>IF($AX26="","", VLOOKUP($AX26,'Final Update'!$Q$21:$AE1009,Column(#REF!),False))</f>
        <v>#N/A</v>
      </c>
      <c r="BC26" s="155" t="str">
        <f>IF($AX26="","", VLOOKUP($AX26,'Final Update'!$Q$21:$AE1009,Column(#REF!),False))</f>
        <v>#N/A</v>
      </c>
      <c r="BD26" s="155" t="str">
        <f>IF($AX26="","", VLOOKUP($AX26,'Final Update'!$Q$21:$AE1009,Column(#REF!),False))</f>
        <v>#N/A</v>
      </c>
      <c r="BE26" s="155" t="str">
        <f>IF($AX26="","", VLOOKUP($AX26,'Final Update'!$Q$21:$AE1009,Column(#REF!),False))</f>
        <v>#N/A</v>
      </c>
      <c r="BF26" s="157" t="str">
        <f>IF($AX26="","", VLOOKUP($AX26,'Final Update'!$Q$21:$AE1009,Column(#REF!),False))</f>
        <v>#N/A</v>
      </c>
      <c r="BG26" s="157" t="str">
        <f>IF($AX26="","", VLOOKUP($AX26,'Final Update'!$Q$21:$AE1009,Column(#REF!),False))</f>
        <v>#N/A</v>
      </c>
      <c r="BH26" s="157" t="str">
        <f>IF($AX26="","", VLOOKUP($AX26,'Final Update'!$Q$21:$AE1009,Column(#REF!),False))</f>
        <v>#N/A</v>
      </c>
      <c r="BI26" s="155" t="str">
        <f>IF($AX26="","", VLOOKUP($AX26,'Final Update'!$Q$21:$AE1009,Column(#REF!),False))</f>
        <v>#N/A</v>
      </c>
      <c r="BJ26" s="173"/>
      <c r="BK26" s="174"/>
      <c r="BL26" s="131"/>
      <c r="BM26" s="131"/>
      <c r="BN26" s="131"/>
      <c r="BO26" s="131"/>
      <c r="BP26" s="131"/>
      <c r="BQ26" s="131"/>
      <c r="BR26" s="131"/>
      <c r="BS26" s="131"/>
      <c r="BT26" s="20"/>
      <c r="BU26" s="20"/>
      <c r="BV26" s="20"/>
    </row>
    <row r="27">
      <c r="A27" s="109">
        <f>VLOOKUP($F27,UpdateHashtag!$V$3:$Y$32,COLUMN(B$9),0)</f>
        <v>4</v>
      </c>
      <c r="B27" s="91" t="str">
        <f>VLOOKUP($F27,UpdateHashtag!$V$3:$Y$32,COLUMN(#REF!),0)</f>
        <v>#REF!</v>
      </c>
      <c r="C27" s="91" t="str">
        <f>VLOOKUP($F27,UpdateHashtag!$V$3:$Y$32,COLUMN(#REF!),0)</f>
        <v>#REF!</v>
      </c>
      <c r="D27" s="110" t="str">
        <f t="shared" si="2"/>
        <v>#REF!</v>
      </c>
      <c r="E27" s="11"/>
      <c r="F27" s="94" t="str">
        <f>VLOOKUP(J27,UpdateBBM!$C$2:E1009,3,0)</f>
        <v>HOU</v>
      </c>
      <c r="G27" s="78">
        <v>14.0</v>
      </c>
      <c r="H27" s="111">
        <f>IFERROR(__xludf.DUMMYFUNCTION("""COMPUTED_VALUE"""),14.0)</f>
        <v>14</v>
      </c>
      <c r="I27" s="111"/>
      <c r="J27" s="112" t="str">
        <f>IFERROR(__xludf.DUMMYFUNCTION("""COMPUTED_VALUE"""),"Amen Thompson")</f>
        <v>Amen Thompson</v>
      </c>
      <c r="K27" s="111">
        <f>IFERROR(__xludf.DUMMYFUNCTION("""COMPUTED_VALUE"""),68.0)</f>
        <v>68</v>
      </c>
      <c r="L27" s="113" t="str">
        <f>IFERROR(__xludf.DUMMYFUNCTION("""COMPUTED_VALUE"""),"G,F")</f>
        <v>G,F</v>
      </c>
      <c r="M27" s="114">
        <f>IFERROR(__xludf.DUMMYFUNCTION("""COMPUTED_VALUE"""),4.538513622577234)</f>
        <v>4.538513623</v>
      </c>
      <c r="N27" s="114">
        <f>IFERROR(__xludf.DUMMYFUNCTION("""COMPUTED_VALUE"""),4.705977032769822)</f>
        <v>4.705977033</v>
      </c>
      <c r="O27" s="115">
        <f>IFERROR(__xludf.DUMMYFUNCTION("""COMPUTED_VALUE"""),0.16746341019258804)</f>
        <v>0.1674634102</v>
      </c>
      <c r="P27" s="116">
        <f>IFERROR(__xludf.DUMMYFUNCTION("""COMPUTED_VALUE"""),17.87471)</f>
        <v>17.87471</v>
      </c>
      <c r="Q27" s="116">
        <f>IFERROR(__xludf.DUMMYFUNCTION("""COMPUTED_VALUE"""),0.473382)</f>
        <v>0.473382</v>
      </c>
      <c r="R27" s="116">
        <f>IFERROR(__xludf.DUMMYFUNCTION("""COMPUTED_VALUE"""),8.483971)</f>
        <v>8.483971</v>
      </c>
      <c r="S27" s="117">
        <f>IFERROR(__xludf.DUMMYFUNCTION("""COMPUTED_VALUE"""),6.590294)</f>
        <v>6.590294</v>
      </c>
      <c r="T27" s="116">
        <f>IFERROR(__xludf.DUMMYFUNCTION("""COMPUTED_VALUE"""),1.515)</f>
        <v>1.515</v>
      </c>
      <c r="U27" s="116">
        <f>IFERROR(__xludf.DUMMYFUNCTION("""COMPUTED_VALUE"""),1.287794)</f>
        <v>1.287794</v>
      </c>
      <c r="V27" s="113">
        <f>IFERROR(__xludf.DUMMYFUNCTION("""COMPUTED_VALUE"""),0.55993)</f>
        <v>0.55993</v>
      </c>
      <c r="W27" s="113">
        <f>IFERROR(__xludf.DUMMYFUNCTION("""COMPUTED_VALUE"""),0.649986)</f>
        <v>0.649986</v>
      </c>
      <c r="X27" s="116">
        <f>IFERROR(__xludf.DUMMYFUNCTION("""COMPUTED_VALUE"""),2.423971)</f>
        <v>2.423971</v>
      </c>
      <c r="Y27" s="114">
        <f>IFERROR(__xludf.DUMMYFUNCTION("""COMPUTED_VALUE"""),0.12282767354572907)</f>
        <v>0.1228276735</v>
      </c>
      <c r="Z27" s="114">
        <f>IFERROR(__xludf.DUMMYFUNCTION("""COMPUTED_VALUE"""),-1.251885935114722)</f>
        <v>-1.251885935</v>
      </c>
      <c r="AA27" s="114">
        <f>IFERROR(__xludf.DUMMYFUNCTION("""COMPUTED_VALUE"""),0.9556111459317018)</f>
        <v>0.9556111459</v>
      </c>
      <c r="AB27" s="114">
        <f>IFERROR(__xludf.DUMMYFUNCTION("""COMPUTED_VALUE"""),1.3450736939804977)</f>
        <v>1.345073694</v>
      </c>
      <c r="AC27" s="114">
        <f>IFERROR(__xludf.DUMMYFUNCTION("""COMPUTED_VALUE"""),1.4316261064830904)</f>
        <v>1.431626106</v>
      </c>
      <c r="AD27" s="114">
        <f>IFERROR(__xludf.DUMMYFUNCTION("""COMPUTED_VALUE"""),1.0136611033534741)</f>
        <v>1.013661103</v>
      </c>
      <c r="AE27" s="114">
        <f>IFERROR(__xludf.DUMMYFUNCTION("""COMPUTED_VALUE"""),1.0890632445900514)</f>
        <v>1.089063245</v>
      </c>
      <c r="AF27" s="114">
        <f>IFERROR(__xludf.DUMMYFUNCTION("""COMPUTED_VALUE"""),-1.4317815706235524)</f>
        <v>-1.431781571</v>
      </c>
      <c r="AG27" s="118">
        <f>IFERROR(__xludf.DUMMYFUNCTION("""COMPUTED_VALUE"""),0.0)</f>
        <v>0</v>
      </c>
      <c r="AH27" s="119"/>
      <c r="AI27" s="20"/>
      <c r="AJ27" s="135">
        <v>100.0</v>
      </c>
      <c r="AK27" s="140">
        <f t="array" ref="AK27">if(AK$14=$F5,"-", countif(indirect(address(row($J$2)+ VLOOKUP(AK$14,$J$3:$J$8,1),COLUMN($K$4))):indirect(address(row($J$2)+ VLOOKUP(AK$14,$J$3:$J$8,1),COLUMN($S$2)))&gt;indirect(address(row($F5),COLUMN($K$2))):indirect(address(row($F5),COLUMN($S$2))),TRUE()))</f>
        <v>0</v>
      </c>
      <c r="AL27" s="142">
        <f t="array" ref="AL27">if(AL$14=$F5,"-", countif(indirect(address(row($J$2)+ VLOOKUP(AL$14,$J$3:$J$8,1),COLUMN($K$4))):indirect(address(row($J$2)+ VLOOKUP(AL$14,$J$3:$J$8,1),COLUMN($S$2)))&gt;indirect(address(row($F5),COLUMN($K$2))):indirect(address(row($F5),COLUMN($S$2))),TRUE()))</f>
        <v>0</v>
      </c>
      <c r="AM27" s="142">
        <f t="array" ref="AM27">if(AM$14=$F5,"-", countif(indirect(address(row($J$2)+ VLOOKUP(AM$14,$J$3:$J$8,1),COLUMN($K$4))):indirect(address(row($J$2)+ VLOOKUP(AM$14,$J$3:$J$8,1),COLUMN($S$2)))&gt;indirect(address(row($F5),COLUMN($K$2))):indirect(address(row($F5),COLUMN($S$2))),TRUE()))</f>
        <v>0</v>
      </c>
      <c r="AN27" s="142">
        <f t="array" ref="AN27">if(AN$14=$F5,"-", countif(indirect(address(row($J$2)+ VLOOKUP(AN$14,$J$3:$J$8,1),COLUMN($K$4))):indirect(address(row($J$2)+ VLOOKUP(AN$14,$J$3:$J$8,1),COLUMN($S$2)))&gt;indirect(address(row($F5),COLUMN($K$2))):indirect(address(row($F5),COLUMN($S$2))),TRUE()))</f>
        <v>0</v>
      </c>
      <c r="AO27" s="142">
        <f t="array" ref="AO27">if(AO$14=$F5,"-", countif(indirect(address(row($J$2)+ VLOOKUP(AO$14,$J$3:$J$8,1),COLUMN($K$4))):indirect(address(row($J$2)+ VLOOKUP(AO$14,$J$3:$J$8,1),COLUMN($S$2)))&gt;indirect(address(row($F5),COLUMN($K$2))):indirect(address(row($F5),COLUMN($S$2))),TRUE()))</f>
        <v>0</v>
      </c>
      <c r="AP27" s="142">
        <f t="array" ref="AP27">if(AP$14=$F5,"-", countif(indirect(address(row($J$2)+ VLOOKUP(AP$14,$J$3:$J$8,1),COLUMN($K$4))):indirect(address(row($J$2)+ VLOOKUP(AP$14,$J$3:$J$8,1),COLUMN($S$2)))&gt;indirect(address(row($F5),COLUMN($K$2))):indirect(address(row($F5),COLUMN($S$2))),TRUE()))</f>
        <v>0</v>
      </c>
      <c r="AQ27" s="142">
        <f t="array" ref="AQ27">if(AQ$14=$F5,"-", countif(indirect(address(row($J$2)+ VLOOKUP(AQ$14,$J$3:$J$8,1),COLUMN($K$4))):indirect(address(row($J$2)+ VLOOKUP(AQ$14,$J$3:$J$8,1),COLUMN($S$2)))&gt;indirect(address(row($F5),COLUMN($K$2))):indirect(address(row($F5),COLUMN($S$2))),TRUE()))</f>
        <v>0</v>
      </c>
      <c r="AR27" s="142">
        <f t="array" ref="AR27">if(AR$14=$F5,"-", countif(indirect(address(row($J$2)+ VLOOKUP(AR$14,$J$3:$J$8,1),COLUMN($K$4))):indirect(address(row($J$2)+ VLOOKUP(AR$14,$J$3:$J$8,1),COLUMN($S$2)))&gt;indirect(address(row($F5),COLUMN($K$2))):indirect(address(row($F5),COLUMN($S$2))),TRUE()))</f>
        <v>0</v>
      </c>
      <c r="AS27" s="142">
        <f t="array" ref="AS27">if(AS$14=$F5,"-", countif(indirect(address(row($J$2)+ VLOOKUP(AS$14,$J$3:$J$8,1),COLUMN($K$4))):indirect(address(row($J$2)+ VLOOKUP(AS$14,$J$3:$J$8,1),COLUMN($S$2)))&gt;indirect(address(row($F5),COLUMN($K$2))):indirect(address(row($F5),COLUMN($S$2))),TRUE()))</f>
        <v>0</v>
      </c>
      <c r="AT27" s="142">
        <f t="array" ref="AT27">if(AT$14=$F5,"-", countif(indirect(address(row($J$2)+ VLOOKUP(AT$14,$J$3:$J$8,1),COLUMN($K$4))):indirect(address(row($J$2)+ VLOOKUP(AT$14,$J$3:$J$8,1),COLUMN($S$2)))&gt;indirect(address(row($F5),COLUMN($K$2))):indirect(address(row($F5),COLUMN($S$2))),TRUE()))</f>
        <v>0</v>
      </c>
      <c r="AU27" s="142">
        <f t="array" ref="AU27">if(AU$14=$F5,"-", countif(indirect(address(row($J$2)+ VLOOKUP(AU$14,$J$3:$J$8,1),COLUMN($K$4))):indirect(address(row($J$2)+ VLOOKUP(AU$14,$J$3:$J$8,1),COLUMN($S$2)))&gt;indirect(address(row($F5),COLUMN($K$2))):indirect(address(row($F5),COLUMN($S$2))),TRUE()))</f>
        <v>0</v>
      </c>
      <c r="AV27" s="150">
        <f t="array" ref="AV27">if(AV$14=$F5,"-", countif(indirect(address(row($J$2)+ VLOOKUP(AV$14,$J$3:$J$8,1),COLUMN($K$4))):indirect(address(row($J$2)+ VLOOKUP(AV$14,$J$3:$J$8,1),COLUMN($S$2)))&gt;indirect(address(row($F5),COLUMN($K$2))):indirect(address(row($F5),COLUMN($S$2))),TRUE()))</f>
        <v>0</v>
      </c>
      <c r="AW27" s="151">
        <v>12.0</v>
      </c>
      <c r="AX27" s="187" t="str">
        <f t="array" ref="AX27">INDIRECT("Draft!O"&amp;TEXT(15-VLOOKUP(TRUE,I3:J8,2,0),"0"))</f>
        <v>#N/A</v>
      </c>
      <c r="AY27" s="188"/>
      <c r="AZ27" s="155" t="str">
        <f>IF($AX27="","", VLOOKUP($AX27,'Final Update'!$Q$21:$AE1009,Column(#REF!),False))</f>
        <v>#N/A</v>
      </c>
      <c r="BA27" s="155" t="str">
        <f>IF($AX27="","", VLOOKUP($AX27,'Final Update'!$Q$21:$AE1009,Column(#REF!),False))</f>
        <v>#N/A</v>
      </c>
      <c r="BB27" s="155" t="str">
        <f>IF($AX27="","", VLOOKUP($AX27,'Final Update'!$Q$21:$AE1009,Column(#REF!),False))</f>
        <v>#N/A</v>
      </c>
      <c r="BC27" s="155" t="str">
        <f>IF($AX27="","", VLOOKUP($AX27,'Final Update'!$Q$21:$AE1009,Column(#REF!),False))</f>
        <v>#N/A</v>
      </c>
      <c r="BD27" s="155" t="str">
        <f>IF($AX27="","", VLOOKUP($AX27,'Final Update'!$Q$21:$AE1009,Column(#REF!),False))</f>
        <v>#N/A</v>
      </c>
      <c r="BE27" s="155" t="str">
        <f>IF($AX27="","", VLOOKUP($AX27,'Final Update'!$Q$21:$AE1009,Column(#REF!),False))</f>
        <v>#N/A</v>
      </c>
      <c r="BF27" s="157" t="str">
        <f>IF($AX27="","", VLOOKUP($AX27,'Final Update'!$Q$21:$AE1009,Column(#REF!),False))</f>
        <v>#N/A</v>
      </c>
      <c r="BG27" s="157" t="str">
        <f>IF($AX27="","", VLOOKUP($AX27,'Final Update'!$Q$21:$AE1009,Column(#REF!),False))</f>
        <v>#N/A</v>
      </c>
      <c r="BH27" s="157" t="str">
        <f>IF($AX27="","", VLOOKUP($AX27,'Final Update'!$Q$21:$AE1009,Column(#REF!),False))</f>
        <v>#N/A</v>
      </c>
      <c r="BI27" s="155" t="str">
        <f>IF($AX27="","", VLOOKUP($AX27,'Final Update'!$Q$21:$AE1009,Column(#REF!),False))</f>
        <v>#N/A</v>
      </c>
      <c r="BJ27" s="189"/>
      <c r="BK27" s="190"/>
      <c r="BL27" s="191"/>
      <c r="BM27" s="191"/>
      <c r="BN27" s="191"/>
      <c r="BO27" s="191"/>
      <c r="BP27" s="191"/>
      <c r="BQ27" s="191"/>
      <c r="BR27" s="191"/>
      <c r="BS27" s="191"/>
      <c r="BT27" s="20"/>
      <c r="BU27" s="20"/>
      <c r="BV27" s="20"/>
    </row>
    <row r="28">
      <c r="A28" s="109">
        <f>VLOOKUP($F28,UpdateHashtag!$V$3:$Y$32,COLUMN(B$9),0)</f>
        <v>4</v>
      </c>
      <c r="B28" s="91" t="str">
        <f>VLOOKUP($F28,UpdateHashtag!$V$3:$Y$32,COLUMN(#REF!),0)</f>
        <v>#REF!</v>
      </c>
      <c r="C28" s="91" t="str">
        <f>VLOOKUP($F28,UpdateHashtag!$V$3:$Y$32,COLUMN(#REF!),0)</f>
        <v>#REF!</v>
      </c>
      <c r="D28" s="110" t="str">
        <f t="shared" si="2"/>
        <v>#REF!</v>
      </c>
      <c r="E28" s="11"/>
      <c r="F28" s="94" t="str">
        <f>VLOOKUP(J28,UpdateBBM!$C$2:E1009,3,0)</f>
        <v>MIN</v>
      </c>
      <c r="G28" s="78">
        <v>15.0</v>
      </c>
      <c r="H28" s="111">
        <f>IFERROR(__xludf.DUMMYFUNCTION("""COMPUTED_VALUE"""),15.0)</f>
        <v>15</v>
      </c>
      <c r="I28" s="111"/>
      <c r="J28" s="112" t="str">
        <f>IFERROR(__xludf.DUMMYFUNCTION("""COMPUTED_VALUE"""),"Anthony Edwards")</f>
        <v>Anthony Edwards</v>
      </c>
      <c r="K28" s="111">
        <f>IFERROR(__xludf.DUMMYFUNCTION("""COMPUTED_VALUE"""),77.0)</f>
        <v>77</v>
      </c>
      <c r="L28" s="113" t="str">
        <f>IFERROR(__xludf.DUMMYFUNCTION("""COMPUTED_VALUE"""),"G,F")</f>
        <v>G,F</v>
      </c>
      <c r="M28" s="114">
        <f>IFERROR(__xludf.DUMMYFUNCTION("""COMPUTED_VALUE"""),4.434595825645324)</f>
        <v>4.434595826</v>
      </c>
      <c r="N28" s="114">
        <f>IFERROR(__xludf.DUMMYFUNCTION("""COMPUTED_VALUE"""),4.792696989827369)</f>
        <v>4.79269699</v>
      </c>
      <c r="O28" s="115">
        <f>IFERROR(__xludf.DUMMYFUNCTION("""COMPUTED_VALUE"""),0.3581011641820444)</f>
        <v>0.3581011642</v>
      </c>
      <c r="P28" s="116">
        <f>IFERROR(__xludf.DUMMYFUNCTION("""COMPUTED_VALUE"""),28.19805)</f>
        <v>28.19805</v>
      </c>
      <c r="Q28" s="116">
        <f>IFERROR(__xludf.DUMMYFUNCTION("""COMPUTED_VALUE"""),3.818701)</f>
        <v>3.818701</v>
      </c>
      <c r="R28" s="116">
        <f>IFERROR(__xludf.DUMMYFUNCTION("""COMPUTED_VALUE"""),5.42026)</f>
        <v>5.42026</v>
      </c>
      <c r="S28" s="117">
        <f>IFERROR(__xludf.DUMMYFUNCTION("""COMPUTED_VALUE"""),4.974805)</f>
        <v>4.974805</v>
      </c>
      <c r="T28" s="116">
        <f>IFERROR(__xludf.DUMMYFUNCTION("""COMPUTED_VALUE"""),1.113506)</f>
        <v>1.113506</v>
      </c>
      <c r="U28" s="116">
        <f>IFERROR(__xludf.DUMMYFUNCTION("""COMPUTED_VALUE"""),0.668312)</f>
        <v>0.668312</v>
      </c>
      <c r="V28" s="113">
        <f>IFERROR(__xludf.DUMMYFUNCTION("""COMPUTED_VALUE"""),0.44995)</f>
        <v>0.44995</v>
      </c>
      <c r="W28" s="113">
        <f>IFERROR(__xludf.DUMMYFUNCTION("""COMPUTED_VALUE"""),0.826999)</f>
        <v>0.826999</v>
      </c>
      <c r="X28" s="116">
        <f>IFERROR(__xludf.DUMMYFUNCTION("""COMPUTED_VALUE"""),3.192727)</f>
        <v>3.192727</v>
      </c>
      <c r="Y28" s="114">
        <f>IFERROR(__xludf.DUMMYFUNCTION("""COMPUTED_VALUE"""),1.9339814071168029)</f>
        <v>1.933981407</v>
      </c>
      <c r="Z28" s="114">
        <f>IFERROR(__xludf.DUMMYFUNCTION("""COMPUTED_VALUE"""),1.979135021860142)</f>
        <v>1.979135022</v>
      </c>
      <c r="AA28" s="114">
        <f>IFERROR(__xludf.DUMMYFUNCTION("""COMPUTED_VALUE"""),-0.28627515645625157)</f>
        <v>-0.2862751565</v>
      </c>
      <c r="AB28" s="114">
        <f>IFERROR(__xludf.DUMMYFUNCTION("""COMPUTED_VALUE"""),0.5558838976021958)</f>
        <v>0.5558838976</v>
      </c>
      <c r="AC28" s="114">
        <f>IFERROR(__xludf.DUMMYFUNCTION("""COMPUTED_VALUE"""),0.20818152950719962)</f>
        <v>0.2081815295</v>
      </c>
      <c r="AD28" s="114">
        <f>IFERROR(__xludf.DUMMYFUNCTION("""COMPUTED_VALUE"""),-0.11255235615592295)</f>
        <v>-0.1125523562</v>
      </c>
      <c r="AE28" s="114">
        <f>IFERROR(__xludf.DUMMYFUNCTION("""COMPUTED_VALUE"""),-0.6113824810968774)</f>
        <v>-0.6113824811</v>
      </c>
      <c r="AF28" s="114">
        <f>IFERROR(__xludf.DUMMYFUNCTION("""COMPUTED_VALUE"""),0.5143426463532014)</f>
        <v>0.5143426464</v>
      </c>
      <c r="AG28" s="118">
        <f>IFERROR(__xludf.DUMMYFUNCTION("""COMPUTED_VALUE"""),0.0)</f>
        <v>0</v>
      </c>
      <c r="AH28" s="134"/>
      <c r="AI28" s="20"/>
      <c r="AJ28" s="192">
        <v>100.0</v>
      </c>
      <c r="AK28" s="189"/>
      <c r="AL28" s="189"/>
      <c r="AM28" s="189"/>
      <c r="AN28" s="189"/>
      <c r="AO28" s="189"/>
      <c r="AP28" s="189"/>
      <c r="AQ28" s="189"/>
      <c r="AR28" s="189"/>
      <c r="AS28" s="189"/>
      <c r="AT28" s="189"/>
      <c r="AU28" s="189"/>
      <c r="AV28" s="189"/>
      <c r="AW28" s="193">
        <v>13.0</v>
      </c>
      <c r="AX28" s="153" t="str">
        <f t="array" ref="AX28">INDIRECT("Draft!P"&amp;TEXT(VLOOKUP(TRUE,I3:J8,2,0)+2,"0"))</f>
        <v>#N/A</v>
      </c>
      <c r="AY28" s="170"/>
      <c r="AZ28" s="155" t="str">
        <f>IF($AX28="","", VLOOKUP($AX28,'Final Update'!$Q$21:$AE1009,Column(#REF!),False))</f>
        <v>#N/A</v>
      </c>
      <c r="BA28" s="155" t="str">
        <f>IF($AX28="","", VLOOKUP($AX28,'Final Update'!$Q$21:$AE1009,Column(#REF!),False))</f>
        <v>#N/A</v>
      </c>
      <c r="BB28" s="155" t="str">
        <f>IF($AX28="","", VLOOKUP($AX28,'Final Update'!$Q$21:$AE1009,Column(#REF!),False))</f>
        <v>#N/A</v>
      </c>
      <c r="BC28" s="155" t="str">
        <f>IF($AX28="","", VLOOKUP($AX28,'Final Update'!$Q$21:$AE1009,Column(#REF!),False))</f>
        <v>#N/A</v>
      </c>
      <c r="BD28" s="155" t="str">
        <f>IF($AX28="","", VLOOKUP($AX28,'Final Update'!$Q$21:$AE1009,Column(#REF!),False))</f>
        <v>#N/A</v>
      </c>
      <c r="BE28" s="155" t="str">
        <f>IF($AX28="","", VLOOKUP($AX28,'Final Update'!$Q$21:$AE1009,Column(#REF!),False))</f>
        <v>#N/A</v>
      </c>
      <c r="BF28" s="157" t="str">
        <f>IF($AX28="","", VLOOKUP($AX28,'Final Update'!$Q$21:$AE1009,Column(#REF!),False))</f>
        <v>#N/A</v>
      </c>
      <c r="BG28" s="157" t="str">
        <f>IF($AX28="","", VLOOKUP($AX28,'Final Update'!$Q$21:$AE1009,Column(#REF!),False))</f>
        <v>#N/A</v>
      </c>
      <c r="BH28" s="157" t="str">
        <f>IF($AX28="","", VLOOKUP($AX28,'Final Update'!$Q$21:$AE1009,Column(#REF!),False))</f>
        <v>#N/A</v>
      </c>
      <c r="BI28" s="155" t="str">
        <f>IF($AX28="","", VLOOKUP($AX28,'Final Update'!$Q$21:$AE1009,Column(#REF!),False))</f>
        <v>#N/A</v>
      </c>
      <c r="BJ28" s="194"/>
      <c r="BK28" s="191"/>
      <c r="BL28" s="191"/>
      <c r="BM28" s="191"/>
      <c r="BN28" s="191"/>
      <c r="BO28" s="191"/>
      <c r="BP28" s="191"/>
      <c r="BQ28" s="191"/>
      <c r="BR28" s="191"/>
      <c r="BS28" s="195"/>
      <c r="BT28" s="189"/>
      <c r="BU28" s="189"/>
      <c r="BV28" s="189"/>
    </row>
    <row r="29">
      <c r="A29" s="109">
        <f>VLOOKUP($F29,UpdateHashtag!$V$3:$Y$32,COLUMN(B$9),0)</f>
        <v>4</v>
      </c>
      <c r="B29" s="91" t="str">
        <f>VLOOKUP($F29,UpdateHashtag!$V$3:$Y$32,COLUMN(#REF!),0)</f>
        <v>#REF!</v>
      </c>
      <c r="C29" s="91" t="str">
        <f>VLOOKUP($F29,UpdateHashtag!$V$3:$Y$32,COLUMN(#REF!),0)</f>
        <v>#REF!</v>
      </c>
      <c r="D29" s="110" t="str">
        <f t="shared" si="2"/>
        <v>#REF!</v>
      </c>
      <c r="E29" s="11"/>
      <c r="F29" s="94" t="str">
        <f>VLOOKUP(J29,UpdateBBM!$C$2:E1009,3,0)</f>
        <v>CLE</v>
      </c>
      <c r="G29" s="78">
        <v>16.0</v>
      </c>
      <c r="H29" s="111">
        <f>IFERROR(__xludf.DUMMYFUNCTION("""COMPUTED_VALUE"""),16.0)</f>
        <v>16</v>
      </c>
      <c r="I29" s="111"/>
      <c r="J29" s="112" t="str">
        <f>IFERROR(__xludf.DUMMYFUNCTION("""COMPUTED_VALUE"""),"Donovan Mitchell")</f>
        <v>Donovan Mitchell</v>
      </c>
      <c r="K29" s="111">
        <f>IFERROR(__xludf.DUMMYFUNCTION("""COMPUTED_VALUE"""),68.0)</f>
        <v>68</v>
      </c>
      <c r="L29" s="113" t="str">
        <f>IFERROR(__xludf.DUMMYFUNCTION("""COMPUTED_VALUE"""),"G")</f>
        <v>G</v>
      </c>
      <c r="M29" s="114">
        <f>IFERROR(__xludf.DUMMYFUNCTION("""COMPUTED_VALUE"""),4.263374273939553)</f>
        <v>4.263374274</v>
      </c>
      <c r="N29" s="114">
        <f>IFERROR(__xludf.DUMMYFUNCTION("""COMPUTED_VALUE"""),4.41413534340966)</f>
        <v>4.414135343</v>
      </c>
      <c r="O29" s="115">
        <f>IFERROR(__xludf.DUMMYFUNCTION("""COMPUTED_VALUE"""),0.15076106947010715)</f>
        <v>0.1507610695</v>
      </c>
      <c r="P29" s="116">
        <f>IFERROR(__xludf.DUMMYFUNCTION("""COMPUTED_VALUE"""),26.15735)</f>
        <v>26.15735</v>
      </c>
      <c r="Q29" s="116">
        <f>IFERROR(__xludf.DUMMYFUNCTION("""COMPUTED_VALUE"""),3.337647)</f>
        <v>3.337647</v>
      </c>
      <c r="R29" s="116">
        <f>IFERROR(__xludf.DUMMYFUNCTION("""COMPUTED_VALUE"""),4.578676)</f>
        <v>4.578676</v>
      </c>
      <c r="S29" s="117">
        <f>IFERROR(__xludf.DUMMYFUNCTION("""COMPUTED_VALUE"""),5.656029)</f>
        <v>5.656029</v>
      </c>
      <c r="T29" s="116">
        <f>IFERROR(__xludf.DUMMYFUNCTION("""COMPUTED_VALUE"""),1.274706)</f>
        <v>1.274706</v>
      </c>
      <c r="U29" s="116">
        <f>IFERROR(__xludf.DUMMYFUNCTION("""COMPUTED_VALUE"""),0.27)</f>
        <v>0.27</v>
      </c>
      <c r="V29" s="113">
        <f>IFERROR(__xludf.DUMMYFUNCTION("""COMPUTED_VALUE"""),0.460659)</f>
        <v>0.460659</v>
      </c>
      <c r="W29" s="113">
        <f>IFERROR(__xludf.DUMMYFUNCTION("""COMPUTED_VALUE"""),0.850008)</f>
        <v>0.850008</v>
      </c>
      <c r="X29" s="116">
        <f>IFERROR(__xludf.DUMMYFUNCTION("""COMPUTED_VALUE"""),2.356618)</f>
        <v>2.356618</v>
      </c>
      <c r="Y29" s="114">
        <f>IFERROR(__xludf.DUMMYFUNCTION("""COMPUTED_VALUE"""),1.5759556689256276)</f>
        <v>1.575955669</v>
      </c>
      <c r="Z29" s="114">
        <f>IFERROR(__xludf.DUMMYFUNCTION("""COMPUTED_VALUE"""),1.5145169823139626)</f>
        <v>1.514516982</v>
      </c>
      <c r="AA29" s="114">
        <f>IFERROR(__xludf.DUMMYFUNCTION("""COMPUTED_VALUE"""),-0.6274142658268362)</f>
        <v>-0.6274142658</v>
      </c>
      <c r="AB29" s="114">
        <f>IFERROR(__xludf.DUMMYFUNCTION("""COMPUTED_VALUE"""),0.8886716973631428)</f>
        <v>0.8886716974</v>
      </c>
      <c r="AC29" s="114">
        <f>IFERROR(__xludf.DUMMYFUNCTION("""COMPUTED_VALUE"""),0.6993950116725954)</f>
        <v>0.6993950117</v>
      </c>
      <c r="AD29" s="114">
        <f>IFERROR(__xludf.DUMMYFUNCTION("""COMPUTED_VALUE"""),-0.8366804752685153)</f>
        <v>-0.8366804753</v>
      </c>
      <c r="AE29" s="114">
        <f>IFERROR(__xludf.DUMMYFUNCTION("""COMPUTED_VALUE"""),-0.47774136502858905)</f>
        <v>-0.477741365</v>
      </c>
      <c r="AF29" s="114">
        <f>IFERROR(__xludf.DUMMYFUNCTION("""COMPUTED_VALUE"""),0.8407516139897564)</f>
        <v>0.840751614</v>
      </c>
      <c r="AG29" s="118">
        <f>IFERROR(__xludf.DUMMYFUNCTION("""COMPUTED_VALUE"""),0.0)</f>
        <v>0</v>
      </c>
      <c r="AH29" s="134"/>
      <c r="AI29" s="20"/>
      <c r="AJ29" s="135">
        <v>50.0</v>
      </c>
      <c r="AK29" s="189"/>
      <c r="AL29" s="189"/>
      <c r="AM29" s="189"/>
      <c r="AN29" s="189"/>
      <c r="AO29" s="189"/>
      <c r="AP29" s="189"/>
      <c r="AQ29" s="189"/>
      <c r="AR29" s="189"/>
      <c r="AS29" s="189"/>
      <c r="AT29" s="189"/>
      <c r="AU29" s="189"/>
      <c r="AV29" s="189"/>
      <c r="AW29" s="193">
        <v>14.0</v>
      </c>
      <c r="AX29" s="153" t="str">
        <f t="array" ref="AX29">INDIRECT("Draft!Q"&amp;TEXT(15-VLOOKUP(TRUE,I3:J8,2,0),"0"))</f>
        <v>#N/A</v>
      </c>
      <c r="AY29" s="170"/>
      <c r="AZ29" s="196"/>
      <c r="BA29" s="196"/>
      <c r="BB29" s="196"/>
      <c r="BC29" s="196"/>
      <c r="BD29" s="196"/>
      <c r="BE29" s="196"/>
      <c r="BF29" s="196"/>
      <c r="BG29" s="196"/>
      <c r="BH29" s="196"/>
      <c r="BI29" s="196"/>
      <c r="BJ29" s="189"/>
      <c r="BK29" s="105"/>
      <c r="BL29" s="105"/>
      <c r="BM29" s="105"/>
      <c r="BN29" s="105"/>
      <c r="BO29" s="105"/>
      <c r="BP29" s="105"/>
      <c r="BQ29" s="105"/>
      <c r="BR29" s="105"/>
      <c r="BS29" s="105"/>
      <c r="BT29" s="105"/>
      <c r="BU29" s="105"/>
      <c r="BV29" s="105"/>
    </row>
    <row r="30">
      <c r="A30" s="109">
        <f>VLOOKUP($F30,UpdateHashtag!$V$3:$Y$32,COLUMN(B$9),0)</f>
        <v>4</v>
      </c>
      <c r="B30" s="91" t="str">
        <f>VLOOKUP($F30,UpdateHashtag!$V$3:$Y$32,COLUMN(#REF!),0)</f>
        <v>#REF!</v>
      </c>
      <c r="C30" s="91" t="str">
        <f>VLOOKUP($F30,UpdateHashtag!$V$3:$Y$32,COLUMN(#REF!),0)</f>
        <v>#REF!</v>
      </c>
      <c r="D30" s="110" t="str">
        <f t="shared" si="2"/>
        <v>#REF!</v>
      </c>
      <c r="E30" s="11"/>
      <c r="F30" s="94" t="str">
        <f>VLOOKUP(J30,UpdateBBM!$C$2:E1009,3,0)</f>
        <v>HOU</v>
      </c>
      <c r="G30" s="78">
        <v>17.0</v>
      </c>
      <c r="H30" s="111">
        <f>IFERROR(__xludf.DUMMYFUNCTION("""COMPUTED_VALUE"""),17.0)</f>
        <v>17</v>
      </c>
      <c r="I30" s="111"/>
      <c r="J30" s="112" t="str">
        <f>IFERROR(__xludf.DUMMYFUNCTION("""COMPUTED_VALUE"""),"Kevin Durant")</f>
        <v>Kevin Durant</v>
      </c>
      <c r="K30" s="111">
        <f>IFERROR(__xludf.DUMMYFUNCTION("""COMPUTED_VALUE"""),64.0)</f>
        <v>64</v>
      </c>
      <c r="L30" s="113" t="str">
        <f>IFERROR(__xludf.DUMMYFUNCTION("""COMPUTED_VALUE"""),"F")</f>
        <v>F</v>
      </c>
      <c r="M30" s="114">
        <f>IFERROR(__xludf.DUMMYFUNCTION("""COMPUTED_VALUE"""),4.1577032402455725)</f>
        <v>4.15770324</v>
      </c>
      <c r="N30" s="114">
        <f>IFERROR(__xludf.DUMMYFUNCTION("""COMPUTED_VALUE"""),4.54589356473084)</f>
        <v>4.545893565</v>
      </c>
      <c r="O30" s="115">
        <f>IFERROR(__xludf.DUMMYFUNCTION("""COMPUTED_VALUE"""),0.3881903244852678)</f>
        <v>0.3881903245</v>
      </c>
      <c r="P30" s="116">
        <f>IFERROR(__xludf.DUMMYFUNCTION("""COMPUTED_VALUE"""),28.26391)</f>
        <v>28.26391</v>
      </c>
      <c r="Q30" s="116">
        <f>IFERROR(__xludf.DUMMYFUNCTION("""COMPUTED_VALUE"""),2.716563)</f>
        <v>2.716563</v>
      </c>
      <c r="R30" s="116">
        <f>IFERROR(__xludf.DUMMYFUNCTION("""COMPUTED_VALUE"""),5.3025)</f>
        <v>5.3025</v>
      </c>
      <c r="S30" s="117">
        <f>IFERROR(__xludf.DUMMYFUNCTION("""COMPUTED_VALUE"""),4.860625)</f>
        <v>4.860625</v>
      </c>
      <c r="T30" s="116">
        <f>IFERROR(__xludf.DUMMYFUNCTION("""COMPUTED_VALUE"""),0.807969)</f>
        <v>0.807969</v>
      </c>
      <c r="U30" s="116">
        <f>IFERROR(__xludf.DUMMYFUNCTION("""COMPUTED_VALUE"""),0.88375)</f>
        <v>0.88375</v>
      </c>
      <c r="V30" s="113">
        <f>IFERROR(__xludf.DUMMYFUNCTION("""COMPUTED_VALUE"""),0.514412)</f>
        <v>0.514412</v>
      </c>
      <c r="W30" s="113">
        <f>IFERROR(__xludf.DUMMYFUNCTION("""COMPUTED_VALUE"""),0.857004)</f>
        <v>0.857004</v>
      </c>
      <c r="X30" s="116">
        <f>IFERROR(__xludf.DUMMYFUNCTION("""COMPUTED_VALUE"""),3.314063)</f>
        <v>3.314063</v>
      </c>
      <c r="Y30" s="114">
        <f>IFERROR(__xludf.DUMMYFUNCTION("""COMPUTED_VALUE"""),1.9455360575393397)</f>
        <v>1.945536058</v>
      </c>
      <c r="Z30" s="114">
        <f>IFERROR(__xludf.DUMMYFUNCTION("""COMPUTED_VALUE"""),0.9146532861935696)</f>
        <v>0.9146532862</v>
      </c>
      <c r="AA30" s="114">
        <f>IFERROR(__xludf.DUMMYFUNCTION("""COMPUTED_VALUE"""),-0.33400959712941064)</f>
        <v>-0.3340095971</v>
      </c>
      <c r="AB30" s="114">
        <f>IFERROR(__xludf.DUMMYFUNCTION("""COMPUTED_VALUE"""),0.5001053123252458)</f>
        <v>0.5001053123</v>
      </c>
      <c r="AC30" s="114">
        <f>IFERROR(__xludf.DUMMYFUNCTION("""COMPUTED_VALUE"""),-0.7228599946886364)</f>
        <v>-0.7228599947</v>
      </c>
      <c r="AD30" s="114">
        <f>IFERROR(__xludf.DUMMYFUNCTION("""COMPUTED_VALUE"""),0.27911225280734875)</f>
        <v>0.2791122528</v>
      </c>
      <c r="AE30" s="114">
        <f>IFERROR(__xludf.DUMMYFUNCTION("""COMPUTED_VALUE"""),0.2971486134220053)</f>
        <v>0.2971486134</v>
      </c>
      <c r="AF30" s="114">
        <f>IFERROR(__xludf.DUMMYFUNCTION("""COMPUTED_VALUE"""),0.9433476395727419)</f>
        <v>0.9433476396</v>
      </c>
      <c r="AG30" s="118">
        <f>IFERROR(__xludf.DUMMYFUNCTION("""COMPUTED_VALUE"""),0.0)</f>
        <v>0</v>
      </c>
      <c r="AH30" s="134"/>
      <c r="AI30" s="20"/>
      <c r="AJ30" s="189"/>
      <c r="AK30" s="189"/>
      <c r="AL30" s="189"/>
      <c r="AM30" s="189"/>
      <c r="AN30" s="189"/>
      <c r="AO30" s="189"/>
      <c r="AP30" s="189"/>
      <c r="AQ30" s="189"/>
      <c r="AR30" s="189"/>
      <c r="AS30" s="189"/>
      <c r="AT30" s="189"/>
      <c r="AU30" s="189"/>
      <c r="AV30" s="189"/>
      <c r="AW30" s="189"/>
      <c r="AX30" s="189"/>
      <c r="AY30" s="128" t="s">
        <v>1328</v>
      </c>
      <c r="AZ30" s="197" t="str">
        <f t="shared" ref="AZ30:BE30" si="3">IFERROR(AVERAGE(SUMPRODUCT(AZ$16:AZ$29,$AJ$16:$AJ$29/100))/(SUM(OFFSET($AJ$16,0,0,COUNT($AZ$16:$AZ$29)))/100),"")</f>
        <v/>
      </c>
      <c r="BA30" s="197" t="str">
        <f t="shared" si="3"/>
        <v/>
      </c>
      <c r="BB30" s="197" t="str">
        <f t="shared" si="3"/>
        <v/>
      </c>
      <c r="BC30" s="197" t="str">
        <f t="shared" si="3"/>
        <v/>
      </c>
      <c r="BD30" s="197" t="str">
        <f t="shared" si="3"/>
        <v/>
      </c>
      <c r="BE30" s="197" t="str">
        <f t="shared" si="3"/>
        <v/>
      </c>
      <c r="BF30" s="197" t="str">
        <f t="array" ref="BF30">IFERROR(100*SUMPRODUCT(IFERROR(VLOOKUP(AX16:AX29,UpdateHashtag!$C:$S,6,False),"")*AJ16:AJ29/100)/SUMPRODUCT(IFERROR(VLOOKUP(AX16:AX29,UpdateHashtag!$C:$S,17,False),"")*AJ16:AJ29/100),"")</f>
        <v/>
      </c>
      <c r="BG30" s="197" t="str">
        <f t="array" ref="BG30">IFERROR(100*SUMPRODUCT(IFERROR(VLOOKUP(AX16:AX29,UpdateHashtag!$C:$T,8,False),"")*AJ16:AJ29/100)/SUMPRODUCT(IFERROR(VLOOKUP(AX16:AX29,UpdateHashtag!$C:$T,18,False),"")*AJ16:AJ29/100),"")</f>
        <v/>
      </c>
      <c r="BH30" s="197" t="str">
        <f>AVERAGE(SUMPRODUCT(BG16:BG29,$B16:$B29/100))/(SUM(OFFSET($B16,0,0,COUNT(BG16:BG29)))/100)</f>
        <v>#N/A</v>
      </c>
      <c r="BI30" s="198"/>
      <c r="BJ30" s="189"/>
      <c r="BK30" s="105"/>
      <c r="BL30" s="105"/>
      <c r="BM30" s="105"/>
      <c r="BN30" s="105"/>
      <c r="BO30" s="105"/>
      <c r="BP30" s="105"/>
      <c r="BQ30" s="105"/>
      <c r="BR30" s="105"/>
      <c r="BS30" s="105"/>
      <c r="BT30" s="105"/>
      <c r="BU30" s="105"/>
      <c r="BV30" s="105"/>
    </row>
    <row r="31">
      <c r="A31" s="109">
        <f>VLOOKUP($F31,UpdateHashtag!$V$3:$Y$32,COLUMN(B$9),0)</f>
        <v>3</v>
      </c>
      <c r="B31" s="91" t="str">
        <f>VLOOKUP($F31,UpdateHashtag!$V$3:$Y$32,COLUMN(#REF!),0)</f>
        <v>#REF!</v>
      </c>
      <c r="C31" s="91" t="str">
        <f>VLOOKUP($F31,UpdateHashtag!$V$3:$Y$32,COLUMN(#REF!),0)</f>
        <v>#REF!</v>
      </c>
      <c r="D31" s="110" t="str">
        <f t="shared" si="2"/>
        <v>#REF!</v>
      </c>
      <c r="E31" s="11"/>
      <c r="F31" s="94" t="str">
        <f>VLOOKUP(J31,UpdateBBM!$C$2:E1009,3,0)</f>
        <v>PHO</v>
      </c>
      <c r="G31" s="78">
        <v>18.0</v>
      </c>
      <c r="H31" s="111">
        <f>IFERROR(__xludf.DUMMYFUNCTION("""COMPUTED_VALUE"""),18.0)</f>
        <v>18</v>
      </c>
      <c r="I31" s="111"/>
      <c r="J31" s="112" t="str">
        <f>IFERROR(__xludf.DUMMYFUNCTION("""COMPUTED_VALUE"""),"Devin Booker")</f>
        <v>Devin Booker</v>
      </c>
      <c r="K31" s="111">
        <f>IFERROR(__xludf.DUMMYFUNCTION("""COMPUTED_VALUE"""),68.0)</f>
        <v>68</v>
      </c>
      <c r="L31" s="113" t="str">
        <f>IFERROR(__xludf.DUMMYFUNCTION("""COMPUTED_VALUE"""),"G,F")</f>
        <v>G,F</v>
      </c>
      <c r="M31" s="114">
        <f>IFERROR(__xludf.DUMMYFUNCTION("""COMPUTED_VALUE"""),4.144406288966499)</f>
        <v>4.144406289</v>
      </c>
      <c r="N31" s="114">
        <f>IFERROR(__xludf.DUMMYFUNCTION("""COMPUTED_VALUE"""),4.53932015307151)</f>
        <v>4.539320153</v>
      </c>
      <c r="O31" s="115">
        <f>IFERROR(__xludf.DUMMYFUNCTION("""COMPUTED_VALUE"""),0.3949138641050114)</f>
        <v>0.3949138641</v>
      </c>
      <c r="P31" s="116">
        <f>IFERROR(__xludf.DUMMYFUNCTION("""COMPUTED_VALUE"""),26.84118)</f>
        <v>26.84118</v>
      </c>
      <c r="Q31" s="116">
        <f>IFERROR(__xludf.DUMMYFUNCTION("""COMPUTED_VALUE"""),2.306176)</f>
        <v>2.306176</v>
      </c>
      <c r="R31" s="116">
        <f>IFERROR(__xludf.DUMMYFUNCTION("""COMPUTED_VALUE"""),4.752059)</f>
        <v>4.752059</v>
      </c>
      <c r="S31" s="117">
        <f>IFERROR(__xludf.DUMMYFUNCTION("""COMPUTED_VALUE"""),8.093235)</f>
        <v>8.093235</v>
      </c>
      <c r="T31" s="116">
        <f>IFERROR(__xludf.DUMMYFUNCTION("""COMPUTED_VALUE"""),0.891029)</f>
        <v>0.891029</v>
      </c>
      <c r="U31" s="116">
        <f>IFERROR(__xludf.DUMMYFUNCTION("""COMPUTED_VALUE"""),0.297059)</f>
        <v>0.297059</v>
      </c>
      <c r="V31" s="113">
        <f>IFERROR(__xludf.DUMMYFUNCTION("""COMPUTED_VALUE"""),0.476236)</f>
        <v>0.476236</v>
      </c>
      <c r="W31" s="113">
        <f>IFERROR(__xludf.DUMMYFUNCTION("""COMPUTED_VALUE"""),0.895995)</f>
        <v>0.895995</v>
      </c>
      <c r="X31" s="116">
        <f>IFERROR(__xludf.DUMMYFUNCTION("""COMPUTED_VALUE"""),3.341176)</f>
        <v>3.341176</v>
      </c>
      <c r="Y31" s="114">
        <f>IFERROR(__xludf.DUMMYFUNCTION("""COMPUTED_VALUE"""),1.6959285902503063)</f>
        <v>1.69592859</v>
      </c>
      <c r="Z31" s="114">
        <f>IFERROR(__xludf.DUMMYFUNCTION("""COMPUTED_VALUE"""),0.5182877983372415)</f>
        <v>0.5182877983</v>
      </c>
      <c r="AA31" s="114">
        <f>IFERROR(__xludf.DUMMYFUNCTION("""COMPUTED_VALUE"""),-0.5571328415126856)</f>
        <v>-0.5571328415</v>
      </c>
      <c r="AB31" s="114">
        <f>IFERROR(__xludf.DUMMYFUNCTION("""COMPUTED_VALUE"""),2.079282160741089)</f>
        <v>2.079282161</v>
      </c>
      <c r="AC31" s="114">
        <f>IFERROR(__xludf.DUMMYFUNCTION("""COMPUTED_VALUE"""),-0.4697570677118511)</f>
        <v>-0.4697570677</v>
      </c>
      <c r="AD31" s="114">
        <f>IFERROR(__xludf.DUMMYFUNCTION("""COMPUTED_VALUE"""),-0.7874874236530288)</f>
        <v>-0.7874874237</v>
      </c>
      <c r="AE31" s="114">
        <f>IFERROR(__xludf.DUMMYFUNCTION("""COMPUTED_VALUE"""),-0.27105087502285174)</f>
        <v>-0.271050875</v>
      </c>
      <c r="AF31" s="114">
        <f>IFERROR(__xludf.DUMMYFUNCTION("""COMPUTED_VALUE"""),1.5437623879902618)</f>
        <v>1.543762388</v>
      </c>
      <c r="AG31" s="118">
        <f>IFERROR(__xludf.DUMMYFUNCTION("""COMPUTED_VALUE"""),0.0)</f>
        <v>0</v>
      </c>
      <c r="AH31" s="134"/>
      <c r="AI31" s="20"/>
      <c r="AJ31" s="189"/>
      <c r="AK31" s="189"/>
      <c r="AL31" s="189"/>
      <c r="AM31" s="189"/>
      <c r="AN31" s="189"/>
      <c r="AO31" s="189"/>
      <c r="AP31" s="189"/>
      <c r="AQ31" s="189"/>
      <c r="AR31" s="189"/>
      <c r="AS31" s="189"/>
      <c r="AT31" s="189"/>
      <c r="AU31" s="189"/>
      <c r="AV31" s="189"/>
      <c r="AW31" s="189"/>
      <c r="AX31" s="189"/>
      <c r="AY31" s="128" t="s">
        <v>1329</v>
      </c>
      <c r="AZ31" s="199" t="str">
        <f>IFERROR((SUM(OFFSET(AJ16,0,0,COUNT(AZ16:AZ29)))/100)*(AZ30-'Final Update'!$B$1)/'Final Update'!$B$2,"")</f>
        <v/>
      </c>
      <c r="BA31" s="199" t="str">
        <f>IFERROR((SUM(OFFSET(AJ16,0,0,COUNT(AZ16:AZ29)))/100)*(BA30-'Final Update'!$C$1)/'Final Update'!$C$2,"")</f>
        <v/>
      </c>
      <c r="BB31" s="199" t="str">
        <f>IFERROR((SUM(OFFSET(AJ16,0,0,COUNT(AZ16:AZ29)))/100)*(BB30-'Final Update'!$D$1)/'Final Update'!$D$2,"")</f>
        <v/>
      </c>
      <c r="BC31" s="199" t="str">
        <f>IFERROR((SUM(OFFSET(AJ16,0,0,COUNT(AZ16:AZ29)))/100)*(BC30-'Final Update'!$E$1)/'Final Update'!$E$2,"")</f>
        <v/>
      </c>
      <c r="BD31" s="199" t="str">
        <f>IFERROR((SUM(OFFSET(AJ16,0,0,COUNT(AZ16:AZ29)))/100)*(BD30-'Final Update'!$F$1)/'Final Update'!$F$2,"")</f>
        <v/>
      </c>
      <c r="BE31" s="199" t="str">
        <f>IFERROR((SUM(OFFSET(AJ16,0,0,COUNT(AZ16:AZ29)))/100)*(BE30-'Final Update'!$G$1)/'Final Update'!$G$2,"")</f>
        <v/>
      </c>
      <c r="BF31" s="199">
        <f t="array" ref="BF31">SUMPRODUCT(IFERROR(VLOOKUP(AX16:AX29,'Final Update'!$A$4:$L$403,8,False)*AJ16:AJ29/100,""))</f>
        <v>0</v>
      </c>
      <c r="BG31" s="199">
        <f t="array" ref="BG31">SUMPRODUCT(IFERROR(VLOOKUP(AX16:AX29,'Final Update'!$A$4:$L$403,10,False)*AJ16:AJ29/100,""))</f>
        <v>0</v>
      </c>
      <c r="BH31" s="199" t="str">
        <f>-(SUM(OFFSET(AJ16,0,0,COUNT(AZ16:AZ29)))/100)*(BH30-'Final Update'!$L$1)/'Final Update'!$L$2</f>
        <v>#VALUE!</v>
      </c>
      <c r="BI31" s="198"/>
      <c r="BJ31" s="189"/>
      <c r="BK31" s="105"/>
      <c r="BL31" s="105"/>
      <c r="BM31" s="105"/>
      <c r="BN31" s="105"/>
      <c r="BO31" s="105"/>
      <c r="BP31" s="105"/>
      <c r="BQ31" s="105"/>
      <c r="BR31" s="105"/>
      <c r="BS31" s="105"/>
      <c r="BT31" s="105"/>
      <c r="BU31" s="105"/>
      <c r="BV31" s="105"/>
    </row>
    <row r="32">
      <c r="A32" s="109">
        <f>VLOOKUP($F32,UpdateHashtag!$V$3:$Y$32,COLUMN(B$9),0)</f>
        <v>4</v>
      </c>
      <c r="B32" s="91" t="str">
        <f>VLOOKUP($F32,UpdateHashtag!$V$3:$Y$32,COLUMN(#REF!),0)</f>
        <v>#REF!</v>
      </c>
      <c r="C32" s="91" t="str">
        <f>VLOOKUP($F32,UpdateHashtag!$V$3:$Y$32,COLUMN(#REF!),0)</f>
        <v>#REF!</v>
      </c>
      <c r="D32" s="110" t="str">
        <f t="shared" si="2"/>
        <v>#REF!</v>
      </c>
      <c r="E32" s="11"/>
      <c r="F32" s="94" t="str">
        <f>VLOOKUP(J32,UpdateBBM!$C$2:E1009,3,0)</f>
        <v>DET</v>
      </c>
      <c r="G32" s="78">
        <v>19.0</v>
      </c>
      <c r="H32" s="111">
        <f>IFERROR(__xludf.DUMMYFUNCTION("""COMPUTED_VALUE"""),19.0)</f>
        <v>19</v>
      </c>
      <c r="I32" s="111"/>
      <c r="J32" s="112" t="str">
        <f>IFERROR(__xludf.DUMMYFUNCTION("""COMPUTED_VALUE"""),"Cade Cunningham")</f>
        <v>Cade Cunningham</v>
      </c>
      <c r="K32" s="111">
        <f>IFERROR(__xludf.DUMMYFUNCTION("""COMPUTED_VALUE"""),73.0)</f>
        <v>73</v>
      </c>
      <c r="L32" s="113" t="str">
        <f>IFERROR(__xludf.DUMMYFUNCTION("""COMPUTED_VALUE"""),"G")</f>
        <v>G</v>
      </c>
      <c r="M32" s="114">
        <f>IFERROR(__xludf.DUMMYFUNCTION("""COMPUTED_VALUE"""),4.027455577850566)</f>
        <v>4.027455578</v>
      </c>
      <c r="N32" s="114">
        <f>IFERROR(__xludf.DUMMYFUNCTION("""COMPUTED_VALUE"""),4.551843890299321)</f>
        <v>4.55184389</v>
      </c>
      <c r="O32" s="115">
        <f>IFERROR(__xludf.DUMMYFUNCTION("""COMPUTED_VALUE"""),0.524388312448755)</f>
        <v>0.5243883124</v>
      </c>
      <c r="P32" s="116">
        <f>IFERROR(__xludf.DUMMYFUNCTION("""COMPUTED_VALUE"""),26.39342)</f>
        <v>26.39342</v>
      </c>
      <c r="Q32" s="116">
        <f>IFERROR(__xludf.DUMMYFUNCTION("""COMPUTED_VALUE"""),1.808219)</f>
        <v>1.808219</v>
      </c>
      <c r="R32" s="116">
        <f>IFERROR(__xludf.DUMMYFUNCTION("""COMPUTED_VALUE"""),5.580274)</f>
        <v>5.580274</v>
      </c>
      <c r="S32" s="117">
        <f>IFERROR(__xludf.DUMMYFUNCTION("""COMPUTED_VALUE"""),8.584932)</f>
        <v>8.584932</v>
      </c>
      <c r="T32" s="116">
        <f>IFERROR(__xludf.DUMMYFUNCTION("""COMPUTED_VALUE"""),1.0)</f>
        <v>1</v>
      </c>
      <c r="U32" s="116">
        <f>IFERROR(__xludf.DUMMYFUNCTION("""COMPUTED_VALUE"""),0.644521)</f>
        <v>0.644521</v>
      </c>
      <c r="V32" s="113">
        <f>IFERROR(__xludf.DUMMYFUNCTION("""COMPUTED_VALUE"""),0.479295)</f>
        <v>0.479295</v>
      </c>
      <c r="W32" s="113">
        <f>IFERROR(__xludf.DUMMYFUNCTION("""COMPUTED_VALUE"""),0.866994)</f>
        <v>0.866994</v>
      </c>
      <c r="X32" s="116">
        <f>IFERROR(__xludf.DUMMYFUNCTION("""COMPUTED_VALUE"""),3.863288)</f>
        <v>3.863288</v>
      </c>
      <c r="Y32" s="114">
        <f>IFERROR(__xludf.DUMMYFUNCTION("""COMPUTED_VALUE"""),1.6173724063269066)</f>
        <v>1.617372406</v>
      </c>
      <c r="Z32" s="114">
        <f>IFERROR(__xludf.DUMMYFUNCTION("""COMPUTED_VALUE"""),0.03734427615824096)</f>
        <v>0.03734427616</v>
      </c>
      <c r="AA32" s="114">
        <f>IFERROR(__xludf.DUMMYFUNCTION("""COMPUTED_VALUE"""),-0.22141290450418874)</f>
        <v>-0.2214129045</v>
      </c>
      <c r="AB32" s="114">
        <f>IFERROR(__xludf.DUMMYFUNCTION("""COMPUTED_VALUE"""),2.319483273413365)</f>
        <v>2.319483273</v>
      </c>
      <c r="AC32" s="114">
        <f>IFERROR(__xludf.DUMMYFUNCTION("""COMPUTED_VALUE"""),-0.13769736321405063)</f>
        <v>-0.1376973632</v>
      </c>
      <c r="AD32" s="114">
        <f>IFERROR(__xludf.DUMMYFUNCTION("""COMPUTED_VALUE"""),-0.15580420918020466)</f>
        <v>-0.1558042092</v>
      </c>
      <c r="AE32" s="114">
        <f>IFERROR(__xludf.DUMMYFUNCTION("""COMPUTED_VALUE"""),-0.2287486511636934)</f>
        <v>-0.2287486512</v>
      </c>
      <c r="AF32" s="114">
        <f>IFERROR(__xludf.DUMMYFUNCTION("""COMPUTED_VALUE"""),1.0925584112992535)</f>
        <v>1.092558411</v>
      </c>
      <c r="AG32" s="118">
        <f>IFERROR(__xludf.DUMMYFUNCTION("""COMPUTED_VALUE"""),0.0)</f>
        <v>0</v>
      </c>
      <c r="AH32" s="134"/>
      <c r="AI32" s="20"/>
      <c r="AJ32" s="14"/>
      <c r="AK32" s="20"/>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row>
    <row r="33">
      <c r="A33" s="91" t="str">
        <f>VLOOKUP($F33,UpdateHashtag!$V$3:$Y$32,COLUMN(B$9),0)</f>
        <v>#N/A</v>
      </c>
      <c r="B33" s="91" t="str">
        <f>VLOOKUP($F33,UpdateHashtag!$V$3:$Y$32,COLUMN(#REF!),0)</f>
        <v>#REF!</v>
      </c>
      <c r="C33" s="91" t="str">
        <f>VLOOKUP($F33,UpdateHashtag!$V$3:$Y$32,COLUMN(#REF!),0)</f>
        <v>#REF!</v>
      </c>
      <c r="D33" s="110" t="str">
        <f t="shared" si="2"/>
        <v>#N/A</v>
      </c>
      <c r="E33" s="11"/>
      <c r="F33" s="94" t="str">
        <f>VLOOKUP(J33,UpdateBBM!$C$2:E1009,3,0)</f>
        <v>NOR</v>
      </c>
      <c r="G33" s="78">
        <v>20.0</v>
      </c>
      <c r="H33" s="111">
        <f>IFERROR(__xludf.DUMMYFUNCTION("""COMPUTED_VALUE"""),20.0)</f>
        <v>20</v>
      </c>
      <c r="I33" s="111"/>
      <c r="J33" s="112" t="str">
        <f>IFERROR(__xludf.DUMMYFUNCTION("""COMPUTED_VALUE"""),"Zion Williamson")</f>
        <v>Zion Williamson</v>
      </c>
      <c r="K33" s="111">
        <f>IFERROR(__xludf.DUMMYFUNCTION("""COMPUTED_VALUE"""),58.0)</f>
        <v>58</v>
      </c>
      <c r="L33" s="113" t="str">
        <f>IFERROR(__xludf.DUMMYFUNCTION("""COMPUTED_VALUE"""),"F")</f>
        <v>F</v>
      </c>
      <c r="M33" s="114">
        <f>IFERROR(__xludf.DUMMYFUNCTION("""COMPUTED_VALUE"""),3.9433883894009893)</f>
        <v>3.943388389</v>
      </c>
      <c r="N33" s="114">
        <f>IFERROR(__xludf.DUMMYFUNCTION("""COMPUTED_VALUE"""),4.28828599279988)</f>
        <v>4.288285993</v>
      </c>
      <c r="O33" s="115">
        <f>IFERROR(__xludf.DUMMYFUNCTION("""COMPUTED_VALUE"""),0.3448976033988904)</f>
        <v>0.3448976034</v>
      </c>
      <c r="P33" s="116">
        <f>IFERROR(__xludf.DUMMYFUNCTION("""COMPUTED_VALUE"""),27.48466)</f>
        <v>27.48466</v>
      </c>
      <c r="Q33" s="116">
        <f>IFERROR(__xludf.DUMMYFUNCTION("""COMPUTED_VALUE"""),0.157241)</f>
        <v>0.157241</v>
      </c>
      <c r="R33" s="116">
        <f>IFERROR(__xludf.DUMMYFUNCTION("""COMPUTED_VALUE"""),7.07)</f>
        <v>7.07</v>
      </c>
      <c r="S33" s="117">
        <f>IFERROR(__xludf.DUMMYFUNCTION("""COMPUTED_VALUE"""),5.992586)</f>
        <v>5.992586</v>
      </c>
      <c r="T33" s="116">
        <f>IFERROR(__xludf.DUMMYFUNCTION("""COMPUTED_VALUE"""),1.212069)</f>
        <v>1.212069</v>
      </c>
      <c r="U33" s="116">
        <f>IFERROR(__xludf.DUMMYFUNCTION("""COMPUTED_VALUE"""),0.875345)</f>
        <v>0.875345</v>
      </c>
      <c r="V33" s="113">
        <f>IFERROR(__xludf.DUMMYFUNCTION("""COMPUTED_VALUE"""),0.578747)</f>
        <v>0.578747</v>
      </c>
      <c r="W33" s="113">
        <f>IFERROR(__xludf.DUMMYFUNCTION("""COMPUTED_VALUE"""),0.679009)</f>
        <v>0.679009</v>
      </c>
      <c r="X33" s="116">
        <f>IFERROR(__xludf.DUMMYFUNCTION("""COMPUTED_VALUE"""),3.139483)</f>
        <v>3.139483</v>
      </c>
      <c r="Y33" s="114">
        <f>IFERROR(__xludf.DUMMYFUNCTION("""COMPUTED_VALUE"""),1.8088224021831028)</f>
        <v>1.808822402</v>
      </c>
      <c r="Z33" s="114">
        <f>IFERROR(__xludf.DUMMYFUNCTION("""COMPUTED_VALUE"""),-1.5572254846043194)</f>
        <v>-1.557225485</v>
      </c>
      <c r="AA33" s="114">
        <f>IFERROR(__xludf.DUMMYFUNCTION("""COMPUTED_VALUE"""),0.3824529019348638)</f>
        <v>0.3824529019</v>
      </c>
      <c r="AB33" s="114">
        <f>IFERROR(__xludf.DUMMYFUNCTION("""COMPUTED_VALUE"""),1.0530846709579442)</f>
        <v>1.053084671</v>
      </c>
      <c r="AC33" s="114">
        <f>IFERROR(__xludf.DUMMYFUNCTION("""COMPUTED_VALUE"""),0.5085256637669263)</f>
        <v>0.5085256638</v>
      </c>
      <c r="AD33" s="114">
        <f>IFERROR(__xludf.DUMMYFUNCTION("""COMPUTED_VALUE"""),0.2638320281564687)</f>
        <v>0.2638320282</v>
      </c>
      <c r="AE33" s="114">
        <f>IFERROR(__xludf.DUMMYFUNCTION("""COMPUTED_VALUE"""),1.4528042336288405)</f>
        <v>1.452804234</v>
      </c>
      <c r="AF33" s="114">
        <f>IFERROR(__xludf.DUMMYFUNCTION("""COMPUTED_VALUE"""),-1.181235907828266)</f>
        <v>-1.181235908</v>
      </c>
      <c r="AG33" s="118">
        <f>IFERROR(__xludf.DUMMYFUNCTION("""COMPUTED_VALUE"""),0.0)</f>
        <v>0</v>
      </c>
      <c r="AH33" s="134"/>
      <c r="AI33" s="200"/>
      <c r="AJ33" s="201"/>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row>
    <row r="34">
      <c r="A34" s="109">
        <f>VLOOKUP($F34,UpdateHashtag!$V$3:$Y$32,COLUMN(B$9),0)</f>
        <v>3</v>
      </c>
      <c r="B34" s="91" t="str">
        <f>VLOOKUP($F34,UpdateHashtag!$V$3:$Y$32,COLUMN(#REF!),0)</f>
        <v>#REF!</v>
      </c>
      <c r="C34" s="91" t="str">
        <f>VLOOKUP($F34,UpdateHashtag!$V$3:$Y$32,COLUMN(#REF!),0)</f>
        <v>#REF!</v>
      </c>
      <c r="D34" s="110" t="str">
        <f t="shared" si="2"/>
        <v>#REF!</v>
      </c>
      <c r="E34" s="11"/>
      <c r="F34" s="94" t="str">
        <f>VLOOKUP(J34,UpdateBBM!$C$2:E1009,3,0)</f>
        <v>TOR</v>
      </c>
      <c r="G34" s="78">
        <v>21.0</v>
      </c>
      <c r="H34" s="111">
        <f>IFERROR(__xludf.DUMMYFUNCTION("""COMPUTED_VALUE"""),21.0)</f>
        <v>21</v>
      </c>
      <c r="I34" s="111"/>
      <c r="J34" s="112" t="str">
        <f>IFERROR(__xludf.DUMMYFUNCTION("""COMPUTED_VALUE"""),"Jakob Poeltl")</f>
        <v>Jakob Poeltl</v>
      </c>
      <c r="K34" s="111">
        <f>IFERROR(__xludf.DUMMYFUNCTION("""COMPUTED_VALUE"""),68.0)</f>
        <v>68</v>
      </c>
      <c r="L34" s="113" t="str">
        <f>IFERROR(__xludf.DUMMYFUNCTION("""COMPUTED_VALUE"""),"C")</f>
        <v>C</v>
      </c>
      <c r="M34" s="114">
        <f>IFERROR(__xludf.DUMMYFUNCTION("""COMPUTED_VALUE"""),3.8911043092258524)</f>
        <v>3.891104309</v>
      </c>
      <c r="N34" s="114">
        <f>IFERROR(__xludf.DUMMYFUNCTION("""COMPUTED_VALUE"""),3.8863659492555724)</f>
        <v>3.886365949</v>
      </c>
      <c r="O34" s="115">
        <f>IFERROR(__xludf.DUMMYFUNCTION("""COMPUTED_VALUE"""),-0.004738359970279937)</f>
        <v>-0.00473835997</v>
      </c>
      <c r="P34" s="116">
        <f>IFERROR(__xludf.DUMMYFUNCTION("""COMPUTED_VALUE"""),13.36265)</f>
        <v>13.36265</v>
      </c>
      <c r="Q34" s="116">
        <f>IFERROR(__xludf.DUMMYFUNCTION("""COMPUTED_VALUE"""),0.025735)</f>
        <v>0.025735</v>
      </c>
      <c r="R34" s="116">
        <f>IFERROR(__xludf.DUMMYFUNCTION("""COMPUTED_VALUE"""),10.17765)</f>
        <v>10.17765</v>
      </c>
      <c r="S34" s="117">
        <f>IFERROR(__xludf.DUMMYFUNCTION("""COMPUTED_VALUE"""),2.993382)</f>
        <v>2.993382</v>
      </c>
      <c r="T34" s="116">
        <f>IFERROR(__xludf.DUMMYFUNCTION("""COMPUTED_VALUE"""),1.064265)</f>
        <v>1.064265</v>
      </c>
      <c r="U34" s="116">
        <f>IFERROR(__xludf.DUMMYFUNCTION("""COMPUTED_VALUE"""),1.445735)</f>
        <v>1.445735</v>
      </c>
      <c r="V34" s="113">
        <f>IFERROR(__xludf.DUMMYFUNCTION("""COMPUTED_VALUE"""),0.65981)</f>
        <v>0.65981</v>
      </c>
      <c r="W34" s="113">
        <f>IFERROR(__xludf.DUMMYFUNCTION("""COMPUTED_VALUE"""),0.665999)</f>
        <v>0.665999</v>
      </c>
      <c r="X34" s="116">
        <f>IFERROR(__xludf.DUMMYFUNCTION("""COMPUTED_VALUE"""),1.729559)</f>
        <v>1.729559</v>
      </c>
      <c r="Y34" s="114">
        <f>IFERROR(__xludf.DUMMYFUNCTION("""COMPUTED_VALUE"""),-0.6687799180958036)</f>
        <v>-0.6687799181</v>
      </c>
      <c r="Z34" s="114">
        <f>IFERROR(__xludf.DUMMYFUNCTION("""COMPUTED_VALUE"""),-1.684238376937737)</f>
        <v>-1.684238377</v>
      </c>
      <c r="AA34" s="114">
        <f>IFERROR(__xludf.DUMMYFUNCTION("""COMPUTED_VALUE"""),1.6421500364282682)</f>
        <v>1.642150036</v>
      </c>
      <c r="AB34" s="114">
        <f>IFERROR(__xludf.DUMMYFUNCTION("""COMPUTED_VALUE"""),-0.4120699627517181)</f>
        <v>-0.4120699628</v>
      </c>
      <c r="AC34" s="114">
        <f>IFERROR(__xludf.DUMMYFUNCTION("""COMPUTED_VALUE"""),0.05813287519388493)</f>
        <v>0.05813287519</v>
      </c>
      <c r="AD34" s="114">
        <f>IFERROR(__xludf.DUMMYFUNCTION("""COMPUTED_VALUE"""),1.3007966133575963)</f>
        <v>1.300796613</v>
      </c>
      <c r="AE34" s="114">
        <f>IFERROR(__xludf.DUMMYFUNCTION("""COMPUTED_VALUE"""),3.263007568386341)</f>
        <v>3.263007568</v>
      </c>
      <c r="AF34" s="114">
        <f>IFERROR(__xludf.DUMMYFUNCTION("""COMPUTED_VALUE"""),-1.296871263262997)</f>
        <v>-1.296871263</v>
      </c>
      <c r="AG34" s="118">
        <f>IFERROR(__xludf.DUMMYFUNCTION("""COMPUTED_VALUE"""),0.0)</f>
        <v>0</v>
      </c>
      <c r="AH34" s="105"/>
      <c r="AI34" s="202"/>
      <c r="AJ34" s="63"/>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row>
    <row r="35">
      <c r="A35" s="109">
        <f>VLOOKUP($F35,UpdateHashtag!$V$3:$Y$32,COLUMN(B$9),0)</f>
        <v>3</v>
      </c>
      <c r="B35" s="91" t="str">
        <f>VLOOKUP($F35,UpdateHashtag!$V$3:$Y$32,COLUMN(#REF!),0)</f>
        <v>#REF!</v>
      </c>
      <c r="C35" s="91" t="str">
        <f>VLOOKUP($F35,UpdateHashtag!$V$3:$Y$32,COLUMN(#REF!),0)</f>
        <v>#REF!</v>
      </c>
      <c r="D35" s="110" t="str">
        <f t="shared" si="2"/>
        <v>#REF!</v>
      </c>
      <c r="E35" s="11"/>
      <c r="F35" s="94" t="str">
        <f>VLOOKUP(J35,UpdateBBM!$C$2:E1009,3,0)</f>
        <v>PHO</v>
      </c>
      <c r="G35" s="78">
        <v>22.0</v>
      </c>
      <c r="H35" s="111">
        <f>IFERROR(__xludf.DUMMYFUNCTION("""COMPUTED_VALUE"""),22.0)</f>
        <v>22</v>
      </c>
      <c r="I35" s="111"/>
      <c r="J35" s="112" t="str">
        <f>IFERROR(__xludf.DUMMYFUNCTION("""COMPUTED_VALUE"""),"Mark Williams")</f>
        <v>Mark Williams</v>
      </c>
      <c r="K35" s="111">
        <f>IFERROR(__xludf.DUMMYFUNCTION("""COMPUTED_VALUE"""),62.0)</f>
        <v>62</v>
      </c>
      <c r="L35" s="113" t="str">
        <f>IFERROR(__xludf.DUMMYFUNCTION("""COMPUTED_VALUE"""),"C")</f>
        <v>C</v>
      </c>
      <c r="M35" s="114">
        <f>IFERROR(__xludf.DUMMYFUNCTION("""COMPUTED_VALUE"""),3.759771074228932)</f>
        <v>3.759771074</v>
      </c>
      <c r="N35" s="114">
        <f>IFERROR(__xludf.DUMMYFUNCTION("""COMPUTED_VALUE"""),3.8324963815863997)</f>
        <v>3.832496382</v>
      </c>
      <c r="O35" s="115">
        <f>IFERROR(__xludf.DUMMYFUNCTION("""COMPUTED_VALUE"""),0.07272530735746763)</f>
        <v>0.07272530736</v>
      </c>
      <c r="P35" s="116">
        <f>IFERROR(__xludf.DUMMYFUNCTION("""COMPUTED_VALUE"""),15.2979)</f>
        <v>15.2979</v>
      </c>
      <c r="Q35" s="116">
        <f>IFERROR(__xludf.DUMMYFUNCTION("""COMPUTED_VALUE"""),0.023387)</f>
        <v>0.023387</v>
      </c>
      <c r="R35" s="116">
        <f>IFERROR(__xludf.DUMMYFUNCTION("""COMPUTED_VALUE"""),10.76629)</f>
        <v>10.76629</v>
      </c>
      <c r="S35" s="117">
        <f>IFERROR(__xludf.DUMMYFUNCTION("""COMPUTED_VALUE"""),2.908065)</f>
        <v>2.908065</v>
      </c>
      <c r="T35" s="116">
        <f>IFERROR(__xludf.DUMMYFUNCTION("""COMPUTED_VALUE"""),0.823065)</f>
        <v>0.823065</v>
      </c>
      <c r="U35" s="116">
        <f>IFERROR(__xludf.DUMMYFUNCTION("""COMPUTED_VALUE"""),1.279677)</f>
        <v>1.279677</v>
      </c>
      <c r="V35" s="113">
        <f>IFERROR(__xludf.DUMMYFUNCTION("""COMPUTED_VALUE"""),0.61651)</f>
        <v>0.61651</v>
      </c>
      <c r="W35" s="113">
        <f>IFERROR(__xludf.DUMMYFUNCTION("""COMPUTED_VALUE"""),0.800991)</f>
        <v>0.800991</v>
      </c>
      <c r="X35" s="116">
        <f>IFERROR(__xludf.DUMMYFUNCTION("""COMPUTED_VALUE"""),2.041935)</f>
        <v>2.041935</v>
      </c>
      <c r="Y35" s="114">
        <f>IFERROR(__xludf.DUMMYFUNCTION("""COMPUTED_VALUE"""),-0.32925460333397066)</f>
        <v>-0.3292546033</v>
      </c>
      <c r="Z35" s="114">
        <f>IFERROR(__xludf.DUMMYFUNCTION("""COMPUTED_VALUE"""),-1.6865061538543709)</f>
        <v>-1.686506154</v>
      </c>
      <c r="AA35" s="114">
        <f>IFERROR(__xludf.DUMMYFUNCTION("""COMPUTED_VALUE"""),1.8807573832170625)</f>
        <v>1.880757383</v>
      </c>
      <c r="AB35" s="114">
        <f>IFERROR(__xludf.DUMMYFUNCTION("""COMPUTED_VALUE"""),-0.453748554099358)</f>
        <v>-0.4537485541</v>
      </c>
      <c r="AC35" s="114">
        <f>IFERROR(__xludf.DUMMYFUNCTION("""COMPUTED_VALUE"""),-0.6768590100312615)</f>
        <v>-0.67685901</v>
      </c>
      <c r="AD35" s="114">
        <f>IFERROR(__xludf.DUMMYFUNCTION("""COMPUTED_VALUE"""),0.9989044604633855)</f>
        <v>0.9989044605</v>
      </c>
      <c r="AE35" s="114">
        <f>IFERROR(__xludf.DUMMYFUNCTION("""COMPUTED_VALUE"""),2.246963801519729)</f>
        <v>2.246963802</v>
      </c>
      <c r="AF35" s="114">
        <f>IFERROR(__xludf.DUMMYFUNCTION("""COMPUTED_VALUE"""),0.16573290385081327)</f>
        <v>0.1657329039</v>
      </c>
      <c r="AG35" s="118">
        <f>IFERROR(__xludf.DUMMYFUNCTION("""COMPUTED_VALUE"""),0.0)</f>
        <v>0</v>
      </c>
      <c r="AH35" s="105"/>
      <c r="AI35" s="202"/>
      <c r="AJ35" s="63"/>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5"/>
      <c r="BS35" s="105"/>
      <c r="BT35" s="105"/>
      <c r="BU35" s="105"/>
      <c r="BV35" s="105"/>
    </row>
    <row r="36">
      <c r="A36" s="109">
        <f>VLOOKUP($F36,UpdateHashtag!$V$3:$Y$32,COLUMN(B$9),0)</f>
        <v>3</v>
      </c>
      <c r="B36" s="91" t="str">
        <f>VLOOKUP($F36,UpdateHashtag!$V$3:$Y$32,COLUMN(#REF!),0)</f>
        <v>#REF!</v>
      </c>
      <c r="C36" s="91" t="str">
        <f>VLOOKUP($F36,UpdateHashtag!$V$3:$Y$32,COLUMN(#REF!),0)</f>
        <v>#REF!</v>
      </c>
      <c r="D36" s="110" t="str">
        <f t="shared" si="2"/>
        <v>#REF!</v>
      </c>
      <c r="E36" s="11"/>
      <c r="F36" s="94" t="str">
        <f>VLOOKUP(J36,UpdateBBM!$C$2:E1009,3,0)</f>
        <v>BOS</v>
      </c>
      <c r="G36" s="78">
        <v>23.0</v>
      </c>
      <c r="H36" s="111">
        <f>IFERROR(__xludf.DUMMYFUNCTION("""COMPUTED_VALUE"""),23.0)</f>
        <v>23</v>
      </c>
      <c r="I36" s="111"/>
      <c r="J36" s="112" t="str">
        <f>IFERROR(__xludf.DUMMYFUNCTION("""COMPUTED_VALUE"""),"Derrick White")</f>
        <v>Derrick White</v>
      </c>
      <c r="K36" s="111">
        <f>IFERROR(__xludf.DUMMYFUNCTION("""COMPUTED_VALUE"""),57.0)</f>
        <v>57</v>
      </c>
      <c r="L36" s="113" t="str">
        <f>IFERROR(__xludf.DUMMYFUNCTION("""COMPUTED_VALUE"""),"G")</f>
        <v>G</v>
      </c>
      <c r="M36" s="114">
        <f>IFERROR(__xludf.DUMMYFUNCTION("""COMPUTED_VALUE"""),3.596461694832573)</f>
        <v>3.596461695</v>
      </c>
      <c r="N36" s="114">
        <f>IFERROR(__xludf.DUMMYFUNCTION("""COMPUTED_VALUE"""),3.742318669605669)</f>
        <v>3.74231867</v>
      </c>
      <c r="O36" s="115">
        <f>IFERROR(__xludf.DUMMYFUNCTION("""COMPUTED_VALUE"""),0.14585697477309623)</f>
        <v>0.1458569748</v>
      </c>
      <c r="P36" s="116">
        <f>IFERROR(__xludf.DUMMYFUNCTION("""COMPUTED_VALUE"""),17.76579)</f>
        <v>17.76579</v>
      </c>
      <c r="Q36" s="116">
        <f>IFERROR(__xludf.DUMMYFUNCTION("""COMPUTED_VALUE"""),3.402982)</f>
        <v>3.402982</v>
      </c>
      <c r="R36" s="116">
        <f>IFERROR(__xludf.DUMMYFUNCTION("""COMPUTED_VALUE"""),4.744386)</f>
        <v>4.744386</v>
      </c>
      <c r="S36" s="117">
        <f>IFERROR(__xludf.DUMMYFUNCTION("""COMPUTED_VALUE"""),6.939649)</f>
        <v>6.939649</v>
      </c>
      <c r="T36" s="116">
        <f>IFERROR(__xludf.DUMMYFUNCTION("""COMPUTED_VALUE"""),1.056316)</f>
        <v>1.056316</v>
      </c>
      <c r="U36" s="116">
        <f>IFERROR(__xludf.DUMMYFUNCTION("""COMPUTED_VALUE"""),0.920526)</f>
        <v>0.920526</v>
      </c>
      <c r="V36" s="113">
        <f>IFERROR(__xludf.DUMMYFUNCTION("""COMPUTED_VALUE"""),0.429917)</f>
        <v>0.429917</v>
      </c>
      <c r="W36" s="113">
        <f>IFERROR(__xludf.DUMMYFUNCTION("""COMPUTED_VALUE"""),0.842026)</f>
        <v>0.842026</v>
      </c>
      <c r="X36" s="116">
        <f>IFERROR(__xludf.DUMMYFUNCTION("""COMPUTED_VALUE"""),2.336842)</f>
        <v>2.336842</v>
      </c>
      <c r="Y36" s="114">
        <f>IFERROR(__xludf.DUMMYFUNCTION("""COMPUTED_VALUE"""),0.10371846425294556)</f>
        <v>0.1037184643</v>
      </c>
      <c r="Z36" s="114">
        <f>IFERROR(__xludf.DUMMYFUNCTION("""COMPUTED_VALUE"""),1.5776197101028382)</f>
        <v>1.57761971</v>
      </c>
      <c r="AA36" s="114">
        <f>IFERROR(__xludf.DUMMYFUNCTION("""COMPUTED_VALUE"""),-0.5602431197335171)</f>
        <v>-0.5602431197</v>
      </c>
      <c r="AB36" s="114">
        <f>IFERROR(__xludf.DUMMYFUNCTION("""COMPUTED_VALUE"""),1.5157386761089688)</f>
        <v>1.515738676</v>
      </c>
      <c r="AC36" s="114">
        <f>IFERROR(__xludf.DUMMYFUNCTION("""COMPUTED_VALUE"""),0.03391044361986056)</f>
        <v>0.03391044362</v>
      </c>
      <c r="AD36" s="114">
        <f>IFERROR(__xludf.DUMMYFUNCTION("""COMPUTED_VALUE"""),0.3459707348728769)</f>
        <v>0.3459707349</v>
      </c>
      <c r="AE36" s="114">
        <f>IFERROR(__xludf.DUMMYFUNCTION("""COMPUTED_VALUE"""),-0.8428806969475443)</f>
        <v>-0.8428806969</v>
      </c>
      <c r="AF36" s="114">
        <f>IFERROR(__xludf.DUMMYFUNCTION("""COMPUTED_VALUE"""),0.7256037603816964)</f>
        <v>0.7256037604</v>
      </c>
      <c r="AG36" s="118">
        <f>IFERROR(__xludf.DUMMYFUNCTION("""COMPUTED_VALUE"""),0.0)</f>
        <v>0</v>
      </c>
      <c r="AH36" s="105"/>
      <c r="AI36" s="202"/>
      <c r="AJ36" s="63"/>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row>
    <row r="37">
      <c r="A37" s="109">
        <f>VLOOKUP($F37,UpdateHashtag!$V$3:$Y$32,COLUMN(B$9),0)</f>
        <v>2</v>
      </c>
      <c r="B37" s="91" t="str">
        <f>VLOOKUP($F37,UpdateHashtag!$V$3:$Y$32,COLUMN(#REF!),0)</f>
        <v>#REF!</v>
      </c>
      <c r="C37" s="91" t="str">
        <f>VLOOKUP($F37,UpdateHashtag!$V$3:$Y$32,COLUMN(#REF!),0)</f>
        <v>#REF!</v>
      </c>
      <c r="D37" s="110" t="str">
        <f t="shared" si="2"/>
        <v>#REF!</v>
      </c>
      <c r="E37" s="11"/>
      <c r="F37" s="94" t="str">
        <f>VLOOKUP(J37,UpdateBBM!$C$2:E1009,3,0)</f>
        <v>CHI</v>
      </c>
      <c r="G37" s="78">
        <v>24.0</v>
      </c>
      <c r="H37" s="111">
        <f>IFERROR(__xludf.DUMMYFUNCTION("""COMPUTED_VALUE"""),24.0)</f>
        <v>24</v>
      </c>
      <c r="I37" s="111"/>
      <c r="J37" s="112" t="str">
        <f>IFERROR(__xludf.DUMMYFUNCTION("""COMPUTED_VALUE"""),"Josh Giddey")</f>
        <v>Josh Giddey</v>
      </c>
      <c r="K37" s="111">
        <f>IFERROR(__xludf.DUMMYFUNCTION("""COMPUTED_VALUE"""),73.0)</f>
        <v>73</v>
      </c>
      <c r="L37" s="113" t="str">
        <f>IFERROR(__xludf.DUMMYFUNCTION("""COMPUTED_VALUE"""),"G")</f>
        <v>G</v>
      </c>
      <c r="M37" s="114">
        <f>IFERROR(__xludf.DUMMYFUNCTION("""COMPUTED_VALUE"""),3.5767025539639867)</f>
        <v>3.576702554</v>
      </c>
      <c r="N37" s="114">
        <f>IFERROR(__xludf.DUMMYFUNCTION("""COMPUTED_VALUE"""),4.011885245004114)</f>
        <v>4.011885245</v>
      </c>
      <c r="O37" s="115">
        <f>IFERROR(__xludf.DUMMYFUNCTION("""COMPUTED_VALUE"""),0.4351826910401275)</f>
        <v>0.435182691</v>
      </c>
      <c r="P37" s="116">
        <f>IFERROR(__xludf.DUMMYFUNCTION("""COMPUTED_VALUE"""),18.93918)</f>
        <v>18.93918</v>
      </c>
      <c r="Q37" s="116">
        <f>IFERROR(__xludf.DUMMYFUNCTION("""COMPUTED_VALUE"""),1.564658)</f>
        <v>1.564658</v>
      </c>
      <c r="R37" s="116">
        <f>IFERROR(__xludf.DUMMYFUNCTION("""COMPUTED_VALUE"""),9.295068)</f>
        <v>9.295068</v>
      </c>
      <c r="S37" s="117">
        <f>IFERROR(__xludf.DUMMYFUNCTION("""COMPUTED_VALUE"""),8.508493)</f>
        <v>8.508493</v>
      </c>
      <c r="T37" s="116">
        <f>IFERROR(__xludf.DUMMYFUNCTION("""COMPUTED_VALUE"""),1.143973)</f>
        <v>1.143973</v>
      </c>
      <c r="U37" s="116">
        <f>IFERROR(__xludf.DUMMYFUNCTION("""COMPUTED_VALUE"""),0.713562)</f>
        <v>0.713562</v>
      </c>
      <c r="V37" s="113">
        <f>IFERROR(__xludf.DUMMYFUNCTION("""COMPUTED_VALUE"""),0.472402)</f>
        <v>0.472402</v>
      </c>
      <c r="W37" s="113">
        <f>IFERROR(__xludf.DUMMYFUNCTION("""COMPUTED_VALUE"""),0.792998)</f>
        <v>0.792998</v>
      </c>
      <c r="X37" s="116">
        <f>IFERROR(__xludf.DUMMYFUNCTION("""COMPUTED_VALUE"""),3.503562)</f>
        <v>3.503562</v>
      </c>
      <c r="Y37" s="114">
        <f>IFERROR(__xludf.DUMMYFUNCTION("""COMPUTED_VALUE"""),0.3095810706802225)</f>
        <v>0.3095810707</v>
      </c>
      <c r="Z37" s="114">
        <f>IFERROR(__xludf.DUMMYFUNCTION("""COMPUTED_VALUE"""),-0.19789508227118077)</f>
        <v>-0.1978950823</v>
      </c>
      <c r="AA37" s="114">
        <f>IFERROR(__xludf.DUMMYFUNCTION("""COMPUTED_VALUE"""),1.2843922399082426)</f>
        <v>1.28439224</v>
      </c>
      <c r="AB37" s="114">
        <f>IFERROR(__xludf.DUMMYFUNCTION("""COMPUTED_VALUE"""),2.2821417137708284)</f>
        <v>2.282141714</v>
      </c>
      <c r="AC37" s="114">
        <f>IFERROR(__xludf.DUMMYFUNCTION("""COMPUTED_VALUE"""),0.3010214870824666)</f>
        <v>0.3010214871</v>
      </c>
      <c r="AD37" s="114">
        <f>IFERROR(__xludf.DUMMYFUNCTION("""COMPUTED_VALUE"""),-0.030288207975991605)</f>
        <v>-0.03028820798</v>
      </c>
      <c r="AE37" s="114">
        <f>IFERROR(__xludf.DUMMYFUNCTION("""COMPUTED_VALUE"""),-0.32327651500706567)</f>
        <v>-0.323276515</v>
      </c>
      <c r="AF37" s="114">
        <f>IFERROR(__xludf.DUMMYFUNCTION("""COMPUTED_VALUE"""),0.06293202380952635)</f>
        <v>0.06293202381</v>
      </c>
      <c r="AG37" s="118">
        <f>IFERROR(__xludf.DUMMYFUNCTION("""COMPUTED_VALUE"""),0.0)</f>
        <v>0</v>
      </c>
      <c r="AH37" s="105"/>
      <c r="AI37" s="202"/>
      <c r="AJ37" s="63"/>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row>
    <row r="38">
      <c r="A38" s="109">
        <f>VLOOKUP($F38,UpdateHashtag!$V$3:$Y$32,COLUMN(B$9),0)</f>
        <v>4</v>
      </c>
      <c r="B38" s="91" t="str">
        <f>VLOOKUP($F38,UpdateHashtag!$V$3:$Y$32,COLUMN(#REF!),0)</f>
        <v>#REF!</v>
      </c>
      <c r="C38" s="91" t="str">
        <f>VLOOKUP($F38,UpdateHashtag!$V$3:$Y$32,COLUMN(#REF!),0)</f>
        <v>#REF!</v>
      </c>
      <c r="D38" s="110" t="str">
        <f t="shared" si="2"/>
        <v>#REF!</v>
      </c>
      <c r="E38" s="11"/>
      <c r="F38" s="94" t="str">
        <f>VLOOKUP(J38,UpdateBBM!$C$2:E1009,3,0)</f>
        <v>PHI</v>
      </c>
      <c r="G38" s="78">
        <v>25.0</v>
      </c>
      <c r="H38" s="111">
        <f>IFERROR(__xludf.DUMMYFUNCTION("""COMPUTED_VALUE"""),25.0)</f>
        <v>25</v>
      </c>
      <c r="I38" s="111"/>
      <c r="J38" s="112" t="str">
        <f>IFERROR(__xludf.DUMMYFUNCTION("""COMPUTED_VALUE"""),"Joel Embiid")</f>
        <v>Joel Embiid</v>
      </c>
      <c r="K38" s="111">
        <f>IFERROR(__xludf.DUMMYFUNCTION("""COMPUTED_VALUE"""),40.0)</f>
        <v>40</v>
      </c>
      <c r="L38" s="113" t="str">
        <f>IFERROR(__xludf.DUMMYFUNCTION("""COMPUTED_VALUE"""),"C")</f>
        <v>C</v>
      </c>
      <c r="M38" s="114">
        <f>IFERROR(__xludf.DUMMYFUNCTION("""COMPUTED_VALUE"""),3.494873778669361)</f>
        <v>3.494873779</v>
      </c>
      <c r="N38" s="114">
        <f>IFERROR(__xludf.DUMMYFUNCTION("""COMPUTED_VALUE"""),3.8909219130587647)</f>
        <v>3.890921913</v>
      </c>
      <c r="O38" s="115">
        <f>IFERROR(__xludf.DUMMYFUNCTION("""COMPUTED_VALUE"""),0.39604813438940356)</f>
        <v>0.3960481344</v>
      </c>
      <c r="P38" s="116">
        <f>IFERROR(__xludf.DUMMYFUNCTION("""COMPUTED_VALUE"""),24.878)</f>
        <v>24.878</v>
      </c>
      <c r="Q38" s="116">
        <f>IFERROR(__xludf.DUMMYFUNCTION("""COMPUTED_VALUE"""),1.10175)</f>
        <v>1.10175</v>
      </c>
      <c r="R38" s="116">
        <f>IFERROR(__xludf.DUMMYFUNCTION("""COMPUTED_VALUE"""),8.415)</f>
        <v>8.415</v>
      </c>
      <c r="S38" s="117">
        <f>IFERROR(__xludf.DUMMYFUNCTION("""COMPUTED_VALUE"""),4.6145)</f>
        <v>4.6145</v>
      </c>
      <c r="T38" s="116">
        <f>IFERROR(__xludf.DUMMYFUNCTION("""COMPUTED_VALUE"""),0.86425)</f>
        <v>0.86425</v>
      </c>
      <c r="U38" s="116">
        <f>IFERROR(__xludf.DUMMYFUNCTION("""COMPUTED_VALUE"""),1.11375)</f>
        <v>1.11375</v>
      </c>
      <c r="V38" s="113">
        <f>IFERROR(__xludf.DUMMYFUNCTION("""COMPUTED_VALUE"""),0.487457)</f>
        <v>0.487457</v>
      </c>
      <c r="W38" s="113">
        <f>IFERROR(__xludf.DUMMYFUNCTION("""COMPUTED_VALUE"""),0.874002)</f>
        <v>0.874002</v>
      </c>
      <c r="X38" s="116">
        <f>IFERROR(__xludf.DUMMYFUNCTION("""COMPUTED_VALUE"""),3.34575)</f>
        <v>3.34575</v>
      </c>
      <c r="Y38" s="114">
        <f>IFERROR(__xludf.DUMMYFUNCTION("""COMPUTED_VALUE"""),1.3515031633369174)</f>
        <v>1.351503163</v>
      </c>
      <c r="Z38" s="114">
        <f>IFERROR(__xludf.DUMMYFUNCTION("""COMPUTED_VALUE"""),-0.6449871082188768)</f>
        <v>-0.6449871082</v>
      </c>
      <c r="AA38" s="114">
        <f>IFERROR(__xludf.DUMMYFUNCTION("""COMPUTED_VALUE"""),0.9276535023543536)</f>
        <v>0.9276535024</v>
      </c>
      <c r="AB38" s="114">
        <f>IFERROR(__xludf.DUMMYFUNCTION("""COMPUTED_VALUE"""),0.37986968173066443)</f>
        <v>0.3798696817</v>
      </c>
      <c r="AC38" s="114">
        <f>IFERROR(__xludf.DUMMYFUNCTION("""COMPUTED_VALUE"""),-0.5513588409060641)</f>
        <v>-0.5513588409</v>
      </c>
      <c r="AD38" s="114">
        <f>IFERROR(__xludf.DUMMYFUNCTION("""COMPUTED_VALUE"""),0.6972504645506461)</f>
        <v>0.6972504646</v>
      </c>
      <c r="AE38" s="114">
        <f>IFERROR(__xludf.DUMMYFUNCTION("""COMPUTED_VALUE"""),-0.11312696705790615)</f>
        <v>-0.1131269671</v>
      </c>
      <c r="AF38" s="114">
        <f>IFERROR(__xludf.DUMMYFUNCTION("""COMPUTED_VALUE"""),1.1991309090501532)</f>
        <v>1.199130909</v>
      </c>
      <c r="AG38" s="118">
        <f>IFERROR(__xludf.DUMMYFUNCTION("""COMPUTED_VALUE"""),0.0)</f>
        <v>0</v>
      </c>
      <c r="AH38" s="105"/>
      <c r="AI38" s="202"/>
      <c r="AJ38" s="63"/>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5"/>
    </row>
    <row r="39">
      <c r="A39" s="109">
        <f>VLOOKUP($F39,UpdateHashtag!$V$3:$Y$32,COLUMN(B$9),0)</f>
        <v>3</v>
      </c>
      <c r="B39" s="91" t="str">
        <f>VLOOKUP($F39,UpdateHashtag!$V$3:$Y$32,COLUMN(#REF!),0)</f>
        <v>#REF!</v>
      </c>
      <c r="C39" s="91" t="str">
        <f>VLOOKUP($F39,UpdateHashtag!$V$3:$Y$32,COLUMN(#REF!),0)</f>
        <v>#REF!</v>
      </c>
      <c r="D39" s="110" t="str">
        <f t="shared" si="2"/>
        <v>#REF!</v>
      </c>
      <c r="E39" s="11"/>
      <c r="F39" s="94" t="str">
        <f>VLOOKUP(J39,UpdateBBM!$C$2:E1009,3,0)</f>
        <v>DEN</v>
      </c>
      <c r="G39" s="78">
        <v>26.0</v>
      </c>
      <c r="H39" s="111">
        <f>IFERROR(__xludf.DUMMYFUNCTION("""COMPUTED_VALUE"""),26.0)</f>
        <v>26</v>
      </c>
      <c r="I39" s="111"/>
      <c r="J39" s="112" t="str">
        <f>IFERROR(__xludf.DUMMYFUNCTION("""COMPUTED_VALUE"""),"Jamal Murray")</f>
        <v>Jamal Murray</v>
      </c>
      <c r="K39" s="111">
        <f>IFERROR(__xludf.DUMMYFUNCTION("""COMPUTED_VALUE"""),68.0)</f>
        <v>68</v>
      </c>
      <c r="L39" s="113" t="str">
        <f>IFERROR(__xludf.DUMMYFUNCTION("""COMPUTED_VALUE"""),"G")</f>
        <v>G</v>
      </c>
      <c r="M39" s="114">
        <f>IFERROR(__xludf.DUMMYFUNCTION("""COMPUTED_VALUE"""),3.454701502176612)</f>
        <v>3.454701502</v>
      </c>
      <c r="N39" s="114">
        <f>IFERROR(__xludf.DUMMYFUNCTION("""COMPUTED_VALUE"""),3.623732903407287)</f>
        <v>3.623732903</v>
      </c>
      <c r="O39" s="115">
        <f>IFERROR(__xludf.DUMMYFUNCTION("""COMPUTED_VALUE"""),0.16903140123067528)</f>
        <v>0.1690314012</v>
      </c>
      <c r="P39" s="116">
        <f>IFERROR(__xludf.DUMMYFUNCTION("""COMPUTED_VALUE"""),22.03706)</f>
        <v>22.03706</v>
      </c>
      <c r="Q39" s="116">
        <f>IFERROR(__xludf.DUMMYFUNCTION("""COMPUTED_VALUE"""),2.417353)</f>
        <v>2.417353</v>
      </c>
      <c r="R39" s="116">
        <f>IFERROR(__xludf.DUMMYFUNCTION("""COMPUTED_VALUE"""),4.124118)</f>
        <v>4.124118</v>
      </c>
      <c r="S39" s="117">
        <f>IFERROR(__xludf.DUMMYFUNCTION("""COMPUTED_VALUE"""),6.407206)</f>
        <v>6.407206</v>
      </c>
      <c r="T39" s="116">
        <f>IFERROR(__xludf.DUMMYFUNCTION("""COMPUTED_VALUE"""),1.169118)</f>
        <v>1.169118</v>
      </c>
      <c r="U39" s="116">
        <f>IFERROR(__xludf.DUMMYFUNCTION("""COMPUTED_VALUE"""),0.444265)</f>
        <v>0.444265</v>
      </c>
      <c r="V39" s="113">
        <f>IFERROR(__xludf.DUMMYFUNCTION("""COMPUTED_VALUE"""),0.472484)</f>
        <v>0.472484</v>
      </c>
      <c r="W39" s="113">
        <f>IFERROR(__xludf.DUMMYFUNCTION("""COMPUTED_VALUE"""),0.883991)</f>
        <v>0.883991</v>
      </c>
      <c r="X39" s="116">
        <f>IFERROR(__xludf.DUMMYFUNCTION("""COMPUTED_VALUE"""),2.430294)</f>
        <v>2.430294</v>
      </c>
      <c r="Y39" s="114">
        <f>IFERROR(__xludf.DUMMYFUNCTION("""COMPUTED_VALUE"""),0.8530812293648302)</f>
        <v>0.8530812294</v>
      </c>
      <c r="Z39" s="114">
        <f>IFERROR(__xludf.DUMMYFUNCTION("""COMPUTED_VALUE"""),0.6256662626731074)</f>
        <v>0.6256662627</v>
      </c>
      <c r="AA39" s="114">
        <f>IFERROR(__xludf.DUMMYFUNCTION("""COMPUTED_VALUE"""),-0.8116709903810982)</f>
        <v>-0.8116709904</v>
      </c>
      <c r="AB39" s="114">
        <f>IFERROR(__xludf.DUMMYFUNCTION("""COMPUTED_VALUE"""),1.2556325517385447)</f>
        <v>1.255632552</v>
      </c>
      <c r="AC39" s="114">
        <f>IFERROR(__xludf.DUMMYFUNCTION("""COMPUTED_VALUE"""),0.3776440863941849)</f>
        <v>0.3776440864</v>
      </c>
      <c r="AD39" s="114">
        <f>IFERROR(__xludf.DUMMYFUNCTION("""COMPUTED_VALUE"""),-0.5198680601839688)</f>
        <v>-0.5198680602</v>
      </c>
      <c r="AE39" s="114">
        <f>IFERROR(__xludf.DUMMYFUNCTION("""COMPUTED_VALUE"""),-0.32216877687106565)</f>
        <v>-0.3221687769</v>
      </c>
      <c r="AF39" s="114">
        <f>IFERROR(__xludf.DUMMYFUNCTION("""COMPUTED_VALUE"""),1.3537456102916543)</f>
        <v>1.35374561</v>
      </c>
      <c r="AG39" s="118">
        <f>IFERROR(__xludf.DUMMYFUNCTION("""COMPUTED_VALUE"""),0.0)</f>
        <v>0</v>
      </c>
      <c r="AH39" s="105"/>
      <c r="AI39" s="202"/>
      <c r="AJ39" s="63"/>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row>
    <row r="40">
      <c r="A40" s="109">
        <f>VLOOKUP($F40,UpdateHashtag!$V$3:$Y$32,COLUMN(B$9),0)</f>
        <v>4</v>
      </c>
      <c r="B40" s="91" t="str">
        <f>VLOOKUP($F40,UpdateHashtag!$V$3:$Y$32,COLUMN(#REF!),0)</f>
        <v>#REF!</v>
      </c>
      <c r="C40" s="91" t="str">
        <f>VLOOKUP($F40,UpdateHashtag!$V$3:$Y$32,COLUMN(#REF!),0)</f>
        <v>#REF!</v>
      </c>
      <c r="D40" s="110" t="str">
        <f t="shared" si="2"/>
        <v>#REF!</v>
      </c>
      <c r="E40" s="11"/>
      <c r="F40" s="94" t="str">
        <f>VLOOKUP(J40,UpdateBBM!$C$2:E1009,3,0)</f>
        <v>ATL</v>
      </c>
      <c r="G40" s="78">
        <v>27.0</v>
      </c>
      <c r="H40" s="111">
        <f>IFERROR(__xludf.DUMMYFUNCTION("""COMPUTED_VALUE"""),27.0)</f>
        <v>27</v>
      </c>
      <c r="I40" s="111"/>
      <c r="J40" s="112" t="str">
        <f>IFERROR(__xludf.DUMMYFUNCTION("""COMPUTED_VALUE"""),"Dyson Daniels")</f>
        <v>Dyson Daniels</v>
      </c>
      <c r="K40" s="111">
        <f>IFERROR(__xludf.DUMMYFUNCTION("""COMPUTED_VALUE"""),73.0)</f>
        <v>73</v>
      </c>
      <c r="L40" s="113" t="str">
        <f>IFERROR(__xludf.DUMMYFUNCTION("""COMPUTED_VALUE"""),"G,F")</f>
        <v>G,F</v>
      </c>
      <c r="M40" s="114">
        <f>IFERROR(__xludf.DUMMYFUNCTION("""COMPUTED_VALUE"""),3.432847732301266)</f>
        <v>3.432847732</v>
      </c>
      <c r="N40" s="114">
        <f>IFERROR(__xludf.DUMMYFUNCTION("""COMPUTED_VALUE"""),3.4602185951039632)</f>
        <v>3.460218595</v>
      </c>
      <c r="O40" s="115">
        <f>IFERROR(__xludf.DUMMYFUNCTION("""COMPUTED_VALUE"""),0.027370862802697182)</f>
        <v>0.0273708628</v>
      </c>
      <c r="P40" s="116">
        <f>IFERROR(__xludf.DUMMYFUNCTION("""COMPUTED_VALUE"""),13.23932)</f>
        <v>13.23932</v>
      </c>
      <c r="Q40" s="116">
        <f>IFERROR(__xludf.DUMMYFUNCTION("""COMPUTED_VALUE"""),0.888356)</f>
        <v>0.888356</v>
      </c>
      <c r="R40" s="116">
        <f>IFERROR(__xludf.DUMMYFUNCTION("""COMPUTED_VALUE"""),5.791507)</f>
        <v>5.791507</v>
      </c>
      <c r="S40" s="117">
        <f>IFERROR(__xludf.DUMMYFUNCTION("""COMPUTED_VALUE"""),4.433014)</f>
        <v>4.433014</v>
      </c>
      <c r="T40" s="116">
        <f>IFERROR(__xludf.DUMMYFUNCTION("""COMPUTED_VALUE"""),2.573973)</f>
        <v>2.573973</v>
      </c>
      <c r="U40" s="116">
        <f>IFERROR(__xludf.DUMMYFUNCTION("""COMPUTED_VALUE"""),0.645616)</f>
        <v>0.645616</v>
      </c>
      <c r="V40" s="113">
        <f>IFERROR(__xludf.DUMMYFUNCTION("""COMPUTED_VALUE"""),0.517168)</f>
        <v>0.517168</v>
      </c>
      <c r="W40" s="113">
        <f>IFERROR(__xludf.DUMMYFUNCTION("""COMPUTED_VALUE"""),0.615955)</f>
        <v>0.615955</v>
      </c>
      <c r="X40" s="116">
        <f>IFERROR(__xludf.DUMMYFUNCTION("""COMPUTED_VALUE"""),1.859041)</f>
        <v>1.859041</v>
      </c>
      <c r="Y40" s="114">
        <f>IFERROR(__xludf.DUMMYFUNCTION("""COMPUTED_VALUE"""),-0.6904172554266793)</f>
        <v>-0.6904172554</v>
      </c>
      <c r="Z40" s="114">
        <f>IFERROR(__xludf.DUMMYFUNCTION("""COMPUTED_VALUE"""),-0.8510901692700633)</f>
        <v>-0.8510901693</v>
      </c>
      <c r="AA40" s="114">
        <f>IFERROR(__xludf.DUMMYFUNCTION("""COMPUTED_VALUE"""),-0.1357888461931031)</f>
        <v>-0.1357888462</v>
      </c>
      <c r="AB40" s="114">
        <f>IFERROR(__xludf.DUMMYFUNCTION("""COMPUTED_VALUE"""),0.2912111397130387)</f>
        <v>0.2912111397</v>
      </c>
      <c r="AC40" s="114">
        <f>IFERROR(__xludf.DUMMYFUNCTION("""COMPUTED_VALUE"""),4.6585604417755)</f>
        <v>4.658560442</v>
      </c>
      <c r="AD40" s="114">
        <f>IFERROR(__xludf.DUMMYFUNCTION("""COMPUTED_VALUE"""),-0.15381350769386162)</f>
        <v>-0.1538135077</v>
      </c>
      <c r="AE40" s="114">
        <f>IFERROR(__xludf.DUMMYFUNCTION("""COMPUTED_VALUE"""),0.34155679219913165)</f>
        <v>0.3415567922</v>
      </c>
      <c r="AF40" s="114">
        <f>IFERROR(__xludf.DUMMYFUNCTION("""COMPUTED_VALUE"""),-1.6913176256141311)</f>
        <v>-1.691317626</v>
      </c>
      <c r="AG40" s="118">
        <f>IFERROR(__xludf.DUMMYFUNCTION("""COMPUTED_VALUE"""),0.0)</f>
        <v>0</v>
      </c>
      <c r="AH40" s="105"/>
      <c r="AI40" s="202"/>
      <c r="AJ40" s="63"/>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5"/>
    </row>
    <row r="41">
      <c r="A41" s="109">
        <f>VLOOKUP($F41,UpdateHashtag!$V$3:$Y$32,COLUMN(B$9),0)</f>
        <v>4</v>
      </c>
      <c r="B41" s="91" t="str">
        <f>VLOOKUP($F41,UpdateHashtag!$V$3:$Y$32,COLUMN(#REF!),0)</f>
        <v>#REF!</v>
      </c>
      <c r="C41" s="91" t="str">
        <f>VLOOKUP($F41,UpdateHashtag!$V$3:$Y$32,COLUMN(#REF!),0)</f>
        <v>#REF!</v>
      </c>
      <c r="D41" s="110" t="str">
        <f t="shared" si="2"/>
        <v>#REF!</v>
      </c>
      <c r="E41" s="11"/>
      <c r="F41" s="94" t="str">
        <f>VLOOKUP(J41,UpdateBBM!$C$2:E1009,3,0)</f>
        <v>CHA</v>
      </c>
      <c r="G41" s="78">
        <v>28.0</v>
      </c>
      <c r="H41" s="111">
        <f>IFERROR(__xludf.DUMMYFUNCTION("""COMPUTED_VALUE"""),28.0)</f>
        <v>28</v>
      </c>
      <c r="I41" s="111"/>
      <c r="J41" s="112" t="str">
        <f>IFERROR(__xludf.DUMMYFUNCTION("""COMPUTED_VALUE"""),"Brandon Miller")</f>
        <v>Brandon Miller</v>
      </c>
      <c r="K41" s="111">
        <f>IFERROR(__xludf.DUMMYFUNCTION("""COMPUTED_VALUE"""),64.0)</f>
        <v>64</v>
      </c>
      <c r="L41" s="113" t="str">
        <f>IFERROR(__xludf.DUMMYFUNCTION("""COMPUTED_VALUE"""),"F")</f>
        <v>F</v>
      </c>
      <c r="M41" s="114">
        <f>IFERROR(__xludf.DUMMYFUNCTION("""COMPUTED_VALUE"""),3.4259028855265443)</f>
        <v>3.425902886</v>
      </c>
      <c r="N41" s="114">
        <f>IFERROR(__xludf.DUMMYFUNCTION("""COMPUTED_VALUE"""),3.626130439310011)</f>
        <v>3.626130439</v>
      </c>
      <c r="O41" s="115">
        <f>IFERROR(__xludf.DUMMYFUNCTION("""COMPUTED_VALUE"""),0.20022755378346657)</f>
        <v>0.2002275538</v>
      </c>
      <c r="P41" s="116">
        <f>IFERROR(__xludf.DUMMYFUNCTION("""COMPUTED_VALUE"""),22.05984)</f>
        <v>22.05984</v>
      </c>
      <c r="Q41" s="116">
        <f>IFERROR(__xludf.DUMMYFUNCTION("""COMPUTED_VALUE"""),3.9725)</f>
        <v>3.9725</v>
      </c>
      <c r="R41" s="116">
        <f>IFERROR(__xludf.DUMMYFUNCTION("""COMPUTED_VALUE"""),4.958281)</f>
        <v>4.958281</v>
      </c>
      <c r="S41" s="117">
        <f>IFERROR(__xludf.DUMMYFUNCTION("""COMPUTED_VALUE"""),3.966719)</f>
        <v>3.966719</v>
      </c>
      <c r="T41" s="116">
        <f>IFERROR(__xludf.DUMMYFUNCTION("""COMPUTED_VALUE"""),1.058281)</f>
        <v>1.058281</v>
      </c>
      <c r="U41" s="116">
        <f>IFERROR(__xludf.DUMMYFUNCTION("""COMPUTED_VALUE"""),0.710313)</f>
        <v>0.710313</v>
      </c>
      <c r="V41" s="113">
        <f>IFERROR(__xludf.DUMMYFUNCTION("""COMPUTED_VALUE"""),0.420572)</f>
        <v>0.420572</v>
      </c>
      <c r="W41" s="113">
        <f>IFERROR(__xludf.DUMMYFUNCTION("""COMPUTED_VALUE"""),0.864019)</f>
        <v>0.864019</v>
      </c>
      <c r="X41" s="116">
        <f>IFERROR(__xludf.DUMMYFUNCTION("""COMPUTED_VALUE"""),2.556094)</f>
        <v>2.556094</v>
      </c>
      <c r="Y41" s="114">
        <f>IFERROR(__xludf.DUMMYFUNCTION("""COMPUTED_VALUE"""),0.8570778120648819)</f>
        <v>0.8570778121</v>
      </c>
      <c r="Z41" s="114">
        <f>IFERROR(__xludf.DUMMYFUNCTION("""COMPUTED_VALUE"""),2.127679239066865)</f>
        <v>2.127679239</v>
      </c>
      <c r="AA41" s="114">
        <f>IFERROR(__xludf.DUMMYFUNCTION("""COMPUTED_VALUE"""),-0.47354001012256786)</f>
        <v>-0.4735400101</v>
      </c>
      <c r="AB41" s="114">
        <f>IFERROR(__xludf.DUMMYFUNCTION("""COMPUTED_VALUE"""),0.06341927229566825)</f>
        <v>0.0634192723</v>
      </c>
      <c r="AC41" s="114">
        <f>IFERROR(__xludf.DUMMYFUNCTION("""COMPUTED_VALUE"""),0.039898250645015655)</f>
        <v>0.03989825065</v>
      </c>
      <c r="AD41" s="114">
        <f>IFERROR(__xludf.DUMMYFUNCTION("""COMPUTED_VALUE"""),-0.036194864714922025)</f>
        <v>-0.03619486471</v>
      </c>
      <c r="AE41" s="114">
        <f>IFERROR(__xludf.DUMMYFUNCTION("""COMPUTED_VALUE"""),-0.9426230059093429)</f>
        <v>-0.9426230059</v>
      </c>
      <c r="AF41" s="114">
        <f>IFERROR(__xludf.DUMMYFUNCTION("""COMPUTED_VALUE"""),1.0477907400750697)</f>
        <v>1.04779074</v>
      </c>
      <c r="AG41" s="118">
        <f>IFERROR(__xludf.DUMMYFUNCTION("""COMPUTED_VALUE"""),0.0)</f>
        <v>0</v>
      </c>
      <c r="AH41" s="105"/>
      <c r="AI41" s="202"/>
      <c r="AJ41" s="63"/>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row>
    <row r="42">
      <c r="A42" s="91" t="str">
        <f>VLOOKUP($F42,UpdateHashtag!$V$3:$Y$32,COLUMN(B$9),0)</f>
        <v>#N/A</v>
      </c>
      <c r="B42" s="91" t="str">
        <f>VLOOKUP($F42,UpdateHashtag!$V$3:$Y$32,COLUMN(#REF!),0)</f>
        <v>#REF!</v>
      </c>
      <c r="C42" s="91" t="str">
        <f>VLOOKUP($F42,UpdateHashtag!$V$3:$Y$32,COLUMN(#REF!),0)</f>
        <v>#REF!</v>
      </c>
      <c r="D42" s="110" t="str">
        <f t="shared" si="2"/>
        <v>#N/A</v>
      </c>
      <c r="E42" s="11"/>
      <c r="F42" s="94" t="str">
        <f>VLOOKUP(J42,UpdateBBM!$C$2:E1009,3,0)</f>
        <v>NYK</v>
      </c>
      <c r="G42" s="78">
        <v>29.0</v>
      </c>
      <c r="H42" s="111">
        <f>IFERROR(__xludf.DUMMYFUNCTION("""COMPUTED_VALUE"""),29.0)</f>
        <v>29</v>
      </c>
      <c r="I42" s="111"/>
      <c r="J42" s="112" t="str">
        <f>IFERROR(__xludf.DUMMYFUNCTION("""COMPUTED_VALUE"""),"Karl-Anthony Towns")</f>
        <v>Karl-Anthony Towns</v>
      </c>
      <c r="K42" s="111">
        <f>IFERROR(__xludf.DUMMYFUNCTION("""COMPUTED_VALUE"""),68.0)</f>
        <v>68</v>
      </c>
      <c r="L42" s="113" t="str">
        <f>IFERROR(__xludf.DUMMYFUNCTION("""COMPUTED_VALUE"""),"C")</f>
        <v>C</v>
      </c>
      <c r="M42" s="114">
        <f>IFERROR(__xludf.DUMMYFUNCTION("""COMPUTED_VALUE"""),3.416527446359273)</f>
        <v>3.416527446</v>
      </c>
      <c r="N42" s="114">
        <f>IFERROR(__xludf.DUMMYFUNCTION("""COMPUTED_VALUE"""),3.7306648497982797)</f>
        <v>3.73066485</v>
      </c>
      <c r="O42" s="115">
        <f>IFERROR(__xludf.DUMMYFUNCTION("""COMPUTED_VALUE"""),0.31413740343900676)</f>
        <v>0.3141374034</v>
      </c>
      <c r="P42" s="116">
        <f>IFERROR(__xludf.DUMMYFUNCTION("""COMPUTED_VALUE"""),23.65838)</f>
        <v>23.65838</v>
      </c>
      <c r="Q42" s="116">
        <f>IFERROR(__xludf.DUMMYFUNCTION("""COMPUTED_VALUE"""),2.223676)</f>
        <v>2.223676</v>
      </c>
      <c r="R42" s="116">
        <f>IFERROR(__xludf.DUMMYFUNCTION("""COMPUTED_VALUE"""),10.51882)</f>
        <v>10.51882</v>
      </c>
      <c r="S42" s="117">
        <f>IFERROR(__xludf.DUMMYFUNCTION("""COMPUTED_VALUE"""),3.506176)</f>
        <v>3.506176</v>
      </c>
      <c r="T42" s="116">
        <f>IFERROR(__xludf.DUMMYFUNCTION("""COMPUTED_VALUE"""),0.905294)</f>
        <v>0.905294</v>
      </c>
      <c r="U42" s="116">
        <f>IFERROR(__xludf.DUMMYFUNCTION("""COMPUTED_VALUE"""),0.563676)</f>
        <v>0.563676</v>
      </c>
      <c r="V42" s="113">
        <f>IFERROR(__xludf.DUMMYFUNCTION("""COMPUTED_VALUE"""),0.513486)</f>
        <v>0.513486</v>
      </c>
      <c r="W42" s="113">
        <f>IFERROR(__xludf.DUMMYFUNCTION("""COMPUTED_VALUE"""),0.83001)</f>
        <v>0.83001</v>
      </c>
      <c r="X42" s="116">
        <f>IFERROR(__xludf.DUMMYFUNCTION("""COMPUTED_VALUE"""),3.015441)</f>
        <v>3.015441</v>
      </c>
      <c r="Y42" s="114">
        <f>IFERROR(__xludf.DUMMYFUNCTION("""COMPUTED_VALUE"""),1.1375298449595366)</f>
        <v>1.137529845</v>
      </c>
      <c r="Z42" s="114">
        <f>IFERROR(__xludf.DUMMYFUNCTION("""COMPUTED_VALUE"""),0.4386065395543197)</f>
        <v>0.4386065396</v>
      </c>
      <c r="AA42" s="114">
        <f>IFERROR(__xludf.DUMMYFUNCTION("""COMPUTED_VALUE"""),1.7804445262759392)</f>
        <v>1.780444526</v>
      </c>
      <c r="AB42" s="114">
        <f>IFERROR(__xludf.DUMMYFUNCTION("""COMPUTED_VALUE"""),-0.16156265973448)</f>
        <v>-0.1615626597</v>
      </c>
      <c r="AC42" s="114">
        <f>IFERROR(__xludf.DUMMYFUNCTION("""COMPUTED_VALUE"""),-0.42628833121625914)</f>
        <v>-0.4262883312</v>
      </c>
      <c r="AD42" s="114">
        <f>IFERROR(__xludf.DUMMYFUNCTION("""COMPUTED_VALUE"""),-0.3027797906079738)</f>
        <v>-0.3027797906</v>
      </c>
      <c r="AE42" s="114">
        <f>IFERROR(__xludf.DUMMYFUNCTION("""COMPUTED_VALUE"""),0.28233014483782864)</f>
        <v>0.2823301448</v>
      </c>
      <c r="AF42" s="114">
        <f>IFERROR(__xludf.DUMMYFUNCTION("""COMPUTED_VALUE"""),0.556096244513109)</f>
        <v>0.5560962445</v>
      </c>
      <c r="AG42" s="118">
        <f>IFERROR(__xludf.DUMMYFUNCTION("""COMPUTED_VALUE"""),0.0)</f>
        <v>0</v>
      </c>
      <c r="AH42" s="105"/>
      <c r="AI42" s="202"/>
      <c r="AJ42" s="63"/>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row>
    <row r="43">
      <c r="A43" s="109">
        <f>VLOOKUP($F43,UpdateHashtag!$V$3:$Y$32,COLUMN(B$9),0)</f>
        <v>4</v>
      </c>
      <c r="B43" s="91" t="str">
        <f>VLOOKUP($F43,UpdateHashtag!$V$3:$Y$32,COLUMN(#REF!),0)</f>
        <v>#REF!</v>
      </c>
      <c r="C43" s="91" t="str">
        <f>VLOOKUP($F43,UpdateHashtag!$V$3:$Y$32,COLUMN(#REF!),0)</f>
        <v>#REF!</v>
      </c>
      <c r="D43" s="110" t="str">
        <f t="shared" si="2"/>
        <v>#REF!</v>
      </c>
      <c r="E43" s="11"/>
      <c r="F43" s="94" t="str">
        <f>VLOOKUP(J43,UpdateBBM!$C$2:E1009,3,0)</f>
        <v>MEM</v>
      </c>
      <c r="G43" s="78">
        <v>30.0</v>
      </c>
      <c r="H43" s="111">
        <f>IFERROR(__xludf.DUMMYFUNCTION("""COMPUTED_VALUE"""),30.0)</f>
        <v>30</v>
      </c>
      <c r="I43" s="111"/>
      <c r="J43" s="112" t="str">
        <f>IFERROR(__xludf.DUMMYFUNCTION("""COMPUTED_VALUE"""),"Ja Morant")</f>
        <v>Ja Morant</v>
      </c>
      <c r="K43" s="111">
        <f>IFERROR(__xludf.DUMMYFUNCTION("""COMPUTED_VALUE"""),60.0)</f>
        <v>60</v>
      </c>
      <c r="L43" s="113" t="str">
        <f>IFERROR(__xludf.DUMMYFUNCTION("""COMPUTED_VALUE"""),"G")</f>
        <v>G</v>
      </c>
      <c r="M43" s="114">
        <f>IFERROR(__xludf.DUMMYFUNCTION("""COMPUTED_VALUE"""),3.3451789310669007)</f>
        <v>3.345178931</v>
      </c>
      <c r="N43" s="114">
        <f>IFERROR(__xludf.DUMMYFUNCTION("""COMPUTED_VALUE"""),3.8299012611501415)</f>
        <v>3.829901261</v>
      </c>
      <c r="O43" s="115">
        <f>IFERROR(__xludf.DUMMYFUNCTION("""COMPUTED_VALUE"""),0.48472233008324084)</f>
        <v>0.4847223301</v>
      </c>
      <c r="P43" s="116">
        <f>IFERROR(__xludf.DUMMYFUNCTION("""COMPUTED_VALUE"""),27.12117)</f>
        <v>27.12117</v>
      </c>
      <c r="Q43" s="116">
        <f>IFERROR(__xludf.DUMMYFUNCTION("""COMPUTED_VALUE"""),2.123333)</f>
        <v>2.123333</v>
      </c>
      <c r="R43" s="116">
        <f>IFERROR(__xludf.DUMMYFUNCTION("""COMPUTED_VALUE"""),5.148)</f>
        <v>5.148</v>
      </c>
      <c r="S43" s="117">
        <f>IFERROR(__xludf.DUMMYFUNCTION("""COMPUTED_VALUE"""),7.7935)</f>
        <v>7.7935</v>
      </c>
      <c r="T43" s="116">
        <f>IFERROR(__xludf.DUMMYFUNCTION("""COMPUTED_VALUE"""),1.144)</f>
        <v>1.144</v>
      </c>
      <c r="U43" s="116">
        <f>IFERROR(__xludf.DUMMYFUNCTION("""COMPUTED_VALUE"""),0.284667)</f>
        <v>0.284667</v>
      </c>
      <c r="V43" s="113">
        <f>IFERROR(__xludf.DUMMYFUNCTION("""COMPUTED_VALUE"""),0.469307)</f>
        <v>0.469307</v>
      </c>
      <c r="W43" s="113">
        <f>IFERROR(__xludf.DUMMYFUNCTION("""COMPUTED_VALUE"""),0.808988)</f>
        <v>0.808988</v>
      </c>
      <c r="X43" s="116">
        <f>IFERROR(__xludf.DUMMYFUNCTION("""COMPUTED_VALUE"""),3.703333)</f>
        <v>3.703333</v>
      </c>
      <c r="Y43" s="114">
        <f>IFERROR(__xludf.DUMMYFUNCTION("""COMPUTED_VALUE"""),1.7450507671681024)</f>
        <v>1.745050767</v>
      </c>
      <c r="Z43" s="114">
        <f>IFERROR(__xludf.DUMMYFUNCTION("""COMPUTED_VALUE"""),0.3416919147051711)</f>
        <v>0.3416919147</v>
      </c>
      <c r="AA43" s="114">
        <f>IFERROR(__xludf.DUMMYFUNCTION("""COMPUTED_VALUE"""),-0.3966367292965568)</f>
        <v>-0.3966367293</v>
      </c>
      <c r="AB43" s="114">
        <f>IFERROR(__xludf.DUMMYFUNCTION("""COMPUTED_VALUE"""),1.9328572679578822)</f>
        <v>1.932857268</v>
      </c>
      <c r="AC43" s="114">
        <f>IFERROR(__xludf.DUMMYFUNCTION("""COMPUTED_VALUE"""),0.3011037622934993)</f>
        <v>0.3011037623</v>
      </c>
      <c r="AD43" s="114">
        <f>IFERROR(__xludf.DUMMYFUNCTION("""COMPUTED_VALUE"""),-0.8100159833048678)</f>
        <v>-0.8100159833</v>
      </c>
      <c r="AE43" s="114">
        <f>IFERROR(__xludf.DUMMYFUNCTION("""COMPUTED_VALUE"""),-0.3647914993061033)</f>
        <v>-0.3647914993</v>
      </c>
      <c r="AF43" s="114">
        <f>IFERROR(__xludf.DUMMYFUNCTION("""COMPUTED_VALUE"""),0.27062577762814677)</f>
        <v>0.2706257776</v>
      </c>
      <c r="AG43" s="118">
        <f>IFERROR(__xludf.DUMMYFUNCTION("""COMPUTED_VALUE"""),0.0)</f>
        <v>0</v>
      </c>
      <c r="AH43" s="105"/>
      <c r="AI43" s="202"/>
      <c r="AJ43" s="63"/>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row>
    <row r="44">
      <c r="A44" s="109">
        <f>VLOOKUP($F44,UpdateHashtag!$V$3:$Y$32,COLUMN(B$9),0)</f>
        <v>4</v>
      </c>
      <c r="B44" s="91" t="str">
        <f>VLOOKUP($F44,UpdateHashtag!$V$3:$Y$32,COLUMN(#REF!),0)</f>
        <v>#REF!</v>
      </c>
      <c r="C44" s="91" t="str">
        <f>VLOOKUP($F44,UpdateHashtag!$V$3:$Y$32,COLUMN(#REF!),0)</f>
        <v>#REF!</v>
      </c>
      <c r="D44" s="110" t="str">
        <f t="shared" si="2"/>
        <v>#REF!</v>
      </c>
      <c r="E44" s="11"/>
      <c r="F44" s="94" t="str">
        <f>VLOOKUP(J44,UpdateBBM!$C$2:E1009,3,0)</f>
        <v>ATL</v>
      </c>
      <c r="G44" s="78">
        <v>31.0</v>
      </c>
      <c r="H44" s="111">
        <f>IFERROR(__xludf.DUMMYFUNCTION("""COMPUTED_VALUE"""),31.0)</f>
        <v>31</v>
      </c>
      <c r="I44" s="111"/>
      <c r="J44" s="112" t="str">
        <f>IFERROR(__xludf.DUMMYFUNCTION("""COMPUTED_VALUE"""),"Kristaps Porzingis")</f>
        <v>Kristaps Porzingis</v>
      </c>
      <c r="K44" s="111">
        <f>IFERROR(__xludf.DUMMYFUNCTION("""COMPUTED_VALUE"""),55.0)</f>
        <v>55</v>
      </c>
      <c r="L44" s="113" t="str">
        <f>IFERROR(__xludf.DUMMYFUNCTION("""COMPUTED_VALUE"""),"C")</f>
        <v>C</v>
      </c>
      <c r="M44" s="114">
        <f>IFERROR(__xludf.DUMMYFUNCTION("""COMPUTED_VALUE"""),3.2821345453158175)</f>
        <v>3.282134545</v>
      </c>
      <c r="N44" s="114">
        <f>IFERROR(__xludf.DUMMYFUNCTION("""COMPUTED_VALUE"""),3.1912980280675853)</f>
        <v>3.191298028</v>
      </c>
      <c r="O44" s="115">
        <f>IFERROR(__xludf.DUMMYFUNCTION("""COMPUTED_VALUE"""),-0.09083651724823216)</f>
        <v>-0.09083651725</v>
      </c>
      <c r="P44" s="116">
        <f>IFERROR(__xludf.DUMMYFUNCTION("""COMPUTED_VALUE"""),21.42764)</f>
        <v>21.42764</v>
      </c>
      <c r="Q44" s="116">
        <f>IFERROR(__xludf.DUMMYFUNCTION("""COMPUTED_VALUE"""),2.510909)</f>
        <v>2.510909</v>
      </c>
      <c r="R44" s="116">
        <f>IFERROR(__xludf.DUMMYFUNCTION("""COMPUTED_VALUE"""),7.54)</f>
        <v>7.54</v>
      </c>
      <c r="S44" s="117">
        <f>IFERROR(__xludf.DUMMYFUNCTION("""COMPUTED_VALUE"""),2.136364)</f>
        <v>2.136364</v>
      </c>
      <c r="T44" s="116">
        <f>IFERROR(__xludf.DUMMYFUNCTION("""COMPUTED_VALUE"""),0.762545)</f>
        <v>0.762545</v>
      </c>
      <c r="U44" s="116">
        <f>IFERROR(__xludf.DUMMYFUNCTION("""COMPUTED_VALUE"""),1.633636)</f>
        <v>1.633636</v>
      </c>
      <c r="V44" s="113">
        <f>IFERROR(__xludf.DUMMYFUNCTION("""COMPUTED_VALUE"""),0.470257)</f>
        <v>0.470257</v>
      </c>
      <c r="W44" s="113">
        <f>IFERROR(__xludf.DUMMYFUNCTION("""COMPUTED_VALUE"""),0.839992)</f>
        <v>0.839992</v>
      </c>
      <c r="X44" s="116">
        <f>IFERROR(__xludf.DUMMYFUNCTION("""COMPUTED_VALUE"""),1.382364)</f>
        <v>1.382364</v>
      </c>
      <c r="Y44" s="114">
        <f>IFERROR(__xludf.DUMMYFUNCTION("""COMPUTED_VALUE"""),0.7461629927947973)</f>
        <v>0.7461629928</v>
      </c>
      <c r="Z44" s="114">
        <f>IFERROR(__xludf.DUMMYFUNCTION("""COMPUTED_VALUE"""),0.7160257759663808)</f>
        <v>0.716025776</v>
      </c>
      <c r="AA44" s="114">
        <f>IFERROR(__xludf.DUMMYFUNCTION("""COMPUTED_VALUE"""),0.5729690968769904)</f>
        <v>0.5729690969</v>
      </c>
      <c r="AB44" s="114">
        <f>IFERROR(__xludf.DUMMYFUNCTION("""COMPUTED_VALUE"""),-0.8307356800128938)</f>
        <v>-0.83073568</v>
      </c>
      <c r="AC44" s="114">
        <f>IFERROR(__xludf.DUMMYFUNCTION("""COMPUTED_VALUE"""),-0.8612773719459625)</f>
        <v>-0.8612773719</v>
      </c>
      <c r="AD44" s="114">
        <f>IFERROR(__xludf.DUMMYFUNCTION("""COMPUTED_VALUE"""),1.6423991704218457)</f>
        <v>1.64239917</v>
      </c>
      <c r="AE44" s="114">
        <f>IFERROR(__xludf.DUMMYFUNCTION("""COMPUTED_VALUE"""),-0.3521098259748993)</f>
        <v>-0.352109826</v>
      </c>
      <c r="AF44" s="114">
        <f>IFERROR(__xludf.DUMMYFUNCTION("""COMPUTED_VALUE"""),0.6965864979953642)</f>
        <v>0.696586498</v>
      </c>
      <c r="AG44" s="118">
        <f>IFERROR(__xludf.DUMMYFUNCTION("""COMPUTED_VALUE"""),0.0)</f>
        <v>0</v>
      </c>
      <c r="AH44" s="105"/>
      <c r="AI44" s="202"/>
      <c r="AJ44" s="63"/>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row>
    <row r="45">
      <c r="A45" s="109">
        <f>VLOOKUP($F45,UpdateHashtag!$V$3:$Y$32,COLUMN(B$9),0)</f>
        <v>4</v>
      </c>
      <c r="B45" s="91" t="str">
        <f>VLOOKUP($F45,UpdateHashtag!$V$3:$Y$32,COLUMN(#REF!),0)</f>
        <v>#REF!</v>
      </c>
      <c r="C45" s="91" t="str">
        <f>VLOOKUP($F45,UpdateHashtag!$V$3:$Y$32,COLUMN(#REF!),0)</f>
        <v>#REF!</v>
      </c>
      <c r="D45" s="110" t="str">
        <f t="shared" si="2"/>
        <v>#REF!</v>
      </c>
      <c r="E45" s="11"/>
      <c r="F45" s="94" t="str">
        <f>VLOOKUP(J45,UpdateBBM!$C$2:E1009,3,0)</f>
        <v>MIN</v>
      </c>
      <c r="G45" s="78">
        <v>32.0</v>
      </c>
      <c r="H45" s="111">
        <f>IFERROR(__xludf.DUMMYFUNCTION("""COMPUTED_VALUE"""),32.0)</f>
        <v>32</v>
      </c>
      <c r="I45" s="111"/>
      <c r="J45" s="112" t="str">
        <f>IFERROR(__xludf.DUMMYFUNCTION("""COMPUTED_VALUE"""),"Rudy Gobert")</f>
        <v>Rudy Gobert</v>
      </c>
      <c r="K45" s="111">
        <f>IFERROR(__xludf.DUMMYFUNCTION("""COMPUTED_VALUE"""),73.0)</f>
        <v>73</v>
      </c>
      <c r="L45" s="113" t="str">
        <f>IFERROR(__xludf.DUMMYFUNCTION("""COMPUTED_VALUE"""),"C")</f>
        <v>C</v>
      </c>
      <c r="M45" s="114">
        <f>IFERROR(__xludf.DUMMYFUNCTION("""COMPUTED_VALUE"""),3.278584080343165)</f>
        <v>3.27858408</v>
      </c>
      <c r="N45" s="114">
        <f>IFERROR(__xludf.DUMMYFUNCTION("""COMPUTED_VALUE"""),3.090448300772013)</f>
        <v>3.090448301</v>
      </c>
      <c r="O45" s="115">
        <f>IFERROR(__xludf.DUMMYFUNCTION("""COMPUTED_VALUE"""),-0.18813577957115202)</f>
        <v>-0.1881357796</v>
      </c>
      <c r="P45" s="116">
        <f>IFERROR(__xludf.DUMMYFUNCTION("""COMPUTED_VALUE"""),12.37959)</f>
        <v>12.37959</v>
      </c>
      <c r="Q45" s="116">
        <f>IFERROR(__xludf.DUMMYFUNCTION("""COMPUTED_VALUE"""),0.0)</f>
        <v>0</v>
      </c>
      <c r="R45" s="116">
        <f>IFERROR(__xludf.DUMMYFUNCTION("""COMPUTED_VALUE"""),11.41795)</f>
        <v>11.41795</v>
      </c>
      <c r="S45" s="117">
        <f>IFERROR(__xludf.DUMMYFUNCTION("""COMPUTED_VALUE"""),1.517945)</f>
        <v>1.517945</v>
      </c>
      <c r="T45" s="116">
        <f>IFERROR(__xludf.DUMMYFUNCTION("""COMPUTED_VALUE"""),0.853699)</f>
        <v>0.853699</v>
      </c>
      <c r="U45" s="116">
        <f>IFERROR(__xludf.DUMMYFUNCTION("""COMPUTED_VALUE"""),1.253973)</f>
        <v>1.253973</v>
      </c>
      <c r="V45" s="113">
        <f>IFERROR(__xludf.DUMMYFUNCTION("""COMPUTED_VALUE"""),0.679039)</f>
        <v>0.679039</v>
      </c>
      <c r="W45" s="113">
        <f>IFERROR(__xludf.DUMMYFUNCTION("""COMPUTED_VALUE"""),0.677008)</f>
        <v>0.677008</v>
      </c>
      <c r="X45" s="116">
        <f>IFERROR(__xludf.DUMMYFUNCTION("""COMPUTED_VALUE"""),0.99)</f>
        <v>0.99</v>
      </c>
      <c r="Y45" s="114">
        <f>IFERROR(__xludf.DUMMYFUNCTION("""COMPUTED_VALUE"""),-0.8412505321920535)</f>
        <v>-0.8412505322</v>
      </c>
      <c r="Z45" s="114">
        <f>IFERROR(__xludf.DUMMYFUNCTION("""COMPUTED_VALUE"""),-1.7090941005108098)</f>
        <v>-1.709094101</v>
      </c>
      <c r="AA45" s="114">
        <f>IFERROR(__xludf.DUMMYFUNCTION("""COMPUTED_VALUE"""),2.1449101142723523)</f>
        <v>2.144910114</v>
      </c>
      <c r="AB45" s="114">
        <f>IFERROR(__xludf.DUMMYFUNCTION("""COMPUTED_VALUE"""),-1.1328423267845356)</f>
        <v>-1.132842327</v>
      </c>
      <c r="AC45" s="114">
        <f>IFERROR(__xludf.DUMMYFUNCTION("""COMPUTED_VALUE"""),-0.5835101650396068)</f>
        <v>-0.583510165</v>
      </c>
      <c r="AD45" s="114">
        <f>IFERROR(__xludf.DUMMYFUNCTION("""COMPUTED_VALUE"""),0.9521747883127346)</f>
        <v>0.9521747883</v>
      </c>
      <c r="AE45" s="114">
        <f>IFERROR(__xludf.DUMMYFUNCTION("""COMPUTED_VALUE"""),3.7503391319068333)</f>
        <v>3.750339132</v>
      </c>
      <c r="AF45" s="114">
        <f>IFERROR(__xludf.DUMMYFUNCTION("""COMPUTED_VALUE"""),-1.1993727097037112)</f>
        <v>-1.19937271</v>
      </c>
      <c r="AG45" s="118">
        <f>IFERROR(__xludf.DUMMYFUNCTION("""COMPUTED_VALUE"""),0.0)</f>
        <v>0</v>
      </c>
      <c r="AH45" s="105"/>
      <c r="AI45" s="202"/>
      <c r="AJ45" s="63"/>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row>
    <row r="46">
      <c r="A46" s="109">
        <f>VLOOKUP($F46,UpdateHashtag!$V$3:$Y$32,COLUMN(B$9),0)</f>
        <v>4</v>
      </c>
      <c r="B46" s="91" t="str">
        <f>VLOOKUP($F46,UpdateHashtag!$V$3:$Y$32,COLUMN(#REF!),0)</f>
        <v>#REF!</v>
      </c>
      <c r="C46" s="91" t="str">
        <f>VLOOKUP($F46,UpdateHashtag!$V$3:$Y$32,COLUMN(#REF!),0)</f>
        <v>#REF!</v>
      </c>
      <c r="D46" s="110" t="str">
        <f t="shared" si="2"/>
        <v>#REF!</v>
      </c>
      <c r="E46" s="11"/>
      <c r="F46" s="94" t="str">
        <f>VLOOKUP(J46,UpdateBBM!$C$2:E1009,3,0)</f>
        <v>MEM</v>
      </c>
      <c r="G46" s="78">
        <v>33.0</v>
      </c>
      <c r="H46" s="111">
        <f>IFERROR(__xludf.DUMMYFUNCTION("""COMPUTED_VALUE"""),33.0)</f>
        <v>33</v>
      </c>
      <c r="I46" s="111"/>
      <c r="J46" s="112" t="str">
        <f>IFERROR(__xludf.DUMMYFUNCTION("""COMPUTED_VALUE"""),"Jaren Jackson Jr.")</f>
        <v>Jaren Jackson Jr.</v>
      </c>
      <c r="K46" s="111">
        <f>IFERROR(__xludf.DUMMYFUNCTION("""COMPUTED_VALUE"""),62.0)</f>
        <v>62</v>
      </c>
      <c r="L46" s="113" t="str">
        <f>IFERROR(__xludf.DUMMYFUNCTION("""COMPUTED_VALUE"""),"F,C")</f>
        <v>F,C</v>
      </c>
      <c r="M46" s="114">
        <f>IFERROR(__xludf.DUMMYFUNCTION("""COMPUTED_VALUE"""),3.2167988930686735)</f>
        <v>3.216798893</v>
      </c>
      <c r="N46" s="114">
        <f>IFERROR(__xludf.DUMMYFUNCTION("""COMPUTED_VALUE"""),3.1958110077539836)</f>
        <v>3.195811008</v>
      </c>
      <c r="O46" s="115">
        <f>IFERROR(__xludf.DUMMYFUNCTION("""COMPUTED_VALUE"""),-0.02098788531468987)</f>
        <v>-0.02098788531</v>
      </c>
      <c r="P46" s="116">
        <f>IFERROR(__xludf.DUMMYFUNCTION("""COMPUTED_VALUE"""),23.20919)</f>
        <v>23.20919</v>
      </c>
      <c r="Q46" s="116">
        <f>IFERROR(__xludf.DUMMYFUNCTION("""COMPUTED_VALUE"""),2.403871)</f>
        <v>2.403871</v>
      </c>
      <c r="R46" s="116">
        <f>IFERROR(__xludf.DUMMYFUNCTION("""COMPUTED_VALUE"""),6.170645)</f>
        <v>6.170645</v>
      </c>
      <c r="S46" s="117">
        <f>IFERROR(__xludf.DUMMYFUNCTION("""COMPUTED_VALUE"""),1.733387)</f>
        <v>1.733387</v>
      </c>
      <c r="T46" s="116">
        <f>IFERROR(__xludf.DUMMYFUNCTION("""COMPUTED_VALUE"""),1.191129)</f>
        <v>1.191129</v>
      </c>
      <c r="U46" s="116">
        <f>IFERROR(__xludf.DUMMYFUNCTION("""COMPUTED_VALUE"""),1.514516)</f>
        <v>1.514516</v>
      </c>
      <c r="V46" s="113">
        <f>IFERROR(__xludf.DUMMYFUNCTION("""COMPUTED_VALUE"""),0.473105)</f>
        <v>0.473105</v>
      </c>
      <c r="W46" s="113">
        <f>IFERROR(__xludf.DUMMYFUNCTION("""COMPUTED_VALUE"""),0.784009)</f>
        <v>0.784009</v>
      </c>
      <c r="X46" s="116">
        <f>IFERROR(__xludf.DUMMYFUNCTION("""COMPUTED_VALUE"""),1.664032)</f>
        <v>1.664032</v>
      </c>
      <c r="Y46" s="114">
        <f>IFERROR(__xludf.DUMMYFUNCTION("""COMPUTED_VALUE"""),1.058722778101059)</f>
        <v>1.058722778</v>
      </c>
      <c r="Z46" s="114">
        <f>IFERROR(__xludf.DUMMYFUNCTION("""COMPUTED_VALUE"""),0.6126448962378185)</f>
        <v>0.6126448962</v>
      </c>
      <c r="AA46" s="114">
        <f>IFERROR(__xludf.DUMMYFUNCTION("""COMPUTED_VALUE"""),0.017896109377041745)</f>
        <v>0.01789610938</v>
      </c>
      <c r="AB46" s="114">
        <f>IFERROR(__xludf.DUMMYFUNCTION("""COMPUTED_VALUE"""),-1.0275957865039556)</f>
        <v>-1.027595787</v>
      </c>
      <c r="AC46" s="114">
        <f>IFERROR(__xludf.DUMMYFUNCTION("""COMPUTED_VALUE"""),0.4447166667660369)</f>
        <v>0.4447166668</v>
      </c>
      <c r="AD46" s="114">
        <f>IFERROR(__xludf.DUMMYFUNCTION("""COMPUTED_VALUE"""),1.4258399365833168)</f>
        <v>1.425839937</v>
      </c>
      <c r="AE46" s="114">
        <f>IFERROR(__xludf.DUMMYFUNCTION("""COMPUTED_VALUE"""),-0.3137665725742191)</f>
        <v>-0.3137665726</v>
      </c>
      <c r="AF46" s="114">
        <f>IFERROR(__xludf.DUMMYFUNCTION("""COMPUTED_VALUE"""),-0.05024280673707034)</f>
        <v>-0.05024280674</v>
      </c>
      <c r="AG46" s="118">
        <f>IFERROR(__xludf.DUMMYFUNCTION("""COMPUTED_VALUE"""),0.0)</f>
        <v>0</v>
      </c>
      <c r="AH46" s="105"/>
      <c r="AI46" s="202"/>
      <c r="AJ46" s="63"/>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row>
    <row r="47">
      <c r="A47" s="109">
        <f>VLOOKUP($F47,UpdateHashtag!$V$3:$Y$32,COLUMN(B$9),0)</f>
        <v>4</v>
      </c>
      <c r="B47" s="91" t="str">
        <f>VLOOKUP($F47,UpdateHashtag!$V$3:$Y$32,COLUMN(#REF!),0)</f>
        <v>#REF!</v>
      </c>
      <c r="C47" s="91" t="str">
        <f>VLOOKUP($F47,UpdateHashtag!$V$3:$Y$32,COLUMN(#REF!),0)</f>
        <v>#REF!</v>
      </c>
      <c r="D47" s="110" t="str">
        <f t="shared" si="2"/>
        <v>#REF!</v>
      </c>
      <c r="E47" s="11"/>
      <c r="F47" s="94" t="str">
        <f>VLOOKUP(J47,UpdateBBM!$C$2:E1009,3,0)</f>
        <v>CLE</v>
      </c>
      <c r="G47" s="78">
        <v>34.0</v>
      </c>
      <c r="H47" s="111">
        <f>IFERROR(__xludf.DUMMYFUNCTION("""COMPUTED_VALUE"""),34.0)</f>
        <v>34</v>
      </c>
      <c r="I47" s="111"/>
      <c r="J47" s="112" t="str">
        <f>IFERROR(__xludf.DUMMYFUNCTION("""COMPUTED_VALUE"""),"Evan Mobley")</f>
        <v>Evan Mobley</v>
      </c>
      <c r="K47" s="111">
        <f>IFERROR(__xludf.DUMMYFUNCTION("""COMPUTED_VALUE"""),73.0)</f>
        <v>73</v>
      </c>
      <c r="L47" s="113" t="str">
        <f>IFERROR(__xludf.DUMMYFUNCTION("""COMPUTED_VALUE"""),"F,C")</f>
        <v>F,C</v>
      </c>
      <c r="M47" s="114">
        <f>IFERROR(__xludf.DUMMYFUNCTION("""COMPUTED_VALUE"""),3.1736384988155177)</f>
        <v>3.173638499</v>
      </c>
      <c r="N47" s="114">
        <f>IFERROR(__xludf.DUMMYFUNCTION("""COMPUTED_VALUE"""),3.2577734641932876)</f>
        <v>3.257773464</v>
      </c>
      <c r="O47" s="115">
        <f>IFERROR(__xludf.DUMMYFUNCTION("""COMPUTED_VALUE"""),0.08413496537776988)</f>
        <v>0.08413496538</v>
      </c>
      <c r="P47" s="116">
        <f>IFERROR(__xludf.DUMMYFUNCTION("""COMPUTED_VALUE"""),19.13356)</f>
        <v>19.13356</v>
      </c>
      <c r="Q47" s="116">
        <f>IFERROR(__xludf.DUMMYFUNCTION("""COMPUTED_VALUE"""),1.494247)</f>
        <v>1.494247</v>
      </c>
      <c r="R47" s="116">
        <f>IFERROR(__xludf.DUMMYFUNCTION("""COMPUTED_VALUE"""),9.58863)</f>
        <v>9.58863</v>
      </c>
      <c r="S47" s="117">
        <f>IFERROR(__xludf.DUMMYFUNCTION("""COMPUTED_VALUE"""),3.587671)</f>
        <v>3.587671</v>
      </c>
      <c r="T47" s="116">
        <f>IFERROR(__xludf.DUMMYFUNCTION("""COMPUTED_VALUE"""),0.847534)</f>
        <v>0.847534</v>
      </c>
      <c r="U47" s="116">
        <f>IFERROR(__xludf.DUMMYFUNCTION("""COMPUTED_VALUE"""),1.696575)</f>
        <v>1.696575</v>
      </c>
      <c r="V47" s="113">
        <f>IFERROR(__xludf.DUMMYFUNCTION("""COMPUTED_VALUE"""),0.540956)</f>
        <v>0.540956</v>
      </c>
      <c r="W47" s="113">
        <f>IFERROR(__xludf.DUMMYFUNCTION("""COMPUTED_VALUE"""),0.694007)</f>
        <v>0.694007</v>
      </c>
      <c r="X47" s="116">
        <f>IFERROR(__xludf.DUMMYFUNCTION("""COMPUTED_VALUE"""),2.087945)</f>
        <v>2.087945</v>
      </c>
      <c r="Y47" s="114">
        <f>IFERROR(__xludf.DUMMYFUNCTION("""COMPUTED_VALUE"""),0.34368360558961647)</f>
        <v>0.3436836056</v>
      </c>
      <c r="Z47" s="114">
        <f>IFERROR(__xludf.DUMMYFUNCTION("""COMPUTED_VALUE"""),-0.2659003806004454)</f>
        <v>-0.2659003806</v>
      </c>
      <c r="AA47" s="114">
        <f>IFERROR(__xludf.DUMMYFUNCTION("""COMPUTED_VALUE"""),1.4033886552690948)</f>
        <v>1.403388655</v>
      </c>
      <c r="AB47" s="114">
        <f>IFERROR(__xludf.DUMMYFUNCTION("""COMPUTED_VALUE"""),-0.12175117079469175)</f>
        <v>-0.1217511708</v>
      </c>
      <c r="AC47" s="114">
        <f>IFERROR(__xludf.DUMMYFUNCTION("""COMPUTED_VALUE"""),-0.6022963382253989)</f>
        <v>-0.6022963382</v>
      </c>
      <c r="AD47" s="114">
        <f>IFERROR(__xludf.DUMMYFUNCTION("""COMPUTED_VALUE"""),1.7568217830692863)</f>
        <v>1.756821783</v>
      </c>
      <c r="AE47" s="114">
        <f>IFERROR(__xludf.DUMMYFUNCTION("""COMPUTED_VALUE"""),0.7438273098858259)</f>
        <v>0.7438273099</v>
      </c>
      <c r="AF47" s="114">
        <f>IFERROR(__xludf.DUMMYFUNCTION("""COMPUTED_VALUE"""),-1.0412275593667863)</f>
        <v>-1.041227559</v>
      </c>
      <c r="AG47" s="118">
        <f>IFERROR(__xludf.DUMMYFUNCTION("""COMPUTED_VALUE"""),0.0)</f>
        <v>0</v>
      </c>
      <c r="AH47" s="105"/>
      <c r="AI47" s="202"/>
      <c r="AJ47" s="63"/>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row>
    <row r="48">
      <c r="A48" s="109">
        <f>VLOOKUP($F48,UpdateHashtag!$V$3:$Y$32,COLUMN(B$9),0)</f>
        <v>3</v>
      </c>
      <c r="B48" s="91" t="str">
        <f>VLOOKUP($F48,UpdateHashtag!$V$3:$Y$32,COLUMN(#REF!),0)</f>
        <v>#REF!</v>
      </c>
      <c r="C48" s="91" t="str">
        <f>VLOOKUP($F48,UpdateHashtag!$V$3:$Y$32,COLUMN(#REF!),0)</f>
        <v>#REF!</v>
      </c>
      <c r="D48" s="110" t="str">
        <f t="shared" si="2"/>
        <v>#REF!</v>
      </c>
      <c r="E48" s="11"/>
      <c r="F48" s="94" t="str">
        <f>VLOOKUP(J48,UpdateBBM!$C$2:E1009,3,0)</f>
        <v>TOR</v>
      </c>
      <c r="G48" s="78">
        <v>35.0</v>
      </c>
      <c r="H48" s="111">
        <f>IFERROR(__xludf.DUMMYFUNCTION("""COMPUTED_VALUE"""),35.0)</f>
        <v>35</v>
      </c>
      <c r="I48" s="111"/>
      <c r="J48" s="112" t="str">
        <f>IFERROR(__xludf.DUMMYFUNCTION("""COMPUTED_VALUE"""),"Scottie Barnes")</f>
        <v>Scottie Barnes</v>
      </c>
      <c r="K48" s="111">
        <f>IFERROR(__xludf.DUMMYFUNCTION("""COMPUTED_VALUE"""),64.0)</f>
        <v>64</v>
      </c>
      <c r="L48" s="113" t="str">
        <f>IFERROR(__xludf.DUMMYFUNCTION("""COMPUTED_VALUE"""),"F")</f>
        <v>F</v>
      </c>
      <c r="M48" s="114">
        <f>IFERROR(__xludf.DUMMYFUNCTION("""COMPUTED_VALUE"""),3.148091343392539)</f>
        <v>3.148091343</v>
      </c>
      <c r="N48" s="114">
        <f>IFERROR(__xludf.DUMMYFUNCTION("""COMPUTED_VALUE"""),3.4311216198651335)</f>
        <v>3.43112162</v>
      </c>
      <c r="O48" s="115">
        <f>IFERROR(__xludf.DUMMYFUNCTION("""COMPUTED_VALUE"""),0.2830302764725947)</f>
        <v>0.2830302765</v>
      </c>
      <c r="P48" s="116">
        <f>IFERROR(__xludf.DUMMYFUNCTION("""COMPUTED_VALUE"""),20.02125)</f>
        <v>20.02125</v>
      </c>
      <c r="Q48" s="116">
        <f>IFERROR(__xludf.DUMMYFUNCTION("""COMPUTED_VALUE"""),1.262188)</f>
        <v>1.262188</v>
      </c>
      <c r="R48" s="116">
        <f>IFERROR(__xludf.DUMMYFUNCTION("""COMPUTED_VALUE"""),8.486719)</f>
        <v>8.486719</v>
      </c>
      <c r="S48" s="117">
        <f>IFERROR(__xludf.DUMMYFUNCTION("""COMPUTED_VALUE"""),6.008281)</f>
        <v>6.008281</v>
      </c>
      <c r="T48" s="116">
        <f>IFERROR(__xludf.DUMMYFUNCTION("""COMPUTED_VALUE"""),1.427031)</f>
        <v>1.427031</v>
      </c>
      <c r="U48" s="116">
        <f>IFERROR(__xludf.DUMMYFUNCTION("""COMPUTED_VALUE"""),1.10875)</f>
        <v>1.10875</v>
      </c>
      <c r="V48" s="113">
        <f>IFERROR(__xludf.DUMMYFUNCTION("""COMPUTED_VALUE"""),0.462938)</f>
        <v>0.462938</v>
      </c>
      <c r="W48" s="113">
        <f>IFERROR(__xludf.DUMMYFUNCTION("""COMPUTED_VALUE"""),0.746995)</f>
        <v>0.746995</v>
      </c>
      <c r="X48" s="116">
        <f>IFERROR(__xludf.DUMMYFUNCTION("""COMPUTED_VALUE"""),2.89)</f>
        <v>2.89</v>
      </c>
      <c r="Y48" s="114">
        <f>IFERROR(__xludf.DUMMYFUNCTION("""COMPUTED_VALUE"""),0.49942225778490457)</f>
        <v>0.4994222578</v>
      </c>
      <c r="Z48" s="114">
        <f>IFERROR(__xludf.DUMMYFUNCTION("""COMPUTED_VALUE"""),-0.49003072280536814)</f>
        <v>-0.4900307228</v>
      </c>
      <c r="AA48" s="114">
        <f>IFERROR(__xludf.DUMMYFUNCTION("""COMPUTED_VALUE"""),0.956725057641704)</f>
        <v>0.9567250576</v>
      </c>
      <c r="AB48" s="114">
        <f>IFERROR(__xludf.DUMMYFUNCTION("""COMPUTED_VALUE"""),1.0607519059896635)</f>
        <v>1.060751906</v>
      </c>
      <c r="AC48" s="114">
        <f>IFERROR(__xludf.DUMMYFUNCTION("""COMPUTED_VALUE"""),1.163564327248551)</f>
        <v>1.163564327</v>
      </c>
      <c r="AD48" s="114">
        <f>IFERROR(__xludf.DUMMYFUNCTION("""COMPUTED_VALUE"""),0.6881605034257916)</f>
        <v>0.6881605034</v>
      </c>
      <c r="AE48" s="114">
        <f>IFERROR(__xludf.DUMMYFUNCTION("""COMPUTED_VALUE"""),-0.4484118103684189)</f>
        <v>-0.4484118104</v>
      </c>
      <c r="AF48" s="114">
        <f>IFERROR(__xludf.DUMMYFUNCTION("""COMPUTED_VALUE"""),-0.48909062185706226)</f>
        <v>-0.4890906219</v>
      </c>
      <c r="AG48" s="118">
        <f>IFERROR(__xludf.DUMMYFUNCTION("""COMPUTED_VALUE"""),0.0)</f>
        <v>0</v>
      </c>
      <c r="AH48" s="105"/>
      <c r="AI48" s="202"/>
      <c r="AJ48" s="63"/>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row>
    <row r="49">
      <c r="A49" s="109">
        <f>VLOOKUP($F49,UpdateHashtag!$V$3:$Y$32,COLUMN(B$9),0)</f>
        <v>4</v>
      </c>
      <c r="B49" s="91" t="str">
        <f>VLOOKUP($F49,UpdateHashtag!$V$3:$Y$32,COLUMN(#REF!),0)</f>
        <v>#REF!</v>
      </c>
      <c r="C49" s="91" t="str">
        <f>VLOOKUP($F49,UpdateHashtag!$V$3:$Y$32,COLUMN(#REF!),0)</f>
        <v>#REF!</v>
      </c>
      <c r="D49" s="110" t="str">
        <f t="shared" si="2"/>
        <v>#REF!</v>
      </c>
      <c r="E49" s="11"/>
      <c r="F49" s="94" t="str">
        <f>VLOOKUP(J49,UpdateBBM!$C$2:E1009,3,0)</f>
        <v>ATL</v>
      </c>
      <c r="G49" s="78">
        <v>36.0</v>
      </c>
      <c r="H49" s="111">
        <f>IFERROR(__xludf.DUMMYFUNCTION("""COMPUTED_VALUE"""),36.0)</f>
        <v>36</v>
      </c>
      <c r="I49" s="111"/>
      <c r="J49" s="112" t="str">
        <f>IFERROR(__xludf.DUMMYFUNCTION("""COMPUTED_VALUE"""),"Jalen Johnson")</f>
        <v>Jalen Johnson</v>
      </c>
      <c r="K49" s="111">
        <f>IFERROR(__xludf.DUMMYFUNCTION("""COMPUTED_VALUE"""),68.0)</f>
        <v>68</v>
      </c>
      <c r="L49" s="113" t="str">
        <f>IFERROR(__xludf.DUMMYFUNCTION("""COMPUTED_VALUE"""),"F")</f>
        <v>F</v>
      </c>
      <c r="M49" s="114">
        <f>IFERROR(__xludf.DUMMYFUNCTION("""COMPUTED_VALUE"""),3.1277998924942625)</f>
        <v>3.127799892</v>
      </c>
      <c r="N49" s="114">
        <f>IFERROR(__xludf.DUMMYFUNCTION("""COMPUTED_VALUE"""),3.3899704077551265)</f>
        <v>3.389970408</v>
      </c>
      <c r="O49" s="115">
        <f>IFERROR(__xludf.DUMMYFUNCTION("""COMPUTED_VALUE"""),0.262170515260864)</f>
        <v>0.2621705153</v>
      </c>
      <c r="P49" s="116">
        <f>IFERROR(__xludf.DUMMYFUNCTION("""COMPUTED_VALUE"""),19.61265)</f>
        <v>19.61265</v>
      </c>
      <c r="Q49" s="116">
        <f>IFERROR(__xludf.DUMMYFUNCTION("""COMPUTED_VALUE"""),1.142059)</f>
        <v>1.142059</v>
      </c>
      <c r="R49" s="116">
        <f>IFERROR(__xludf.DUMMYFUNCTION("""COMPUTED_VALUE"""),9.251618)</f>
        <v>9.251618</v>
      </c>
      <c r="S49" s="117">
        <f>IFERROR(__xludf.DUMMYFUNCTION("""COMPUTED_VALUE"""),5.156618)</f>
        <v>5.156618</v>
      </c>
      <c r="T49" s="116">
        <f>IFERROR(__xludf.DUMMYFUNCTION("""COMPUTED_VALUE"""),1.372206)</f>
        <v>1.372206</v>
      </c>
      <c r="U49" s="116">
        <f>IFERROR(__xludf.DUMMYFUNCTION("""COMPUTED_VALUE"""),0.834118)</f>
        <v>0.834118</v>
      </c>
      <c r="V49" s="113">
        <f>IFERROR(__xludf.DUMMYFUNCTION("""COMPUTED_VALUE"""),0.51443)</f>
        <v>0.51443</v>
      </c>
      <c r="W49" s="113">
        <f>IFERROR(__xludf.DUMMYFUNCTION("""COMPUTED_VALUE"""),0.752021)</f>
        <v>0.752021</v>
      </c>
      <c r="X49" s="116">
        <f>IFERROR(__xludf.DUMMYFUNCTION("""COMPUTED_VALUE"""),2.805882)</f>
        <v>2.805882</v>
      </c>
      <c r="Y49" s="114">
        <f>IFERROR(__xludf.DUMMYFUNCTION("""COMPUTED_VALUE"""),0.42773640654517586)</f>
        <v>0.4277364065</v>
      </c>
      <c r="Z49" s="114">
        <f>IFERROR(__xludf.DUMMYFUNCTION("""COMPUTED_VALUE"""),-0.6060553280942611)</f>
        <v>-0.6060553281</v>
      </c>
      <c r="AA49" s="114">
        <f>IFERROR(__xludf.DUMMYFUNCTION("""COMPUTED_VALUE"""),1.2667796257162525)</f>
        <v>1.266779626</v>
      </c>
      <c r="AB49" s="114">
        <f>IFERROR(__xludf.DUMMYFUNCTION("""COMPUTED_VALUE"""),0.6447021838603678)</f>
        <v>0.6447021839</v>
      </c>
      <c r="AC49" s="114">
        <f>IFERROR(__xludf.DUMMYFUNCTION("""COMPUTED_VALUE"""),0.9964999404016663)</f>
        <v>0.9964999404</v>
      </c>
      <c r="AD49" s="114">
        <f>IFERROR(__xludf.DUMMYFUNCTION("""COMPUTED_VALUE"""),0.18888166269759513)</f>
        <v>0.1888816627</v>
      </c>
      <c r="AE49" s="114">
        <f>IFERROR(__xludf.DUMMYFUNCTION("""COMPUTED_VALUE"""),0.2974371718437915)</f>
        <v>0.2974371718</v>
      </c>
      <c r="AF49" s="114">
        <f>IFERROR(__xludf.DUMMYFUNCTION("""COMPUTED_VALUE"""),-0.4320665833097232)</f>
        <v>-0.4320665833</v>
      </c>
      <c r="AG49" s="118">
        <f>IFERROR(__xludf.DUMMYFUNCTION("""COMPUTED_VALUE"""),0.0)</f>
        <v>0</v>
      </c>
      <c r="AH49" s="105"/>
      <c r="AI49" s="202"/>
      <c r="AJ49" s="63"/>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row>
    <row r="50">
      <c r="A50" s="109">
        <f>VLOOKUP($F50,UpdateHashtag!$V$3:$Y$32,COLUMN(B$9),0)</f>
        <v>4</v>
      </c>
      <c r="B50" s="91" t="str">
        <f>VLOOKUP($F50,UpdateHashtag!$V$3:$Y$32,COLUMN(#REF!),0)</f>
        <v>#REF!</v>
      </c>
      <c r="C50" s="91" t="str">
        <f>VLOOKUP($F50,UpdateHashtag!$V$3:$Y$32,COLUMN(#REF!),0)</f>
        <v>#REF!</v>
      </c>
      <c r="D50" s="110" t="str">
        <f t="shared" si="2"/>
        <v>#REF!</v>
      </c>
      <c r="E50" s="11"/>
      <c r="F50" s="94" t="str">
        <f>VLOOKUP(J50,UpdateBBM!$C$2:E1009,3,0)</f>
        <v>DET</v>
      </c>
      <c r="G50" s="78">
        <v>37.0</v>
      </c>
      <c r="H50" s="111">
        <f>IFERROR(__xludf.DUMMYFUNCTION("""COMPUTED_VALUE"""),37.0)</f>
        <v>37</v>
      </c>
      <c r="I50" s="111"/>
      <c r="J50" s="112" t="str">
        <f>IFERROR(__xludf.DUMMYFUNCTION("""COMPUTED_VALUE"""),"Jalen Duren")</f>
        <v>Jalen Duren</v>
      </c>
      <c r="K50" s="111">
        <f>IFERROR(__xludf.DUMMYFUNCTION("""COMPUTED_VALUE"""),73.0)</f>
        <v>73</v>
      </c>
      <c r="L50" s="113" t="str">
        <f>IFERROR(__xludf.DUMMYFUNCTION("""COMPUTED_VALUE"""),"C")</f>
        <v>C</v>
      </c>
      <c r="M50" s="114">
        <f>IFERROR(__xludf.DUMMYFUNCTION("""COMPUTED_VALUE"""),3.0779464973686106)</f>
        <v>3.077946497</v>
      </c>
      <c r="N50" s="114">
        <f>IFERROR(__xludf.DUMMYFUNCTION("""COMPUTED_VALUE"""),3.0806210673527072)</f>
        <v>3.080621067</v>
      </c>
      <c r="O50" s="115">
        <f>IFERROR(__xludf.DUMMYFUNCTION("""COMPUTED_VALUE"""),0.002674569984096653)</f>
        <v>0.002674569984</v>
      </c>
      <c r="P50" s="116">
        <f>IFERROR(__xludf.DUMMYFUNCTION("""COMPUTED_VALUE"""),12.57548)</f>
        <v>12.57548</v>
      </c>
      <c r="Q50" s="116">
        <f>IFERROR(__xludf.DUMMYFUNCTION("""COMPUTED_VALUE"""),0.006712)</f>
        <v>0.006712</v>
      </c>
      <c r="R50" s="116">
        <f>IFERROR(__xludf.DUMMYFUNCTION("""COMPUTED_VALUE"""),10.73753)</f>
        <v>10.73753</v>
      </c>
      <c r="S50" s="117">
        <f>IFERROR(__xludf.DUMMYFUNCTION("""COMPUTED_VALUE"""),2.853699)</f>
        <v>2.853699</v>
      </c>
      <c r="T50" s="116">
        <f>IFERROR(__xludf.DUMMYFUNCTION("""COMPUTED_VALUE"""),0.796849)</f>
        <v>0.796849</v>
      </c>
      <c r="U50" s="116">
        <f>IFERROR(__xludf.DUMMYFUNCTION("""COMPUTED_VALUE"""),1.078219)</f>
        <v>1.078219</v>
      </c>
      <c r="V50" s="113">
        <f>IFERROR(__xludf.DUMMYFUNCTION("""COMPUTED_VALUE"""),0.681451)</f>
        <v>0.681451</v>
      </c>
      <c r="W50" s="113">
        <f>IFERROR(__xludf.DUMMYFUNCTION("""COMPUTED_VALUE"""),0.678018)</f>
        <v>0.678018</v>
      </c>
      <c r="X50" s="116">
        <f>IFERROR(__xludf.DUMMYFUNCTION("""COMPUTED_VALUE"""),1.759452)</f>
        <v>1.759452</v>
      </c>
      <c r="Y50" s="114">
        <f>IFERROR(__xludf.DUMMYFUNCTION("""COMPUTED_VALUE"""),-0.806883078938626)</f>
        <v>-0.8068830789</v>
      </c>
      <c r="Z50" s="114">
        <f>IFERROR(__xludf.DUMMYFUNCTION("""COMPUTED_VALUE"""),-1.702611426462919)</f>
        <v>-1.702611426</v>
      </c>
      <c r="AA50" s="114">
        <f>IFERROR(__xludf.DUMMYFUNCTION("""COMPUTED_VALUE"""),1.8690994135010295)</f>
        <v>1.869099414</v>
      </c>
      <c r="AB50" s="114">
        <f>IFERROR(__xludf.DUMMYFUNCTION("""COMPUTED_VALUE"""),-0.48030713324777846)</f>
        <v>-0.4803071332</v>
      </c>
      <c r="AC50" s="114">
        <f>IFERROR(__xludf.DUMMYFUNCTION("""COMPUTED_VALUE"""),-0.7567451927139417)</f>
        <v>-0.7567451927</v>
      </c>
      <c r="AD50" s="114">
        <f>IFERROR(__xludf.DUMMYFUNCTION("""COMPUTED_VALUE"""),0.6326553828052065)</f>
        <v>0.6326553828</v>
      </c>
      <c r="AE50" s="114">
        <f>IFERROR(__xludf.DUMMYFUNCTION("""COMPUTED_VALUE"""),3.813035850216261)</f>
        <v>3.81303585</v>
      </c>
      <c r="AF50" s="114">
        <f>IFERROR(__xludf.DUMMYFUNCTION("""COMPUTED_VALUE"""),-1.1902341742694436)</f>
        <v>-1.190234174</v>
      </c>
      <c r="AG50" s="118">
        <f>IFERROR(__xludf.DUMMYFUNCTION("""COMPUTED_VALUE"""),0.0)</f>
        <v>0</v>
      </c>
      <c r="AH50" s="105"/>
      <c r="AI50" s="202"/>
      <c r="AJ50" s="63"/>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row>
    <row r="51">
      <c r="A51" s="109">
        <f>VLOOKUP($F51,UpdateHashtag!$V$3:$Y$32,COLUMN(B$9),0)</f>
        <v>4</v>
      </c>
      <c r="B51" s="91" t="str">
        <f>VLOOKUP($F51,UpdateHashtag!$V$3:$Y$32,COLUMN(#REF!),0)</f>
        <v>#REF!</v>
      </c>
      <c r="C51" s="91" t="str">
        <f>VLOOKUP($F51,UpdateHashtag!$V$3:$Y$32,COLUMN(#REF!),0)</f>
        <v>#REF!</v>
      </c>
      <c r="D51" s="110" t="str">
        <f t="shared" si="2"/>
        <v>#REF!</v>
      </c>
      <c r="E51" s="11"/>
      <c r="F51" s="94" t="str">
        <f>VLOOKUP(J51,UpdateBBM!$C$2:E1009,3,0)</f>
        <v>MIA</v>
      </c>
      <c r="G51" s="78">
        <v>38.0</v>
      </c>
      <c r="H51" s="111">
        <f>IFERROR(__xludf.DUMMYFUNCTION("""COMPUTED_VALUE"""),38.0)</f>
        <v>38</v>
      </c>
      <c r="I51" s="111"/>
      <c r="J51" s="112" t="str">
        <f>IFERROR(__xludf.DUMMYFUNCTION("""COMPUTED_VALUE"""),"Tyler Herro")</f>
        <v>Tyler Herro</v>
      </c>
      <c r="K51" s="111">
        <f>IFERROR(__xludf.DUMMYFUNCTION("""COMPUTED_VALUE"""),47.0)</f>
        <v>47</v>
      </c>
      <c r="L51" s="113" t="str">
        <f>IFERROR(__xludf.DUMMYFUNCTION("""COMPUTED_VALUE"""),"G")</f>
        <v>G</v>
      </c>
      <c r="M51" s="114">
        <f>IFERROR(__xludf.DUMMYFUNCTION("""COMPUTED_VALUE"""),3.049674242398632)</f>
        <v>3.049674242</v>
      </c>
      <c r="N51" s="114">
        <f>IFERROR(__xludf.DUMMYFUNCTION("""COMPUTED_VALUE"""),3.236202519111559)</f>
        <v>3.236202519</v>
      </c>
      <c r="O51" s="115">
        <f>IFERROR(__xludf.DUMMYFUNCTION("""COMPUTED_VALUE"""),0.18652827671292727)</f>
        <v>0.1865282767</v>
      </c>
      <c r="P51" s="116">
        <f>IFERROR(__xludf.DUMMYFUNCTION("""COMPUTED_VALUE"""),23.14511)</f>
        <v>23.14511</v>
      </c>
      <c r="Q51" s="116">
        <f>IFERROR(__xludf.DUMMYFUNCTION("""COMPUTED_VALUE"""),2.425745)</f>
        <v>2.425745</v>
      </c>
      <c r="R51" s="116">
        <f>IFERROR(__xludf.DUMMYFUNCTION("""COMPUTED_VALUE"""),4.789787)</f>
        <v>4.789787</v>
      </c>
      <c r="S51" s="117">
        <f>IFERROR(__xludf.DUMMYFUNCTION("""COMPUTED_VALUE"""),5.553404)</f>
        <v>5.553404</v>
      </c>
      <c r="T51" s="116">
        <f>IFERROR(__xludf.DUMMYFUNCTION("""COMPUTED_VALUE"""),1.04)</f>
        <v>1.04</v>
      </c>
      <c r="U51" s="116">
        <f>IFERROR(__xludf.DUMMYFUNCTION("""COMPUTED_VALUE"""),0.277872)</f>
        <v>0.277872</v>
      </c>
      <c r="V51" s="113">
        <f>IFERROR(__xludf.DUMMYFUNCTION("""COMPUTED_VALUE"""),0.483199)</f>
        <v>0.483199</v>
      </c>
      <c r="W51" s="113">
        <f>IFERROR(__xludf.DUMMYFUNCTION("""COMPUTED_VALUE"""),0.889982)</f>
        <v>0.889982</v>
      </c>
      <c r="X51" s="116">
        <f>IFERROR(__xludf.DUMMYFUNCTION("""COMPUTED_VALUE"""),2.500851)</f>
        <v>2.500851</v>
      </c>
      <c r="Y51" s="114">
        <f>IFERROR(__xludf.DUMMYFUNCTION("""COMPUTED_VALUE"""),1.0474804155277802)</f>
        <v>1.047480416</v>
      </c>
      <c r="Z51" s="114">
        <f>IFERROR(__xludf.DUMMYFUNCTION("""COMPUTED_VALUE"""),0.6337715368998503)</f>
        <v>0.6337715369</v>
      </c>
      <c r="AA51" s="114">
        <f>IFERROR(__xludf.DUMMYFUNCTION("""COMPUTED_VALUE"""),-0.5418396606557143)</f>
        <v>-0.5418396607</v>
      </c>
      <c r="AB51" s="114">
        <f>IFERROR(__xludf.DUMMYFUNCTION("""COMPUTED_VALUE"""),0.8385378970999879)</f>
        <v>0.8385378971</v>
      </c>
      <c r="AC51" s="114">
        <f>IFERROR(__xludf.DUMMYFUNCTION("""COMPUTED_VALUE"""),-0.015808161684175464)</f>
        <v>-0.01580816168</v>
      </c>
      <c r="AD51" s="114">
        <f>IFERROR(__xludf.DUMMYFUNCTION("""COMPUTED_VALUE"""),-0.8223692404735448)</f>
        <v>-0.8223692405</v>
      </c>
      <c r="AE51" s="114">
        <f>IFERROR(__xludf.DUMMYFUNCTION("""COMPUTED_VALUE"""),-0.17394452354558984)</f>
        <v>-0.1739445235</v>
      </c>
      <c r="AF51" s="114">
        <f>IFERROR(__xludf.DUMMYFUNCTION("""COMPUTED_VALUE"""),1.4480050154694202)</f>
        <v>1.448005015</v>
      </c>
      <c r="AG51" s="118">
        <f>IFERROR(__xludf.DUMMYFUNCTION("""COMPUTED_VALUE"""),0.0)</f>
        <v>0</v>
      </c>
      <c r="AH51" s="105"/>
      <c r="AI51" s="202"/>
      <c r="AJ51" s="63"/>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row>
    <row r="52">
      <c r="A52" s="109">
        <f>VLOOKUP($F52,UpdateHashtag!$V$3:$Y$32,COLUMN(B$9),0)</f>
        <v>4</v>
      </c>
      <c r="B52" s="91" t="str">
        <f>VLOOKUP($F52,UpdateHashtag!$V$3:$Y$32,COLUMN(#REF!),0)</f>
        <v>#REF!</v>
      </c>
      <c r="C52" s="91" t="str">
        <f>VLOOKUP($F52,UpdateHashtag!$V$3:$Y$32,COLUMN(#REF!),0)</f>
        <v>#REF!</v>
      </c>
      <c r="D52" s="110" t="str">
        <f t="shared" si="2"/>
        <v>#REF!</v>
      </c>
      <c r="E52" s="11"/>
      <c r="F52" s="94" t="str">
        <f>VLOOKUP(J52,UpdateBBM!$C$2:E1009,3,0)</f>
        <v>MIL</v>
      </c>
      <c r="G52" s="78">
        <v>39.0</v>
      </c>
      <c r="H52" s="111">
        <f>IFERROR(__xludf.DUMMYFUNCTION("""COMPUTED_VALUE"""),39.0)</f>
        <v>39</v>
      </c>
      <c r="I52" s="111"/>
      <c r="J52" s="112" t="str">
        <f>IFERROR(__xludf.DUMMYFUNCTION("""COMPUTED_VALUE"""),"Myles Turner")</f>
        <v>Myles Turner</v>
      </c>
      <c r="K52" s="111">
        <f>IFERROR(__xludf.DUMMYFUNCTION("""COMPUTED_VALUE"""),73.0)</f>
        <v>73</v>
      </c>
      <c r="L52" s="113" t="str">
        <f>IFERROR(__xludf.DUMMYFUNCTION("""COMPUTED_VALUE"""),"C")</f>
        <v>C</v>
      </c>
      <c r="M52" s="114">
        <f>IFERROR(__xludf.DUMMYFUNCTION("""COMPUTED_VALUE"""),2.9193975552791693)</f>
        <v>2.919397555</v>
      </c>
      <c r="N52" s="114">
        <f>IFERROR(__xludf.DUMMYFUNCTION("""COMPUTED_VALUE"""),2.886505287585332)</f>
        <v>2.886505288</v>
      </c>
      <c r="O52" s="115">
        <f>IFERROR(__xludf.DUMMYFUNCTION("""COMPUTED_VALUE"""),-0.03289226769383724)</f>
        <v>-0.03289226769</v>
      </c>
      <c r="P52" s="116">
        <f>IFERROR(__xludf.DUMMYFUNCTION("""COMPUTED_VALUE"""),17.20205)</f>
        <v>17.20205</v>
      </c>
      <c r="Q52" s="116">
        <f>IFERROR(__xludf.DUMMYFUNCTION("""COMPUTED_VALUE"""),2.200137)</f>
        <v>2.200137</v>
      </c>
      <c r="R52" s="116">
        <f>IFERROR(__xludf.DUMMYFUNCTION("""COMPUTED_VALUE"""),6.867945)</f>
        <v>6.867945</v>
      </c>
      <c r="S52" s="117">
        <f>IFERROR(__xludf.DUMMYFUNCTION("""COMPUTED_VALUE"""),1.749589)</f>
        <v>1.749589</v>
      </c>
      <c r="T52" s="116">
        <f>IFERROR(__xludf.DUMMYFUNCTION("""COMPUTED_VALUE"""),0.752603)</f>
        <v>0.752603</v>
      </c>
      <c r="U52" s="116">
        <f>IFERROR(__xludf.DUMMYFUNCTION("""COMPUTED_VALUE"""),2.356712)</f>
        <v>2.356712</v>
      </c>
      <c r="V52" s="113">
        <f>IFERROR(__xludf.DUMMYFUNCTION("""COMPUTED_VALUE"""),0.506691)</f>
        <v>0.506691</v>
      </c>
      <c r="W52" s="113">
        <f>IFERROR(__xludf.DUMMYFUNCTION("""COMPUTED_VALUE"""),0.781993)</f>
        <v>0.781993</v>
      </c>
      <c r="X52" s="116">
        <f>IFERROR(__xludf.DUMMYFUNCTION("""COMPUTED_VALUE"""),1.616027)</f>
        <v>1.616027</v>
      </c>
      <c r="Y52" s="114">
        <f>IFERROR(__xludf.DUMMYFUNCTION("""COMPUTED_VALUE"""),0.004814446196448743)</f>
        <v>0.004814446196</v>
      </c>
      <c r="Z52" s="114">
        <f>IFERROR(__xludf.DUMMYFUNCTION("""COMPUTED_VALUE"""),0.41587178621503196)</f>
        <v>0.4158717862</v>
      </c>
      <c r="AA52" s="114">
        <f>IFERROR(__xludf.DUMMYFUNCTION("""COMPUTED_VALUE"""),0.30054917902203077)</f>
        <v>0.300549179</v>
      </c>
      <c r="AB52" s="114">
        <f>IFERROR(__xludf.DUMMYFUNCTION("""COMPUTED_VALUE"""),-1.0196808746222148)</f>
        <v>-1.019680875</v>
      </c>
      <c r="AC52" s="114">
        <f>IFERROR(__xludf.DUMMYFUNCTION("""COMPUTED_VALUE"""),-0.891572932986213)</f>
        <v>-0.891572933</v>
      </c>
      <c r="AD52" s="114">
        <f>IFERROR(__xludf.DUMMYFUNCTION("""COMPUTED_VALUE"""),2.9569457164848734)</f>
        <v>2.956945716</v>
      </c>
      <c r="AE52" s="114">
        <f>IFERROR(__xludf.DUMMYFUNCTION("""COMPUTED_VALUE"""),0.17516804446330547)</f>
        <v>0.1751680445</v>
      </c>
      <c r="AF52" s="114">
        <f>IFERROR(__xludf.DUMMYFUNCTION("""COMPUTED_VALUE"""),-0.07527095181014538)</f>
        <v>-0.07527095181</v>
      </c>
      <c r="AG52" s="118">
        <f>IFERROR(__xludf.DUMMYFUNCTION("""COMPUTED_VALUE"""),0.0)</f>
        <v>0</v>
      </c>
      <c r="AH52" s="105"/>
      <c r="AI52" s="202"/>
      <c r="AJ52" s="63"/>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row>
    <row r="53">
      <c r="A53" s="109">
        <f>VLOOKUP($F53,UpdateHashtag!$V$3:$Y$32,COLUMN(B$9),0)</f>
        <v>3</v>
      </c>
      <c r="B53" s="91" t="str">
        <f>VLOOKUP($F53,UpdateHashtag!$V$3:$Y$32,COLUMN(#REF!),0)</f>
        <v>#REF!</v>
      </c>
      <c r="C53" s="91" t="str">
        <f>VLOOKUP($F53,UpdateHashtag!$V$3:$Y$32,COLUMN(#REF!),0)</f>
        <v>#REF!</v>
      </c>
      <c r="D53" s="110" t="str">
        <f t="shared" si="2"/>
        <v>#REF!</v>
      </c>
      <c r="E53" s="11"/>
      <c r="F53" s="94" t="str">
        <f>VLOOKUP(J53,UpdateBBM!$C$2:E1009,3,0)</f>
        <v>BOS</v>
      </c>
      <c r="G53" s="78">
        <v>40.0</v>
      </c>
      <c r="H53" s="111">
        <f>IFERROR(__xludf.DUMMYFUNCTION("""COMPUTED_VALUE"""),40.0)</f>
        <v>40</v>
      </c>
      <c r="I53" s="111"/>
      <c r="J53" s="112" t="str">
        <f>IFERROR(__xludf.DUMMYFUNCTION("""COMPUTED_VALUE"""),"Payton Pritchard")</f>
        <v>Payton Pritchard</v>
      </c>
      <c r="K53" s="111">
        <f>IFERROR(__xludf.DUMMYFUNCTION("""COMPUTED_VALUE"""),66.0)</f>
        <v>66</v>
      </c>
      <c r="L53" s="113" t="str">
        <f>IFERROR(__xludf.DUMMYFUNCTION("""COMPUTED_VALUE"""),"G")</f>
        <v>G</v>
      </c>
      <c r="M53" s="114">
        <f>IFERROR(__xludf.DUMMYFUNCTION("""COMPUTED_VALUE"""),2.852011912127984)</f>
        <v>2.852011912</v>
      </c>
      <c r="N53" s="114">
        <f>IFERROR(__xludf.DUMMYFUNCTION("""COMPUTED_VALUE"""),2.810035314891489)</f>
        <v>2.810035315</v>
      </c>
      <c r="O53" s="115">
        <f>IFERROR(__xludf.DUMMYFUNCTION("""COMPUTED_VALUE"""),-0.04197659723649494)</f>
        <v>-0.04197659724</v>
      </c>
      <c r="P53" s="116">
        <f>IFERROR(__xludf.DUMMYFUNCTION("""COMPUTED_VALUE"""),19.52621)</f>
        <v>19.52621</v>
      </c>
      <c r="Q53" s="116">
        <f>IFERROR(__xludf.DUMMYFUNCTION("""COMPUTED_VALUE"""),4.231364)</f>
        <v>4.231364</v>
      </c>
      <c r="R53" s="116">
        <f>IFERROR(__xludf.DUMMYFUNCTION("""COMPUTED_VALUE"""),4.73803)</f>
        <v>4.73803</v>
      </c>
      <c r="S53" s="117">
        <f>IFERROR(__xludf.DUMMYFUNCTION("""COMPUTED_VALUE"""),4.943939)</f>
        <v>4.943939</v>
      </c>
      <c r="T53" s="116">
        <f>IFERROR(__xludf.DUMMYFUNCTION("""COMPUTED_VALUE"""),0.892727)</f>
        <v>0.892727</v>
      </c>
      <c r="U53" s="116">
        <f>IFERROR(__xludf.DUMMYFUNCTION("""COMPUTED_VALUE"""),0.205303)</f>
        <v>0.205303</v>
      </c>
      <c r="V53" s="113">
        <f>IFERROR(__xludf.DUMMYFUNCTION("""COMPUTED_VALUE"""),0.47378)</f>
        <v>0.47378</v>
      </c>
      <c r="W53" s="113">
        <f>IFERROR(__xludf.DUMMYFUNCTION("""COMPUTED_VALUE"""),0.847957)</f>
        <v>0.847957</v>
      </c>
      <c r="X53" s="116">
        <f>IFERROR(__xludf.DUMMYFUNCTION("""COMPUTED_VALUE"""),1.579394)</f>
        <v>1.579394</v>
      </c>
      <c r="Y53" s="114">
        <f>IFERROR(__xludf.DUMMYFUNCTION("""COMPUTED_VALUE"""),0.41257114716886134)</f>
        <v>0.4125711472</v>
      </c>
      <c r="Z53" s="114">
        <f>IFERROR(__xludf.DUMMYFUNCTION("""COMPUTED_VALUE"""),2.3776987466254393)</f>
        <v>2.377698747</v>
      </c>
      <c r="AA53" s="114">
        <f>IFERROR(__xludf.DUMMYFUNCTION("""COMPUTED_VALUE"""),-0.5628195472549049)</f>
        <v>-0.5628195473</v>
      </c>
      <c r="AB53" s="114">
        <f>IFERROR(__xludf.DUMMYFUNCTION("""COMPUTED_VALUE"""),0.5408054091352286)</f>
        <v>0.5408054091</v>
      </c>
      <c r="AC53" s="114">
        <f>IFERROR(__xludf.DUMMYFUNCTION("""COMPUTED_VALUE"""),-0.4645828711069076)</f>
        <v>-0.4645828711</v>
      </c>
      <c r="AD53" s="114">
        <f>IFERROR(__xludf.DUMMYFUNCTION("""COMPUTED_VALUE"""),-0.954299118247455)</f>
        <v>-0.9542991182</v>
      </c>
      <c r="AE53" s="114">
        <f>IFERROR(__xludf.DUMMYFUNCTION("""COMPUTED_VALUE"""),-0.304607462996349)</f>
        <v>-0.304607463</v>
      </c>
      <c r="AF53" s="114">
        <f>IFERROR(__xludf.DUMMYFUNCTION("""COMPUTED_VALUE"""),0.8109698933201209)</f>
        <v>0.8109698933</v>
      </c>
      <c r="AG53" s="118">
        <f>IFERROR(__xludf.DUMMYFUNCTION("""COMPUTED_VALUE"""),0.0)</f>
        <v>0</v>
      </c>
      <c r="AH53" s="105"/>
      <c r="AI53" s="202"/>
      <c r="AJ53" s="63"/>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row>
    <row r="54">
      <c r="A54" s="109">
        <f>VLOOKUP($F54,UpdateHashtag!$V$3:$Y$32,COLUMN(B$9),0)</f>
        <v>4</v>
      </c>
      <c r="B54" s="91" t="str">
        <f>VLOOKUP($F54,UpdateHashtag!$V$3:$Y$32,COLUMN(#REF!),0)</f>
        <v>#REF!</v>
      </c>
      <c r="C54" s="91" t="str">
        <f>VLOOKUP($F54,UpdateHashtag!$V$3:$Y$32,COLUMN(#REF!),0)</f>
        <v>#REF!</v>
      </c>
      <c r="D54" s="110" t="str">
        <f t="shared" si="2"/>
        <v>#REF!</v>
      </c>
      <c r="E54" s="11"/>
      <c r="F54" s="94" t="str">
        <f>VLOOKUP(J54,UpdateBBM!$C$2:E1009,3,0)</f>
        <v>SAC</v>
      </c>
      <c r="G54" s="78">
        <v>41.0</v>
      </c>
      <c r="H54" s="111">
        <f>IFERROR(__xludf.DUMMYFUNCTION("""COMPUTED_VALUE"""),41.0)</f>
        <v>41</v>
      </c>
      <c r="I54" s="111"/>
      <c r="J54" s="112" t="str">
        <f>IFERROR(__xludf.DUMMYFUNCTION("""COMPUTED_VALUE"""),"Domantas Sabonis")</f>
        <v>Domantas Sabonis</v>
      </c>
      <c r="K54" s="111">
        <f>IFERROR(__xludf.DUMMYFUNCTION("""COMPUTED_VALUE"""),73.0)</f>
        <v>73</v>
      </c>
      <c r="L54" s="113" t="str">
        <f>IFERROR(__xludf.DUMMYFUNCTION("""COMPUTED_VALUE"""),"C")</f>
        <v>C</v>
      </c>
      <c r="M54" s="114">
        <f>IFERROR(__xludf.DUMMYFUNCTION("""COMPUTED_VALUE"""),2.7661187324764396)</f>
        <v>2.766118732</v>
      </c>
      <c r="N54" s="114">
        <f>IFERROR(__xludf.DUMMYFUNCTION("""COMPUTED_VALUE"""),3.046601240496511)</f>
        <v>3.04660124</v>
      </c>
      <c r="O54" s="115">
        <f>IFERROR(__xludf.DUMMYFUNCTION("""COMPUTED_VALUE"""),0.28048250802007146)</f>
        <v>0.280482508</v>
      </c>
      <c r="P54" s="116">
        <f>IFERROR(__xludf.DUMMYFUNCTION("""COMPUTED_VALUE"""),18.12329)</f>
        <v>18.12329</v>
      </c>
      <c r="Q54" s="116">
        <f>IFERROR(__xludf.DUMMYFUNCTION("""COMPUTED_VALUE"""),0.792329)</f>
        <v>0.792329</v>
      </c>
      <c r="R54" s="116">
        <f>IFERROR(__xludf.DUMMYFUNCTION("""COMPUTED_VALUE"""),13.9337)</f>
        <v>13.9337</v>
      </c>
      <c r="S54" s="117">
        <f>IFERROR(__xludf.DUMMYFUNCTION("""COMPUTED_VALUE"""),5.446164)</f>
        <v>5.446164</v>
      </c>
      <c r="T54" s="116">
        <f>IFERROR(__xludf.DUMMYFUNCTION("""COMPUTED_VALUE"""),0.715753)</f>
        <v>0.715753</v>
      </c>
      <c r="U54" s="116">
        <f>IFERROR(__xludf.DUMMYFUNCTION("""COMPUTED_VALUE"""),0.280548)</f>
        <v>0.280548</v>
      </c>
      <c r="V54" s="113">
        <f>IFERROR(__xludf.DUMMYFUNCTION("""COMPUTED_VALUE"""),0.569938)</f>
        <v>0.569938</v>
      </c>
      <c r="W54" s="113">
        <f>IFERROR(__xludf.DUMMYFUNCTION("""COMPUTED_VALUE"""),0.737994)</f>
        <v>0.737994</v>
      </c>
      <c r="X54" s="116">
        <f>IFERROR(__xludf.DUMMYFUNCTION("""COMPUTED_VALUE"""),2.879726)</f>
        <v>2.879726</v>
      </c>
      <c r="Y54" s="114">
        <f>IFERROR(__xludf.DUMMYFUNCTION("""COMPUTED_VALUE"""),0.16643919802240992)</f>
        <v>0.166439198</v>
      </c>
      <c r="Z54" s="114">
        <f>IFERROR(__xludf.DUMMYFUNCTION("""COMPUTED_VALUE"""),-0.9438362569930654)</f>
        <v>-0.943836257</v>
      </c>
      <c r="AA54" s="114">
        <f>IFERROR(__xludf.DUMMYFUNCTION("""COMPUTED_VALUE"""),3.1646784492205553)</f>
        <v>3.164678449</v>
      </c>
      <c r="AB54" s="114">
        <f>IFERROR(__xludf.DUMMYFUNCTION("""COMPUTED_VALUE"""),0.7861496024327949)</f>
        <v>0.7861496024</v>
      </c>
      <c r="AC54" s="114">
        <f>IFERROR(__xludf.DUMMYFUNCTION("""COMPUTED_VALUE"""),-1.0038633598956106)</f>
        <v>-1.00386336</v>
      </c>
      <c r="AD54" s="114">
        <f>IFERROR(__xludf.DUMMYFUNCTION("""COMPUTED_VALUE"""),-0.8175042932795227)</f>
        <v>-0.8175042933</v>
      </c>
      <c r="AE54" s="114">
        <f>IFERROR(__xludf.DUMMYFUNCTION("""COMPUTED_VALUE"""),1.2798740177731)</f>
        <v>1.279874018</v>
      </c>
      <c r="AF54" s="114">
        <f>IFERROR(__xludf.DUMMYFUNCTION("""COMPUTED_VALUE"""),-0.5891994766797606)</f>
        <v>-0.5891994767</v>
      </c>
      <c r="AG54" s="118">
        <f>IFERROR(__xludf.DUMMYFUNCTION("""COMPUTED_VALUE"""),0.0)</f>
        <v>0</v>
      </c>
      <c r="AH54" s="105"/>
      <c r="AI54" s="202"/>
      <c r="AJ54" s="63"/>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row>
    <row r="55">
      <c r="A55" s="109">
        <f>VLOOKUP($F55,UpdateHashtag!$V$3:$Y$32,COLUMN(B$9),0)</f>
        <v>4</v>
      </c>
      <c r="B55" s="91" t="str">
        <f>VLOOKUP($F55,UpdateHashtag!$V$3:$Y$32,COLUMN(#REF!),0)</f>
        <v>#REF!</v>
      </c>
      <c r="C55" s="91" t="str">
        <f>VLOOKUP($F55,UpdateHashtag!$V$3:$Y$32,COLUMN(#REF!),0)</f>
        <v>#REF!</v>
      </c>
      <c r="D55" s="110" t="str">
        <f t="shared" si="2"/>
        <v>#REF!</v>
      </c>
      <c r="E55" s="11"/>
      <c r="F55" s="94" t="str">
        <f>VLOOKUP(J55,UpdateBBM!$C$2:E1009,3,0)</f>
        <v>DET</v>
      </c>
      <c r="G55" s="78">
        <v>42.0</v>
      </c>
      <c r="H55" s="111">
        <f>IFERROR(__xludf.DUMMYFUNCTION("""COMPUTED_VALUE"""),42.0)</f>
        <v>42</v>
      </c>
      <c r="I55" s="111"/>
      <c r="J55" s="112" t="str">
        <f>IFERROR(__xludf.DUMMYFUNCTION("""COMPUTED_VALUE"""),"Ausar Thompson")</f>
        <v>Ausar Thompson</v>
      </c>
      <c r="K55" s="111">
        <f>IFERROR(__xludf.DUMMYFUNCTION("""COMPUTED_VALUE"""),68.0)</f>
        <v>68</v>
      </c>
      <c r="L55" s="113" t="str">
        <f>IFERROR(__xludf.DUMMYFUNCTION("""COMPUTED_VALUE"""),"F")</f>
        <v>F</v>
      </c>
      <c r="M55" s="114">
        <f>IFERROR(__xludf.DUMMYFUNCTION("""COMPUTED_VALUE"""),2.5233258027140844)</f>
        <v>2.523325803</v>
      </c>
      <c r="N55" s="114">
        <f>IFERROR(__xludf.DUMMYFUNCTION("""COMPUTED_VALUE"""),2.4730752815513264)</f>
        <v>2.473075282</v>
      </c>
      <c r="O55" s="115">
        <f>IFERROR(__xludf.DUMMYFUNCTION("""COMPUTED_VALUE"""),-0.050250521162757966)</f>
        <v>-0.05025052116</v>
      </c>
      <c r="P55" s="116">
        <f>IFERROR(__xludf.DUMMYFUNCTION("""COMPUTED_VALUE"""),13.51956)</f>
        <v>13.51956</v>
      </c>
      <c r="Q55" s="116">
        <f>IFERROR(__xludf.DUMMYFUNCTION("""COMPUTED_VALUE"""),0.255147)</f>
        <v>0.255147</v>
      </c>
      <c r="R55" s="116">
        <f>IFERROR(__xludf.DUMMYFUNCTION("""COMPUTED_VALUE"""),6.565)</f>
        <v>6.565</v>
      </c>
      <c r="S55" s="117">
        <f>IFERROR(__xludf.DUMMYFUNCTION("""COMPUTED_VALUE"""),3.117206)</f>
        <v>3.117206</v>
      </c>
      <c r="T55" s="116">
        <f>IFERROR(__xludf.DUMMYFUNCTION("""COMPUTED_VALUE"""),2.096912)</f>
        <v>2.096912</v>
      </c>
      <c r="U55" s="116">
        <f>IFERROR(__xludf.DUMMYFUNCTION("""COMPUTED_VALUE"""),1.136176)</f>
        <v>1.136176</v>
      </c>
      <c r="V55" s="113">
        <f>IFERROR(__xludf.DUMMYFUNCTION("""COMPUTED_VALUE"""),0.523389)</f>
        <v>0.523389</v>
      </c>
      <c r="W55" s="113">
        <f>IFERROR(__xludf.DUMMYFUNCTION("""COMPUTED_VALUE"""),0.687998)</f>
        <v>0.687998</v>
      </c>
      <c r="X55" s="116">
        <f>IFERROR(__xludf.DUMMYFUNCTION("""COMPUTED_VALUE"""),1.546029)</f>
        <v>1.546029</v>
      </c>
      <c r="Y55" s="114">
        <f>IFERROR(__xludf.DUMMYFUNCTION("""COMPUTED_VALUE"""),-0.6412512178558971)</f>
        <v>-0.6412512179</v>
      </c>
      <c r="Z55" s="114">
        <f>IFERROR(__xludf.DUMMYFUNCTION("""COMPUTED_VALUE"""),-1.4626645958479463)</f>
        <v>-1.462664596</v>
      </c>
      <c r="AA55" s="114">
        <f>IFERROR(__xludf.DUMMYFUNCTION("""COMPUTED_VALUE"""),0.17774933077364258)</f>
        <v>0.1777493308</v>
      </c>
      <c r="AB55" s="114">
        <f>IFERROR(__xludf.DUMMYFUNCTION("""COMPUTED_VALUE"""),-0.35158014366489865)</f>
        <v>-0.3515801437</v>
      </c>
      <c r="AC55" s="114">
        <f>IFERROR(__xludf.DUMMYFUNCTION("""COMPUTED_VALUE"""),3.2048458324994074)</f>
        <v>3.204845832</v>
      </c>
      <c r="AD55" s="114">
        <f>IFERROR(__xludf.DUMMYFUNCTION("""COMPUTED_VALUE"""),0.7380207581878426)</f>
        <v>0.7380207582</v>
      </c>
      <c r="AE55" s="114">
        <f>IFERROR(__xludf.DUMMYFUNCTION("""COMPUTED_VALUE"""),0.44347506028976824)</f>
        <v>0.4434750603</v>
      </c>
      <c r="AF55" s="114">
        <f>IFERROR(__xludf.DUMMYFUNCTION("""COMPUTED_VALUE"""),-1.0981843386785384)</f>
        <v>-1.098184339</v>
      </c>
      <c r="AG55" s="118">
        <f>IFERROR(__xludf.DUMMYFUNCTION("""COMPUTED_VALUE"""),0.0)</f>
        <v>0</v>
      </c>
      <c r="AH55" s="105"/>
      <c r="AI55" s="202"/>
      <c r="AJ55" s="63"/>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row>
    <row r="56">
      <c r="A56" s="109">
        <f>VLOOKUP($F56,UpdateHashtag!$V$3:$Y$32,COLUMN(B$9),0)</f>
        <v>3</v>
      </c>
      <c r="B56" s="91" t="str">
        <f>VLOOKUP($F56,UpdateHashtag!$V$3:$Y$32,COLUMN(#REF!),0)</f>
        <v>#REF!</v>
      </c>
      <c r="C56" s="91" t="str">
        <f>VLOOKUP($F56,UpdateHashtag!$V$3:$Y$32,COLUMN(#REF!),0)</f>
        <v>#REF!</v>
      </c>
      <c r="D56" s="110" t="str">
        <f t="shared" si="2"/>
        <v>#REF!</v>
      </c>
      <c r="E56" s="11"/>
      <c r="F56" s="94" t="str">
        <f>VLOOKUP(J56,UpdateBBM!$C$2:E1009,3,0)</f>
        <v>LAL</v>
      </c>
      <c r="G56" s="78">
        <v>43.0</v>
      </c>
      <c r="H56" s="111">
        <f>IFERROR(__xludf.DUMMYFUNCTION("""COMPUTED_VALUE"""),43.0)</f>
        <v>43</v>
      </c>
      <c r="I56" s="111"/>
      <c r="J56" s="112" t="str">
        <f>IFERROR(__xludf.DUMMYFUNCTION("""COMPUTED_VALUE"""),"Austin Reaves")</f>
        <v>Austin Reaves</v>
      </c>
      <c r="K56" s="111">
        <f>IFERROR(__xludf.DUMMYFUNCTION("""COMPUTED_VALUE"""),68.0)</f>
        <v>68</v>
      </c>
      <c r="L56" s="113" t="str">
        <f>IFERROR(__xludf.DUMMYFUNCTION("""COMPUTED_VALUE"""),"G,F")</f>
        <v>G,F</v>
      </c>
      <c r="M56" s="114">
        <f>IFERROR(__xludf.DUMMYFUNCTION("""COMPUTED_VALUE"""),2.522468710453807)</f>
        <v>2.52246871</v>
      </c>
      <c r="N56" s="114">
        <f>IFERROR(__xludf.DUMMYFUNCTION("""COMPUTED_VALUE"""),2.6204239681838786)</f>
        <v>2.620423968</v>
      </c>
      <c r="O56" s="115">
        <f>IFERROR(__xludf.DUMMYFUNCTION("""COMPUTED_VALUE"""),0.09795525773007174)</f>
        <v>0.09795525773</v>
      </c>
      <c r="P56" s="116">
        <f>IFERROR(__xludf.DUMMYFUNCTION("""COMPUTED_VALUE"""),20.53868)</f>
        <v>20.53868</v>
      </c>
      <c r="Q56" s="116">
        <f>IFERROR(__xludf.DUMMYFUNCTION("""COMPUTED_VALUE"""),2.782353)</f>
        <v>2.782353</v>
      </c>
      <c r="R56" s="116">
        <f>IFERROR(__xludf.DUMMYFUNCTION("""COMPUTED_VALUE"""),4.501912)</f>
        <v>4.501912</v>
      </c>
      <c r="S56" s="117">
        <f>IFERROR(__xludf.DUMMYFUNCTION("""COMPUTED_VALUE"""),4.859118)</f>
        <v>4.859118</v>
      </c>
      <c r="T56" s="116">
        <f>IFERROR(__xludf.DUMMYFUNCTION("""COMPUTED_VALUE"""),1.066176)</f>
        <v>1.066176</v>
      </c>
      <c r="U56" s="116">
        <f>IFERROR(__xludf.DUMMYFUNCTION("""COMPUTED_VALUE"""),0.358676)</f>
        <v>0.358676</v>
      </c>
      <c r="V56" s="113">
        <f>IFERROR(__xludf.DUMMYFUNCTION("""COMPUTED_VALUE"""),0.475197)</f>
        <v>0.475197</v>
      </c>
      <c r="W56" s="113">
        <f>IFERROR(__xludf.DUMMYFUNCTION("""COMPUTED_VALUE"""),0.889003)</f>
        <v>0.889003</v>
      </c>
      <c r="X56" s="116">
        <f>IFERROR(__xludf.DUMMYFUNCTION("""COMPUTED_VALUE"""),2.143676)</f>
        <v>2.143676</v>
      </c>
      <c r="Y56" s="114">
        <f>IFERROR(__xludf.DUMMYFUNCTION("""COMPUTED_VALUE"""),0.5902015284823419)</f>
        <v>0.5902015285</v>
      </c>
      <c r="Z56" s="114">
        <f>IFERROR(__xludf.DUMMYFUNCTION("""COMPUTED_VALUE"""),0.978195468197551)</f>
        <v>0.9781954682</v>
      </c>
      <c r="AA56" s="114">
        <f>IFERROR(__xludf.DUMMYFUNCTION("""COMPUTED_VALUE"""),-0.6585308300577668)</f>
        <v>-0.6585308301</v>
      </c>
      <c r="AB56" s="114">
        <f>IFERROR(__xludf.DUMMYFUNCTION("""COMPUTED_VALUE"""),0.49936912097814146)</f>
        <v>0.499369121</v>
      </c>
      <c r="AC56" s="114">
        <f>IFERROR(__xludf.DUMMYFUNCTION("""COMPUTED_VALUE"""),0.0639561317969747)</f>
        <v>0.0639561318</v>
      </c>
      <c r="AD56" s="114">
        <f>IFERROR(__xludf.DUMMYFUNCTION("""COMPUTED_VALUE"""),-0.6754681967269995)</f>
        <v>-0.6754681967</v>
      </c>
      <c r="AE56" s="114">
        <f>IFERROR(__xludf.DUMMYFUNCTION("""COMPUTED_VALUE"""),-0.2852910684952662)</f>
        <v>-0.2852910685</v>
      </c>
      <c r="AF56" s="114">
        <f>IFERROR(__xludf.DUMMYFUNCTION("""COMPUTED_VALUE"""),1.4325236172819027)</f>
        <v>1.432523617</v>
      </c>
      <c r="AG56" s="118">
        <f>IFERROR(__xludf.DUMMYFUNCTION("""COMPUTED_VALUE"""),0.0)</f>
        <v>0</v>
      </c>
      <c r="AH56" s="105"/>
      <c r="AI56" s="202"/>
      <c r="AJ56" s="63"/>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row>
    <row r="57">
      <c r="A57" s="109">
        <f>VLOOKUP($F57,UpdateHashtag!$V$3:$Y$32,COLUMN(B$9),0)</f>
        <v>4</v>
      </c>
      <c r="B57" s="91" t="str">
        <f>VLOOKUP($F57,UpdateHashtag!$V$3:$Y$32,COLUMN(#REF!),0)</f>
        <v>#REF!</v>
      </c>
      <c r="C57" s="91" t="str">
        <f>VLOOKUP($F57,UpdateHashtag!$V$3:$Y$32,COLUMN(#REF!),0)</f>
        <v>#REF!</v>
      </c>
      <c r="D57" s="110" t="str">
        <f t="shared" si="2"/>
        <v>#REF!</v>
      </c>
      <c r="E57" s="11"/>
      <c r="F57" s="94" t="str">
        <f>VLOOKUP(J57,UpdateBBM!$C$2:E1009,3,0)</f>
        <v>LAC</v>
      </c>
      <c r="G57" s="78">
        <v>44.0</v>
      </c>
      <c r="H57" s="111">
        <f>IFERROR(__xludf.DUMMYFUNCTION("""COMPUTED_VALUE"""),44.0)</f>
        <v>44</v>
      </c>
      <c r="I57" s="111"/>
      <c r="J57" s="112" t="str">
        <f>IFERROR(__xludf.DUMMYFUNCTION("""COMPUTED_VALUE"""),"Ivica Zubac")</f>
        <v>Ivica Zubac</v>
      </c>
      <c r="K57" s="111">
        <f>IFERROR(__xludf.DUMMYFUNCTION("""COMPUTED_VALUE"""),73.0)</f>
        <v>73</v>
      </c>
      <c r="L57" s="113" t="str">
        <f>IFERROR(__xludf.DUMMYFUNCTION("""COMPUTED_VALUE"""),"C")</f>
        <v>C</v>
      </c>
      <c r="M57" s="114">
        <f>IFERROR(__xludf.DUMMYFUNCTION("""COMPUTED_VALUE"""),2.496259925370503)</f>
        <v>2.496259925</v>
      </c>
      <c r="N57" s="114">
        <f>IFERROR(__xludf.DUMMYFUNCTION("""COMPUTED_VALUE"""),2.3733129454386206)</f>
        <v>2.373312945</v>
      </c>
      <c r="O57" s="115">
        <f>IFERROR(__xludf.DUMMYFUNCTION("""COMPUTED_VALUE"""),-0.12294697993188253)</f>
        <v>-0.1229469799</v>
      </c>
      <c r="P57" s="116">
        <f>IFERROR(__xludf.DUMMYFUNCTION("""COMPUTED_VALUE"""),16.56041)</f>
        <v>16.56041</v>
      </c>
      <c r="Q57" s="116">
        <f>IFERROR(__xludf.DUMMYFUNCTION("""COMPUTED_VALUE"""),0.0)</f>
        <v>0</v>
      </c>
      <c r="R57" s="116">
        <f>IFERROR(__xludf.DUMMYFUNCTION("""COMPUTED_VALUE"""),11.58945)</f>
        <v>11.58945</v>
      </c>
      <c r="S57" s="117">
        <f>IFERROR(__xludf.DUMMYFUNCTION("""COMPUTED_VALUE"""),2.004658)</f>
        <v>2.004658</v>
      </c>
      <c r="T57" s="116">
        <f>IFERROR(__xludf.DUMMYFUNCTION("""COMPUTED_VALUE"""),0.555068)</f>
        <v>0.555068</v>
      </c>
      <c r="U57" s="116">
        <f>IFERROR(__xludf.DUMMYFUNCTION("""COMPUTED_VALUE"""),1.076301)</f>
        <v>1.076301</v>
      </c>
      <c r="V57" s="113">
        <f>IFERROR(__xludf.DUMMYFUNCTION("""COMPUTED_VALUE"""),0.647396)</f>
        <v>0.647396</v>
      </c>
      <c r="W57" s="113">
        <f>IFERROR(__xludf.DUMMYFUNCTION("""COMPUTED_VALUE"""),0.704991)</f>
        <v>0.704991</v>
      </c>
      <c r="X57" s="116">
        <f>IFERROR(__xludf.DUMMYFUNCTION("""COMPUTED_VALUE"""),1.252877)</f>
        <v>1.252877</v>
      </c>
      <c r="Y57" s="114">
        <f>IFERROR(__xludf.DUMMYFUNCTION("""COMPUTED_VALUE"""),-0.1077565513303732)</f>
        <v>-0.1077565513</v>
      </c>
      <c r="Z57" s="114">
        <f>IFERROR(__xludf.DUMMYFUNCTION("""COMPUTED_VALUE"""),-1.7090941005108098)</f>
        <v>-1.709094101</v>
      </c>
      <c r="AA57" s="114">
        <f>IFERROR(__xludf.DUMMYFUNCTION("""COMPUTED_VALUE"""),2.2144282577459156)</f>
        <v>2.214428258</v>
      </c>
      <c r="AB57" s="114">
        <f>IFERROR(__xludf.DUMMYFUNCTION("""COMPUTED_VALUE"""),-0.8950759703657223)</f>
        <v>-0.8950759704</v>
      </c>
      <c r="AC57" s="114">
        <f>IFERROR(__xludf.DUMMYFUNCTION("""COMPUTED_VALUE"""),-1.4935075185913098)</f>
        <v>-1.493507519</v>
      </c>
      <c r="AD57" s="114">
        <f>IFERROR(__xludf.DUMMYFUNCTION("""COMPUTED_VALUE"""),0.6291684737177123)</f>
        <v>0.6291684737</v>
      </c>
      <c r="AE57" s="114">
        <f>IFERROR(__xludf.DUMMYFUNCTION("""COMPUTED_VALUE"""),2.9601925759258214)</f>
        <v>2.960192576</v>
      </c>
      <c r="AF57" s="114">
        <f>IFERROR(__xludf.DUMMYFUNCTION("""COMPUTED_VALUE"""),-0.9341363216634235)</f>
        <v>-0.9341363217</v>
      </c>
      <c r="AG57" s="118">
        <f>IFERROR(__xludf.DUMMYFUNCTION("""COMPUTED_VALUE"""),0.0)</f>
        <v>0</v>
      </c>
      <c r="AH57" s="105"/>
      <c r="AI57" s="202"/>
      <c r="AJ57" s="63"/>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row>
    <row r="58">
      <c r="A58" s="91" t="str">
        <f>VLOOKUP($F58,UpdateHashtag!$V$3:$Y$32,COLUMN(B$9),0)</f>
        <v>#N/A</v>
      </c>
      <c r="B58" s="91" t="str">
        <f>VLOOKUP($F58,UpdateHashtag!$V$3:$Y$32,COLUMN(#REF!),0)</f>
        <v>#REF!</v>
      </c>
      <c r="C58" s="91" t="str">
        <f>VLOOKUP($F58,UpdateHashtag!$V$3:$Y$32,COLUMN(#REF!),0)</f>
        <v>#REF!</v>
      </c>
      <c r="D58" s="110" t="str">
        <f t="shared" si="2"/>
        <v>#N/A</v>
      </c>
      <c r="E58" s="11"/>
      <c r="F58" s="94" t="str">
        <f>VLOOKUP(J58,UpdateBBM!$C$2:E1009,3,0)</f>
        <v>GSW</v>
      </c>
      <c r="G58" s="78">
        <v>45.0</v>
      </c>
      <c r="H58" s="111">
        <f>IFERROR(__xludf.DUMMYFUNCTION("""COMPUTED_VALUE"""),45.0)</f>
        <v>45</v>
      </c>
      <c r="I58" s="111"/>
      <c r="J58" s="112" t="str">
        <f>IFERROR(__xludf.DUMMYFUNCTION("""COMPUTED_VALUE"""),"Jimmy Butler")</f>
        <v>Jimmy Butler</v>
      </c>
      <c r="K58" s="111">
        <f>IFERROR(__xludf.DUMMYFUNCTION("""COMPUTED_VALUE"""),68.0)</f>
        <v>68</v>
      </c>
      <c r="L58" s="113" t="str">
        <f>IFERROR(__xludf.DUMMYFUNCTION("""COMPUTED_VALUE"""),"F")</f>
        <v>F</v>
      </c>
      <c r="M58" s="114">
        <f>IFERROR(__xludf.DUMMYFUNCTION("""COMPUTED_VALUE"""),2.4496164124755073)</f>
        <v>2.449616412</v>
      </c>
      <c r="N58" s="114">
        <f>IFERROR(__xludf.DUMMYFUNCTION("""COMPUTED_VALUE"""),2.369498675020136)</f>
        <v>2.369498675</v>
      </c>
      <c r="O58" s="115">
        <f>IFERROR(__xludf.DUMMYFUNCTION("""COMPUTED_VALUE"""),-0.08011773745537143)</f>
        <v>-0.08011773746</v>
      </c>
      <c r="P58" s="116">
        <f>IFERROR(__xludf.DUMMYFUNCTION("""COMPUTED_VALUE"""),16.69765)</f>
        <v>16.69765</v>
      </c>
      <c r="Q58" s="116">
        <f>IFERROR(__xludf.DUMMYFUNCTION("""COMPUTED_VALUE"""),0.740294)</f>
        <v>0.740294</v>
      </c>
      <c r="R58" s="116">
        <f>IFERROR(__xludf.DUMMYFUNCTION("""COMPUTED_VALUE"""),5.376912)</f>
        <v>5.376912</v>
      </c>
      <c r="S58" s="117">
        <f>IFERROR(__xludf.DUMMYFUNCTION("""COMPUTED_VALUE"""),5.847353)</f>
        <v>5.847353</v>
      </c>
      <c r="T58" s="116">
        <f>IFERROR(__xludf.DUMMYFUNCTION("""COMPUTED_VALUE"""),1.565441)</f>
        <v>1.565441</v>
      </c>
      <c r="U58" s="116">
        <f>IFERROR(__xludf.DUMMYFUNCTION("""COMPUTED_VALUE"""),0.271471)</f>
        <v>0.271471</v>
      </c>
      <c r="V58" s="113">
        <f>IFERROR(__xludf.DUMMYFUNCTION("""COMPUTED_VALUE"""),0.498564)</f>
        <v>0.498564</v>
      </c>
      <c r="W58" s="113">
        <f>IFERROR(__xludf.DUMMYFUNCTION("""COMPUTED_VALUE"""),0.859001)</f>
        <v>0.859001</v>
      </c>
      <c r="X58" s="116">
        <f>IFERROR(__xludf.DUMMYFUNCTION("""COMPUTED_VALUE"""),1.425588)</f>
        <v>1.425588</v>
      </c>
      <c r="Y58" s="114">
        <f>IFERROR(__xludf.DUMMYFUNCTION("""COMPUTED_VALUE"""),-0.08367880726737696)</f>
        <v>-0.08367880727</v>
      </c>
      <c r="Z58" s="114">
        <f>IFERROR(__xludf.DUMMYFUNCTION("""COMPUTED_VALUE"""),-0.9940934000326939)</f>
        <v>-0.9940934</v>
      </c>
      <c r="AA58" s="114">
        <f>IFERROR(__xludf.DUMMYFUNCTION("""COMPUTED_VALUE"""),-0.3038464245804033)</f>
        <v>-0.3038464246</v>
      </c>
      <c r="AB58" s="114">
        <f>IFERROR(__xludf.DUMMYFUNCTION("""COMPUTED_VALUE"""),0.9821362450030723)</f>
        <v>0.982136245</v>
      </c>
      <c r="AC58" s="114">
        <f>IFERROR(__xludf.DUMMYFUNCTION("""COMPUTED_VALUE"""),1.5853314368423015)</f>
        <v>1.585331437</v>
      </c>
      <c r="AD58" s="114">
        <f>IFERROR(__xludf.DUMMYFUNCTION("""COMPUTED_VALUE"""),-0.8340062087055832)</f>
        <v>-0.8340062087</v>
      </c>
      <c r="AE58" s="114">
        <f>IFERROR(__xludf.DUMMYFUNCTION("""COMPUTED_VALUE"""),0.05064229356347107)</f>
        <v>0.05064229356</v>
      </c>
      <c r="AF58" s="114">
        <f>IFERROR(__xludf.DUMMYFUNCTION("""COMPUTED_VALUE"""),0.9729201401646548)</f>
        <v>0.9729201402</v>
      </c>
      <c r="AG58" s="118">
        <f>IFERROR(__xludf.DUMMYFUNCTION("""COMPUTED_VALUE"""),0.0)</f>
        <v>0</v>
      </c>
      <c r="AH58" s="105"/>
      <c r="AI58" s="202"/>
      <c r="AJ58" s="63"/>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row>
    <row r="59">
      <c r="A59" s="109">
        <f>VLOOKUP($F59,UpdateHashtag!$V$3:$Y$32,COLUMN(B$9),0)</f>
        <v>4</v>
      </c>
      <c r="B59" s="91" t="str">
        <f>VLOOKUP($F59,UpdateHashtag!$V$3:$Y$32,COLUMN(#REF!),0)</f>
        <v>#REF!</v>
      </c>
      <c r="C59" s="91" t="str">
        <f>VLOOKUP($F59,UpdateHashtag!$V$3:$Y$32,COLUMN(#REF!),0)</f>
        <v>#REF!</v>
      </c>
      <c r="D59" s="110" t="str">
        <f t="shared" si="2"/>
        <v>#REF!</v>
      </c>
      <c r="E59" s="11"/>
      <c r="F59" s="94" t="str">
        <f>VLOOKUP(J59,UpdateBBM!$C$2:E1009,3,0)</f>
        <v>MEM</v>
      </c>
      <c r="G59" s="78">
        <v>46.0</v>
      </c>
      <c r="H59" s="111">
        <f>IFERROR(__xludf.DUMMYFUNCTION("""COMPUTED_VALUE"""),46.0)</f>
        <v>46</v>
      </c>
      <c r="I59" s="111"/>
      <c r="J59" s="112" t="str">
        <f>IFERROR(__xludf.DUMMYFUNCTION("""COMPUTED_VALUE"""),"Zach Edey")</f>
        <v>Zach Edey</v>
      </c>
      <c r="K59" s="111">
        <f>IFERROR(__xludf.DUMMYFUNCTION("""COMPUTED_VALUE"""),47.0)</f>
        <v>47</v>
      </c>
      <c r="L59" s="113" t="str">
        <f>IFERROR(__xludf.DUMMYFUNCTION("""COMPUTED_VALUE"""),"C")</f>
        <v>C</v>
      </c>
      <c r="M59" s="114">
        <f>IFERROR(__xludf.DUMMYFUNCTION("""COMPUTED_VALUE"""),2.310851257362038)</f>
        <v>2.310851257</v>
      </c>
      <c r="N59" s="114">
        <f>IFERROR(__xludf.DUMMYFUNCTION("""COMPUTED_VALUE"""),2.262324212035861)</f>
        <v>2.262324212</v>
      </c>
      <c r="O59" s="115">
        <f>IFERROR(__xludf.DUMMYFUNCTION("""COMPUTED_VALUE"""),-0.04852704532617702)</f>
        <v>-0.04852704533</v>
      </c>
      <c r="P59" s="116">
        <f>IFERROR(__xludf.DUMMYFUNCTION("""COMPUTED_VALUE"""),14.4817)</f>
        <v>14.4817</v>
      </c>
      <c r="Q59" s="116">
        <f>IFERROR(__xludf.DUMMYFUNCTION("""COMPUTED_VALUE"""),0.311702)</f>
        <v>0.311702</v>
      </c>
      <c r="R59" s="116">
        <f>IFERROR(__xludf.DUMMYFUNCTION("""COMPUTED_VALUE"""),10.99809)</f>
        <v>10.99809</v>
      </c>
      <c r="S59" s="117">
        <f>IFERROR(__xludf.DUMMYFUNCTION("""COMPUTED_VALUE"""),1.331489)</f>
        <v>1.331489</v>
      </c>
      <c r="T59" s="116">
        <f>IFERROR(__xludf.DUMMYFUNCTION("""COMPUTED_VALUE"""),0.664255)</f>
        <v>0.664255</v>
      </c>
      <c r="U59" s="116">
        <f>IFERROR(__xludf.DUMMYFUNCTION("""COMPUTED_VALUE"""),1.605532)</f>
        <v>1.605532</v>
      </c>
      <c r="V59" s="113">
        <f>IFERROR(__xludf.DUMMYFUNCTION("""COMPUTED_VALUE"""),0.619996)</f>
        <v>0.619996</v>
      </c>
      <c r="W59" s="113">
        <f>IFERROR(__xludf.DUMMYFUNCTION("""COMPUTED_VALUE"""),0.721003)</f>
        <v>0.721003</v>
      </c>
      <c r="X59" s="116">
        <f>IFERROR(__xludf.DUMMYFUNCTION("""COMPUTED_VALUE"""),1.552979)</f>
        <v>1.552979</v>
      </c>
      <c r="Y59" s="114">
        <f>IFERROR(__xludf.DUMMYFUNCTION("""COMPUTED_VALUE"""),-0.47245086320148555)</f>
        <v>-0.4724508632</v>
      </c>
      <c r="Z59" s="114">
        <f>IFERROR(__xludf.DUMMYFUNCTION("""COMPUTED_VALUE"""),-1.4080418856604535)</f>
        <v>-1.408041886</v>
      </c>
      <c r="AA59" s="114">
        <f>IFERROR(__xludf.DUMMYFUNCTION("""COMPUTED_VALUE"""),1.9747183491480944)</f>
        <v>1.974718349</v>
      </c>
      <c r="AB59" s="114">
        <f>IFERROR(__xludf.DUMMYFUNCTION("""COMPUTED_VALUE"""),-1.2239287858526646)</f>
        <v>-1.223928786</v>
      </c>
      <c r="AC59" s="114">
        <f>IFERROR(__xludf.DUMMYFUNCTION("""COMPUTED_VALUE"""),-1.160789612405248)</f>
        <v>-1.160789612</v>
      </c>
      <c r="AD59" s="114">
        <f>IFERROR(__xludf.DUMMYFUNCTION("""COMPUTED_VALUE"""),1.5913063169312645)</f>
        <v>1.591306317</v>
      </c>
      <c r="AE59" s="114">
        <f>IFERROR(__xludf.DUMMYFUNCTION("""COMPUTED_VALUE"""),2.3245942650140092)</f>
        <v>2.324594265</v>
      </c>
      <c r="AF59" s="114">
        <f>IFERROR(__xludf.DUMMYFUNCTION("""COMPUTED_VALUE"""),-0.7711254575981092)</f>
        <v>-0.7711254576</v>
      </c>
      <c r="AG59" s="118">
        <f>IFERROR(__xludf.DUMMYFUNCTION("""COMPUTED_VALUE"""),0.0)</f>
        <v>0</v>
      </c>
      <c r="AH59" s="105"/>
      <c r="AI59" s="202"/>
      <c r="AJ59" s="63"/>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row>
    <row r="60">
      <c r="A60" s="109">
        <f>VLOOKUP($F60,UpdateHashtag!$V$3:$Y$32,COLUMN(B$9),0)</f>
        <v>4</v>
      </c>
      <c r="B60" s="91" t="str">
        <f>VLOOKUP($F60,UpdateHashtag!$V$3:$Y$32,COLUMN(#REF!),0)</f>
        <v>#REF!</v>
      </c>
      <c r="C60" s="91" t="str">
        <f>VLOOKUP($F60,UpdateHashtag!$V$3:$Y$32,COLUMN(#REF!),0)</f>
        <v>#REF!</v>
      </c>
      <c r="D60" s="110" t="str">
        <f t="shared" si="2"/>
        <v>#REF!</v>
      </c>
      <c r="E60" s="11"/>
      <c r="F60" s="94" t="str">
        <f>VLOOKUP(J60,UpdateBBM!$C$2:E1009,3,0)</f>
        <v>CLE</v>
      </c>
      <c r="G60" s="78">
        <v>47.0</v>
      </c>
      <c r="H60" s="111">
        <f>IFERROR(__xludf.DUMMYFUNCTION("""COMPUTED_VALUE"""),47.0)</f>
        <v>47</v>
      </c>
      <c r="I60" s="111"/>
      <c r="J60" s="112" t="str">
        <f>IFERROR(__xludf.DUMMYFUNCTION("""COMPUTED_VALUE"""),"Darius Garland")</f>
        <v>Darius Garland</v>
      </c>
      <c r="K60" s="111">
        <f>IFERROR(__xludf.DUMMYFUNCTION("""COMPUTED_VALUE"""),56.0)</f>
        <v>56</v>
      </c>
      <c r="L60" s="113" t="str">
        <f>IFERROR(__xludf.DUMMYFUNCTION("""COMPUTED_VALUE"""),"G")</f>
        <v>G</v>
      </c>
      <c r="M60" s="114">
        <f>IFERROR(__xludf.DUMMYFUNCTION("""COMPUTED_VALUE"""),2.3067288310379728)</f>
        <v>2.306728831</v>
      </c>
      <c r="N60" s="114">
        <f>IFERROR(__xludf.DUMMYFUNCTION("""COMPUTED_VALUE"""),2.501946897717155)</f>
        <v>2.501946898</v>
      </c>
      <c r="O60" s="115">
        <f>IFERROR(__xludf.DUMMYFUNCTION("""COMPUTED_VALUE"""),0.1952180666791823)</f>
        <v>0.1952180667</v>
      </c>
      <c r="P60" s="116">
        <f>IFERROR(__xludf.DUMMYFUNCTION("""COMPUTED_VALUE"""),19.45268)</f>
        <v>19.45268</v>
      </c>
      <c r="Q60" s="116">
        <f>IFERROR(__xludf.DUMMYFUNCTION("""COMPUTED_VALUE"""),2.715357)</f>
        <v>2.715357</v>
      </c>
      <c r="R60" s="116">
        <f>IFERROR(__xludf.DUMMYFUNCTION("""COMPUTED_VALUE"""),2.588036)</f>
        <v>2.588036</v>
      </c>
      <c r="S60" s="117">
        <f>IFERROR(__xludf.DUMMYFUNCTION("""COMPUTED_VALUE"""),6.3125)</f>
        <v>6.3125</v>
      </c>
      <c r="T60" s="116">
        <f>IFERROR(__xludf.DUMMYFUNCTION("""COMPUTED_VALUE"""),1.252857)</f>
        <v>1.252857</v>
      </c>
      <c r="U60" s="116">
        <f>IFERROR(__xludf.DUMMYFUNCTION("""COMPUTED_VALUE"""),0.126964)</f>
        <v>0.126964</v>
      </c>
      <c r="V60" s="113">
        <f>IFERROR(__xludf.DUMMYFUNCTION("""COMPUTED_VALUE"""),0.458946)</f>
        <v>0.458946</v>
      </c>
      <c r="W60" s="113">
        <f>IFERROR(__xludf.DUMMYFUNCTION("""COMPUTED_VALUE"""),0.856974)</f>
        <v>0.856974</v>
      </c>
      <c r="X60" s="116">
        <f>IFERROR(__xludf.DUMMYFUNCTION("""COMPUTED_VALUE"""),2.535893)</f>
        <v>2.535893</v>
      </c>
      <c r="Y60" s="114">
        <f>IFERROR(__xludf.DUMMYFUNCTION("""COMPUTED_VALUE"""),0.39967085191272544)</f>
        <v>0.3996708519</v>
      </c>
      <c r="Z60" s="114">
        <f>IFERROR(__xludf.DUMMYFUNCTION("""COMPUTED_VALUE"""),0.9134884910651794)</f>
        <v>0.9134884911</v>
      </c>
      <c r="AA60" s="114">
        <f>IFERROR(__xludf.DUMMYFUNCTION("""COMPUTED_VALUE"""),-1.4343273685919322)</f>
        <v>-1.434327369</v>
      </c>
      <c r="AB60" s="114">
        <f>IFERROR(__xludf.DUMMYFUNCTION("""COMPUTED_VALUE"""),1.2093672977777912)</f>
        <v>1.209367298</v>
      </c>
      <c r="AC60" s="114">
        <f>IFERROR(__xludf.DUMMYFUNCTION("""COMPUTED_VALUE"""),0.6328160825669401)</f>
        <v>0.6328160826</v>
      </c>
      <c r="AD60" s="114">
        <f>IFERROR(__xludf.DUMMYFUNCTION("""COMPUTED_VALUE"""),-1.096718811159447)</f>
        <v>-1.096718811</v>
      </c>
      <c r="AE60" s="114">
        <f>IFERROR(__xludf.DUMMYFUNCTION("""COMPUTED_VALUE"""),-0.4995813705190771)</f>
        <v>-0.4995813705</v>
      </c>
      <c r="AF60" s="114">
        <f>IFERROR(__xludf.DUMMYFUNCTION("""COMPUTED_VALUE"""),0.942904356073043)</f>
        <v>0.9429043561</v>
      </c>
      <c r="AG60" s="118">
        <f>IFERROR(__xludf.DUMMYFUNCTION("""COMPUTED_VALUE"""),0.0)</f>
        <v>0</v>
      </c>
      <c r="AH60" s="105"/>
      <c r="AI60" s="202"/>
      <c r="AJ60" s="63"/>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row>
    <row r="61">
      <c r="A61" s="109">
        <f>VLOOKUP($F61,UpdateHashtag!$V$3:$Y$32,COLUMN(B$9),0)</f>
        <v>4</v>
      </c>
      <c r="B61" s="91" t="str">
        <f>VLOOKUP($F61,UpdateHashtag!$V$3:$Y$32,COLUMN(#REF!),0)</f>
        <v>#REF!</v>
      </c>
      <c r="C61" s="91" t="str">
        <f>VLOOKUP($F61,UpdateHashtag!$V$3:$Y$32,COLUMN(#REF!),0)</f>
        <v>#REF!</v>
      </c>
      <c r="D61" s="110" t="str">
        <f t="shared" si="2"/>
        <v>#REF!</v>
      </c>
      <c r="E61" s="11"/>
      <c r="F61" s="94" t="str">
        <f>VLOOKUP(J61,UpdateBBM!$C$2:E1009,3,0)</f>
        <v>DAL</v>
      </c>
      <c r="G61" s="78">
        <v>48.0</v>
      </c>
      <c r="H61" s="111">
        <f>IFERROR(__xludf.DUMMYFUNCTION("""COMPUTED_VALUE"""),48.0)</f>
        <v>48</v>
      </c>
      <c r="I61" s="111"/>
      <c r="J61" s="112" t="str">
        <f>IFERROR(__xludf.DUMMYFUNCTION("""COMPUTED_VALUE"""),"Dereck Lively II")</f>
        <v>Dereck Lively II</v>
      </c>
      <c r="K61" s="111">
        <f>IFERROR(__xludf.DUMMYFUNCTION("""COMPUTED_VALUE"""),61.0)</f>
        <v>61</v>
      </c>
      <c r="L61" s="113" t="str">
        <f>IFERROR(__xludf.DUMMYFUNCTION("""COMPUTED_VALUE"""),"C")</f>
        <v>C</v>
      </c>
      <c r="M61" s="114">
        <f>IFERROR(__xludf.DUMMYFUNCTION("""COMPUTED_VALUE"""),2.303840731718489)</f>
        <v>2.303840732</v>
      </c>
      <c r="N61" s="114">
        <f>IFERROR(__xludf.DUMMYFUNCTION("""COMPUTED_VALUE"""),2.1321692300204487)</f>
        <v>2.13216923</v>
      </c>
      <c r="O61" s="115">
        <f>IFERROR(__xludf.DUMMYFUNCTION("""COMPUTED_VALUE"""),-0.17167150169804035)</f>
        <v>-0.1716715017</v>
      </c>
      <c r="P61" s="116">
        <f>IFERROR(__xludf.DUMMYFUNCTION("""COMPUTED_VALUE"""),9.158197)</f>
        <v>9.158197</v>
      </c>
      <c r="Q61" s="116">
        <f>IFERROR(__xludf.DUMMYFUNCTION("""COMPUTED_VALUE"""),0.0)</f>
        <v>0</v>
      </c>
      <c r="R61" s="116">
        <f>IFERROR(__xludf.DUMMYFUNCTION("""COMPUTED_VALUE"""),7.827541)</f>
        <v>7.827541</v>
      </c>
      <c r="S61" s="117">
        <f>IFERROR(__xludf.DUMMYFUNCTION("""COMPUTED_VALUE"""),1.90377)</f>
        <v>1.90377</v>
      </c>
      <c r="T61" s="116">
        <f>IFERROR(__xludf.DUMMYFUNCTION("""COMPUTED_VALUE"""),0.610492)</f>
        <v>0.610492</v>
      </c>
      <c r="U61" s="116">
        <f>IFERROR(__xludf.DUMMYFUNCTION("""COMPUTED_VALUE"""),1.508197)</f>
        <v>1.508197</v>
      </c>
      <c r="V61" s="113">
        <f>IFERROR(__xludf.DUMMYFUNCTION("""COMPUTED_VALUE"""),0.72299)</f>
        <v>0.72299</v>
      </c>
      <c r="W61" s="113">
        <f>IFERROR(__xludf.DUMMYFUNCTION("""COMPUTED_VALUE"""),0.67203)</f>
        <v>0.67203</v>
      </c>
      <c r="X61" s="116">
        <f>IFERROR(__xludf.DUMMYFUNCTION("""COMPUTED_VALUE"""),1.056393)</f>
        <v>1.056393</v>
      </c>
      <c r="Y61" s="114">
        <f>IFERROR(__xludf.DUMMYFUNCTION("""COMPUTED_VALUE"""),-1.4064201342055225)</f>
        <v>-1.406420134</v>
      </c>
      <c r="Z61" s="114">
        <f>IFERROR(__xludf.DUMMYFUNCTION("""COMPUTED_VALUE"""),-1.7090941005108098)</f>
        <v>-1.709094101</v>
      </c>
      <c r="AA61" s="114">
        <f>IFERROR(__xludf.DUMMYFUNCTION("""COMPUTED_VALUE"""),0.6895248781745522)</f>
        <v>0.6895248782</v>
      </c>
      <c r="AB61" s="114">
        <f>IFERROR(__xludf.DUMMYFUNCTION("""COMPUTED_VALUE"""),-0.9443612209474435)</f>
        <v>-0.9443612209</v>
      </c>
      <c r="AC61" s="114">
        <f>IFERROR(__xludf.DUMMYFUNCTION("""COMPUTED_VALUE"""),-1.3246178409515148)</f>
        <v>-1.324617841</v>
      </c>
      <c r="AD61" s="114">
        <f>IFERROR(__xludf.DUMMYFUNCTION("""COMPUTED_VALUE"""),1.414352043713726)</f>
        <v>1.414352044</v>
      </c>
      <c r="AE61" s="114">
        <f>IFERROR(__xludf.DUMMYFUNCTION("""COMPUTED_VALUE"""),4.94762975870936)</f>
        <v>4.947629759</v>
      </c>
      <c r="AF61" s="114">
        <f>IFERROR(__xludf.DUMMYFUNCTION("""COMPUTED_VALUE"""),-1.2439382544727091)</f>
        <v>-1.243938254</v>
      </c>
      <c r="AG61" s="118">
        <f>IFERROR(__xludf.DUMMYFUNCTION("""COMPUTED_VALUE"""),0.0)</f>
        <v>0</v>
      </c>
      <c r="AH61" s="105"/>
      <c r="AI61" s="202"/>
      <c r="AJ61" s="63"/>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row>
    <row r="62">
      <c r="A62" s="109">
        <f>VLOOKUP($F62,UpdateHashtag!$V$3:$Y$32,COLUMN(B$9),0)</f>
        <v>3</v>
      </c>
      <c r="B62" s="91" t="str">
        <f>VLOOKUP($F62,UpdateHashtag!$V$3:$Y$32,COLUMN(#REF!),0)</f>
        <v>#REF!</v>
      </c>
      <c r="C62" s="91" t="str">
        <f>VLOOKUP($F62,UpdateHashtag!$V$3:$Y$32,COLUMN(#REF!),0)</f>
        <v>#REF!</v>
      </c>
      <c r="D62" s="110" t="str">
        <f t="shared" si="2"/>
        <v>#REF!</v>
      </c>
      <c r="E62" s="11"/>
      <c r="F62" s="94" t="str">
        <f>VLOOKUP(J62,UpdateBBM!$C$2:E1009,3,0)</f>
        <v>LAL</v>
      </c>
      <c r="G62" s="78">
        <v>49.0</v>
      </c>
      <c r="H62" s="111">
        <f>IFERROR(__xludf.DUMMYFUNCTION("""COMPUTED_VALUE"""),49.0)</f>
        <v>49</v>
      </c>
      <c r="I62" s="111"/>
      <c r="J62" s="112" t="str">
        <f>IFERROR(__xludf.DUMMYFUNCTION("""COMPUTED_VALUE"""),"LeBron James")</f>
        <v>LeBron James</v>
      </c>
      <c r="K62" s="111">
        <f>IFERROR(__xludf.DUMMYFUNCTION("""COMPUTED_VALUE"""),61.0)</f>
        <v>61</v>
      </c>
      <c r="L62" s="113" t="str">
        <f>IFERROR(__xludf.DUMMYFUNCTION("""COMPUTED_VALUE"""),"F")</f>
        <v>F</v>
      </c>
      <c r="M62" s="114">
        <f>IFERROR(__xludf.DUMMYFUNCTION("""COMPUTED_VALUE"""),2.298940247123706)</f>
        <v>2.298940247</v>
      </c>
      <c r="N62" s="114">
        <f>IFERROR(__xludf.DUMMYFUNCTION("""COMPUTED_VALUE"""),2.6055084918634375)</f>
        <v>2.605508492</v>
      </c>
      <c r="O62" s="115">
        <f>IFERROR(__xludf.DUMMYFUNCTION("""COMPUTED_VALUE"""),0.30656824473973154)</f>
        <v>0.3065682447</v>
      </c>
      <c r="P62" s="116">
        <f>IFERROR(__xludf.DUMMYFUNCTION("""COMPUTED_VALUE"""),21.74148)</f>
        <v>21.74148</v>
      </c>
      <c r="Q62" s="116">
        <f>IFERROR(__xludf.DUMMYFUNCTION("""COMPUTED_VALUE"""),1.939672)</f>
        <v>1.939672</v>
      </c>
      <c r="R62" s="116">
        <f>IFERROR(__xludf.DUMMYFUNCTION("""COMPUTED_VALUE"""),6.941639)</f>
        <v>6.941639</v>
      </c>
      <c r="S62" s="117">
        <f>IFERROR(__xludf.DUMMYFUNCTION("""COMPUTED_VALUE"""),6.455738)</f>
        <v>6.455738</v>
      </c>
      <c r="T62" s="116">
        <f>IFERROR(__xludf.DUMMYFUNCTION("""COMPUTED_VALUE"""),1.033115)</f>
        <v>1.033115</v>
      </c>
      <c r="U62" s="116">
        <f>IFERROR(__xludf.DUMMYFUNCTION("""COMPUTED_VALUE"""),0.558361)</f>
        <v>0.558361</v>
      </c>
      <c r="V62" s="113">
        <f>IFERROR(__xludf.DUMMYFUNCTION("""COMPUTED_VALUE"""),0.494596)</f>
        <v>0.494596</v>
      </c>
      <c r="W62" s="113">
        <f>IFERROR(__xludf.DUMMYFUNCTION("""COMPUTED_VALUE"""),0.794001)</f>
        <v>0.794001</v>
      </c>
      <c r="X62" s="116">
        <f>IFERROR(__xludf.DUMMYFUNCTION("""COMPUTED_VALUE"""),2.984918)</f>
        <v>2.984918</v>
      </c>
      <c r="Y62" s="114">
        <f>IFERROR(__xludf.DUMMYFUNCTION("""COMPUTED_VALUE"""),0.8012239021268491)</f>
        <v>0.8012239021</v>
      </c>
      <c r="Z62" s="114">
        <f>IFERROR(__xludf.DUMMYFUNCTION("""COMPUTED_VALUE"""),0.16430597931934965)</f>
        <v>0.1643059793</v>
      </c>
      <c r="AA62" s="114">
        <f>IFERROR(__xludf.DUMMYFUNCTION("""COMPUTED_VALUE"""),0.33042130768174394)</f>
        <v>0.3304213077</v>
      </c>
      <c r="AB62" s="114">
        <f>IFERROR(__xludf.DUMMYFUNCTION("""COMPUTED_VALUE"""),1.2793411373109822)</f>
        <v>1.279341137</v>
      </c>
      <c r="AC62" s="114">
        <f>IFERROR(__xludf.DUMMYFUNCTION("""COMPUTED_VALUE"""),-0.0367883404975053)</f>
        <v>-0.0367883405</v>
      </c>
      <c r="AD62" s="114">
        <f>IFERROR(__xludf.DUMMYFUNCTION("""COMPUTED_VALUE"""),-0.31244241928369376)</f>
        <v>-0.3124424193</v>
      </c>
      <c r="AE62" s="114">
        <f>IFERROR(__xludf.DUMMYFUNCTION("""COMPUTED_VALUE"""),-0.008715586458508026)</f>
        <v>-0.008715586459</v>
      </c>
      <c r="AF62" s="114">
        <f>IFERROR(__xludf.DUMMYFUNCTION("""COMPUTED_VALUE"""),0.07572009238052593)</f>
        <v>0.07572009238</v>
      </c>
      <c r="AG62" s="118">
        <f>IFERROR(__xludf.DUMMYFUNCTION("""COMPUTED_VALUE"""),0.0)</f>
        <v>0</v>
      </c>
      <c r="AH62" s="105"/>
      <c r="AI62" s="202"/>
      <c r="AJ62" s="63"/>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row>
    <row r="63">
      <c r="A63" s="109">
        <f>VLOOKUP($F63,UpdateHashtag!$V$3:$Y$32,COLUMN(B$9),0)</f>
        <v>4</v>
      </c>
      <c r="B63" s="91" t="str">
        <f>VLOOKUP($F63,UpdateHashtag!$V$3:$Y$32,COLUMN(#REF!),0)</f>
        <v>#REF!</v>
      </c>
      <c r="C63" s="91" t="str">
        <f>VLOOKUP($F63,UpdateHashtag!$V$3:$Y$32,COLUMN(#REF!),0)</f>
        <v>#REF!</v>
      </c>
      <c r="D63" s="110" t="str">
        <f t="shared" si="2"/>
        <v>#REF!</v>
      </c>
      <c r="E63" s="11"/>
      <c r="F63" s="94" t="str">
        <f>VLOOKUP(J63,UpdateBBM!$C$2:E1009,3,0)</f>
        <v>CLE</v>
      </c>
      <c r="G63" s="78">
        <v>50.0</v>
      </c>
      <c r="H63" s="111">
        <f>IFERROR(__xludf.DUMMYFUNCTION("""COMPUTED_VALUE"""),50.0)</f>
        <v>50</v>
      </c>
      <c r="I63" s="111"/>
      <c r="J63" s="112" t="str">
        <f>IFERROR(__xludf.DUMMYFUNCTION("""COMPUTED_VALUE"""),"Jarrett Allen")</f>
        <v>Jarrett Allen</v>
      </c>
      <c r="K63" s="111">
        <f>IFERROR(__xludf.DUMMYFUNCTION("""COMPUTED_VALUE"""),77.0)</f>
        <v>77</v>
      </c>
      <c r="L63" s="113" t="str">
        <f>IFERROR(__xludf.DUMMYFUNCTION("""COMPUTED_VALUE"""),"C")</f>
        <v>C</v>
      </c>
      <c r="M63" s="114">
        <f>IFERROR(__xludf.DUMMYFUNCTION("""COMPUTED_VALUE"""),2.2981056001357256)</f>
        <v>2.2981056</v>
      </c>
      <c r="N63" s="114">
        <f>IFERROR(__xludf.DUMMYFUNCTION("""COMPUTED_VALUE"""),2.1713855720234716)</f>
        <v>2.171385572</v>
      </c>
      <c r="O63" s="115">
        <f>IFERROR(__xludf.DUMMYFUNCTION("""COMPUTED_VALUE"""),-0.12672002811225402)</f>
        <v>-0.1267200281</v>
      </c>
      <c r="P63" s="116">
        <f>IFERROR(__xludf.DUMMYFUNCTION("""COMPUTED_VALUE"""),13.5139)</f>
        <v>13.5139</v>
      </c>
      <c r="Q63" s="116">
        <f>IFERROR(__xludf.DUMMYFUNCTION("""COMPUTED_VALUE"""),0.0)</f>
        <v>0</v>
      </c>
      <c r="R63" s="116">
        <f>IFERROR(__xludf.DUMMYFUNCTION("""COMPUTED_VALUE"""),9.24987)</f>
        <v>9.24987</v>
      </c>
      <c r="S63" s="117">
        <f>IFERROR(__xludf.DUMMYFUNCTION("""COMPUTED_VALUE"""),1.941688)</f>
        <v>1.941688</v>
      </c>
      <c r="T63" s="116">
        <f>IFERROR(__xludf.DUMMYFUNCTION("""COMPUTED_VALUE"""),0.824805)</f>
        <v>0.824805</v>
      </c>
      <c r="U63" s="116">
        <f>IFERROR(__xludf.DUMMYFUNCTION("""COMPUTED_VALUE"""),0.825065)</f>
        <v>0.825065</v>
      </c>
      <c r="V63" s="113">
        <f>IFERROR(__xludf.DUMMYFUNCTION("""COMPUTED_VALUE"""),0.683118)</f>
        <v>0.683118</v>
      </c>
      <c r="W63" s="113">
        <f>IFERROR(__xludf.DUMMYFUNCTION("""COMPUTED_VALUE"""),0.709998)</f>
        <v>0.709998</v>
      </c>
      <c r="X63" s="116">
        <f>IFERROR(__xludf.DUMMYFUNCTION("""COMPUTED_VALUE"""),1.237662)</f>
        <v>1.237662</v>
      </c>
      <c r="Y63" s="114">
        <f>IFERROR(__xludf.DUMMYFUNCTION("""COMPUTED_VALUE"""),-0.642244223039492)</f>
        <v>-0.642244223</v>
      </c>
      <c r="Z63" s="114">
        <f>IFERROR(__xludf.DUMMYFUNCTION("""COMPUTED_VALUE"""),-1.7090941005108098)</f>
        <v>-1.709094101</v>
      </c>
      <c r="AA63" s="114">
        <f>IFERROR(__xludf.DUMMYFUNCTION("""COMPUTED_VALUE"""),1.2660710676125098)</f>
        <v>1.266071068</v>
      </c>
      <c r="AB63" s="114">
        <f>IFERROR(__xludf.DUMMYFUNCTION("""COMPUTED_VALUE"""),-0.9258377282470459)</f>
        <v>-0.9258377282</v>
      </c>
      <c r="AC63" s="114">
        <f>IFERROR(__xludf.DUMMYFUNCTION("""COMPUTED_VALUE"""),-0.6715568297647121)</f>
        <v>-0.6715568298</v>
      </c>
      <c r="AD63" s="114">
        <f>IFERROR(__xludf.DUMMYFUNCTION("""COMPUTED_VALUE"""),0.172423379084934)</f>
        <v>0.1724233791</v>
      </c>
      <c r="AE63" s="114">
        <f>IFERROR(__xludf.DUMMYFUNCTION("""COMPUTED_VALUE"""),3.8565715500607975)</f>
        <v>3.85657155</v>
      </c>
      <c r="AF63" s="114">
        <f>IFERROR(__xludf.DUMMYFUNCTION("""COMPUTED_VALUE"""),-0.8840416436835197)</f>
        <v>-0.8840416437</v>
      </c>
      <c r="AG63" s="118">
        <f>IFERROR(__xludf.DUMMYFUNCTION("""COMPUTED_VALUE"""),0.0)</f>
        <v>0</v>
      </c>
      <c r="AH63" s="105"/>
      <c r="AI63" s="202"/>
      <c r="AJ63" s="63"/>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row>
    <row r="64">
      <c r="A64" s="109">
        <f>VLOOKUP($F64,UpdateHashtag!$V$3:$Y$32,COLUMN(B$9),0)</f>
        <v>4</v>
      </c>
      <c r="B64" s="91" t="str">
        <f>VLOOKUP($F64,UpdateHashtag!$V$3:$Y$32,COLUMN(#REF!),0)</f>
        <v>#REF!</v>
      </c>
      <c r="C64" s="91" t="str">
        <f>VLOOKUP($F64,UpdateHashtag!$V$3:$Y$32,COLUMN(#REF!),0)</f>
        <v>#REF!</v>
      </c>
      <c r="D64" s="110" t="str">
        <f t="shared" si="2"/>
        <v>#REF!</v>
      </c>
      <c r="E64" s="11"/>
      <c r="F64" s="94" t="str">
        <f>VLOOKUP(J64,UpdateBBM!$C$2:E1009,3,0)</f>
        <v>PHI</v>
      </c>
      <c r="G64" s="78">
        <v>51.0</v>
      </c>
      <c r="H64" s="111">
        <f>IFERROR(__xludf.DUMMYFUNCTION("""COMPUTED_VALUE"""),51.0)</f>
        <v>51</v>
      </c>
      <c r="I64" s="111"/>
      <c r="J64" s="112" t="str">
        <f>IFERROR(__xludf.DUMMYFUNCTION("""COMPUTED_VALUE"""),"Paul George")</f>
        <v>Paul George</v>
      </c>
      <c r="K64" s="111">
        <f>IFERROR(__xludf.DUMMYFUNCTION("""COMPUTED_VALUE"""),53.0)</f>
        <v>53</v>
      </c>
      <c r="L64" s="113" t="str">
        <f>IFERROR(__xludf.DUMMYFUNCTION("""COMPUTED_VALUE"""),"F")</f>
        <v>F</v>
      </c>
      <c r="M64" s="114">
        <f>IFERROR(__xludf.DUMMYFUNCTION("""COMPUTED_VALUE"""),2.2248703413136077)</f>
        <v>2.224870341</v>
      </c>
      <c r="N64" s="114">
        <f>IFERROR(__xludf.DUMMYFUNCTION("""COMPUTED_VALUE"""),2.3661765959317256)</f>
        <v>2.366176596</v>
      </c>
      <c r="O64" s="115">
        <f>IFERROR(__xludf.DUMMYFUNCTION("""COMPUTED_VALUE"""),0.14130625461811785)</f>
        <v>0.1413062546</v>
      </c>
      <c r="P64" s="116">
        <f>IFERROR(__xludf.DUMMYFUNCTION("""COMPUTED_VALUE"""),16.63868)</f>
        <v>16.63868</v>
      </c>
      <c r="Q64" s="116">
        <f>IFERROR(__xludf.DUMMYFUNCTION("""COMPUTED_VALUE"""),2.455849)</f>
        <v>2.455849</v>
      </c>
      <c r="R64" s="116">
        <f>IFERROR(__xludf.DUMMYFUNCTION("""COMPUTED_VALUE"""),5.016038)</f>
        <v>5.016038</v>
      </c>
      <c r="S64" s="117">
        <f>IFERROR(__xludf.DUMMYFUNCTION("""COMPUTED_VALUE"""),3.901509)</f>
        <v>3.901509</v>
      </c>
      <c r="T64" s="116">
        <f>IFERROR(__xludf.DUMMYFUNCTION("""COMPUTED_VALUE"""),1.639623)</f>
        <v>1.639623</v>
      </c>
      <c r="U64" s="116">
        <f>IFERROR(__xludf.DUMMYFUNCTION("""COMPUTED_VALUE"""),0.530189)</f>
        <v>0.530189</v>
      </c>
      <c r="V64" s="113">
        <f>IFERROR(__xludf.DUMMYFUNCTION("""COMPUTED_VALUE"""),0.448288)</f>
        <v>0.448288</v>
      </c>
      <c r="W64" s="113">
        <f>IFERROR(__xludf.DUMMYFUNCTION("""COMPUTED_VALUE"""),0.844995)</f>
        <v>0.844995</v>
      </c>
      <c r="X64" s="116">
        <f>IFERROR(__xludf.DUMMYFUNCTION("""COMPUTED_VALUE"""),2.318491)</f>
        <v>2.318491</v>
      </c>
      <c r="Y64" s="114">
        <f>IFERROR(__xludf.DUMMYFUNCTION("""COMPUTED_VALUE"""),-0.0940246580936293)</f>
        <v>-0.09402465809</v>
      </c>
      <c r="Z64" s="114">
        <f>IFERROR(__xludf.DUMMYFUNCTION("""COMPUTED_VALUE"""),0.6628469867713789)</f>
        <v>0.6628469868</v>
      </c>
      <c r="AA64" s="114">
        <f>IFERROR(__xludf.DUMMYFUNCTION("""COMPUTED_VALUE"""),-0.4501280018858182)</f>
        <v>-0.4501280019</v>
      </c>
      <c r="AB64" s="114">
        <f>IFERROR(__xludf.DUMMYFUNCTION("""COMPUTED_VALUE"""),0.031563241940878436)</f>
        <v>0.03156324194</v>
      </c>
      <c r="AC64" s="114">
        <f>IFERROR(__xludf.DUMMYFUNCTION("""COMPUTED_VALUE"""),1.8113810555395313)</f>
        <v>1.811381056</v>
      </c>
      <c r="AD64" s="114">
        <f>IFERROR(__xludf.DUMMYFUNCTION("""COMPUTED_VALUE"""),-0.36365889624557274)</f>
        <v>-0.3636588962</v>
      </c>
      <c r="AE64" s="114">
        <f>IFERROR(__xludf.DUMMYFUNCTION("""COMPUTED_VALUE"""),-0.6315054866198391)</f>
        <v>-0.6315054866</v>
      </c>
      <c r="AF64" s="114">
        <f>IFERROR(__xludf.DUMMYFUNCTION("""COMPUTED_VALUE"""),0.7681968679049571)</f>
        <v>0.7681968679</v>
      </c>
      <c r="AG64" s="118">
        <f>IFERROR(__xludf.DUMMYFUNCTION("""COMPUTED_VALUE"""),0.0)</f>
        <v>0</v>
      </c>
      <c r="AH64" s="105"/>
      <c r="AI64" s="202"/>
      <c r="AJ64" s="63"/>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row>
    <row r="65">
      <c r="A65" s="91" t="str">
        <f>VLOOKUP($F65,UpdateHashtag!$V$3:$Y$32,COLUMN(B$9),0)</f>
        <v>#N/A</v>
      </c>
      <c r="B65" s="91" t="str">
        <f>VLOOKUP($F65,UpdateHashtag!$V$3:$Y$32,COLUMN(#REF!),0)</f>
        <v>#REF!</v>
      </c>
      <c r="C65" s="91" t="str">
        <f>VLOOKUP($F65,UpdateHashtag!$V$3:$Y$32,COLUMN(#REF!),0)</f>
        <v>#REF!</v>
      </c>
      <c r="D65" s="110" t="str">
        <f t="shared" si="2"/>
        <v>#N/A</v>
      </c>
      <c r="E65" s="11"/>
      <c r="F65" s="94" t="str">
        <f>VLOOKUP(J65,UpdateBBM!$C$2:E1009,3,0)</f>
        <v>NOR</v>
      </c>
      <c r="G65" s="78">
        <v>52.0</v>
      </c>
      <c r="H65" s="111">
        <f>IFERROR(__xludf.DUMMYFUNCTION("""COMPUTED_VALUE"""),52.0)</f>
        <v>52</v>
      </c>
      <c r="I65" s="111"/>
      <c r="J65" s="112" t="str">
        <f>IFERROR(__xludf.DUMMYFUNCTION("""COMPUTED_VALUE"""),"Jordan Poole")</f>
        <v>Jordan Poole</v>
      </c>
      <c r="K65" s="111">
        <f>IFERROR(__xludf.DUMMYFUNCTION("""COMPUTED_VALUE"""),68.0)</f>
        <v>68</v>
      </c>
      <c r="L65" s="113" t="str">
        <f>IFERROR(__xludf.DUMMYFUNCTION("""COMPUTED_VALUE"""),"G")</f>
        <v>G</v>
      </c>
      <c r="M65" s="114">
        <f>IFERROR(__xludf.DUMMYFUNCTION("""COMPUTED_VALUE"""),2.1809019605265503)</f>
        <v>2.180901961</v>
      </c>
      <c r="N65" s="114">
        <f>IFERROR(__xludf.DUMMYFUNCTION("""COMPUTED_VALUE"""),2.4266255566637356)</f>
        <v>2.426625557</v>
      </c>
      <c r="O65" s="115">
        <f>IFERROR(__xludf.DUMMYFUNCTION("""COMPUTED_VALUE"""),0.2457235961371853)</f>
        <v>0.2457235961</v>
      </c>
      <c r="P65" s="116">
        <f>IFERROR(__xludf.DUMMYFUNCTION("""COMPUTED_VALUE"""),18.92559)</f>
        <v>18.92559</v>
      </c>
      <c r="Q65" s="116">
        <f>IFERROR(__xludf.DUMMYFUNCTION("""COMPUTED_VALUE"""),3.177794)</f>
        <v>3.177794</v>
      </c>
      <c r="R65" s="116">
        <f>IFERROR(__xludf.DUMMYFUNCTION("""COMPUTED_VALUE"""),2.935294)</f>
        <v>2.935294</v>
      </c>
      <c r="S65" s="117">
        <f>IFERROR(__xludf.DUMMYFUNCTION("""COMPUTED_VALUE"""),4.305147)</f>
        <v>4.305147</v>
      </c>
      <c r="T65" s="116">
        <f>IFERROR(__xludf.DUMMYFUNCTION("""COMPUTED_VALUE"""),1.196324)</f>
        <v>1.196324</v>
      </c>
      <c r="U65" s="116">
        <f>IFERROR(__xludf.DUMMYFUNCTION("""COMPUTED_VALUE"""),0.326176)</f>
        <v>0.326176</v>
      </c>
      <c r="V65" s="113">
        <f>IFERROR(__xludf.DUMMYFUNCTION("""COMPUTED_VALUE"""),0.43492)</f>
        <v>0.43492</v>
      </c>
      <c r="W65" s="113">
        <f>IFERROR(__xludf.DUMMYFUNCTION("""COMPUTED_VALUE"""),0.89899)</f>
        <v>0.89899</v>
      </c>
      <c r="X65" s="116">
        <f>IFERROR(__xludf.DUMMYFUNCTION("""COMPUTED_VALUE"""),2.739559)</f>
        <v>2.739559</v>
      </c>
      <c r="Y65" s="114">
        <f>IFERROR(__xludf.DUMMYFUNCTION("""COMPUTED_VALUE"""),0.30719680558392304)</f>
        <v>0.3071968056</v>
      </c>
      <c r="Z65" s="114">
        <f>IFERROR(__xludf.DUMMYFUNCTION("""COMPUTED_VALUE"""),1.360125609462733)</f>
        <v>1.360125609</v>
      </c>
      <c r="AA65" s="114">
        <f>IFERROR(__xludf.DUMMYFUNCTION("""COMPUTED_VALUE"""),-1.2935650859893513)</f>
        <v>-1.293565086</v>
      </c>
      <c r="AB65" s="114">
        <f>IFERROR(__xludf.DUMMYFUNCTION("""COMPUTED_VALUE"""),0.22874625651451214)</f>
        <v>0.2287462565</v>
      </c>
      <c r="AC65" s="114">
        <f>IFERROR(__xludf.DUMMYFUNCTION("""COMPUTED_VALUE"""),0.4605470268147289)</f>
        <v>0.4605470268</v>
      </c>
      <c r="AD65" s="114">
        <f>IFERROR(__xludf.DUMMYFUNCTION("""COMPUTED_VALUE"""),-0.7345529440385524)</f>
        <v>-0.734552944</v>
      </c>
      <c r="AE65" s="114">
        <f>IFERROR(__xludf.DUMMYFUNCTION("""COMPUTED_VALUE"""),-0.7873256569198599)</f>
        <v>-0.7873256569</v>
      </c>
      <c r="AF65" s="114">
        <f>IFERROR(__xludf.DUMMYFUNCTION("""COMPUTED_VALUE"""),1.5918884592462506)</f>
        <v>1.591888459</v>
      </c>
      <c r="AG65" s="118">
        <f>IFERROR(__xludf.DUMMYFUNCTION("""COMPUTED_VALUE"""),0.0)</f>
        <v>0</v>
      </c>
      <c r="AH65" s="105"/>
      <c r="AI65" s="202"/>
      <c r="AJ65" s="63"/>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row>
    <row r="66">
      <c r="A66" s="109">
        <f>VLOOKUP($F66,UpdateHashtag!$V$3:$Y$32,COLUMN(B$9),0)</f>
        <v>4</v>
      </c>
      <c r="B66" s="91" t="str">
        <f>VLOOKUP($F66,UpdateHashtag!$V$3:$Y$32,COLUMN(#REF!),0)</f>
        <v>#REF!</v>
      </c>
      <c r="C66" s="91" t="str">
        <f>VLOOKUP($F66,UpdateHashtag!$V$3:$Y$32,COLUMN(#REF!),0)</f>
        <v>#REF!</v>
      </c>
      <c r="D66" s="110" t="str">
        <f t="shared" si="2"/>
        <v>#REF!</v>
      </c>
      <c r="E66" s="11"/>
      <c r="F66" s="94" t="str">
        <f>VLOOKUP(J66,UpdateBBM!$C$2:E1009,3,0)</f>
        <v>HOU</v>
      </c>
      <c r="G66" s="78">
        <v>53.0</v>
      </c>
      <c r="H66" s="111">
        <f>IFERROR(__xludf.DUMMYFUNCTION("""COMPUTED_VALUE"""),53.0)</f>
        <v>53</v>
      </c>
      <c r="I66" s="111"/>
      <c r="J66" s="112" t="str">
        <f>IFERROR(__xludf.DUMMYFUNCTION("""COMPUTED_VALUE"""),"Alperen Sengun")</f>
        <v>Alperen Sengun</v>
      </c>
      <c r="K66" s="111">
        <f>IFERROR(__xludf.DUMMYFUNCTION("""COMPUTED_VALUE"""),73.0)</f>
        <v>73</v>
      </c>
      <c r="L66" s="113" t="str">
        <f>IFERROR(__xludf.DUMMYFUNCTION("""COMPUTED_VALUE"""),"C")</f>
        <v>C</v>
      </c>
      <c r="M66" s="114">
        <f>IFERROR(__xludf.DUMMYFUNCTION("""COMPUTED_VALUE"""),2.1722127714274655)</f>
        <v>2.172212771</v>
      </c>
      <c r="N66" s="114">
        <f>IFERROR(__xludf.DUMMYFUNCTION("""COMPUTED_VALUE"""),2.392092413426382)</f>
        <v>2.392092413</v>
      </c>
      <c r="O66" s="115">
        <f>IFERROR(__xludf.DUMMYFUNCTION("""COMPUTED_VALUE"""),0.2198796419989164)</f>
        <v>0.219879642</v>
      </c>
      <c r="P66" s="116">
        <f>IFERROR(__xludf.DUMMYFUNCTION("""COMPUTED_VALUE"""),21.69712)</f>
        <v>21.69712</v>
      </c>
      <c r="Q66" s="116">
        <f>IFERROR(__xludf.DUMMYFUNCTION("""COMPUTED_VALUE"""),0.259589)</f>
        <v>0.259589</v>
      </c>
      <c r="R66" s="116">
        <f>IFERROR(__xludf.DUMMYFUNCTION("""COMPUTED_VALUE"""),9.897945)</f>
        <v>9.897945</v>
      </c>
      <c r="S66" s="117">
        <f>IFERROR(__xludf.DUMMYFUNCTION("""COMPUTED_VALUE"""),5.252055)</f>
        <v>5.252055</v>
      </c>
      <c r="T66" s="116">
        <f>IFERROR(__xludf.DUMMYFUNCTION("""COMPUTED_VALUE"""),1.01)</f>
        <v>1.01</v>
      </c>
      <c r="U66" s="116">
        <f>IFERROR(__xludf.DUMMYFUNCTION("""COMPUTED_VALUE"""),0.81137)</f>
        <v>0.81137</v>
      </c>
      <c r="V66" s="113">
        <f>IFERROR(__xludf.DUMMYFUNCTION("""COMPUTED_VALUE"""),0.525203)</f>
        <v>0.525203</v>
      </c>
      <c r="W66" s="113">
        <f>IFERROR(__xludf.DUMMYFUNCTION("""COMPUTED_VALUE"""),0.684007)</f>
        <v>0.684007</v>
      </c>
      <c r="X66" s="116">
        <f>IFERROR(__xludf.DUMMYFUNCTION("""COMPUTED_VALUE"""),2.635342)</f>
        <v>2.635342</v>
      </c>
      <c r="Y66" s="114">
        <f>IFERROR(__xludf.DUMMYFUNCTION("""COMPUTED_VALUE"""),0.7934412678610777)</f>
        <v>0.7934412679</v>
      </c>
      <c r="Z66" s="114">
        <f>IFERROR(__xludf.DUMMYFUNCTION("""COMPUTED_VALUE"""),-1.4583743637083857)</f>
        <v>-1.458374364</v>
      </c>
      <c r="AA66" s="114">
        <f>IFERROR(__xludf.DUMMYFUNCTION("""COMPUTED_VALUE"""),1.5287706059893584)</f>
        <v>1.528770606</v>
      </c>
      <c r="AB66" s="114">
        <f>IFERROR(__xludf.DUMMYFUNCTION("""COMPUTED_VALUE"""),0.6913245419184891)</f>
        <v>0.6913245419</v>
      </c>
      <c r="AC66" s="114">
        <f>IFERROR(__xludf.DUMMYFUNCTION("""COMPUTED_VALUE"""),-0.10722506283158183)</f>
        <v>-0.1072250628</v>
      </c>
      <c r="AD66" s="114">
        <f>IFERROR(__xludf.DUMMYFUNCTION("""COMPUTED_VALUE"""),0.14752597556395808)</f>
        <v>0.1475259756</v>
      </c>
      <c r="AE66" s="114">
        <f>IFERROR(__xludf.DUMMYFUNCTION("""COMPUTED_VALUE"""),0.4736315578297787)</f>
        <v>0.4736315578</v>
      </c>
      <c r="AF66" s="114">
        <f>IFERROR(__xludf.DUMMYFUNCTION("""COMPUTED_VALUE"""),-1.135376472904698)</f>
        <v>-1.135376473</v>
      </c>
      <c r="AG66" s="118">
        <f>IFERROR(__xludf.DUMMYFUNCTION("""COMPUTED_VALUE"""),0.0)</f>
        <v>0</v>
      </c>
      <c r="AH66" s="105"/>
      <c r="AI66" s="202"/>
      <c r="AJ66" s="63"/>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row>
    <row r="67">
      <c r="A67" s="109">
        <f>VLOOKUP($F67,UpdateHashtag!$V$3:$Y$32,COLUMN(B$9),0)</f>
        <v>4</v>
      </c>
      <c r="B67" s="91" t="str">
        <f>VLOOKUP($F67,UpdateHashtag!$V$3:$Y$32,COLUMN(#REF!),0)</f>
        <v>#REF!</v>
      </c>
      <c r="C67" s="91" t="str">
        <f>VLOOKUP($F67,UpdateHashtag!$V$3:$Y$32,COLUMN(#REF!),0)</f>
        <v>#REF!</v>
      </c>
      <c r="D67" s="110" t="str">
        <f t="shared" si="2"/>
        <v>#REF!</v>
      </c>
      <c r="E67" s="11"/>
      <c r="F67" s="94" t="str">
        <f>VLOOKUP(J67,UpdateBBM!$C$2:E1009,3,0)</f>
        <v>OKC</v>
      </c>
      <c r="G67" s="78">
        <v>54.0</v>
      </c>
      <c r="H67" s="111">
        <f>IFERROR(__xludf.DUMMYFUNCTION("""COMPUTED_VALUE"""),54.0)</f>
        <v>54</v>
      </c>
      <c r="I67" s="111"/>
      <c r="J67" s="112" t="str">
        <f>IFERROR(__xludf.DUMMYFUNCTION("""COMPUTED_VALUE"""),"Chet Holmgren")</f>
        <v>Chet Holmgren</v>
      </c>
      <c r="K67" s="111">
        <f>IFERROR(__xludf.DUMMYFUNCTION("""COMPUTED_VALUE"""),62.0)</f>
        <v>62</v>
      </c>
      <c r="L67" s="113" t="str">
        <f>IFERROR(__xludf.DUMMYFUNCTION("""COMPUTED_VALUE"""),"F,C")</f>
        <v>F,C</v>
      </c>
      <c r="M67" s="114">
        <f>IFERROR(__xludf.DUMMYFUNCTION("""COMPUTED_VALUE"""),2.170239002023937)</f>
        <v>2.170239002</v>
      </c>
      <c r="N67" s="114">
        <f>IFERROR(__xludf.DUMMYFUNCTION("""COMPUTED_VALUE"""),2.1755692126891777)</f>
        <v>2.175569213</v>
      </c>
      <c r="O67" s="115">
        <f>IFERROR(__xludf.DUMMYFUNCTION("""COMPUTED_VALUE"""),0.005330210665240642)</f>
        <v>0.005330210665</v>
      </c>
      <c r="P67" s="116">
        <f>IFERROR(__xludf.DUMMYFUNCTION("""COMPUTED_VALUE"""),16.75968)</f>
        <v>16.75968</v>
      </c>
      <c r="Q67" s="116">
        <f>IFERROR(__xludf.DUMMYFUNCTION("""COMPUTED_VALUE"""),1.498226)</f>
        <v>1.498226</v>
      </c>
      <c r="R67" s="116">
        <f>IFERROR(__xludf.DUMMYFUNCTION("""COMPUTED_VALUE"""),8.287419)</f>
        <v>8.287419</v>
      </c>
      <c r="S67" s="117">
        <f>IFERROR(__xludf.DUMMYFUNCTION("""COMPUTED_VALUE"""),2.248065)</f>
        <v>2.248065</v>
      </c>
      <c r="T67" s="116">
        <f>IFERROR(__xludf.DUMMYFUNCTION("""COMPUTED_VALUE"""),0.776452)</f>
        <v>0.776452</v>
      </c>
      <c r="U67" s="116">
        <f>IFERROR(__xludf.DUMMYFUNCTION("""COMPUTED_VALUE"""),2.04)</f>
        <v>2.04</v>
      </c>
      <c r="V67" s="113">
        <f>IFERROR(__xludf.DUMMYFUNCTION("""COMPUTED_VALUE"""),0.515974)</f>
        <v>0.515974</v>
      </c>
      <c r="W67" s="113">
        <f>IFERROR(__xludf.DUMMYFUNCTION("""COMPUTED_VALUE"""),0.764011)</f>
        <v>0.764011</v>
      </c>
      <c r="X67" s="116">
        <f>IFERROR(__xludf.DUMMYFUNCTION("""COMPUTED_VALUE"""),1.770161)</f>
        <v>1.770161</v>
      </c>
      <c r="Y67" s="114">
        <f>IFERROR(__xludf.DUMMYFUNCTION("""COMPUTED_VALUE"""),-0.07279610204858016)</f>
        <v>-0.07279610205</v>
      </c>
      <c r="Z67" s="114">
        <f>IFERROR(__xludf.DUMMYFUNCTION("""COMPUTED_VALUE"""),-0.2620573293435091)</f>
        <v>-0.2620573293</v>
      </c>
      <c r="AA67" s="114">
        <f>IFERROR(__xludf.DUMMYFUNCTION("""COMPUTED_VALUE"""),0.8759380839141168)</f>
        <v>0.8759380839</v>
      </c>
      <c r="AB67" s="114">
        <f>IFERROR(__xludf.DUMMYFUNCTION("""COMPUTED_VALUE"""),-0.7761681221742129)</f>
        <v>-0.7761681222</v>
      </c>
      <c r="AC67" s="114">
        <f>IFERROR(__xludf.DUMMYFUNCTION("""COMPUTED_VALUE"""),-0.8188995438040632)</f>
        <v>-0.8188995438</v>
      </c>
      <c r="AD67" s="114">
        <f>IFERROR(__xludf.DUMMYFUNCTION("""COMPUTED_VALUE"""),2.3811657629299035)</f>
        <v>2.381165763</v>
      </c>
      <c r="AE67" s="114">
        <f>IFERROR(__xludf.DUMMYFUNCTION("""COMPUTED_VALUE"""),0.3222615198596845)</f>
        <v>0.3222615199</v>
      </c>
      <c r="AF67" s="114">
        <f>IFERROR(__xludf.DUMMYFUNCTION("""COMPUTED_VALUE"""),-0.29277460044822506)</f>
        <v>-0.2927746004</v>
      </c>
      <c r="AG67" s="118">
        <f>IFERROR(__xludf.DUMMYFUNCTION("""COMPUTED_VALUE"""),0.0)</f>
        <v>0</v>
      </c>
      <c r="AH67" s="105"/>
      <c r="AI67" s="202"/>
      <c r="AJ67" s="63"/>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row>
    <row r="68">
      <c r="A68" s="91" t="str">
        <f>VLOOKUP($F68,UpdateHashtag!$V$3:$Y$32,COLUMN(B$9),0)</f>
        <v>#N/A</v>
      </c>
      <c r="B68" s="91" t="str">
        <f>VLOOKUP($F68,UpdateHashtag!$V$3:$Y$32,COLUMN(#REF!),0)</f>
        <v>#REF!</v>
      </c>
      <c r="C68" s="91" t="str">
        <f>VLOOKUP($F68,UpdateHashtag!$V$3:$Y$32,COLUMN(#REF!),0)</f>
        <v>#REF!</v>
      </c>
      <c r="D68" s="110" t="str">
        <f t="shared" si="2"/>
        <v>#N/A</v>
      </c>
      <c r="E68" s="11"/>
      <c r="F68" s="94" t="str">
        <f>VLOOKUP(J68,UpdateBBM!$C$2:E1009,3,0)</f>
        <v>NYK</v>
      </c>
      <c r="G68" s="78">
        <v>55.0</v>
      </c>
      <c r="H68" s="111">
        <f>IFERROR(__xludf.DUMMYFUNCTION("""COMPUTED_VALUE"""),55.0)</f>
        <v>55</v>
      </c>
      <c r="I68" s="111"/>
      <c r="J68" s="112" t="str">
        <f>IFERROR(__xludf.DUMMYFUNCTION("""COMPUTED_VALUE"""),"O.G. Anunoby")</f>
        <v>O.G. Anunoby</v>
      </c>
      <c r="K68" s="111">
        <f>IFERROR(__xludf.DUMMYFUNCTION("""COMPUTED_VALUE"""),68.0)</f>
        <v>68</v>
      </c>
      <c r="L68" s="113" t="str">
        <f>IFERROR(__xludf.DUMMYFUNCTION("""COMPUTED_VALUE"""),"F")</f>
        <v>F</v>
      </c>
      <c r="M68" s="114">
        <f>IFERROR(__xludf.DUMMYFUNCTION("""COMPUTED_VALUE"""),2.117592930222621)</f>
        <v>2.11759293</v>
      </c>
      <c r="N68" s="114">
        <f>IFERROR(__xludf.DUMMYFUNCTION("""COMPUTED_VALUE"""),2.059866491643257)</f>
        <v>2.059866492</v>
      </c>
      <c r="O68" s="115">
        <f>IFERROR(__xludf.DUMMYFUNCTION("""COMPUTED_VALUE"""),-0.05772643857936366)</f>
        <v>-0.05772643858</v>
      </c>
      <c r="P68" s="116">
        <f>IFERROR(__xludf.DUMMYFUNCTION("""COMPUTED_VALUE"""),18.63368)</f>
        <v>18.63368</v>
      </c>
      <c r="Q68" s="116">
        <f>IFERROR(__xludf.DUMMYFUNCTION("""COMPUTED_VALUE"""),2.3825)</f>
        <v>2.3825</v>
      </c>
      <c r="R68" s="116">
        <f>IFERROR(__xludf.DUMMYFUNCTION("""COMPUTED_VALUE"""),4.62)</f>
        <v>4.62</v>
      </c>
      <c r="S68" s="117">
        <f>IFERROR(__xludf.DUMMYFUNCTION("""COMPUTED_VALUE"""),2.382206)</f>
        <v>2.382206</v>
      </c>
      <c r="T68" s="116">
        <f>IFERROR(__xludf.DUMMYFUNCTION("""COMPUTED_VALUE"""),1.510882)</f>
        <v>1.510882</v>
      </c>
      <c r="U68" s="116">
        <f>IFERROR(__xludf.DUMMYFUNCTION("""COMPUTED_VALUE"""),0.868382)</f>
        <v>0.868382</v>
      </c>
      <c r="V68" s="113">
        <f>IFERROR(__xludf.DUMMYFUNCTION("""COMPUTED_VALUE"""),0.476605)</f>
        <v>0.476605</v>
      </c>
      <c r="W68" s="113">
        <f>IFERROR(__xludf.DUMMYFUNCTION("""COMPUTED_VALUE"""),0.81999)</f>
        <v>0.81999</v>
      </c>
      <c r="X68" s="116">
        <f>IFERROR(__xludf.DUMMYFUNCTION("""COMPUTED_VALUE"""),1.515882)</f>
        <v>1.515882</v>
      </c>
      <c r="Y68" s="114">
        <f>IFERROR(__xludf.DUMMYFUNCTION("""COMPUTED_VALUE"""),0.25598335273177103)</f>
        <v>0.2559833527</v>
      </c>
      <c r="Z68" s="114">
        <f>IFERROR(__xludf.DUMMYFUNCTION("""COMPUTED_VALUE"""),0.5920040697960021)</f>
        <v>0.5920040698</v>
      </c>
      <c r="AA68" s="114">
        <f>IFERROR(__xludf.DUMMYFUNCTION("""COMPUTED_VALUE"""),-0.6106634334017543)</f>
        <v>-0.6106634334</v>
      </c>
      <c r="AB68" s="114">
        <f>IFERROR(__xludf.DUMMYFUNCTION("""COMPUTED_VALUE"""),-0.710638299020987)</f>
        <v>-0.710638299</v>
      </c>
      <c r="AC68" s="114">
        <f>IFERROR(__xludf.DUMMYFUNCTION("""COMPUTED_VALUE"""),1.4190776131855902)</f>
        <v>1.419077613</v>
      </c>
      <c r="AD68" s="114">
        <f>IFERROR(__xludf.DUMMYFUNCTION("""COMPUTED_VALUE"""),0.25117334829399657)</f>
        <v>0.2511733483</v>
      </c>
      <c r="AE68" s="114">
        <f>IFERROR(__xludf.DUMMYFUNCTION("""COMPUTED_VALUE"""),-0.26597787472076323)</f>
        <v>-0.2659778747</v>
      </c>
      <c r="AF68" s="114">
        <f>IFERROR(__xludf.DUMMYFUNCTION("""COMPUTED_VALUE"""),0.41826941575841486)</f>
        <v>0.4182694158</v>
      </c>
      <c r="AG68" s="118">
        <f>IFERROR(__xludf.DUMMYFUNCTION("""COMPUTED_VALUE"""),0.0)</f>
        <v>0</v>
      </c>
      <c r="AH68" s="105"/>
      <c r="AI68" s="202"/>
      <c r="AJ68" s="63"/>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row>
    <row r="69">
      <c r="A69" s="109">
        <f>VLOOKUP($F69,UpdateHashtag!$V$3:$Y$32,COLUMN(B$9),0)</f>
        <v>4</v>
      </c>
      <c r="B69" s="91" t="str">
        <f>VLOOKUP($F69,UpdateHashtag!$V$3:$Y$32,COLUMN(#REF!),0)</f>
        <v>#REF!</v>
      </c>
      <c r="C69" s="91" t="str">
        <f>VLOOKUP($F69,UpdateHashtag!$V$3:$Y$32,COLUMN(#REF!),0)</f>
        <v>#REF!</v>
      </c>
      <c r="D69" s="110" t="str">
        <f t="shared" si="2"/>
        <v>#REF!</v>
      </c>
      <c r="E69" s="11"/>
      <c r="F69" s="94" t="str">
        <f>VLOOKUP(J69,UpdateBBM!$C$2:E1009,3,0)</f>
        <v>OKC</v>
      </c>
      <c r="G69" s="78">
        <v>56.0</v>
      </c>
      <c r="H69" s="111">
        <f>IFERROR(__xludf.DUMMYFUNCTION("""COMPUTED_VALUE"""),56.0)</f>
        <v>56</v>
      </c>
      <c r="I69" s="111"/>
      <c r="J69" s="112" t="str">
        <f>IFERROR(__xludf.DUMMYFUNCTION("""COMPUTED_VALUE"""),"Jalen Williams")</f>
        <v>Jalen Williams</v>
      </c>
      <c r="K69" s="111">
        <f>IFERROR(__xludf.DUMMYFUNCTION("""COMPUTED_VALUE"""),73.0)</f>
        <v>73</v>
      </c>
      <c r="L69" s="113" t="str">
        <f>IFERROR(__xludf.DUMMYFUNCTION("""COMPUTED_VALUE"""),"G,F")</f>
        <v>G,F</v>
      </c>
      <c r="M69" s="114">
        <f>IFERROR(__xludf.DUMMYFUNCTION("""COMPUTED_VALUE"""),2.004798053519622)</f>
        <v>2.004798054</v>
      </c>
      <c r="N69" s="114">
        <f>IFERROR(__xludf.DUMMYFUNCTION("""COMPUTED_VALUE"""),2.0433112496013495)</f>
        <v>2.04331125</v>
      </c>
      <c r="O69" s="115">
        <f>IFERROR(__xludf.DUMMYFUNCTION("""COMPUTED_VALUE"""),0.03851319608172732)</f>
        <v>0.03851319608</v>
      </c>
      <c r="P69" s="116">
        <f>IFERROR(__xludf.DUMMYFUNCTION("""COMPUTED_VALUE"""),22.20082)</f>
        <v>22.20082</v>
      </c>
      <c r="Q69" s="116">
        <f>IFERROR(__xludf.DUMMYFUNCTION("""COMPUTED_VALUE"""),1.76274)</f>
        <v>1.76274</v>
      </c>
      <c r="R69" s="116">
        <f>IFERROR(__xludf.DUMMYFUNCTION("""COMPUTED_VALUE"""),5.032055)</f>
        <v>5.032055</v>
      </c>
      <c r="S69" s="117">
        <f>IFERROR(__xludf.DUMMYFUNCTION("""COMPUTED_VALUE"""),4.76)</f>
        <v>4.76</v>
      </c>
      <c r="T69" s="116">
        <f>IFERROR(__xludf.DUMMYFUNCTION("""COMPUTED_VALUE"""),1.36)</f>
        <v>1.36</v>
      </c>
      <c r="U69" s="116">
        <f>IFERROR(__xludf.DUMMYFUNCTION("""COMPUTED_VALUE"""),0.476027)</f>
        <v>0.476027</v>
      </c>
      <c r="V69" s="113">
        <f>IFERROR(__xludf.DUMMYFUNCTION("""COMPUTED_VALUE"""),0.498437)</f>
        <v>0.498437</v>
      </c>
      <c r="W69" s="113">
        <f>IFERROR(__xludf.DUMMYFUNCTION("""COMPUTED_VALUE"""),0.799989)</f>
        <v>0.799989</v>
      </c>
      <c r="X69" s="116">
        <f>IFERROR(__xludf.DUMMYFUNCTION("""COMPUTED_VALUE"""),1.903973)</f>
        <v>1.903973</v>
      </c>
      <c r="Y69" s="114">
        <f>IFERROR(__xludf.DUMMYFUNCTION("""COMPUTED_VALUE"""),0.8818117114965434)</f>
        <v>0.8818117115</v>
      </c>
      <c r="Z69" s="114">
        <f>IFERROR(__xludf.DUMMYFUNCTION("""COMPUTED_VALUE"""),-0.0065808628501047356)</f>
        <v>-0.00658086285</v>
      </c>
      <c r="AA69" s="114">
        <f>IFERROR(__xludf.DUMMYFUNCTION("""COMPUTED_VALUE"""),-0.4436354531743544)</f>
        <v>-0.4436354532</v>
      </c>
      <c r="AB69" s="114">
        <f>IFERROR(__xludf.DUMMYFUNCTION("""COMPUTED_VALUE"""),0.45094854105625753)</f>
        <v>0.4509485411</v>
      </c>
      <c r="AC69" s="114">
        <f>IFERROR(__xludf.DUMMYFUNCTION("""COMPUTED_VALUE"""),0.9593054505548251)</f>
        <v>0.9593054506</v>
      </c>
      <c r="AD69" s="114">
        <f>IFERROR(__xludf.DUMMYFUNCTION("""COMPUTED_VALUE"""),-0.46212499113444444)</f>
        <v>-0.4621249911</v>
      </c>
      <c r="AE69" s="114">
        <f>IFERROR(__xludf.DUMMYFUNCTION("""COMPUTED_VALUE"""),0.04872782875672441)</f>
        <v>0.04872782876</v>
      </c>
      <c r="AF69" s="114">
        <f>IFERROR(__xludf.DUMMYFUNCTION("""COMPUTED_VALUE"""),0.1527340337614584)</f>
        <v>0.1527340338</v>
      </c>
      <c r="AG69" s="118">
        <f>IFERROR(__xludf.DUMMYFUNCTION("""COMPUTED_VALUE"""),0.0)</f>
        <v>0</v>
      </c>
      <c r="AH69" s="105"/>
      <c r="AI69" s="202"/>
      <c r="AJ69" s="63"/>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row>
    <row r="70">
      <c r="A70" s="109">
        <f>VLOOKUP($F70,UpdateHashtag!$V$3:$Y$32,COLUMN(B$9),0)</f>
        <v>4</v>
      </c>
      <c r="B70" s="91" t="str">
        <f>VLOOKUP($F70,UpdateHashtag!$V$3:$Y$32,COLUMN(#REF!),0)</f>
        <v>#REF!</v>
      </c>
      <c r="C70" s="91" t="str">
        <f>VLOOKUP($F70,UpdateHashtag!$V$3:$Y$32,COLUMN(#REF!),0)</f>
        <v>#REF!</v>
      </c>
      <c r="D70" s="110" t="str">
        <f t="shared" si="2"/>
        <v>#REF!</v>
      </c>
      <c r="E70" s="11"/>
      <c r="F70" s="94" t="str">
        <f>VLOOKUP(J70,UpdateBBM!$C$2:E1009,3,0)</f>
        <v>MIA</v>
      </c>
      <c r="G70" s="78">
        <v>57.0</v>
      </c>
      <c r="H70" s="111">
        <f>IFERROR(__xludf.DUMMYFUNCTION("""COMPUTED_VALUE"""),57.0)</f>
        <v>57</v>
      </c>
      <c r="I70" s="111"/>
      <c r="J70" s="112" t="str">
        <f>IFERROR(__xludf.DUMMYFUNCTION("""COMPUTED_VALUE"""),"Bam Adebayo")</f>
        <v>Bam Adebayo</v>
      </c>
      <c r="K70" s="111">
        <f>IFERROR(__xludf.DUMMYFUNCTION("""COMPUTED_VALUE"""),73.0)</f>
        <v>73</v>
      </c>
      <c r="L70" s="113" t="str">
        <f>IFERROR(__xludf.DUMMYFUNCTION("""COMPUTED_VALUE"""),"F,C")</f>
        <v>F,C</v>
      </c>
      <c r="M70" s="114">
        <f>IFERROR(__xludf.DUMMYFUNCTION("""COMPUTED_VALUE"""),1.9946263248309755)</f>
        <v>1.994626325</v>
      </c>
      <c r="N70" s="114">
        <f>IFERROR(__xludf.DUMMYFUNCTION("""COMPUTED_VALUE"""),1.991356019098474)</f>
        <v>1.991356019</v>
      </c>
      <c r="O70" s="115">
        <f>IFERROR(__xludf.DUMMYFUNCTION("""COMPUTED_VALUE"""),-0.0032703057325014218)</f>
        <v>-0.003270305733</v>
      </c>
      <c r="P70" s="116">
        <f>IFERROR(__xludf.DUMMYFUNCTION("""COMPUTED_VALUE"""),19.5174)</f>
        <v>19.5174</v>
      </c>
      <c r="Q70" s="116">
        <f>IFERROR(__xludf.DUMMYFUNCTION("""COMPUTED_VALUE"""),1.322055)</f>
        <v>1.322055</v>
      </c>
      <c r="R70" s="116">
        <f>IFERROR(__xludf.DUMMYFUNCTION("""COMPUTED_VALUE"""),8.468767)</f>
        <v>8.468767</v>
      </c>
      <c r="S70" s="117">
        <f>IFERROR(__xludf.DUMMYFUNCTION("""COMPUTED_VALUE"""),4.373288)</f>
        <v>4.373288</v>
      </c>
      <c r="T70" s="116">
        <f>IFERROR(__xludf.DUMMYFUNCTION("""COMPUTED_VALUE"""),1.318904)</f>
        <v>1.318904</v>
      </c>
      <c r="U70" s="116">
        <f>IFERROR(__xludf.DUMMYFUNCTION("""COMPUTED_VALUE"""),0.556164)</f>
        <v>0.556164</v>
      </c>
      <c r="V70" s="113">
        <f>IFERROR(__xludf.DUMMYFUNCTION("""COMPUTED_VALUE"""),0.47959)</f>
        <v>0.47959</v>
      </c>
      <c r="W70" s="113">
        <f>IFERROR(__xludf.DUMMYFUNCTION("""COMPUTED_VALUE"""),0.794011)</f>
        <v>0.794011</v>
      </c>
      <c r="X70" s="116">
        <f>IFERROR(__xludf.DUMMYFUNCTION("""COMPUTED_VALUE"""),1.735479)</f>
        <v>1.735479</v>
      </c>
      <c r="Y70" s="114">
        <f>IFERROR(__xludf.DUMMYFUNCTION("""COMPUTED_VALUE"""),0.41102549775764735)</f>
        <v>0.4110254978</v>
      </c>
      <c r="Z70" s="114">
        <f>IFERROR(__xludf.DUMMYFUNCTION("""COMPUTED_VALUE"""),-0.432209172265281)</f>
        <v>-0.4322091723</v>
      </c>
      <c r="AA70" s="114">
        <f>IFERROR(__xludf.DUMMYFUNCTION("""COMPUTED_VALUE"""),0.9494481497021269)</f>
        <v>0.9494481497</v>
      </c>
      <c r="AB70" s="114">
        <f>IFERROR(__xludf.DUMMYFUNCTION("""COMPUTED_VALUE"""),0.26203412286025246)</f>
        <v>0.2620341229</v>
      </c>
      <c r="AC70" s="114">
        <f>IFERROR(__xludf.DUMMYFUNCTION("""COMPUTED_VALUE"""),0.8340764849030314)</f>
        <v>0.8340764849</v>
      </c>
      <c r="AD70" s="114">
        <f>IFERROR(__xludf.DUMMYFUNCTION("""COMPUTED_VALUE"""),-0.31643654820195477)</f>
        <v>-0.3164365482</v>
      </c>
      <c r="AE70" s="114">
        <f>IFERROR(__xludf.DUMMYFUNCTION("""COMPUTED_VALUE"""),-0.22463944014617288)</f>
        <v>-0.2246394401</v>
      </c>
      <c r="AF70" s="114">
        <f>IFERROR(__xludf.DUMMYFUNCTION("""COMPUTED_VALUE"""),0.07584775222354366)</f>
        <v>0.07584775222</v>
      </c>
      <c r="AG70" s="118">
        <f>IFERROR(__xludf.DUMMYFUNCTION("""COMPUTED_VALUE"""),0.0)</f>
        <v>0</v>
      </c>
      <c r="AH70" s="105"/>
      <c r="AI70" s="202"/>
      <c r="AJ70" s="63"/>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row>
    <row r="71">
      <c r="A71" s="109">
        <f>VLOOKUP($F71,UpdateHashtag!$V$3:$Y$32,COLUMN(B$9),0)</f>
        <v>4</v>
      </c>
      <c r="B71" s="91" t="str">
        <f>VLOOKUP($F71,UpdateHashtag!$V$3:$Y$32,COLUMN(#REF!),0)</f>
        <v>#REF!</v>
      </c>
      <c r="C71" s="91" t="str">
        <f>VLOOKUP($F71,UpdateHashtag!$V$3:$Y$32,COLUMN(#REF!),0)</f>
        <v>#REF!</v>
      </c>
      <c r="D71" s="110" t="str">
        <f t="shared" si="2"/>
        <v>#REF!</v>
      </c>
      <c r="E71" s="11"/>
      <c r="F71" s="94" t="str">
        <f>VLOOKUP(J71,UpdateBBM!$C$2:E1009,3,0)</f>
        <v>POR</v>
      </c>
      <c r="G71" s="78">
        <v>58.0</v>
      </c>
      <c r="H71" s="111">
        <f>IFERROR(__xludf.DUMMYFUNCTION("""COMPUTED_VALUE"""),58.0)</f>
        <v>58</v>
      </c>
      <c r="I71" s="111"/>
      <c r="J71" s="112" t="str">
        <f>IFERROR(__xludf.DUMMYFUNCTION("""COMPUTED_VALUE"""),"Deni Avdija")</f>
        <v>Deni Avdija</v>
      </c>
      <c r="K71" s="111">
        <f>IFERROR(__xludf.DUMMYFUNCTION("""COMPUTED_VALUE"""),73.0)</f>
        <v>73</v>
      </c>
      <c r="L71" s="113" t="str">
        <f>IFERROR(__xludf.DUMMYFUNCTION("""COMPUTED_VALUE"""),"G,F")</f>
        <v>G,F</v>
      </c>
      <c r="M71" s="114">
        <f>IFERROR(__xludf.DUMMYFUNCTION("""COMPUTED_VALUE"""),1.920973517360369)</f>
        <v>1.920973517</v>
      </c>
      <c r="N71" s="114">
        <f>IFERROR(__xludf.DUMMYFUNCTION("""COMPUTED_VALUE"""),2.304657262510646)</f>
        <v>2.304657263</v>
      </c>
      <c r="O71" s="115">
        <f>IFERROR(__xludf.DUMMYFUNCTION("""COMPUTED_VALUE"""),0.3836837451502768)</f>
        <v>0.3836837452</v>
      </c>
      <c r="P71" s="116">
        <f>IFERROR(__xludf.DUMMYFUNCTION("""COMPUTED_VALUE"""),22.23795)</f>
        <v>22.23795</v>
      </c>
      <c r="Q71" s="116">
        <f>IFERROR(__xludf.DUMMYFUNCTION("""COMPUTED_VALUE"""),2.328904)</f>
        <v>2.328904</v>
      </c>
      <c r="R71" s="116">
        <f>IFERROR(__xludf.DUMMYFUNCTION("""COMPUTED_VALUE"""),8.344932)</f>
        <v>8.344932</v>
      </c>
      <c r="S71" s="117">
        <f>IFERROR(__xludf.DUMMYFUNCTION("""COMPUTED_VALUE"""),4.658767)</f>
        <v>4.658767</v>
      </c>
      <c r="T71" s="116">
        <f>IFERROR(__xludf.DUMMYFUNCTION("""COMPUTED_VALUE"""),1.054795)</f>
        <v>1.054795</v>
      </c>
      <c r="U71" s="116">
        <f>IFERROR(__xludf.DUMMYFUNCTION("""COMPUTED_VALUE"""),0.42)</f>
        <v>0.42</v>
      </c>
      <c r="V71" s="113">
        <f>IFERROR(__xludf.DUMMYFUNCTION("""COMPUTED_VALUE"""),0.477298)</f>
        <v>0.477298</v>
      </c>
      <c r="W71" s="113">
        <f>IFERROR(__xludf.DUMMYFUNCTION("""COMPUTED_VALUE"""),0.771993)</f>
        <v>0.771993</v>
      </c>
      <c r="X71" s="116">
        <f>IFERROR(__xludf.DUMMYFUNCTION("""COMPUTED_VALUE"""),3.29589)</f>
        <v>3.29589</v>
      </c>
      <c r="Y71" s="114">
        <f>IFERROR(__xludf.DUMMYFUNCTION("""COMPUTED_VALUE"""),0.8883258956779707)</f>
        <v>0.8883258957</v>
      </c>
      <c r="Z71" s="114">
        <f>IFERROR(__xludf.DUMMYFUNCTION("""COMPUTED_VALUE"""),0.5402392607568569)</f>
        <v>0.5402392608</v>
      </c>
      <c r="AA71" s="114">
        <f>IFERROR(__xludf.DUMMYFUNCTION("""COMPUTED_VALUE"""),0.8992511858709392)</f>
        <v>0.8992511859</v>
      </c>
      <c r="AB71" s="114">
        <f>IFERROR(__xludf.DUMMYFUNCTION("""COMPUTED_VALUE"""),0.4014947529730428)</f>
        <v>0.401494753</v>
      </c>
      <c r="AC71" s="114">
        <f>IFERROR(__xludf.DUMMYFUNCTION("""COMPUTED_VALUE"""),0.029275606731686738)</f>
        <v>0.02927560673</v>
      </c>
      <c r="AD71" s="114">
        <f>IFERROR(__xludf.DUMMYFUNCTION("""COMPUTED_VALUE"""),-0.5639816415228867)</f>
        <v>-0.5639816415</v>
      </c>
      <c r="AE71" s="114">
        <f>IFERROR(__xludf.DUMMYFUNCTION("""COMPUTED_VALUE"""),-0.25642842441571473)</f>
        <v>-0.2564284244</v>
      </c>
      <c r="AF71" s="114">
        <f>IFERROR(__xludf.DUMMYFUNCTION("""COMPUTED_VALUE"""),-0.197501015084136)</f>
        <v>-0.1975010151</v>
      </c>
      <c r="AG71" s="118">
        <f>IFERROR(__xludf.DUMMYFUNCTION("""COMPUTED_VALUE"""),0.0)</f>
        <v>0</v>
      </c>
      <c r="AH71" s="105"/>
      <c r="AI71" s="202"/>
      <c r="AJ71" s="63"/>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row>
    <row r="72">
      <c r="A72" s="109">
        <f>VLOOKUP($F72,UpdateHashtag!$V$3:$Y$32,COLUMN(B$9),0)</f>
        <v>3</v>
      </c>
      <c r="B72" s="91" t="str">
        <f>VLOOKUP($F72,UpdateHashtag!$V$3:$Y$32,COLUMN(#REF!),0)</f>
        <v>#REF!</v>
      </c>
      <c r="C72" s="91" t="str">
        <f>VLOOKUP($F72,UpdateHashtag!$V$3:$Y$32,COLUMN(#REF!),0)</f>
        <v>#REF!</v>
      </c>
      <c r="D72" s="110" t="str">
        <f t="shared" si="2"/>
        <v>#REF!</v>
      </c>
      <c r="E72" s="11"/>
      <c r="F72" s="94" t="str">
        <f>VLOOKUP(J72,UpdateBBM!$C$2:E1009,3,0)</f>
        <v>TOR</v>
      </c>
      <c r="G72" s="78">
        <v>59.0</v>
      </c>
      <c r="H72" s="111">
        <f>IFERROR(__xludf.DUMMYFUNCTION("""COMPUTED_VALUE"""),59.0)</f>
        <v>59</v>
      </c>
      <c r="I72" s="111"/>
      <c r="J72" s="112" t="str">
        <f>IFERROR(__xludf.DUMMYFUNCTION("""COMPUTED_VALUE"""),"Immanuel Quickley")</f>
        <v>Immanuel Quickley</v>
      </c>
      <c r="K72" s="111">
        <f>IFERROR(__xludf.DUMMYFUNCTION("""COMPUTED_VALUE"""),73.0)</f>
        <v>73</v>
      </c>
      <c r="L72" s="113" t="str">
        <f>IFERROR(__xludf.DUMMYFUNCTION("""COMPUTED_VALUE"""),"G")</f>
        <v>G</v>
      </c>
      <c r="M72" s="114">
        <f>IFERROR(__xludf.DUMMYFUNCTION("""COMPUTED_VALUE"""),1.9116785037857609)</f>
        <v>1.911678504</v>
      </c>
      <c r="N72" s="114">
        <f>IFERROR(__xludf.DUMMYFUNCTION("""COMPUTED_VALUE"""),1.9037543173302212)</f>
        <v>1.903754317</v>
      </c>
      <c r="O72" s="115">
        <f>IFERROR(__xludf.DUMMYFUNCTION("""COMPUTED_VALUE"""),-0.007924186455539717)</f>
        <v>-0.007924186456</v>
      </c>
      <c r="P72" s="116">
        <f>IFERROR(__xludf.DUMMYFUNCTION("""COMPUTED_VALUE"""),17.72644)</f>
        <v>17.72644</v>
      </c>
      <c r="Q72" s="116">
        <f>IFERROR(__xludf.DUMMYFUNCTION("""COMPUTED_VALUE"""),2.901644)</f>
        <v>2.901644</v>
      </c>
      <c r="R72" s="116">
        <f>IFERROR(__xludf.DUMMYFUNCTION("""COMPUTED_VALUE"""),4.463288)</f>
        <v>4.463288</v>
      </c>
      <c r="S72" s="117">
        <f>IFERROR(__xludf.DUMMYFUNCTION("""COMPUTED_VALUE"""),6.24863)</f>
        <v>6.24863</v>
      </c>
      <c r="T72" s="116">
        <f>IFERROR(__xludf.DUMMYFUNCTION("""COMPUTED_VALUE"""),0.96137)</f>
        <v>0.96137</v>
      </c>
      <c r="U72" s="116">
        <f>IFERROR(__xludf.DUMMYFUNCTION("""COMPUTED_VALUE"""),0.13589)</f>
        <v>0.13589</v>
      </c>
      <c r="V72" s="113">
        <f>IFERROR(__xludf.DUMMYFUNCTION("""COMPUTED_VALUE"""),0.436883)</f>
        <v>0.436883</v>
      </c>
      <c r="W72" s="113">
        <f>IFERROR(__xludf.DUMMYFUNCTION("""COMPUTED_VALUE"""),0.876018)</f>
        <v>0.876018</v>
      </c>
      <c r="X72" s="116">
        <f>IFERROR(__xludf.DUMMYFUNCTION("""COMPUTED_VALUE"""),1.716712)</f>
        <v>1.716712</v>
      </c>
      <c r="Y72" s="114">
        <f>IFERROR(__xludf.DUMMYFUNCTION("""COMPUTED_VALUE"""),0.09681479747300616)</f>
        <v>0.09681479747</v>
      </c>
      <c r="Z72" s="114">
        <f>IFERROR(__xludf.DUMMYFUNCTION("""COMPUTED_VALUE"""),1.0934107050638973)</f>
        <v>1.093410705</v>
      </c>
      <c r="AA72" s="114">
        <f>IFERROR(__xludf.DUMMYFUNCTION("""COMPUTED_VALUE"""),-0.6741872077459469)</f>
        <v>-0.6741872077</v>
      </c>
      <c r="AB72" s="114">
        <f>IFERROR(__xludf.DUMMYFUNCTION("""COMPUTED_VALUE"""),1.178165876849093)</f>
        <v>1.178165877</v>
      </c>
      <c r="AC72" s="114">
        <f>IFERROR(__xludf.DUMMYFUNCTION("""COMPUTED_VALUE"""),-0.2554118595915276)</f>
        <v>-0.2554118596</v>
      </c>
      <c r="AD72" s="114">
        <f>IFERROR(__xludf.DUMMYFUNCTION("""COMPUTED_VALUE"""),-1.080491412559357)</f>
        <v>-1.080491413</v>
      </c>
      <c r="AE72" s="114">
        <f>IFERROR(__xludf.DUMMYFUNCTION("""COMPUTED_VALUE"""),-0.7651170548745709)</f>
        <v>-0.7651170549</v>
      </c>
      <c r="AF72" s="114">
        <f>IFERROR(__xludf.DUMMYFUNCTION("""COMPUTED_VALUE"""),1.2300790601562699)</f>
        <v>1.23007906</v>
      </c>
      <c r="AG72" s="118">
        <f>IFERROR(__xludf.DUMMYFUNCTION("""COMPUTED_VALUE"""),0.0)</f>
        <v>0</v>
      </c>
      <c r="AH72" s="105"/>
      <c r="AI72" s="202"/>
      <c r="AJ72" s="63"/>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row>
    <row r="73">
      <c r="A73" s="91" t="str">
        <f>VLOOKUP($F73,UpdateHashtag!$V$3:$Y$32,COLUMN(B$9),0)</f>
        <v>#N/A</v>
      </c>
      <c r="B73" s="91" t="str">
        <f>VLOOKUP($F73,UpdateHashtag!$V$3:$Y$32,COLUMN(#REF!),0)</f>
        <v>#REF!</v>
      </c>
      <c r="C73" s="91" t="str">
        <f>VLOOKUP($F73,UpdateHashtag!$V$3:$Y$32,COLUMN(#REF!),0)</f>
        <v>#REF!</v>
      </c>
      <c r="D73" s="110" t="str">
        <f t="shared" si="2"/>
        <v>#N/A</v>
      </c>
      <c r="E73" s="11"/>
      <c r="F73" s="94" t="str">
        <f>VLOOKUP(J73,UpdateBBM!$C$2:E1009,3,0)</f>
        <v>NOR</v>
      </c>
      <c r="G73" s="78">
        <v>60.0</v>
      </c>
      <c r="H73" s="111">
        <f>IFERROR(__xludf.DUMMYFUNCTION("""COMPUTED_VALUE"""),60.0)</f>
        <v>60</v>
      </c>
      <c r="I73" s="111"/>
      <c r="J73" s="112" t="str">
        <f>IFERROR(__xludf.DUMMYFUNCTION("""COMPUTED_VALUE"""),"Trey Murphy")</f>
        <v>Trey Murphy</v>
      </c>
      <c r="K73" s="111">
        <f>IFERROR(__xludf.DUMMYFUNCTION("""COMPUTED_VALUE"""),66.0)</f>
        <v>66</v>
      </c>
      <c r="L73" s="113" t="str">
        <f>IFERROR(__xludf.DUMMYFUNCTION("""COMPUTED_VALUE"""),"F")</f>
        <v>F</v>
      </c>
      <c r="M73" s="114">
        <f>IFERROR(__xludf.DUMMYFUNCTION("""COMPUTED_VALUE"""),1.8894886352866078)</f>
        <v>1.889488635</v>
      </c>
      <c r="N73" s="114">
        <f>IFERROR(__xludf.DUMMYFUNCTION("""COMPUTED_VALUE"""),1.8461592955049975)</f>
        <v>1.846159296</v>
      </c>
      <c r="O73" s="115">
        <f>IFERROR(__xludf.DUMMYFUNCTION("""COMPUTED_VALUE"""),-0.043329339781610354)</f>
        <v>-0.04332933978</v>
      </c>
      <c r="P73" s="116">
        <f>IFERROR(__xludf.DUMMYFUNCTION("""COMPUTED_VALUE"""),19.88212)</f>
        <v>19.88212</v>
      </c>
      <c r="Q73" s="116">
        <f>IFERROR(__xludf.DUMMYFUNCTION("""COMPUTED_VALUE"""),3.000303)</f>
        <v>3.000303</v>
      </c>
      <c r="R73" s="116">
        <f>IFERROR(__xludf.DUMMYFUNCTION("""COMPUTED_VALUE"""),5.079394)</f>
        <v>5.079394</v>
      </c>
      <c r="S73" s="117">
        <f>IFERROR(__xludf.DUMMYFUNCTION("""COMPUTED_VALUE"""),3.219394)</f>
        <v>3.219394</v>
      </c>
      <c r="T73" s="116">
        <f>IFERROR(__xludf.DUMMYFUNCTION("""COMPUTED_VALUE"""),0.995303)</f>
        <v>0.995303</v>
      </c>
      <c r="U73" s="116">
        <f>IFERROR(__xludf.DUMMYFUNCTION("""COMPUTED_VALUE"""),0.646667)</f>
        <v>0.646667</v>
      </c>
      <c r="V73" s="113">
        <f>IFERROR(__xludf.DUMMYFUNCTION("""COMPUTED_VALUE"""),0.468123)</f>
        <v>0.468123</v>
      </c>
      <c r="W73" s="113">
        <f>IFERROR(__xludf.DUMMYFUNCTION("""COMPUTED_VALUE"""),0.872001)</f>
        <v>0.872001</v>
      </c>
      <c r="X73" s="116">
        <f>IFERROR(__xludf.DUMMYFUNCTION("""COMPUTED_VALUE"""),1.573939)</f>
        <v>1.573939</v>
      </c>
      <c r="Y73" s="114">
        <f>IFERROR(__xludf.DUMMYFUNCTION("""COMPUTED_VALUE"""),0.475012927185337)</f>
        <v>0.4750129272</v>
      </c>
      <c r="Z73" s="114">
        <f>IFERROR(__xludf.DUMMYFUNCTION("""COMPUTED_VALUE"""),1.1886988664004345)</f>
        <v>1.188698866</v>
      </c>
      <c r="AA73" s="114">
        <f>IFERROR(__xludf.DUMMYFUNCTION("""COMPUTED_VALUE"""),-0.42444641880761963)</f>
        <v>-0.4244464188</v>
      </c>
      <c r="AB73" s="114">
        <f>IFERROR(__xludf.DUMMYFUNCTION("""COMPUTED_VALUE"""),-0.30165982423696946)</f>
        <v>-0.3016598242</v>
      </c>
      <c r="AC73" s="114">
        <f>IFERROR(__xludf.DUMMYFUNCTION("""COMPUTED_VALUE"""),-0.15201020270369606)</f>
        <v>-0.1520102027</v>
      </c>
      <c r="AD73" s="114">
        <f>IFERROR(__xludf.DUMMYFUNCTION("""COMPUTED_VALUE"""),-0.15190279786541722)</f>
        <v>-0.1519027979</v>
      </c>
      <c r="AE73" s="114">
        <f>IFERROR(__xludf.DUMMYFUNCTION("""COMPUTED_VALUE"""),-0.38052096876503483)</f>
        <v>-0.3805209688</v>
      </c>
      <c r="AF73" s="114">
        <f>IFERROR(__xludf.DUMMYFUNCTION("""COMPUTED_VALUE"""),1.1685412954903436)</f>
        <v>1.168541295</v>
      </c>
      <c r="AG73" s="118">
        <f>IFERROR(__xludf.DUMMYFUNCTION("""COMPUTED_VALUE"""),0.0)</f>
        <v>0</v>
      </c>
      <c r="AH73" s="105"/>
      <c r="AI73" s="202"/>
      <c r="AJ73" s="63"/>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row>
    <row r="74">
      <c r="A74" s="91" t="str">
        <f>VLOOKUP($F74,UpdateHashtag!$V$3:$Y$32,COLUMN(B$9),0)</f>
        <v>#N/A</v>
      </c>
      <c r="B74" s="91" t="str">
        <f>VLOOKUP($F74,UpdateHashtag!$V$3:$Y$32,COLUMN(#REF!),0)</f>
        <v>#REF!</v>
      </c>
      <c r="C74" s="91" t="str">
        <f>VLOOKUP($F74,UpdateHashtag!$V$3:$Y$32,COLUMN(#REF!),0)</f>
        <v>#REF!</v>
      </c>
      <c r="D74" s="110" t="str">
        <f t="shared" si="2"/>
        <v>#N/A</v>
      </c>
      <c r="E74" s="11"/>
      <c r="F74" s="94" t="str">
        <f>VLOOKUP(J74,UpdateBBM!$C$2:E1009,3,0)</f>
        <v>NYK</v>
      </c>
      <c r="G74" s="78">
        <v>61.0</v>
      </c>
      <c r="H74" s="111">
        <f>IFERROR(__xludf.DUMMYFUNCTION("""COMPUTED_VALUE"""),61.0)</f>
        <v>61</v>
      </c>
      <c r="I74" s="111"/>
      <c r="J74" s="112" t="str">
        <f>IFERROR(__xludf.DUMMYFUNCTION("""COMPUTED_VALUE"""),"Jalen Brunson")</f>
        <v>Jalen Brunson</v>
      </c>
      <c r="K74" s="111">
        <f>IFERROR(__xludf.DUMMYFUNCTION("""COMPUTED_VALUE"""),68.0)</f>
        <v>68</v>
      </c>
      <c r="L74" s="113" t="str">
        <f>IFERROR(__xludf.DUMMYFUNCTION("""COMPUTED_VALUE"""),"G")</f>
        <v>G</v>
      </c>
      <c r="M74" s="114">
        <f>IFERROR(__xludf.DUMMYFUNCTION("""COMPUTED_VALUE"""),1.8758865971042749)</f>
        <v>1.875886597</v>
      </c>
      <c r="N74" s="114">
        <f>IFERROR(__xludf.DUMMYFUNCTION("""COMPUTED_VALUE"""),2.0886796536381587)</f>
        <v>2.088679654</v>
      </c>
      <c r="O74" s="115">
        <f>IFERROR(__xludf.DUMMYFUNCTION("""COMPUTED_VALUE"""),0.2127930565338838)</f>
        <v>0.2127930565</v>
      </c>
      <c r="P74" s="116">
        <f>IFERROR(__xludf.DUMMYFUNCTION("""COMPUTED_VALUE"""),24.84897)</f>
        <v>24.84897</v>
      </c>
      <c r="Q74" s="116">
        <f>IFERROR(__xludf.DUMMYFUNCTION("""COMPUTED_VALUE"""),2.247647)</f>
        <v>2.247647</v>
      </c>
      <c r="R74" s="116">
        <f>IFERROR(__xludf.DUMMYFUNCTION("""COMPUTED_VALUE"""),2.815294)</f>
        <v>2.815294</v>
      </c>
      <c r="S74" s="117">
        <f>IFERROR(__xludf.DUMMYFUNCTION("""COMPUTED_VALUE"""),6.713382)</f>
        <v>6.713382</v>
      </c>
      <c r="T74" s="116">
        <f>IFERROR(__xludf.DUMMYFUNCTION("""COMPUTED_VALUE"""),0.933676)</f>
        <v>0.933676</v>
      </c>
      <c r="U74" s="116">
        <f>IFERROR(__xludf.DUMMYFUNCTION("""COMPUTED_VALUE"""),0.144853)</f>
        <v>0.144853</v>
      </c>
      <c r="V74" s="113">
        <f>IFERROR(__xludf.DUMMYFUNCTION("""COMPUTED_VALUE"""),0.482759)</f>
        <v>0.482759</v>
      </c>
      <c r="W74" s="113">
        <f>IFERROR(__xludf.DUMMYFUNCTION("""COMPUTED_VALUE"""),0.82301)</f>
        <v>0.82301</v>
      </c>
      <c r="X74" s="116">
        <f>IFERROR(__xludf.DUMMYFUNCTION("""COMPUTED_VALUE"""),2.606765)</f>
        <v>2.606765</v>
      </c>
      <c r="Y74" s="114">
        <f>IFERROR(__xludf.DUMMYFUNCTION("""COMPUTED_VALUE"""),1.3464100643122252)</f>
        <v>1.346410064</v>
      </c>
      <c r="Z74" s="114">
        <f>IFERROR(__xludf.DUMMYFUNCTION("""COMPUTED_VALUE"""),0.46175853293959757)</f>
        <v>0.4617585329</v>
      </c>
      <c r="AA74" s="114">
        <f>IFERROR(__xludf.DUMMYFUNCTION("""COMPUTED_VALUE"""),-1.3422075187405325)</f>
        <v>-1.342207519</v>
      </c>
      <c r="AB74" s="114">
        <f>IFERROR(__xludf.DUMMYFUNCTION("""COMPUTED_VALUE"""),1.405203966397464)</f>
        <v>1.405203966</v>
      </c>
      <c r="AC74" s="114">
        <f>IFERROR(__xludf.DUMMYFUNCTION("""COMPUTED_VALUE"""),-0.33980184827073656)</f>
        <v>-0.3398018483</v>
      </c>
      <c r="AD74" s="114">
        <f>IFERROR(__xludf.DUMMYFUNCTION("""COMPUTED_VALUE"""),-1.0641967482469432)</f>
        <v>-1.064196748</v>
      </c>
      <c r="AE74" s="114">
        <f>IFERROR(__xludf.DUMMYFUNCTION("""COMPUTED_VALUE"""),-0.18016700372411776)</f>
        <v>-0.1801670037</v>
      </c>
      <c r="AF74" s="114">
        <f>IFERROR(__xludf.DUMMYFUNCTION("""COMPUTED_VALUE"""),0.4594726902306693)</f>
        <v>0.4594726902</v>
      </c>
      <c r="AG74" s="118">
        <f>IFERROR(__xludf.DUMMYFUNCTION("""COMPUTED_VALUE"""),0.0)</f>
        <v>0</v>
      </c>
      <c r="AH74" s="105"/>
      <c r="AI74" s="202"/>
      <c r="AJ74" s="63"/>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row>
    <row r="75">
      <c r="A75" s="109">
        <f>VLOOKUP($F75,UpdateHashtag!$V$3:$Y$32,COLUMN(B$9),0)</f>
        <v>4</v>
      </c>
      <c r="B75" s="91" t="str">
        <f>VLOOKUP($F75,UpdateHashtag!$V$3:$Y$32,COLUMN(#REF!),0)</f>
        <v>#REF!</v>
      </c>
      <c r="C75" s="91" t="str">
        <f>VLOOKUP($F75,UpdateHashtag!$V$3:$Y$32,COLUMN(#REF!),0)</f>
        <v>#REF!</v>
      </c>
      <c r="D75" s="110" t="str">
        <f t="shared" si="2"/>
        <v>#REF!</v>
      </c>
      <c r="E75" s="11"/>
      <c r="F75" s="94" t="str">
        <f>VLOOKUP(J75,UpdateBBM!$C$2:E1009,3,0)</f>
        <v>DAL</v>
      </c>
      <c r="G75" s="78">
        <v>62.0</v>
      </c>
      <c r="H75" s="111">
        <f>IFERROR(__xludf.DUMMYFUNCTION("""COMPUTED_VALUE"""),62.0)</f>
        <v>62</v>
      </c>
      <c r="I75" s="111"/>
      <c r="J75" s="112" t="str">
        <f>IFERROR(__xludf.DUMMYFUNCTION("""COMPUTED_VALUE"""),"Cooper Flagg")</f>
        <v>Cooper Flagg</v>
      </c>
      <c r="K75" s="111">
        <f>IFERROR(__xludf.DUMMYFUNCTION("""COMPUTED_VALUE"""),73.0)</f>
        <v>73</v>
      </c>
      <c r="L75" s="113" t="str">
        <f>IFERROR(__xludf.DUMMYFUNCTION("""COMPUTED_VALUE"""),"G,F")</f>
        <v>G,F</v>
      </c>
      <c r="M75" s="114">
        <f>IFERROR(__xludf.DUMMYFUNCTION("""COMPUTED_VALUE"""),1.7188823941960014)</f>
        <v>1.718882394</v>
      </c>
      <c r="N75" s="114">
        <f>IFERROR(__xludf.DUMMYFUNCTION("""COMPUTED_VALUE"""),2.0658444488667675)</f>
        <v>2.065844449</v>
      </c>
      <c r="O75" s="115">
        <f>IFERROR(__xludf.DUMMYFUNCTION("""COMPUTED_VALUE"""),0.34696205467076613)</f>
        <v>0.3469620547</v>
      </c>
      <c r="P75" s="116">
        <f>IFERROR(__xludf.DUMMYFUNCTION("""COMPUTED_VALUE"""),18.4174)</f>
        <v>18.4174</v>
      </c>
      <c r="Q75" s="116">
        <f>IFERROR(__xludf.DUMMYFUNCTION("""COMPUTED_VALUE"""),1.85)</f>
        <v>1.85</v>
      </c>
      <c r="R75" s="116">
        <f>IFERROR(__xludf.DUMMYFUNCTION("""COMPUTED_VALUE"""),5.937945)</f>
        <v>5.937945</v>
      </c>
      <c r="S75" s="117">
        <f>IFERROR(__xludf.DUMMYFUNCTION("""COMPUTED_VALUE"""),4.292466)</f>
        <v>4.292466</v>
      </c>
      <c r="T75" s="116">
        <f>IFERROR(__xludf.DUMMYFUNCTION("""COMPUTED_VALUE"""),1.287808)</f>
        <v>1.287808</v>
      </c>
      <c r="U75" s="116">
        <f>IFERROR(__xludf.DUMMYFUNCTION("""COMPUTED_VALUE"""),1.001644)</f>
        <v>1.001644</v>
      </c>
      <c r="V75" s="113">
        <f>IFERROR(__xludf.DUMMYFUNCTION("""COMPUTED_VALUE"""),0.429869)</f>
        <v>0.429869</v>
      </c>
      <c r="W75" s="113">
        <f>IFERROR(__xludf.DUMMYFUNCTION("""COMPUTED_VALUE"""),0.817996)</f>
        <v>0.817996</v>
      </c>
      <c r="X75" s="116">
        <f>IFERROR(__xludf.DUMMYFUNCTION("""COMPUTED_VALUE"""),3.147808)</f>
        <v>3.147808</v>
      </c>
      <c r="Y75" s="114">
        <f>IFERROR(__xludf.DUMMYFUNCTION("""COMPUTED_VALUE"""),0.21803862462083526)</f>
        <v>0.2180386246</v>
      </c>
      <c r="Z75" s="114">
        <f>IFERROR(__xludf.DUMMYFUNCTION("""COMPUTED_VALUE"""),0.07769776310623216)</f>
        <v>0.07769776311</v>
      </c>
      <c r="AA75" s="114">
        <f>IFERROR(__xludf.DUMMYFUNCTION("""COMPUTED_VALUE"""),-0.07642967479962412)</f>
        <v>-0.0764296748</v>
      </c>
      <c r="AB75" s="114">
        <f>IFERROR(__xludf.DUMMYFUNCTION("""COMPUTED_VALUE"""),0.2225514041770013)</f>
        <v>0.2225514042</v>
      </c>
      <c r="AC75" s="114">
        <f>IFERROR(__xludf.DUMMYFUNCTION("""COMPUTED_VALUE"""),0.7393198196337065)</f>
        <v>0.7393198196</v>
      </c>
      <c r="AD75" s="114">
        <f>IFERROR(__xludf.DUMMYFUNCTION("""COMPUTED_VALUE"""),0.493442628178063)</f>
        <v>0.4934426282</v>
      </c>
      <c r="AE75" s="114">
        <f>IFERROR(__xludf.DUMMYFUNCTION("""COMPUTED_VALUE"""),-0.843406422436293)</f>
        <v>-0.8434064224</v>
      </c>
      <c r="AF75" s="114">
        <f>IFERROR(__xludf.DUMMYFUNCTION("""COMPUTED_VALUE"""),0.39122388395055335)</f>
        <v>0.391223884</v>
      </c>
      <c r="AG75" s="118">
        <f>IFERROR(__xludf.DUMMYFUNCTION("""COMPUTED_VALUE"""),0.0)</f>
        <v>0</v>
      </c>
      <c r="AH75" s="105"/>
      <c r="AI75" s="202"/>
      <c r="AJ75" s="63"/>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c r="BO75" s="105"/>
      <c r="BP75" s="105"/>
      <c r="BQ75" s="105"/>
      <c r="BR75" s="105"/>
      <c r="BS75" s="105"/>
      <c r="BT75" s="105"/>
      <c r="BU75" s="105"/>
      <c r="BV75" s="105"/>
    </row>
    <row r="76">
      <c r="A76" s="91" t="str">
        <f>VLOOKUP($F76,UpdateHashtag!$V$3:$Y$32,COLUMN(B$9),0)</f>
        <v>#N/A</v>
      </c>
      <c r="B76" s="91" t="str">
        <f>VLOOKUP($F76,UpdateHashtag!$V$3:$Y$32,COLUMN(#REF!),0)</f>
        <v>#REF!</v>
      </c>
      <c r="C76" s="91" t="str">
        <f>VLOOKUP($F76,UpdateHashtag!$V$3:$Y$32,COLUMN(#REF!),0)</f>
        <v>#REF!</v>
      </c>
      <c r="D76" s="110" t="str">
        <f t="shared" si="2"/>
        <v>#N/A</v>
      </c>
      <c r="E76" s="11"/>
      <c r="F76" s="94" t="str">
        <f>VLOOKUP(J76,UpdateBBM!$C$2:E1009,3,0)</f>
        <v>SAS</v>
      </c>
      <c r="G76" s="78">
        <v>63.0</v>
      </c>
      <c r="H76" s="111">
        <f>IFERROR(__xludf.DUMMYFUNCTION("""COMPUTED_VALUE"""),63.0)</f>
        <v>63</v>
      </c>
      <c r="I76" s="111"/>
      <c r="J76" s="112" t="str">
        <f>IFERROR(__xludf.DUMMYFUNCTION("""COMPUTED_VALUE"""),"De'Aaron Fox")</f>
        <v>De'Aaron Fox</v>
      </c>
      <c r="K76" s="111">
        <f>IFERROR(__xludf.DUMMYFUNCTION("""COMPUTED_VALUE"""),68.0)</f>
        <v>68</v>
      </c>
      <c r="L76" s="113" t="str">
        <f>IFERROR(__xludf.DUMMYFUNCTION("""COMPUTED_VALUE"""),"G")</f>
        <v>G</v>
      </c>
      <c r="M76" s="114">
        <f>IFERROR(__xludf.DUMMYFUNCTION("""COMPUTED_VALUE"""),1.659799968651093)</f>
        <v>1.659799969</v>
      </c>
      <c r="N76" s="114">
        <f>IFERROR(__xludf.DUMMYFUNCTION("""COMPUTED_VALUE"""),1.8532650496196579)</f>
        <v>1.85326505</v>
      </c>
      <c r="O76" s="115">
        <f>IFERROR(__xludf.DUMMYFUNCTION("""COMPUTED_VALUE"""),0.19346508096856496)</f>
        <v>0.193465081</v>
      </c>
      <c r="P76" s="116">
        <f>IFERROR(__xludf.DUMMYFUNCTION("""COMPUTED_VALUE"""),19.96029)</f>
        <v>19.96029</v>
      </c>
      <c r="Q76" s="116">
        <f>IFERROR(__xludf.DUMMYFUNCTION("""COMPUTED_VALUE"""),1.665441)</f>
        <v>1.665441</v>
      </c>
      <c r="R76" s="116">
        <f>IFERROR(__xludf.DUMMYFUNCTION("""COMPUTED_VALUE"""),4.118235)</f>
        <v>4.118235</v>
      </c>
      <c r="S76" s="117">
        <f>IFERROR(__xludf.DUMMYFUNCTION("""COMPUTED_VALUE"""),6.5025)</f>
        <v>6.5025</v>
      </c>
      <c r="T76" s="116">
        <f>IFERROR(__xludf.DUMMYFUNCTION("""COMPUTED_VALUE"""),1.228235)</f>
        <v>1.228235</v>
      </c>
      <c r="U76" s="116">
        <f>IFERROR(__xludf.DUMMYFUNCTION("""COMPUTED_VALUE"""),0.435294)</f>
        <v>0.435294</v>
      </c>
      <c r="V76" s="113">
        <f>IFERROR(__xludf.DUMMYFUNCTION("""COMPUTED_VALUE"""),0.454485)</f>
        <v>0.454485</v>
      </c>
      <c r="W76" s="113">
        <f>IFERROR(__xludf.DUMMYFUNCTION("""COMPUTED_VALUE"""),0.840016)</f>
        <v>0.840016</v>
      </c>
      <c r="X76" s="116">
        <f>IFERROR(__xludf.DUMMYFUNCTION("""COMPUTED_VALUE"""),2.528824)</f>
        <v>2.528824</v>
      </c>
      <c r="Y76" s="114">
        <f>IFERROR(__xludf.DUMMYFUNCTION("""COMPUTED_VALUE"""),0.4887272761608867)</f>
        <v>0.4887272762</v>
      </c>
      <c r="Z76" s="114">
        <f>IFERROR(__xludf.DUMMYFUNCTION("""COMPUTED_VALUE"""),-0.10055549070852345)</f>
        <v>-0.1005554907</v>
      </c>
      <c r="AA76" s="114">
        <f>IFERROR(__xludf.DUMMYFUNCTION("""COMPUTED_VALUE"""),-0.8140556856467249)</f>
        <v>-0.8140556856</v>
      </c>
      <c r="AB76" s="114">
        <f>IFERROR(__xludf.DUMMYFUNCTION("""COMPUTED_VALUE"""),1.302185052223583)</f>
        <v>1.302185052</v>
      </c>
      <c r="AC76" s="114">
        <f>IFERROR(__xludf.DUMMYFUNCTION("""COMPUTED_VALUE"""),0.557787184565225)</f>
        <v>0.5577871846</v>
      </c>
      <c r="AD76" s="114">
        <f>IFERROR(__xludf.DUMMYFUNCTION("""COMPUTED_VALUE"""),-0.5361772684341823)</f>
        <v>-0.5361772684</v>
      </c>
      <c r="AE76" s="114">
        <f>IFERROR(__xludf.DUMMYFUNCTION("""COMPUTED_VALUE"""),-0.5556298189582709)</f>
        <v>-0.555629819</v>
      </c>
      <c r="AF76" s="114">
        <f>IFERROR(__xludf.DUMMYFUNCTION("""COMPUTED_VALUE"""),0.6969281147709401)</f>
        <v>0.6969281148</v>
      </c>
      <c r="AG76" s="118">
        <f>IFERROR(__xludf.DUMMYFUNCTION("""COMPUTED_VALUE"""),0.0)</f>
        <v>0</v>
      </c>
      <c r="AH76" s="105"/>
      <c r="AI76" s="202"/>
      <c r="AJ76" s="63"/>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105"/>
      <c r="BM76" s="105"/>
      <c r="BN76" s="105"/>
      <c r="BO76" s="105"/>
      <c r="BP76" s="105"/>
      <c r="BQ76" s="105"/>
      <c r="BR76" s="105"/>
      <c r="BS76" s="105"/>
      <c r="BT76" s="105"/>
      <c r="BU76" s="105"/>
      <c r="BV76" s="105"/>
    </row>
    <row r="77">
      <c r="A77" s="109">
        <f>VLOOKUP($F77,UpdateHashtag!$V$3:$Y$32,COLUMN(B$9),0)</f>
        <v>4</v>
      </c>
      <c r="B77" s="91" t="str">
        <f>VLOOKUP($F77,UpdateHashtag!$V$3:$Y$32,COLUMN(#REF!),0)</f>
        <v>#REF!</v>
      </c>
      <c r="C77" s="91" t="str">
        <f>VLOOKUP($F77,UpdateHashtag!$V$3:$Y$32,COLUMN(#REF!),0)</f>
        <v>#REF!</v>
      </c>
      <c r="D77" s="110" t="str">
        <f t="shared" si="2"/>
        <v>#REF!</v>
      </c>
      <c r="E77" s="11"/>
      <c r="F77" s="94" t="str">
        <f>VLOOKUP(J77,UpdateBBM!$C$2:E1009,3,0)</f>
        <v>UTA</v>
      </c>
      <c r="G77" s="78">
        <v>64.0</v>
      </c>
      <c r="H77" s="111">
        <f>IFERROR(__xludf.DUMMYFUNCTION("""COMPUTED_VALUE"""),64.0)</f>
        <v>64</v>
      </c>
      <c r="I77" s="111"/>
      <c r="J77" s="112" t="str">
        <f>IFERROR(__xludf.DUMMYFUNCTION("""COMPUTED_VALUE"""),"Lauri Markkanen")</f>
        <v>Lauri Markkanen</v>
      </c>
      <c r="K77" s="111">
        <f>IFERROR(__xludf.DUMMYFUNCTION("""COMPUTED_VALUE"""),53.0)</f>
        <v>53</v>
      </c>
      <c r="L77" s="113" t="str">
        <f>IFERROR(__xludf.DUMMYFUNCTION("""COMPUTED_VALUE"""),"F")</f>
        <v>F</v>
      </c>
      <c r="M77" s="114">
        <f>IFERROR(__xludf.DUMMYFUNCTION("""COMPUTED_VALUE"""),1.6124880750489659)</f>
        <v>1.612488075</v>
      </c>
      <c r="N77" s="114">
        <f>IFERROR(__xludf.DUMMYFUNCTION("""COMPUTED_VALUE"""),1.542307477697692)</f>
        <v>1.542307478</v>
      </c>
      <c r="O77" s="115">
        <f>IFERROR(__xludf.DUMMYFUNCTION("""COMPUTED_VALUE"""),-0.07018059735127391)</f>
        <v>-0.07018059735</v>
      </c>
      <c r="P77" s="116">
        <f>IFERROR(__xludf.DUMMYFUNCTION("""COMPUTED_VALUE"""),21.86509)</f>
        <v>21.86509</v>
      </c>
      <c r="Q77" s="116">
        <f>IFERROR(__xludf.DUMMYFUNCTION("""COMPUTED_VALUE"""),3.411132)</f>
        <v>3.411132</v>
      </c>
      <c r="R77" s="116">
        <f>IFERROR(__xludf.DUMMYFUNCTION("""COMPUTED_VALUE"""),5.65434)</f>
        <v>5.65434</v>
      </c>
      <c r="S77" s="117">
        <f>IFERROR(__xludf.DUMMYFUNCTION("""COMPUTED_VALUE"""),1.796038)</f>
        <v>1.796038</v>
      </c>
      <c r="T77" s="116">
        <f>IFERROR(__xludf.DUMMYFUNCTION("""COMPUTED_VALUE"""),0.729811)</f>
        <v>0.729811</v>
      </c>
      <c r="U77" s="116">
        <f>IFERROR(__xludf.DUMMYFUNCTION("""COMPUTED_VALUE"""),0.399811)</f>
        <v>0.399811</v>
      </c>
      <c r="V77" s="113">
        <f>IFERROR(__xludf.DUMMYFUNCTION("""COMPUTED_VALUE"""),0.457836)</f>
        <v>0.457836</v>
      </c>
      <c r="W77" s="113">
        <f>IFERROR(__xludf.DUMMYFUNCTION("""COMPUTED_VALUE"""),0.886981)</f>
        <v>0.886981</v>
      </c>
      <c r="X77" s="116">
        <f>IFERROR(__xludf.DUMMYFUNCTION("""COMPUTED_VALUE"""),1.46566)</f>
        <v>1.46566</v>
      </c>
      <c r="Y77" s="114">
        <f>IFERROR(__xludf.DUMMYFUNCTION("""COMPUTED_VALUE"""),0.8229103633890684)</f>
        <v>0.8229103634</v>
      </c>
      <c r="Z77" s="114">
        <f>IFERROR(__xludf.DUMMYFUNCTION("""COMPUTED_VALUE"""),1.5854912526371507)</f>
        <v>1.585491253</v>
      </c>
      <c r="AA77" s="114">
        <f>IFERROR(__xludf.DUMMYFUNCTION("""COMPUTED_VALUE"""),-0.19138998430294707)</f>
        <v>-0.1913899843</v>
      </c>
      <c r="AB77" s="114">
        <f>IFERROR(__xludf.DUMMYFUNCTION("""COMPUTED_VALUE"""),-0.9969898647472013)</f>
        <v>-0.9969898647</v>
      </c>
      <c r="AC77" s="114">
        <f>IFERROR(__xludf.DUMMYFUNCTION("""COMPUTED_VALUE"""),-0.9610254000179359)</f>
        <v>-0.9610254</v>
      </c>
      <c r="AD77" s="114">
        <f>IFERROR(__xludf.DUMMYFUNCTION("""COMPUTED_VALUE"""),-0.6006850865528233)</f>
        <v>-0.6006850866</v>
      </c>
      <c r="AE77" s="114">
        <f>IFERROR(__xludf.DUMMYFUNCTION("""COMPUTED_VALUE"""),-0.5136392574607143)</f>
        <v>-0.5136392575</v>
      </c>
      <c r="AF77" s="114">
        <f>IFERROR(__xludf.DUMMYFUNCTION("""COMPUTED_VALUE"""),1.4006455900058936)</f>
        <v>1.40064559</v>
      </c>
      <c r="AG77" s="118">
        <f>IFERROR(__xludf.DUMMYFUNCTION("""COMPUTED_VALUE"""),0.0)</f>
        <v>0</v>
      </c>
      <c r="AH77" s="105"/>
      <c r="AI77" s="202"/>
      <c r="AJ77" s="63"/>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c r="BI77" s="105"/>
      <c r="BJ77" s="105"/>
      <c r="BK77" s="105"/>
      <c r="BL77" s="105"/>
      <c r="BM77" s="105"/>
      <c r="BN77" s="105"/>
      <c r="BO77" s="105"/>
      <c r="BP77" s="105"/>
      <c r="BQ77" s="105"/>
      <c r="BR77" s="105"/>
      <c r="BS77" s="105"/>
      <c r="BT77" s="105"/>
      <c r="BU77" s="105"/>
      <c r="BV77" s="105"/>
    </row>
    <row r="78">
      <c r="A78" s="109">
        <f>VLOOKUP($F78,UpdateHashtag!$V$3:$Y$32,COLUMN(B$9),0)</f>
        <v>2</v>
      </c>
      <c r="B78" s="91" t="str">
        <f>VLOOKUP($F78,UpdateHashtag!$V$3:$Y$32,COLUMN(#REF!),0)</f>
        <v>#REF!</v>
      </c>
      <c r="C78" s="91" t="str">
        <f>VLOOKUP($F78,UpdateHashtag!$V$3:$Y$32,COLUMN(#REF!),0)</f>
        <v>#REF!</v>
      </c>
      <c r="D78" s="110" t="str">
        <f t="shared" si="2"/>
        <v>#REF!</v>
      </c>
      <c r="E78" s="11"/>
      <c r="F78" s="94" t="str">
        <f>VLOOKUP(J78,UpdateBBM!$C$2:E1009,3,0)</f>
        <v>ORL</v>
      </c>
      <c r="G78" s="78">
        <v>65.0</v>
      </c>
      <c r="H78" s="111">
        <f>IFERROR(__xludf.DUMMYFUNCTION("""COMPUTED_VALUE"""),65.0)</f>
        <v>65</v>
      </c>
      <c r="I78" s="111"/>
      <c r="J78" s="112" t="str">
        <f>IFERROR(__xludf.DUMMYFUNCTION("""COMPUTED_VALUE"""),"Desmond Bane")</f>
        <v>Desmond Bane</v>
      </c>
      <c r="K78" s="111">
        <f>IFERROR(__xludf.DUMMYFUNCTION("""COMPUTED_VALUE"""),68.0)</f>
        <v>68</v>
      </c>
      <c r="L78" s="113" t="str">
        <f>IFERROR(__xludf.DUMMYFUNCTION("""COMPUTED_VALUE"""),"G,F")</f>
        <v>G,F</v>
      </c>
      <c r="M78" s="114">
        <f>IFERROR(__xludf.DUMMYFUNCTION("""COMPUTED_VALUE"""),1.5612317125595103)</f>
        <v>1.561231713</v>
      </c>
      <c r="N78" s="114">
        <f>IFERROR(__xludf.DUMMYFUNCTION("""COMPUTED_VALUE"""),1.6095905433376085)</f>
        <v>1.609590543</v>
      </c>
      <c r="O78" s="115">
        <f>IFERROR(__xludf.DUMMYFUNCTION("""COMPUTED_VALUE"""),0.048358830778098216)</f>
        <v>0.04835883078</v>
      </c>
      <c r="P78" s="116">
        <f>IFERROR(__xludf.DUMMYFUNCTION("""COMPUTED_VALUE"""),18.04632)</f>
        <v>18.04632</v>
      </c>
      <c r="Q78" s="116">
        <f>IFERROR(__xludf.DUMMYFUNCTION("""COMPUTED_VALUE"""),2.480147)</f>
        <v>2.480147</v>
      </c>
      <c r="R78" s="116">
        <f>IFERROR(__xludf.DUMMYFUNCTION("""COMPUTED_VALUE"""),4.512059)</f>
        <v>4.512059</v>
      </c>
      <c r="S78" s="117">
        <f>IFERROR(__xludf.DUMMYFUNCTION("""COMPUTED_VALUE"""),4.165)</f>
        <v>4.165</v>
      </c>
      <c r="T78" s="116">
        <f>IFERROR(__xludf.DUMMYFUNCTION("""COMPUTED_VALUE"""),1.043235)</f>
        <v>1.043235</v>
      </c>
      <c r="U78" s="116">
        <f>IFERROR(__xludf.DUMMYFUNCTION("""COMPUTED_VALUE"""),0.346618)</f>
        <v>0.346618</v>
      </c>
      <c r="V78" s="113">
        <f>IFERROR(__xludf.DUMMYFUNCTION("""COMPUTED_VALUE"""),0.485113)</f>
        <v>0.485113</v>
      </c>
      <c r="W78" s="113">
        <f>IFERROR(__xludf.DUMMYFUNCTION("""COMPUTED_VALUE"""),0.88803)</f>
        <v>0.88803</v>
      </c>
      <c r="X78" s="116">
        <f>IFERROR(__xludf.DUMMYFUNCTION("""COMPUTED_VALUE"""),1.943676)</f>
        <v>1.943676</v>
      </c>
      <c r="Y78" s="114">
        <f>IFERROR(__xludf.DUMMYFUNCTION("""COMPUTED_VALUE"""),0.15293538018119143)</f>
        <v>0.1529353802</v>
      </c>
      <c r="Z78" s="114">
        <f>IFERROR(__xludf.DUMMYFUNCTION("""COMPUTED_VALUE"""),0.686314807691469)</f>
        <v>0.6863148077</v>
      </c>
      <c r="AA78" s="114">
        <f>IFERROR(__xludf.DUMMYFUNCTION("""COMPUTED_VALUE"""),-0.6544177070150482)</f>
        <v>-0.654417707</v>
      </c>
      <c r="AB78" s="114">
        <f>IFERROR(__xludf.DUMMYFUNCTION("""COMPUTED_VALUE"""),0.16028241529180515)</f>
        <v>0.1602824153</v>
      </c>
      <c r="AC78" s="114">
        <f>IFERROR(__xludf.DUMMYFUNCTION("""COMPUTED_VALUE"""),-0.005950372510447195)</f>
        <v>-0.00595037251</v>
      </c>
      <c r="AD78" s="114">
        <f>IFERROR(__xludf.DUMMYFUNCTION("""COMPUTED_VALUE"""),-0.6973895469756982)</f>
        <v>-0.697389547</v>
      </c>
      <c r="AE78" s="114">
        <f>IFERROR(__xludf.DUMMYFUNCTION("""COMPUTED_VALUE"""),-0.14674138875041376)</f>
        <v>-0.1467413888</v>
      </c>
      <c r="AF78" s="114">
        <f>IFERROR(__xludf.DUMMYFUNCTION("""COMPUTED_VALUE"""),1.4171674084490522)</f>
        <v>1.417167408</v>
      </c>
      <c r="AG78" s="118">
        <f>IFERROR(__xludf.DUMMYFUNCTION("""COMPUTED_VALUE"""),0.0)</f>
        <v>0</v>
      </c>
      <c r="AH78" s="105"/>
      <c r="AI78" s="202"/>
      <c r="AJ78" s="63"/>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5"/>
      <c r="BT78" s="105"/>
      <c r="BU78" s="105"/>
      <c r="BV78" s="105"/>
    </row>
    <row r="79">
      <c r="A79" s="109">
        <f>VLOOKUP($F79,UpdateHashtag!$V$3:$Y$32,COLUMN(B$9),0)</f>
        <v>2</v>
      </c>
      <c r="B79" s="91" t="str">
        <f>VLOOKUP($F79,UpdateHashtag!$V$3:$Y$32,COLUMN(#REF!),0)</f>
        <v>#REF!</v>
      </c>
      <c r="C79" s="91" t="str">
        <f>VLOOKUP($F79,UpdateHashtag!$V$3:$Y$32,COLUMN(#REF!),0)</f>
        <v>#REF!</v>
      </c>
      <c r="D79" s="110" t="str">
        <f t="shared" si="2"/>
        <v>#REF!</v>
      </c>
      <c r="E79" s="11"/>
      <c r="F79" s="94" t="str">
        <f>VLOOKUP(J79,UpdateBBM!$C$2:E1009,3,0)</f>
        <v>ORL</v>
      </c>
      <c r="G79" s="78">
        <v>66.0</v>
      </c>
      <c r="H79" s="111">
        <f>IFERROR(__xludf.DUMMYFUNCTION("""COMPUTED_VALUE"""),66.0)</f>
        <v>66</v>
      </c>
      <c r="I79" s="111"/>
      <c r="J79" s="112" t="str">
        <f>IFERROR(__xludf.DUMMYFUNCTION("""COMPUTED_VALUE"""),"Paolo Banchero")</f>
        <v>Paolo Banchero</v>
      </c>
      <c r="K79" s="111">
        <f>IFERROR(__xludf.DUMMYFUNCTION("""COMPUTED_VALUE"""),73.0)</f>
        <v>73</v>
      </c>
      <c r="L79" s="113" t="str">
        <f>IFERROR(__xludf.DUMMYFUNCTION("""COMPUTED_VALUE"""),"F")</f>
        <v>F</v>
      </c>
      <c r="M79" s="114">
        <f>IFERROR(__xludf.DUMMYFUNCTION("""COMPUTED_VALUE"""),1.520291587227292)</f>
        <v>1.520291587</v>
      </c>
      <c r="N79" s="114">
        <f>IFERROR(__xludf.DUMMYFUNCTION("""COMPUTED_VALUE"""),1.76004377355946)</f>
        <v>1.760043774</v>
      </c>
      <c r="O79" s="115">
        <f>IFERROR(__xludf.DUMMYFUNCTION("""COMPUTED_VALUE"""),0.2397521863321681)</f>
        <v>0.2397521863</v>
      </c>
      <c r="P79" s="116">
        <f>IFERROR(__xludf.DUMMYFUNCTION("""COMPUTED_VALUE"""),26.10795)</f>
        <v>26.10795</v>
      </c>
      <c r="Q79" s="116">
        <f>IFERROR(__xludf.DUMMYFUNCTION("""COMPUTED_VALUE"""),1.899589)</f>
        <v>1.899589</v>
      </c>
      <c r="R79" s="116">
        <f>IFERROR(__xludf.DUMMYFUNCTION("""COMPUTED_VALUE"""),7.860411)</f>
        <v>7.860411</v>
      </c>
      <c r="S79" s="117">
        <f>IFERROR(__xludf.DUMMYFUNCTION("""COMPUTED_VALUE"""),4.716301)</f>
        <v>4.716301</v>
      </c>
      <c r="T79" s="116">
        <f>IFERROR(__xludf.DUMMYFUNCTION("""COMPUTED_VALUE"""),0.785205)</f>
        <v>0.785205</v>
      </c>
      <c r="U79" s="116">
        <f>IFERROR(__xludf.DUMMYFUNCTION("""COMPUTED_VALUE"""),0.571644)</f>
        <v>0.571644</v>
      </c>
      <c r="V79" s="113">
        <f>IFERROR(__xludf.DUMMYFUNCTION("""COMPUTED_VALUE"""),0.468228)</f>
        <v>0.468228</v>
      </c>
      <c r="W79" s="113">
        <f>IFERROR(__xludf.DUMMYFUNCTION("""COMPUTED_VALUE"""),0.755002)</f>
        <v>0.755002</v>
      </c>
      <c r="X79" s="116">
        <f>IFERROR(__xludf.DUMMYFUNCTION("""COMPUTED_VALUE"""),2.715479)</f>
        <v>2.715479</v>
      </c>
      <c r="Y79" s="114">
        <f>IFERROR(__xludf.DUMMYFUNCTION("""COMPUTED_VALUE"""),1.567288803895665)</f>
        <v>1.567288804</v>
      </c>
      <c r="Z79" s="114">
        <f>IFERROR(__xludf.DUMMYFUNCTION("""COMPUTED_VALUE"""),0.1255924775521269)</f>
        <v>0.1255924776</v>
      </c>
      <c r="AA79" s="114">
        <f>IFERROR(__xludf.DUMMYFUNCTION("""COMPUTED_VALUE"""),0.7028488512123133)</f>
        <v>0.7028488512</v>
      </c>
      <c r="AB79" s="114">
        <f>IFERROR(__xludf.DUMMYFUNCTION("""COMPUTED_VALUE"""),0.42960094604822247)</f>
        <v>0.429600946</v>
      </c>
      <c r="AC79" s="114">
        <f>IFERROR(__xludf.DUMMYFUNCTION("""COMPUTED_VALUE"""),-0.7922271392792882)</f>
        <v>-0.7922271393</v>
      </c>
      <c r="AD79" s="114">
        <f>IFERROR(__xludf.DUMMYFUNCTION("""COMPUTED_VALUE"""),-0.2882940285594058)</f>
        <v>-0.2882940286</v>
      </c>
      <c r="AE79" s="114">
        <f>IFERROR(__xludf.DUMMYFUNCTION("""COMPUTED_VALUE"""),-0.3791294445121253)</f>
        <v>-0.3791294445</v>
      </c>
      <c r="AF79" s="114">
        <f>IFERROR(__xludf.DUMMYFUNCTION("""COMPUTED_VALUE"""),-0.3978638320773367)</f>
        <v>-0.3978638321</v>
      </c>
      <c r="AG79" s="118">
        <f>IFERROR(__xludf.DUMMYFUNCTION("""COMPUTED_VALUE"""),0.0)</f>
        <v>0</v>
      </c>
      <c r="AH79" s="105"/>
      <c r="AI79" s="202"/>
      <c r="AJ79" s="63"/>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5"/>
      <c r="BT79" s="105"/>
      <c r="BU79" s="105"/>
      <c r="BV79" s="105"/>
    </row>
    <row r="80">
      <c r="A80" s="109">
        <f>VLOOKUP($F80,UpdateHashtag!$V$3:$Y$32,COLUMN(B$9),0)</f>
        <v>2</v>
      </c>
      <c r="B80" s="91" t="str">
        <f>VLOOKUP($F80,UpdateHashtag!$V$3:$Y$32,COLUMN(#REF!),0)</f>
        <v>#REF!</v>
      </c>
      <c r="C80" s="91" t="str">
        <f>VLOOKUP($F80,UpdateHashtag!$V$3:$Y$32,COLUMN(#REF!),0)</f>
        <v>#REF!</v>
      </c>
      <c r="D80" s="110" t="str">
        <f t="shared" si="2"/>
        <v>#REF!</v>
      </c>
      <c r="E80" s="11"/>
      <c r="F80" s="94" t="str">
        <f>VLOOKUP(J80,UpdateBBM!$C$2:E1009,3,0)</f>
        <v>CHI</v>
      </c>
      <c r="G80" s="78">
        <v>67.0</v>
      </c>
      <c r="H80" s="111">
        <f>IFERROR(__xludf.DUMMYFUNCTION("""COMPUTED_VALUE"""),67.0)</f>
        <v>67</v>
      </c>
      <c r="I80" s="111"/>
      <c r="J80" s="112" t="str">
        <f>IFERROR(__xludf.DUMMYFUNCTION("""COMPUTED_VALUE"""),"Coby White")</f>
        <v>Coby White</v>
      </c>
      <c r="K80" s="111">
        <f>IFERROR(__xludf.DUMMYFUNCTION("""COMPUTED_VALUE"""),73.0)</f>
        <v>73</v>
      </c>
      <c r="L80" s="113" t="str">
        <f>IFERROR(__xludf.DUMMYFUNCTION("""COMPUTED_VALUE"""),"G")</f>
        <v>G</v>
      </c>
      <c r="M80" s="114">
        <f>IFERROR(__xludf.DUMMYFUNCTION("""COMPUTED_VALUE"""),1.5093859363476858)</f>
        <v>1.509385936</v>
      </c>
      <c r="N80" s="114">
        <f>IFERROR(__xludf.DUMMYFUNCTION("""COMPUTED_VALUE"""),1.6785822456979762)</f>
        <v>1.678582246</v>
      </c>
      <c r="O80" s="115">
        <f>IFERROR(__xludf.DUMMYFUNCTION("""COMPUTED_VALUE"""),0.1691963093502904)</f>
        <v>0.1691963094</v>
      </c>
      <c r="P80" s="116">
        <f>IFERROR(__xludf.DUMMYFUNCTION("""COMPUTED_VALUE"""),22.47932)</f>
        <v>22.47932</v>
      </c>
      <c r="Q80" s="116">
        <f>IFERROR(__xludf.DUMMYFUNCTION("""COMPUTED_VALUE"""),2.823836)</f>
        <v>2.823836</v>
      </c>
      <c r="R80" s="116">
        <f>IFERROR(__xludf.DUMMYFUNCTION("""COMPUTED_VALUE"""),4.29)</f>
        <v>4.29</v>
      </c>
      <c r="S80" s="117">
        <f>IFERROR(__xludf.DUMMYFUNCTION("""COMPUTED_VALUE"""),4.256575)</f>
        <v>4.256575</v>
      </c>
      <c r="T80" s="116">
        <f>IFERROR(__xludf.DUMMYFUNCTION("""COMPUTED_VALUE"""),0.855205)</f>
        <v>0.855205</v>
      </c>
      <c r="U80" s="116">
        <f>IFERROR(__xludf.DUMMYFUNCTION("""COMPUTED_VALUE"""),0.214932)</f>
        <v>0.214932</v>
      </c>
      <c r="V80" s="113">
        <f>IFERROR(__xludf.DUMMYFUNCTION("""COMPUTED_VALUE"""),0.463321)</f>
        <v>0.463321</v>
      </c>
      <c r="W80" s="113">
        <f>IFERROR(__xludf.DUMMYFUNCTION("""COMPUTED_VALUE"""),0.87999)</f>
        <v>0.87999</v>
      </c>
      <c r="X80" s="116">
        <f>IFERROR(__xludf.DUMMYFUNCTION("""COMPUTED_VALUE"""),2.430959)</f>
        <v>2.430959</v>
      </c>
      <c r="Y80" s="114">
        <f>IFERROR(__xludf.DUMMYFUNCTION("""COMPUTED_VALUE"""),0.9306724789225456)</f>
        <v>0.9306724789</v>
      </c>
      <c r="Z80" s="114">
        <f>IFERROR(__xludf.DUMMYFUNCTION("""COMPUTED_VALUE"""),1.0182611367804837)</f>
        <v>1.018261137</v>
      </c>
      <c r="AA80" s="114">
        <f>IFERROR(__xludf.DUMMYFUNCTION("""COMPUTED_VALUE"""),-0.7444301234675029)</f>
        <v>-0.7444301235</v>
      </c>
      <c r="AB80" s="114">
        <f>IFERROR(__xludf.DUMMYFUNCTION("""COMPUTED_VALUE"""),0.20501813036219113)</f>
        <v>0.2050181304</v>
      </c>
      <c r="AC80" s="114">
        <f>IFERROR(__xludf.DUMMYFUNCTION("""COMPUTED_VALUE"""),-0.5789210366020071)</f>
        <v>-0.5789210366</v>
      </c>
      <c r="AD80" s="114">
        <f>IFERROR(__xludf.DUMMYFUNCTION("""COMPUTED_VALUE"""),-0.9367936711132105)</f>
        <v>-0.9367936711</v>
      </c>
      <c r="AE80" s="114">
        <f>IFERROR(__xludf.DUMMYFUNCTION("""COMPUTED_VALUE"""),-0.4434521709296442)</f>
        <v>-0.4434521709</v>
      </c>
      <c r="AF80" s="114">
        <f>IFERROR(__xludf.DUMMYFUNCTION("""COMPUTED_VALUE"""),1.29143383063191)</f>
        <v>1.291433831</v>
      </c>
      <c r="AG80" s="118">
        <f>IFERROR(__xludf.DUMMYFUNCTION("""COMPUTED_VALUE"""),0.0)</f>
        <v>0</v>
      </c>
      <c r="AH80" s="105"/>
      <c r="AI80" s="202"/>
      <c r="AJ80" s="63"/>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5"/>
      <c r="BT80" s="105"/>
      <c r="BU80" s="105"/>
      <c r="BV80" s="105"/>
    </row>
    <row r="81">
      <c r="A81" s="109">
        <f>VLOOKUP($F81,UpdateHashtag!$V$3:$Y$32,COLUMN(B$9),0)</f>
        <v>4</v>
      </c>
      <c r="B81" s="91" t="str">
        <f>VLOOKUP($F81,UpdateHashtag!$V$3:$Y$32,COLUMN(#REF!),0)</f>
        <v>#REF!</v>
      </c>
      <c r="C81" s="91" t="str">
        <f>VLOOKUP($F81,UpdateHashtag!$V$3:$Y$32,COLUMN(#REF!),0)</f>
        <v>#REF!</v>
      </c>
      <c r="D81" s="110" t="str">
        <f t="shared" si="2"/>
        <v>#REF!</v>
      </c>
      <c r="E81" s="11"/>
      <c r="F81" s="94" t="str">
        <f>VLOOKUP(J81,UpdateBBM!$C$2:E1009,3,0)</f>
        <v>CHA</v>
      </c>
      <c r="G81" s="78">
        <v>68.0</v>
      </c>
      <c r="H81" s="111">
        <f>IFERROR(__xludf.DUMMYFUNCTION("""COMPUTED_VALUE"""),68.0)</f>
        <v>68</v>
      </c>
      <c r="I81" s="111"/>
      <c r="J81" s="112" t="str">
        <f>IFERROR(__xludf.DUMMYFUNCTION("""COMPUTED_VALUE"""),"Miles Bridges")</f>
        <v>Miles Bridges</v>
      </c>
      <c r="K81" s="111">
        <f>IFERROR(__xludf.DUMMYFUNCTION("""COMPUTED_VALUE"""),66.0)</f>
        <v>66</v>
      </c>
      <c r="L81" s="113" t="str">
        <f>IFERROR(__xludf.DUMMYFUNCTION("""COMPUTED_VALUE"""),"F")</f>
        <v>F</v>
      </c>
      <c r="M81" s="114">
        <f>IFERROR(__xludf.DUMMYFUNCTION("""COMPUTED_VALUE"""),1.4749620061177537)</f>
        <v>1.474962006</v>
      </c>
      <c r="N81" s="114">
        <f>IFERROR(__xludf.DUMMYFUNCTION("""COMPUTED_VALUE"""),1.518689522547077)</f>
        <v>1.518689523</v>
      </c>
      <c r="O81" s="115">
        <f>IFERROR(__xludf.DUMMYFUNCTION("""COMPUTED_VALUE"""),0.043727516429323154)</f>
        <v>0.04372751643</v>
      </c>
      <c r="P81" s="116">
        <f>IFERROR(__xludf.DUMMYFUNCTION("""COMPUTED_VALUE"""),19.04182)</f>
        <v>19.04182</v>
      </c>
      <c r="Q81" s="116">
        <f>IFERROR(__xludf.DUMMYFUNCTION("""COMPUTED_VALUE"""),2.304394)</f>
        <v>2.304394</v>
      </c>
      <c r="R81" s="116">
        <f>IFERROR(__xludf.DUMMYFUNCTION("""COMPUTED_VALUE"""),7.287576)</f>
        <v>7.287576</v>
      </c>
      <c r="S81" s="117">
        <f>IFERROR(__xludf.DUMMYFUNCTION("""COMPUTED_VALUE"""),3.712576)</f>
        <v>3.712576</v>
      </c>
      <c r="T81" s="116">
        <f>IFERROR(__xludf.DUMMYFUNCTION("""COMPUTED_VALUE"""),0.693333)</f>
        <v>0.693333</v>
      </c>
      <c r="U81" s="116">
        <f>IFERROR(__xludf.DUMMYFUNCTION("""COMPUTED_VALUE"""),0.75197)</f>
        <v>0.75197</v>
      </c>
      <c r="V81" s="113">
        <f>IFERROR(__xludf.DUMMYFUNCTION("""COMPUTED_VALUE"""),0.443477)</f>
        <v>0.443477</v>
      </c>
      <c r="W81" s="113">
        <f>IFERROR(__xludf.DUMMYFUNCTION("""COMPUTED_VALUE"""),0.855007)</f>
        <v>0.855007</v>
      </c>
      <c r="X81" s="116">
        <f>IFERROR(__xludf.DUMMYFUNCTION("""COMPUTED_VALUE"""),1.925)</f>
        <v>1.925</v>
      </c>
      <c r="Y81" s="114">
        <f>IFERROR(__xludf.DUMMYFUNCTION("""COMPUTED_VALUE"""),0.3275885003700067)</f>
        <v>0.3275885004</v>
      </c>
      <c r="Z81" s="114">
        <f>IFERROR(__xludf.DUMMYFUNCTION("""COMPUTED_VALUE"""),0.5165666831475304)</f>
        <v>0.5165666831</v>
      </c>
      <c r="AA81" s="114">
        <f>IFERROR(__xludf.DUMMYFUNCTION("""COMPUTED_VALUE"""),0.4706481181704554)</f>
        <v>0.4706481182</v>
      </c>
      <c r="AB81" s="114">
        <f>IFERROR(__xludf.DUMMYFUNCTION("""COMPUTED_VALUE"""),-0.06073326753652544)</f>
        <v>-0.06073326754</v>
      </c>
      <c r="AC81" s="114">
        <f>IFERROR(__xludf.DUMMYFUNCTION("""COMPUTED_VALUE"""),-1.0721822573531055)</f>
        <v>-1.072182257</v>
      </c>
      <c r="AD81" s="114">
        <f>IFERROR(__xludf.DUMMYFUNCTION("""COMPUTED_VALUE"""),0.0395372374006891)</f>
        <v>0.0395372374</v>
      </c>
      <c r="AE81" s="114">
        <f>IFERROR(__xludf.DUMMYFUNCTION("""COMPUTED_VALUE"""),-0.6888201671870059)</f>
        <v>-0.6888201672</v>
      </c>
      <c r="AF81" s="114">
        <f>IFERROR(__xludf.DUMMYFUNCTION("""COMPUTED_VALUE"""),0.9139024181819267)</f>
        <v>0.9139024182</v>
      </c>
      <c r="AG81" s="118">
        <f>IFERROR(__xludf.DUMMYFUNCTION("""COMPUTED_VALUE"""),0.0)</f>
        <v>0</v>
      </c>
      <c r="AH81" s="105"/>
      <c r="AI81" s="202"/>
      <c r="AJ81" s="63"/>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5"/>
      <c r="BT81" s="105"/>
      <c r="BU81" s="105"/>
      <c r="BV81" s="105"/>
    </row>
    <row r="82">
      <c r="A82" s="109">
        <f>VLOOKUP($F82,UpdateHashtag!$V$3:$Y$32,COLUMN(B$9),0)</f>
        <v>3</v>
      </c>
      <c r="B82" s="91" t="str">
        <f>VLOOKUP($F82,UpdateHashtag!$V$3:$Y$32,COLUMN(#REF!),0)</f>
        <v>#REF!</v>
      </c>
      <c r="C82" s="91" t="str">
        <f>VLOOKUP($F82,UpdateHashtag!$V$3:$Y$32,COLUMN(#REF!),0)</f>
        <v>#REF!</v>
      </c>
      <c r="D82" s="110" t="str">
        <f t="shared" si="2"/>
        <v>#REF!</v>
      </c>
      <c r="E82" s="11"/>
      <c r="F82" s="94" t="str">
        <f>VLOOKUP(J82,UpdateBBM!$C$2:E1009,3,0)</f>
        <v>BOS</v>
      </c>
      <c r="G82" s="78">
        <v>69.0</v>
      </c>
      <c r="H82" s="111">
        <f>IFERROR(__xludf.DUMMYFUNCTION("""COMPUTED_VALUE"""),69.0)</f>
        <v>69</v>
      </c>
      <c r="I82" s="111"/>
      <c r="J82" s="112" t="str">
        <f>IFERROR(__xludf.DUMMYFUNCTION("""COMPUTED_VALUE"""),"Jaylen Brown")</f>
        <v>Jaylen Brown</v>
      </c>
      <c r="K82" s="111">
        <f>IFERROR(__xludf.DUMMYFUNCTION("""COMPUTED_VALUE"""),54.0)</f>
        <v>54</v>
      </c>
      <c r="L82" s="113" t="str">
        <f>IFERROR(__xludf.DUMMYFUNCTION("""COMPUTED_VALUE"""),"G,F")</f>
        <v>G,F</v>
      </c>
      <c r="M82" s="114">
        <f>IFERROR(__xludf.DUMMYFUNCTION("""COMPUTED_VALUE"""),1.4431035444677782)</f>
        <v>1.443103544</v>
      </c>
      <c r="N82" s="114">
        <f>IFERROR(__xludf.DUMMYFUNCTION("""COMPUTED_VALUE"""),1.711897910530213)</f>
        <v>1.711897911</v>
      </c>
      <c r="O82" s="115">
        <f>IFERROR(__xludf.DUMMYFUNCTION("""COMPUTED_VALUE"""),0.2687943660624348)</f>
        <v>0.2687943661</v>
      </c>
      <c r="P82" s="116">
        <f>IFERROR(__xludf.DUMMYFUNCTION("""COMPUTED_VALUE"""),24.59241)</f>
        <v>24.59241</v>
      </c>
      <c r="Q82" s="116">
        <f>IFERROR(__xludf.DUMMYFUNCTION("""COMPUTED_VALUE"""),1.963148)</f>
        <v>1.963148</v>
      </c>
      <c r="R82" s="116">
        <f>IFERROR(__xludf.DUMMYFUNCTION("""COMPUTED_VALUE"""),6.514815)</f>
        <v>6.514815</v>
      </c>
      <c r="S82" s="117">
        <f>IFERROR(__xludf.DUMMYFUNCTION("""COMPUTED_VALUE"""),5.240185)</f>
        <v>5.240185</v>
      </c>
      <c r="T82" s="116">
        <f>IFERROR(__xludf.DUMMYFUNCTION("""COMPUTED_VALUE"""),1.062222)</f>
        <v>1.062222</v>
      </c>
      <c r="U82" s="116">
        <f>IFERROR(__xludf.DUMMYFUNCTION("""COMPUTED_VALUE"""),0.353889)</f>
        <v>0.353889</v>
      </c>
      <c r="V82" s="113">
        <f>IFERROR(__xludf.DUMMYFUNCTION("""COMPUTED_VALUE"""),0.471803)</f>
        <v>0.471803</v>
      </c>
      <c r="W82" s="113">
        <f>IFERROR(__xludf.DUMMYFUNCTION("""COMPUTED_VALUE"""),0.759993)</f>
        <v>0.759993</v>
      </c>
      <c r="X82" s="116">
        <f>IFERROR(__xludf.DUMMYFUNCTION("""COMPUTED_VALUE"""),2.832593)</f>
        <v>2.832593</v>
      </c>
      <c r="Y82" s="114">
        <f>IFERROR(__xludf.DUMMYFUNCTION("""COMPUTED_VALUE"""),1.3013985077922428)</f>
        <v>1.301398508</v>
      </c>
      <c r="Z82" s="114">
        <f>IFERROR(__xludf.DUMMYFUNCTION("""COMPUTED_VALUE"""),0.18697988515192984)</f>
        <v>0.1869798852</v>
      </c>
      <c r="AA82" s="114">
        <f>IFERROR(__xludf.DUMMYFUNCTION("""COMPUTED_VALUE"""),0.15740666004349196)</f>
        <v>0.15740666</v>
      </c>
      <c r="AB82" s="114">
        <f>IFERROR(__xludf.DUMMYFUNCTION("""COMPUTED_VALUE"""),0.6855258748381126)</f>
        <v>0.6855258748</v>
      </c>
      <c r="AC82" s="114">
        <f>IFERROR(__xludf.DUMMYFUNCTION("""COMPUTED_VALUE"""),0.051907384225746506)</f>
        <v>0.05190738423</v>
      </c>
      <c r="AD82" s="114">
        <f>IFERROR(__xludf.DUMMYFUNCTION("""COMPUTED_VALUE"""),-0.684170925507935)</f>
        <v>-0.6841709255</v>
      </c>
      <c r="AE82" s="114">
        <f>IFERROR(__xludf.DUMMYFUNCTION("""COMPUTED_VALUE"""),-0.3313561531937706)</f>
        <v>-0.3313561532</v>
      </c>
      <c r="AF82" s="114">
        <f>IFERROR(__xludf.DUMMYFUNCTION("""COMPUTED_VALUE"""),-0.33996424832754024)</f>
        <v>-0.3399642483</v>
      </c>
      <c r="AG82" s="118">
        <f>IFERROR(__xludf.DUMMYFUNCTION("""COMPUTED_VALUE"""),0.0)</f>
        <v>0</v>
      </c>
      <c r="AH82" s="105"/>
      <c r="AI82" s="202"/>
      <c r="AJ82" s="63"/>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row>
    <row r="83">
      <c r="A83" s="109">
        <f>VLOOKUP($F83,UpdateHashtag!$V$3:$Y$32,COLUMN(B$9),0)</f>
        <v>2</v>
      </c>
      <c r="B83" s="91" t="str">
        <f>VLOOKUP($F83,UpdateHashtag!$V$3:$Y$32,COLUMN(#REF!),0)</f>
        <v>#REF!</v>
      </c>
      <c r="C83" s="91" t="str">
        <f>VLOOKUP($F83,UpdateHashtag!$V$3:$Y$32,COLUMN(#REF!),0)</f>
        <v>#REF!</v>
      </c>
      <c r="D83" s="110" t="str">
        <f t="shared" si="2"/>
        <v>#REF!</v>
      </c>
      <c r="E83" s="11"/>
      <c r="F83" s="94" t="str">
        <f>VLOOKUP(J83,UpdateBBM!$C$2:E1009,3,0)</f>
        <v>ORL</v>
      </c>
      <c r="G83" s="78">
        <v>70.0</v>
      </c>
      <c r="H83" s="111">
        <f>IFERROR(__xludf.DUMMYFUNCTION("""COMPUTED_VALUE"""),70.0)</f>
        <v>70</v>
      </c>
      <c r="I83" s="111"/>
      <c r="J83" s="112" t="str">
        <f>IFERROR(__xludf.DUMMYFUNCTION("""COMPUTED_VALUE"""),"Franz Wagner")</f>
        <v>Franz Wagner</v>
      </c>
      <c r="K83" s="111">
        <f>IFERROR(__xludf.DUMMYFUNCTION("""COMPUTED_VALUE"""),73.0)</f>
        <v>73</v>
      </c>
      <c r="L83" s="113" t="str">
        <f>IFERROR(__xludf.DUMMYFUNCTION("""COMPUTED_VALUE"""),"F")</f>
        <v>F</v>
      </c>
      <c r="M83" s="114">
        <f>IFERROR(__xludf.DUMMYFUNCTION("""COMPUTED_VALUE"""),1.4430209772675373)</f>
        <v>1.443020977</v>
      </c>
      <c r="N83" s="114">
        <f>IFERROR(__xludf.DUMMYFUNCTION("""COMPUTED_VALUE"""),1.4569398011880508)</f>
        <v>1.456939801</v>
      </c>
      <c r="O83" s="115">
        <f>IFERROR(__xludf.DUMMYFUNCTION("""COMPUTED_VALUE"""),0.013918823920513468)</f>
        <v>0.01391882392</v>
      </c>
      <c r="P83" s="116">
        <f>IFERROR(__xludf.DUMMYFUNCTION("""COMPUTED_VALUE"""),20.80904)</f>
        <v>20.80904</v>
      </c>
      <c r="Q83" s="116">
        <f>IFERROR(__xludf.DUMMYFUNCTION("""COMPUTED_VALUE"""),1.599315)</f>
        <v>1.599315</v>
      </c>
      <c r="R83" s="116">
        <f>IFERROR(__xludf.DUMMYFUNCTION("""COMPUTED_VALUE"""),5.761644)</f>
        <v>5.761644</v>
      </c>
      <c r="S83" s="117">
        <f>IFERROR(__xludf.DUMMYFUNCTION("""COMPUTED_VALUE"""),3.817945)</f>
        <v>3.817945</v>
      </c>
      <c r="T83" s="116">
        <f>IFERROR(__xludf.DUMMYFUNCTION("""COMPUTED_VALUE"""),1.107397)</f>
        <v>1.107397</v>
      </c>
      <c r="U83" s="116">
        <f>IFERROR(__xludf.DUMMYFUNCTION("""COMPUTED_VALUE"""),0.278219)</f>
        <v>0.278219</v>
      </c>
      <c r="V83" s="113">
        <f>IFERROR(__xludf.DUMMYFUNCTION("""COMPUTED_VALUE"""),0.485499)</f>
        <v>0.485499</v>
      </c>
      <c r="W83" s="113">
        <f>IFERROR(__xludf.DUMMYFUNCTION("""COMPUTED_VALUE"""),0.866993)</f>
        <v>0.866993</v>
      </c>
      <c r="X83" s="116">
        <f>IFERROR(__xludf.DUMMYFUNCTION("""COMPUTED_VALUE"""),1.804795)</f>
        <v>1.804795</v>
      </c>
      <c r="Y83" s="114">
        <f>IFERROR(__xludf.DUMMYFUNCTION("""COMPUTED_VALUE"""),0.6376341930471315)</f>
        <v>0.637634193</v>
      </c>
      <c r="Z83" s="114">
        <f>IFERROR(__xludf.DUMMYFUNCTION("""COMPUTED_VALUE"""),-0.16442219274827496)</f>
        <v>-0.1644221927</v>
      </c>
      <c r="AA83" s="114">
        <f>IFERROR(__xludf.DUMMYFUNCTION("""COMPUTED_VALUE"""),-0.14789392093684073)</f>
        <v>-0.1478939209</v>
      </c>
      <c r="AB83" s="114">
        <f>IFERROR(__xludf.DUMMYFUNCTION("""COMPUTED_VALUE"""),-0.00925898349337484)</f>
        <v>-0.009258983493</v>
      </c>
      <c r="AC83" s="114">
        <f>IFERROR(__xludf.DUMMYFUNCTION("""COMPUTED_VALUE"""),0.18956600120354902)</f>
        <v>0.1895660012</v>
      </c>
      <c r="AD83" s="114">
        <f>IFERROR(__xludf.DUMMYFUNCTION("""COMPUTED_VALUE"""),-0.8217383971714799)</f>
        <v>-0.8217383972</v>
      </c>
      <c r="AE83" s="114">
        <f>IFERROR(__xludf.DUMMYFUNCTION("""COMPUTED_VALUE"""),-0.14122861176836715)</f>
        <v>-0.1412286118</v>
      </c>
      <c r="AF83" s="114">
        <f>IFERROR(__xludf.DUMMYFUNCTION("""COMPUTED_VALUE"""),1.0925433158842277)</f>
        <v>1.092543316</v>
      </c>
      <c r="AG83" s="118">
        <f>IFERROR(__xludf.DUMMYFUNCTION("""COMPUTED_VALUE"""),0.0)</f>
        <v>0</v>
      </c>
      <c r="AH83" s="105"/>
      <c r="AI83" s="202"/>
      <c r="AJ83" s="63"/>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c r="BT83" s="105"/>
      <c r="BU83" s="105"/>
      <c r="BV83" s="105"/>
    </row>
    <row r="84">
      <c r="A84" s="109">
        <f>VLOOKUP($F84,UpdateHashtag!$V$3:$Y$32,COLUMN(B$9),0)</f>
        <v>2</v>
      </c>
      <c r="B84" s="91" t="str">
        <f>VLOOKUP($F84,UpdateHashtag!$V$3:$Y$32,COLUMN(#REF!),0)</f>
        <v>#REF!</v>
      </c>
      <c r="C84" s="91" t="str">
        <f>VLOOKUP($F84,UpdateHashtag!$V$3:$Y$32,COLUMN(#REF!),0)</f>
        <v>#REF!</v>
      </c>
      <c r="D84" s="110" t="str">
        <f t="shared" si="2"/>
        <v>#REF!</v>
      </c>
      <c r="E84" s="11"/>
      <c r="F84" s="94" t="str">
        <f>VLOOKUP(J84,UpdateBBM!$C$2:E1009,3,0)</f>
        <v>CHI</v>
      </c>
      <c r="G84" s="78">
        <v>71.0</v>
      </c>
      <c r="H84" s="111">
        <f>IFERROR(__xludf.DUMMYFUNCTION("""COMPUTED_VALUE"""),71.0)</f>
        <v>71</v>
      </c>
      <c r="I84" s="111"/>
      <c r="J84" s="112" t="str">
        <f>IFERROR(__xludf.DUMMYFUNCTION("""COMPUTED_VALUE"""),"Nikola Vucevic")</f>
        <v>Nikola Vucevic</v>
      </c>
      <c r="K84" s="111">
        <f>IFERROR(__xludf.DUMMYFUNCTION("""COMPUTED_VALUE"""),73.0)</f>
        <v>73</v>
      </c>
      <c r="L84" s="113" t="str">
        <f>IFERROR(__xludf.DUMMYFUNCTION("""COMPUTED_VALUE"""),"C")</f>
        <v>C</v>
      </c>
      <c r="M84" s="114">
        <f>IFERROR(__xludf.DUMMYFUNCTION("""COMPUTED_VALUE"""),1.3972927435521594)</f>
        <v>1.397292744</v>
      </c>
      <c r="N84" s="114">
        <f>IFERROR(__xludf.DUMMYFUNCTION("""COMPUTED_VALUE"""),1.3667444029960727)</f>
        <v>1.366744403</v>
      </c>
      <c r="O84" s="115">
        <f>IFERROR(__xludf.DUMMYFUNCTION("""COMPUTED_VALUE"""),-0.030548340556086684)</f>
        <v>-0.03054834056</v>
      </c>
      <c r="P84" s="116">
        <f>IFERROR(__xludf.DUMMYFUNCTION("""COMPUTED_VALUE"""),17.2374)</f>
        <v>17.2374</v>
      </c>
      <c r="Q84" s="116">
        <f>IFERROR(__xludf.DUMMYFUNCTION("""COMPUTED_VALUE"""),1.530411)</f>
        <v>1.530411</v>
      </c>
      <c r="R84" s="116">
        <f>IFERROR(__xludf.DUMMYFUNCTION("""COMPUTED_VALUE"""),9.815068)</f>
        <v>9.815068</v>
      </c>
      <c r="S84" s="117">
        <f>IFERROR(__xludf.DUMMYFUNCTION("""COMPUTED_VALUE"""),3.25)</f>
        <v>3.25</v>
      </c>
      <c r="T84" s="116">
        <f>IFERROR(__xludf.DUMMYFUNCTION("""COMPUTED_VALUE"""),0.844658)</f>
        <v>0.844658</v>
      </c>
      <c r="U84" s="116">
        <f>IFERROR(__xludf.DUMMYFUNCTION("""COMPUTED_VALUE"""),0.715205)</f>
        <v>0.715205</v>
      </c>
      <c r="V84" s="113">
        <f>IFERROR(__xludf.DUMMYFUNCTION("""COMPUTED_VALUE"""),0.50581)</f>
        <v>0.50581</v>
      </c>
      <c r="W84" s="113">
        <f>IFERROR(__xludf.DUMMYFUNCTION("""COMPUTED_VALUE"""),0.806977)</f>
        <v>0.806977</v>
      </c>
      <c r="X84" s="116">
        <f>IFERROR(__xludf.DUMMYFUNCTION("""COMPUTED_VALUE"""),1.625479)</f>
        <v>1.625479</v>
      </c>
      <c r="Y84" s="114">
        <f>IFERROR(__xludf.DUMMYFUNCTION("""COMPUTED_VALUE"""),0.011016342528618318)</f>
        <v>0.01101634253</v>
      </c>
      <c r="Z84" s="114">
        <f>IFERROR(__xludf.DUMMYFUNCTION("""COMPUTED_VALUE"""),-0.23097198008377162)</f>
        <v>-0.2309719801</v>
      </c>
      <c r="AA84" s="114">
        <f>IFERROR(__xludf.DUMMYFUNCTION("""COMPUTED_VALUE"""),1.4951761151633614)</f>
        <v>1.495176115</v>
      </c>
      <c r="AB84" s="114">
        <f>IFERROR(__xludf.DUMMYFUNCTION("""COMPUTED_VALUE"""),-0.2867083495392437)</f>
        <v>-0.2867083495</v>
      </c>
      <c r="AC84" s="114">
        <f>IFERROR(__xludf.DUMMYFUNCTION("""COMPUTED_VALUE"""),-0.6110601718153968)</f>
        <v>-0.6110601718</v>
      </c>
      <c r="AD84" s="114">
        <f>IFERROR(__xludf.DUMMYFUNCTION("""COMPUTED_VALUE"""),-0.027301246750364577)</f>
        <v>-0.02730124675</v>
      </c>
      <c r="AE84" s="114">
        <f>IFERROR(__xludf.DUMMYFUNCTION("""COMPUTED_VALUE"""),0.16147717848258772)</f>
        <v>0.1614771785</v>
      </c>
      <c r="AF84" s="114">
        <f>IFERROR(__xludf.DUMMYFUNCTION("""COMPUTED_VALUE"""),0.2440563431948851)</f>
        <v>0.2440563432</v>
      </c>
      <c r="AG84" s="118">
        <f>IFERROR(__xludf.DUMMYFUNCTION("""COMPUTED_VALUE"""),0.0)</f>
        <v>0</v>
      </c>
      <c r="AH84" s="105"/>
      <c r="AI84" s="202"/>
      <c r="AJ84" s="63"/>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5"/>
      <c r="BT84" s="105"/>
      <c r="BU84" s="105"/>
      <c r="BV84" s="105"/>
    </row>
    <row r="85">
      <c r="A85" s="109">
        <f>VLOOKUP($F85,UpdateHashtag!$V$3:$Y$32,COLUMN(B$9),0)</f>
        <v>4</v>
      </c>
      <c r="B85" s="91" t="str">
        <f>VLOOKUP($F85,UpdateHashtag!$V$3:$Y$32,COLUMN(#REF!),0)</f>
        <v>#REF!</v>
      </c>
      <c r="C85" s="91" t="str">
        <f>VLOOKUP($F85,UpdateHashtag!$V$3:$Y$32,COLUMN(#REF!),0)</f>
        <v>#REF!</v>
      </c>
      <c r="D85" s="110" t="str">
        <f t="shared" si="2"/>
        <v>#REF!</v>
      </c>
      <c r="E85" s="11"/>
      <c r="F85" s="94" t="str">
        <f>VLOOKUP(J85,UpdateBBM!$C$2:E1009,3,0)</f>
        <v>OKC</v>
      </c>
      <c r="G85" s="78">
        <v>72.0</v>
      </c>
      <c r="H85" s="111">
        <f>IFERROR(__xludf.DUMMYFUNCTION("""COMPUTED_VALUE"""),72.0)</f>
        <v>72</v>
      </c>
      <c r="I85" s="111"/>
      <c r="J85" s="112" t="str">
        <f>IFERROR(__xludf.DUMMYFUNCTION("""COMPUTED_VALUE"""),"Isaiah Hartenstein")</f>
        <v>Isaiah Hartenstein</v>
      </c>
      <c r="K85" s="111">
        <f>IFERROR(__xludf.DUMMYFUNCTION("""COMPUTED_VALUE"""),68.0)</f>
        <v>68</v>
      </c>
      <c r="L85" s="113" t="str">
        <f>IFERROR(__xludf.DUMMYFUNCTION("""COMPUTED_VALUE"""),"C")</f>
        <v>C</v>
      </c>
      <c r="M85" s="114">
        <f>IFERROR(__xludf.DUMMYFUNCTION("""COMPUTED_VALUE"""),1.2332626321228632)</f>
        <v>1.233262632</v>
      </c>
      <c r="N85" s="114">
        <f>IFERROR(__xludf.DUMMYFUNCTION("""COMPUTED_VALUE"""),1.1837781277743784)</f>
        <v>1.183778128</v>
      </c>
      <c r="O85" s="115">
        <f>IFERROR(__xludf.DUMMYFUNCTION("""COMPUTED_VALUE"""),-0.04948450434848484)</f>
        <v>-0.04948450435</v>
      </c>
      <c r="P85" s="116">
        <f>IFERROR(__xludf.DUMMYFUNCTION("""COMPUTED_VALUE"""),10.70441)</f>
        <v>10.70441</v>
      </c>
      <c r="Q85" s="116">
        <f>IFERROR(__xludf.DUMMYFUNCTION("""COMPUTED_VALUE"""),0.062941)</f>
        <v>0.062941</v>
      </c>
      <c r="R85" s="116">
        <f>IFERROR(__xludf.DUMMYFUNCTION("""COMPUTED_VALUE"""),9.466912)</f>
        <v>9.466912</v>
      </c>
      <c r="S85" s="117">
        <f>IFERROR(__xludf.DUMMYFUNCTION("""COMPUTED_VALUE"""),3.4425)</f>
        <v>3.4425</v>
      </c>
      <c r="T85" s="116">
        <f>IFERROR(__xludf.DUMMYFUNCTION("""COMPUTED_VALUE"""),0.911618)</f>
        <v>0.911618</v>
      </c>
      <c r="U85" s="116">
        <f>IFERROR(__xludf.DUMMYFUNCTION("""COMPUTED_VALUE"""),1.095)</f>
        <v>1.095</v>
      </c>
      <c r="V85" s="113">
        <f>IFERROR(__xludf.DUMMYFUNCTION("""COMPUTED_VALUE"""),0.599334)</f>
        <v>0.599334</v>
      </c>
      <c r="W85" s="113">
        <f>IFERROR(__xludf.DUMMYFUNCTION("""COMPUTED_VALUE"""),0.700976)</f>
        <v>0.700976</v>
      </c>
      <c r="X85" s="116">
        <f>IFERROR(__xludf.DUMMYFUNCTION("""COMPUTED_VALUE"""),1.549118)</f>
        <v>1.549118</v>
      </c>
      <c r="Y85" s="114">
        <f>IFERROR(__xludf.DUMMYFUNCTION("""COMPUTED_VALUE"""),-1.135148486865986)</f>
        <v>-1.135148487</v>
      </c>
      <c r="Z85" s="114">
        <f>IFERROR(__xludf.DUMMYFUNCTION("""COMPUTED_VALUE"""),-1.648303577976799)</f>
        <v>-1.648303578</v>
      </c>
      <c r="AA85" s="114">
        <f>IFERROR(__xludf.DUMMYFUNCTION("""COMPUTED_VALUE"""),1.3540498250223594)</f>
        <v>1.354049825</v>
      </c>
      <c r="AB85" s="114">
        <f>IFERROR(__xludf.DUMMYFUNCTION("""COMPUTED_VALUE"""),-0.19266930885074438)</f>
        <v>-0.1926693089</v>
      </c>
      <c r="AC85" s="114">
        <f>IFERROR(__xludf.DUMMYFUNCTION("""COMPUTED_VALUE"""),-0.4070176484543859)</f>
        <v>-0.4070176485</v>
      </c>
      <c r="AD85" s="114">
        <f>IFERROR(__xludf.DUMMYFUNCTION("""COMPUTED_VALUE"""),0.6631631103324424)</f>
        <v>0.6631631103</v>
      </c>
      <c r="AE85" s="114">
        <f>IFERROR(__xludf.DUMMYFUNCTION("""COMPUTED_VALUE"""),1.8751287045782699)</f>
        <v>1.875128705</v>
      </c>
      <c r="AF85" s="114">
        <f>IFERROR(__xludf.DUMMYFUNCTION("""COMPUTED_VALUE"""),-0.9737280679875768)</f>
        <v>-0.973728068</v>
      </c>
      <c r="AG85" s="118">
        <f>IFERROR(__xludf.DUMMYFUNCTION("""COMPUTED_VALUE"""),0.0)</f>
        <v>0</v>
      </c>
      <c r="AH85" s="105"/>
      <c r="AI85" s="202"/>
      <c r="AJ85" s="63"/>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5"/>
      <c r="BT85" s="105"/>
      <c r="BU85" s="105"/>
      <c r="BV85" s="105"/>
    </row>
    <row r="86">
      <c r="A86" s="109">
        <f>VLOOKUP($F86,UpdateHashtag!$V$3:$Y$32,COLUMN(B$9),0)</f>
        <v>3</v>
      </c>
      <c r="B86" s="91" t="str">
        <f>VLOOKUP($F86,UpdateHashtag!$V$3:$Y$32,COLUMN(#REF!),0)</f>
        <v>#REF!</v>
      </c>
      <c r="C86" s="91" t="str">
        <f>VLOOKUP($F86,UpdateHashtag!$V$3:$Y$32,COLUMN(#REF!),0)</f>
        <v>#REF!</v>
      </c>
      <c r="D86" s="110" t="str">
        <f t="shared" si="2"/>
        <v>#REF!</v>
      </c>
      <c r="E86" s="11"/>
      <c r="F86" s="94" t="str">
        <f>VLOOKUP(J86,UpdateBBM!$C$2:E1009,3,0)</f>
        <v>LAL</v>
      </c>
      <c r="G86" s="78">
        <v>73.0</v>
      </c>
      <c r="H86" s="111">
        <f>IFERROR(__xludf.DUMMYFUNCTION("""COMPUTED_VALUE"""),73.0)</f>
        <v>73</v>
      </c>
      <c r="I86" s="111"/>
      <c r="J86" s="112" t="str">
        <f>IFERROR(__xludf.DUMMYFUNCTION("""COMPUTED_VALUE"""),"Deandre Ayton")</f>
        <v>Deandre Ayton</v>
      </c>
      <c r="K86" s="111">
        <f>IFERROR(__xludf.DUMMYFUNCTION("""COMPUTED_VALUE"""),68.0)</f>
        <v>68</v>
      </c>
      <c r="L86" s="113" t="str">
        <f>IFERROR(__xludf.DUMMYFUNCTION("""COMPUTED_VALUE"""),"C")</f>
        <v>C</v>
      </c>
      <c r="M86" s="114">
        <f>IFERROR(__xludf.DUMMYFUNCTION("""COMPUTED_VALUE"""),1.0940373253837588)</f>
        <v>1.094037325</v>
      </c>
      <c r="N86" s="114">
        <f>IFERROR(__xludf.DUMMYFUNCTION("""COMPUTED_VALUE"""),1.0492205887578587)</f>
        <v>1.049220589</v>
      </c>
      <c r="O86" s="115">
        <f>IFERROR(__xludf.DUMMYFUNCTION("""COMPUTED_VALUE"""),-0.04481673662590002)</f>
        <v>-0.04481673663</v>
      </c>
      <c r="P86" s="116">
        <f>IFERROR(__xludf.DUMMYFUNCTION("""COMPUTED_VALUE"""),14.84897)</f>
        <v>14.84897</v>
      </c>
      <c r="Q86" s="116">
        <f>IFERROR(__xludf.DUMMYFUNCTION("""COMPUTED_VALUE"""),0.093088)</f>
        <v>0.093088</v>
      </c>
      <c r="R86" s="116">
        <f>IFERROR(__xludf.DUMMYFUNCTION("""COMPUTED_VALUE"""),10.64926)</f>
        <v>10.64926</v>
      </c>
      <c r="S86" s="117">
        <f>IFERROR(__xludf.DUMMYFUNCTION("""COMPUTED_VALUE"""),1.567941)</f>
        <v>1.567941</v>
      </c>
      <c r="T86" s="116">
        <f>IFERROR(__xludf.DUMMYFUNCTION("""COMPUTED_VALUE"""),0.856765)</f>
        <v>0.856765</v>
      </c>
      <c r="U86" s="116">
        <f>IFERROR(__xludf.DUMMYFUNCTION("""COMPUTED_VALUE"""),0.974265)</f>
        <v>0.974265</v>
      </c>
      <c r="V86" s="113">
        <f>IFERROR(__xludf.DUMMYFUNCTION("""COMPUTED_VALUE"""),0.574801)</f>
        <v>0.574801</v>
      </c>
      <c r="W86" s="113">
        <f>IFERROR(__xludf.DUMMYFUNCTION("""COMPUTED_VALUE"""),0.744962)</f>
        <v>0.744962</v>
      </c>
      <c r="X86" s="116">
        <f>IFERROR(__xludf.DUMMYFUNCTION("""COMPUTED_VALUE"""),1.567941)</f>
        <v>1.567941</v>
      </c>
      <c r="Y86" s="114">
        <f>IFERROR(__xludf.DUMMYFUNCTION("""COMPUTED_VALUE"""),-0.4080160551133428)</f>
        <v>-0.4080160551</v>
      </c>
      <c r="Z86" s="114">
        <f>IFERROR(__xludf.DUMMYFUNCTION("""COMPUTED_VALUE"""),-1.6191865972673594)</f>
        <v>-1.619186597</v>
      </c>
      <c r="AA86" s="114">
        <f>IFERROR(__xludf.DUMMYFUNCTION("""COMPUTED_VALUE"""),1.8333188506764733)</f>
        <v>1.833318851</v>
      </c>
      <c r="AB86" s="114">
        <f>IFERROR(__xludf.DUMMYFUNCTION("""COMPUTED_VALUE"""),-1.1084185559883681)</f>
        <v>-1.108418556</v>
      </c>
      <c r="AC86" s="114">
        <f>IFERROR(__xludf.DUMMYFUNCTION("""COMPUTED_VALUE"""),-0.574167357742342)</f>
        <v>-0.5741673577</v>
      </c>
      <c r="AD86" s="114">
        <f>IFERROR(__xludf.DUMMYFUNCTION("""COMPUTED_VALUE"""),0.443667819050586)</f>
        <v>0.4436678191</v>
      </c>
      <c r="AE86" s="114">
        <f>IFERROR(__xludf.DUMMYFUNCTION("""COMPUTED_VALUE"""),1.374763531801243)</f>
        <v>1.374763532</v>
      </c>
      <c r="AF86" s="114">
        <f>IFERROR(__xludf.DUMMYFUNCTION("""COMPUTED_VALUE"""),-0.5119276439263907)</f>
        <v>-0.5119276439</v>
      </c>
      <c r="AG86" s="118">
        <f>IFERROR(__xludf.DUMMYFUNCTION("""COMPUTED_VALUE"""),0.0)</f>
        <v>0</v>
      </c>
      <c r="AH86" s="105"/>
      <c r="AI86" s="202"/>
      <c r="AJ86" s="63"/>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row>
    <row r="87">
      <c r="A87" s="109">
        <f>VLOOKUP($F87,UpdateHashtag!$V$3:$Y$32,COLUMN(B$9),0)</f>
        <v>4</v>
      </c>
      <c r="B87" s="91" t="str">
        <f>VLOOKUP($F87,UpdateHashtag!$V$3:$Y$32,COLUMN(#REF!),0)</f>
        <v>#REF!</v>
      </c>
      <c r="C87" s="91" t="str">
        <f>VLOOKUP($F87,UpdateHashtag!$V$3:$Y$32,COLUMN(#REF!),0)</f>
        <v>#REF!</v>
      </c>
      <c r="D87" s="110" t="str">
        <f t="shared" si="2"/>
        <v>#REF!</v>
      </c>
      <c r="E87" s="11"/>
      <c r="F87" s="94" t="str">
        <f>VLOOKUP(J87,UpdateBBM!$C$2:E1009,3,0)</f>
        <v>ATL</v>
      </c>
      <c r="G87" s="78">
        <v>74.0</v>
      </c>
      <c r="H87" s="111">
        <f>IFERROR(__xludf.DUMMYFUNCTION("""COMPUTED_VALUE"""),74.0)</f>
        <v>74</v>
      </c>
      <c r="I87" s="111"/>
      <c r="J87" s="112" t="str">
        <f>IFERROR(__xludf.DUMMYFUNCTION("""COMPUTED_VALUE"""),"Onyeka Okongwu")</f>
        <v>Onyeka Okongwu</v>
      </c>
      <c r="K87" s="111">
        <f>IFERROR(__xludf.DUMMYFUNCTION("""COMPUTED_VALUE"""),73.0)</f>
        <v>73</v>
      </c>
      <c r="L87" s="113" t="str">
        <f>IFERROR(__xludf.DUMMYFUNCTION("""COMPUTED_VALUE"""),"C")</f>
        <v>C</v>
      </c>
      <c r="M87" s="114">
        <f>IFERROR(__xludf.DUMMYFUNCTION("""COMPUTED_VALUE"""),1.056075550881152)</f>
        <v>1.056075551</v>
      </c>
      <c r="N87" s="114">
        <f>IFERROR(__xludf.DUMMYFUNCTION("""COMPUTED_VALUE"""),0.9286785315410034)</f>
        <v>0.9286785315</v>
      </c>
      <c r="O87" s="115">
        <f>IFERROR(__xludf.DUMMYFUNCTION("""COMPUTED_VALUE"""),-0.12739701934014847)</f>
        <v>-0.1273970193</v>
      </c>
      <c r="P87" s="116">
        <f>IFERROR(__xludf.DUMMYFUNCTION("""COMPUTED_VALUE"""),14.09507)</f>
        <v>14.09507</v>
      </c>
      <c r="Q87" s="116">
        <f>IFERROR(__xludf.DUMMYFUNCTION("""COMPUTED_VALUE"""),0.916164)</f>
        <v>0.916164</v>
      </c>
      <c r="R87" s="116">
        <f>IFERROR(__xludf.DUMMYFUNCTION("""COMPUTED_VALUE"""),8.645068)</f>
        <v>8.645068</v>
      </c>
      <c r="S87" s="117">
        <f>IFERROR(__xludf.DUMMYFUNCTION("""COMPUTED_VALUE"""),2.21)</f>
        <v>2.21</v>
      </c>
      <c r="T87" s="116">
        <f>IFERROR(__xludf.DUMMYFUNCTION("""COMPUTED_VALUE"""),0.969589)</f>
        <v>0.969589</v>
      </c>
      <c r="U87" s="116">
        <f>IFERROR(__xludf.DUMMYFUNCTION("""COMPUTED_VALUE"""),0.844932)</f>
        <v>0.844932</v>
      </c>
      <c r="V87" s="113">
        <f>IFERROR(__xludf.DUMMYFUNCTION("""COMPUTED_VALUE"""),0.564522)</f>
        <v>0.564522</v>
      </c>
      <c r="W87" s="113">
        <f>IFERROR(__xludf.DUMMYFUNCTION("""COMPUTED_VALUE"""),0.795022)</f>
        <v>0.795022</v>
      </c>
      <c r="X87" s="116">
        <f>IFERROR(__xludf.DUMMYFUNCTION("""COMPUTED_VALUE"""),1.234932)</f>
        <v>1.234932</v>
      </c>
      <c r="Y87" s="114">
        <f>IFERROR(__xludf.DUMMYFUNCTION("""COMPUTED_VALUE"""),-0.5402822402568364)</f>
        <v>-0.5402822403</v>
      </c>
      <c r="Z87" s="114">
        <f>IFERROR(__xludf.DUMMYFUNCTION("""COMPUTED_VALUE"""),-0.8242322729762998)</f>
        <v>-0.824232273</v>
      </c>
      <c r="AA87" s="114">
        <f>IFERROR(__xludf.DUMMYFUNCTION("""COMPUTED_VALUE"""),1.0209123958393438)</f>
        <v>1.020912396</v>
      </c>
      <c r="AB87" s="114">
        <f>IFERROR(__xludf.DUMMYFUNCTION("""COMPUTED_VALUE"""),-0.7947634265056817)</f>
        <v>-0.7947634265</v>
      </c>
      <c r="AC87" s="114">
        <f>IFERROR(__xludf.DUMMYFUNCTION("""COMPUTED_VALUE"""),-0.23036667590717627)</f>
        <v>-0.2303666759</v>
      </c>
      <c r="AD87" s="114">
        <f>IFERROR(__xludf.DUMMYFUNCTION("""COMPUTED_VALUE"""),0.20854143061842997)</f>
        <v>0.2085414306</v>
      </c>
      <c r="AE87" s="114">
        <f>IFERROR(__xludf.DUMMYFUNCTION("""COMPUTED_VALUE"""),1.1758664133290917)</f>
        <v>1.175866413</v>
      </c>
      <c r="AF87" s="114">
        <f>IFERROR(__xludf.DUMMYFUNCTION("""COMPUTED_VALUE"""),0.0887706344238326)</f>
        <v>0.08877063442</v>
      </c>
      <c r="AG87" s="118">
        <f>IFERROR(__xludf.DUMMYFUNCTION("""COMPUTED_VALUE"""),0.0)</f>
        <v>0</v>
      </c>
      <c r="AH87" s="105"/>
      <c r="AI87" s="202"/>
      <c r="AJ87" s="63"/>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c r="BI87" s="105"/>
      <c r="BJ87" s="105"/>
      <c r="BK87" s="105"/>
      <c r="BL87" s="105"/>
      <c r="BM87" s="105"/>
      <c r="BN87" s="105"/>
      <c r="BO87" s="105"/>
      <c r="BP87" s="105"/>
      <c r="BQ87" s="105"/>
      <c r="BR87" s="105"/>
      <c r="BS87" s="105"/>
      <c r="BT87" s="105"/>
      <c r="BU87" s="105"/>
      <c r="BV87" s="105"/>
    </row>
    <row r="88">
      <c r="A88" s="109">
        <f>VLOOKUP($F88,UpdateHashtag!$V$3:$Y$32,COLUMN(B$9),0)</f>
        <v>3</v>
      </c>
      <c r="B88" s="91" t="str">
        <f>VLOOKUP($F88,UpdateHashtag!$V$3:$Y$32,COLUMN(#REF!),0)</f>
        <v>#REF!</v>
      </c>
      <c r="C88" s="91" t="str">
        <f>VLOOKUP($F88,UpdateHashtag!$V$3:$Y$32,COLUMN(#REF!),0)</f>
        <v>#REF!</v>
      </c>
      <c r="D88" s="110" t="str">
        <f t="shared" si="2"/>
        <v>#REF!</v>
      </c>
      <c r="E88" s="11"/>
      <c r="F88" s="94" t="str">
        <f>VLOOKUP(J88,UpdateBBM!$C$2:E1009,3,0)</f>
        <v>WAS</v>
      </c>
      <c r="G88" s="78">
        <v>75.0</v>
      </c>
      <c r="H88" s="111">
        <f>IFERROR(__xludf.DUMMYFUNCTION("""COMPUTED_VALUE"""),75.0)</f>
        <v>75</v>
      </c>
      <c r="I88" s="111"/>
      <c r="J88" s="112" t="str">
        <f>IFERROR(__xludf.DUMMYFUNCTION("""COMPUTED_VALUE"""),"Alexandre Sarr")</f>
        <v>Alexandre Sarr</v>
      </c>
      <c r="K88" s="111">
        <f>IFERROR(__xludf.DUMMYFUNCTION("""COMPUTED_VALUE"""),73.0)</f>
        <v>73</v>
      </c>
      <c r="L88" s="113" t="str">
        <f>IFERROR(__xludf.DUMMYFUNCTION("""COMPUTED_VALUE"""),"F,C")</f>
        <v>F,C</v>
      </c>
      <c r="M88" s="114">
        <f>IFERROR(__xludf.DUMMYFUNCTION("""COMPUTED_VALUE"""),0.9432082951620109)</f>
        <v>0.9432082952</v>
      </c>
      <c r="N88" s="114">
        <f>IFERROR(__xludf.DUMMYFUNCTION("""COMPUTED_VALUE"""),1.0145024976197798)</f>
        <v>1.014502498</v>
      </c>
      <c r="O88" s="115">
        <f>IFERROR(__xludf.DUMMYFUNCTION("""COMPUTED_VALUE"""),0.07129420245776896)</f>
        <v>0.07129420246</v>
      </c>
      <c r="P88" s="116">
        <f>IFERROR(__xludf.DUMMYFUNCTION("""COMPUTED_VALUE"""),17.26192)</f>
        <v>17.26192</v>
      </c>
      <c r="Q88" s="116">
        <f>IFERROR(__xludf.DUMMYFUNCTION("""COMPUTED_VALUE"""),1.937534)</f>
        <v>1.937534</v>
      </c>
      <c r="R88" s="116">
        <f>IFERROR(__xludf.DUMMYFUNCTION("""COMPUTED_VALUE"""),7.916027)</f>
        <v>7.916027</v>
      </c>
      <c r="S88" s="117">
        <f>IFERROR(__xludf.DUMMYFUNCTION("""COMPUTED_VALUE"""),3.259589)</f>
        <v>3.259589</v>
      </c>
      <c r="T88" s="116">
        <f>IFERROR(__xludf.DUMMYFUNCTION("""COMPUTED_VALUE"""),0.748493)</f>
        <v>0.748493</v>
      </c>
      <c r="U88" s="116">
        <f>IFERROR(__xludf.DUMMYFUNCTION("""COMPUTED_VALUE"""),1.796027)</f>
        <v>1.796027</v>
      </c>
      <c r="V88" s="113">
        <f>IFERROR(__xludf.DUMMYFUNCTION("""COMPUTED_VALUE"""),0.427608)</f>
        <v>0.427608</v>
      </c>
      <c r="W88" s="113">
        <f>IFERROR(__xludf.DUMMYFUNCTION("""COMPUTED_VALUE"""),0.729991)</f>
        <v>0.729991</v>
      </c>
      <c r="X88" s="116">
        <f>IFERROR(__xludf.DUMMYFUNCTION("""COMPUTED_VALUE"""),2.036164)</f>
        <v>2.036164</v>
      </c>
      <c r="Y88" s="114">
        <f>IFERROR(__xludf.DUMMYFUNCTION("""COMPUTED_VALUE"""),0.015318195373449632)</f>
        <v>0.01531819537</v>
      </c>
      <c r="Z88" s="114">
        <f>IFERROR(__xludf.DUMMYFUNCTION("""COMPUTED_VALUE"""),0.16224102742507224)</f>
        <v>0.1622410274</v>
      </c>
      <c r="AA88" s="114">
        <f>IFERROR(__xludf.DUMMYFUNCTION("""COMPUTED_VALUE"""),0.7253929973780606)</f>
        <v>0.7253929974</v>
      </c>
      <c r="AB88" s="114">
        <f>IFERROR(__xludf.DUMMYFUNCTION("""COMPUTED_VALUE"""),-0.28202398402671364)</f>
        <v>-0.282023984</v>
      </c>
      <c r="AC88" s="114">
        <f>IFERROR(__xludf.DUMMYFUNCTION("""COMPUTED_VALUE"""),-0.9040970484434078)</f>
        <v>-0.9040970484</v>
      </c>
      <c r="AD88" s="114">
        <f>IFERROR(__xludf.DUMMYFUNCTION("""COMPUTED_VALUE"""),1.937624745827088)</f>
        <v>1.937624746</v>
      </c>
      <c r="AE88" s="114">
        <f>IFERROR(__xludf.DUMMYFUNCTION("""COMPUTED_VALUE"""),-0.8680134562071855)</f>
        <v>-0.8680134562</v>
      </c>
      <c r="AF88" s="114">
        <f>IFERROR(__xludf.DUMMYFUNCTION("""COMPUTED_VALUE"""),-0.6760370281499916)</f>
        <v>-0.6760370281</v>
      </c>
      <c r="AG88" s="118">
        <f>IFERROR(__xludf.DUMMYFUNCTION("""COMPUTED_VALUE"""),0.0)</f>
        <v>0</v>
      </c>
      <c r="AH88" s="105"/>
      <c r="AI88" s="202"/>
      <c r="AJ88" s="63"/>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c r="BI88" s="105"/>
      <c r="BJ88" s="105"/>
      <c r="BK88" s="105"/>
      <c r="BL88" s="105"/>
      <c r="BM88" s="105"/>
      <c r="BN88" s="105"/>
      <c r="BO88" s="105"/>
      <c r="BP88" s="105"/>
      <c r="BQ88" s="105"/>
      <c r="BR88" s="105"/>
      <c r="BS88" s="105"/>
      <c r="BT88" s="105"/>
      <c r="BU88" s="105"/>
      <c r="BV88" s="105"/>
    </row>
    <row r="89">
      <c r="A89" s="109">
        <f>VLOOKUP($F89,UpdateHashtag!$V$3:$Y$32,COLUMN(B$9),0)</f>
        <v>3</v>
      </c>
      <c r="B89" s="91" t="str">
        <f>VLOOKUP($F89,UpdateHashtag!$V$3:$Y$32,COLUMN(#REF!),0)</f>
        <v>#REF!</v>
      </c>
      <c r="C89" s="91" t="str">
        <f>VLOOKUP($F89,UpdateHashtag!$V$3:$Y$32,COLUMN(#REF!),0)</f>
        <v>#REF!</v>
      </c>
      <c r="D89" s="110" t="str">
        <f t="shared" si="2"/>
        <v>#REF!</v>
      </c>
      <c r="E89" s="11"/>
      <c r="F89" s="94" t="str">
        <f>VLOOKUP(J89,UpdateBBM!$C$2:E1009,3,0)</f>
        <v>BKN</v>
      </c>
      <c r="G89" s="78">
        <v>76.0</v>
      </c>
      <c r="H89" s="111">
        <f>IFERROR(__xludf.DUMMYFUNCTION("""COMPUTED_VALUE"""),76.0)</f>
        <v>76</v>
      </c>
      <c r="I89" s="111"/>
      <c r="J89" s="112" t="str">
        <f>IFERROR(__xludf.DUMMYFUNCTION("""COMPUTED_VALUE"""),"Michael Porter Jr.")</f>
        <v>Michael Porter Jr.</v>
      </c>
      <c r="K89" s="111">
        <f>IFERROR(__xludf.DUMMYFUNCTION("""COMPUTED_VALUE"""),57.0)</f>
        <v>57</v>
      </c>
      <c r="L89" s="113" t="str">
        <f>IFERROR(__xludf.DUMMYFUNCTION("""COMPUTED_VALUE"""),"F")</f>
        <v>F</v>
      </c>
      <c r="M89" s="114">
        <f>IFERROR(__xludf.DUMMYFUNCTION("""COMPUTED_VALUE"""),0.8155165920826469)</f>
        <v>0.8155165921</v>
      </c>
      <c r="N89" s="114">
        <f>IFERROR(__xludf.DUMMYFUNCTION("""COMPUTED_VALUE"""),0.7621176897369775)</f>
        <v>0.7621176897</v>
      </c>
      <c r="O89" s="115">
        <f>IFERROR(__xludf.DUMMYFUNCTION("""COMPUTED_VALUE"""),-0.05339890234566946)</f>
        <v>-0.05339890235</v>
      </c>
      <c r="P89" s="116">
        <f>IFERROR(__xludf.DUMMYFUNCTION("""COMPUTED_VALUE"""),19.69175)</f>
        <v>19.69175</v>
      </c>
      <c r="Q89" s="116">
        <f>IFERROR(__xludf.DUMMYFUNCTION("""COMPUTED_VALUE"""),2.973684)</f>
        <v>2.973684</v>
      </c>
      <c r="R89" s="116">
        <f>IFERROR(__xludf.DUMMYFUNCTION("""COMPUTED_VALUE"""),7.0)</f>
        <v>7</v>
      </c>
      <c r="S89" s="117">
        <f>IFERROR(__xludf.DUMMYFUNCTION("""COMPUTED_VALUE"""),1.887193)</f>
        <v>1.887193</v>
      </c>
      <c r="T89" s="116">
        <f>IFERROR(__xludf.DUMMYFUNCTION("""COMPUTED_VALUE"""),0.59386)</f>
        <v>0.59386</v>
      </c>
      <c r="U89" s="116">
        <f>IFERROR(__xludf.DUMMYFUNCTION("""COMPUTED_VALUE"""),0.537018)</f>
        <v>0.537018</v>
      </c>
      <c r="V89" s="113">
        <f>IFERROR(__xludf.DUMMYFUNCTION("""COMPUTED_VALUE"""),0.468182)</f>
        <v>0.468182</v>
      </c>
      <c r="W89" s="113">
        <f>IFERROR(__xludf.DUMMYFUNCTION("""COMPUTED_VALUE"""),0.825007)</f>
        <v>0.825007</v>
      </c>
      <c r="X89" s="116">
        <f>IFERROR(__xludf.DUMMYFUNCTION("""COMPUTED_VALUE"""),1.533333)</f>
        <v>1.533333</v>
      </c>
      <c r="Y89" s="114">
        <f>IFERROR(__xludf.DUMMYFUNCTION("""COMPUTED_VALUE"""),0.44161391714983217)</f>
        <v>0.4416139171</v>
      </c>
      <c r="Z89" s="114">
        <f>IFERROR(__xludf.DUMMYFUNCTION("""COMPUTED_VALUE"""),1.1629893460665846)</f>
        <v>1.162989346</v>
      </c>
      <c r="AA89" s="114">
        <f>IFERROR(__xludf.DUMMYFUNCTION("""COMPUTED_VALUE"""),0.3540781494966746)</f>
        <v>0.3540781495</v>
      </c>
      <c r="AB89" s="114">
        <f>IFERROR(__xludf.DUMMYFUNCTION("""COMPUTED_VALUE"""),-0.9524593257655902)</f>
        <v>-0.9524593258</v>
      </c>
      <c r="AC89" s="114">
        <f>IFERROR(__xludf.DUMMYFUNCTION("""COMPUTED_VALUE"""),-1.3752993709476367)</f>
        <v>-1.375299371</v>
      </c>
      <c r="AD89" s="114">
        <f>IFERROR(__xludf.DUMMYFUNCTION("""COMPUTED_VALUE"""),-0.3512438273412468)</f>
        <v>-0.3512438273</v>
      </c>
      <c r="AE89" s="114">
        <f>IFERROR(__xludf.DUMMYFUNCTION("""COMPUTED_VALUE"""),-0.3797391461890468)</f>
        <v>-0.3797391462</v>
      </c>
      <c r="AF89" s="114">
        <f>IFERROR(__xludf.DUMMYFUNCTION("""COMPUTED_VALUE"""),0.4868785763197702)</f>
        <v>0.4868785763</v>
      </c>
      <c r="AG89" s="118">
        <f>IFERROR(__xludf.DUMMYFUNCTION("""COMPUTED_VALUE"""),0.0)</f>
        <v>0</v>
      </c>
      <c r="AH89" s="105"/>
      <c r="AI89" s="202"/>
      <c r="AJ89" s="63"/>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c r="BI89" s="105"/>
      <c r="BJ89" s="105"/>
      <c r="BK89" s="105"/>
      <c r="BL89" s="105"/>
      <c r="BM89" s="105"/>
      <c r="BN89" s="105"/>
      <c r="BO89" s="105"/>
      <c r="BP89" s="105"/>
      <c r="BQ89" s="105"/>
      <c r="BR89" s="105"/>
      <c r="BS89" s="105"/>
      <c r="BT89" s="105"/>
      <c r="BU89" s="105"/>
      <c r="BV89" s="105"/>
    </row>
    <row r="90">
      <c r="A90" s="109">
        <f>VLOOKUP($F90,UpdateHashtag!$V$3:$Y$32,COLUMN(B$9),0)</f>
        <v>4</v>
      </c>
      <c r="B90" s="91" t="str">
        <f>VLOOKUP($F90,UpdateHashtag!$V$3:$Y$32,COLUMN(#REF!),0)</f>
        <v>#REF!</v>
      </c>
      <c r="C90" s="91" t="str">
        <f>VLOOKUP($F90,UpdateHashtag!$V$3:$Y$32,COLUMN(#REF!),0)</f>
        <v>#REF!</v>
      </c>
      <c r="D90" s="110" t="str">
        <f t="shared" si="2"/>
        <v>#REF!</v>
      </c>
      <c r="E90" s="11"/>
      <c r="F90" s="94" t="str">
        <f>VLOOKUP(J90,UpdateBBM!$C$2:E1009,3,0)</f>
        <v>PHI</v>
      </c>
      <c r="G90" s="78">
        <v>77.0</v>
      </c>
      <c r="H90" s="111">
        <f>IFERROR(__xludf.DUMMYFUNCTION("""COMPUTED_VALUE"""),77.0)</f>
        <v>77</v>
      </c>
      <c r="I90" s="111"/>
      <c r="J90" s="112" t="str">
        <f>IFERROR(__xludf.DUMMYFUNCTION("""COMPUTED_VALUE"""),"Adem Bona")</f>
        <v>Adem Bona</v>
      </c>
      <c r="K90" s="111">
        <f>IFERROR(__xludf.DUMMYFUNCTION("""COMPUTED_VALUE"""),66.0)</f>
        <v>66</v>
      </c>
      <c r="L90" s="113" t="str">
        <f>IFERROR(__xludf.DUMMYFUNCTION("""COMPUTED_VALUE"""),"C")</f>
        <v>C</v>
      </c>
      <c r="M90" s="114">
        <f>IFERROR(__xludf.DUMMYFUNCTION("""COMPUTED_VALUE"""),0.8120745123174455)</f>
        <v>0.8120745123</v>
      </c>
      <c r="N90" s="114">
        <f>IFERROR(__xludf.DUMMYFUNCTION("""COMPUTED_VALUE"""),0.7513864231026446)</f>
        <v>0.7513864231</v>
      </c>
      <c r="O90" s="115">
        <f>IFERROR(__xludf.DUMMYFUNCTION("""COMPUTED_VALUE"""),-0.060688089214800955)</f>
        <v>-0.06068808921</v>
      </c>
      <c r="P90" s="116">
        <f>IFERROR(__xludf.DUMMYFUNCTION("""COMPUTED_VALUE"""),8.162424)</f>
        <v>8.162424</v>
      </c>
      <c r="Q90" s="116">
        <f>IFERROR(__xludf.DUMMYFUNCTION("""COMPUTED_VALUE"""),0.008182)</f>
        <v>0.008182</v>
      </c>
      <c r="R90" s="116">
        <f>IFERROR(__xludf.DUMMYFUNCTION("""COMPUTED_VALUE"""),5.944091)</f>
        <v>5.944091</v>
      </c>
      <c r="S90" s="117">
        <f>IFERROR(__xludf.DUMMYFUNCTION("""COMPUTED_VALUE"""),0.619848)</f>
        <v>0.619848</v>
      </c>
      <c r="T90" s="116">
        <f>IFERROR(__xludf.DUMMYFUNCTION("""COMPUTED_VALUE"""),0.629697)</f>
        <v>0.629697</v>
      </c>
      <c r="U90" s="116">
        <f>IFERROR(__xludf.DUMMYFUNCTION("""COMPUTED_VALUE"""),1.733182)</f>
        <v>1.733182</v>
      </c>
      <c r="V90" s="113">
        <f>IFERROR(__xludf.DUMMYFUNCTION("""COMPUTED_VALUE"""),0.713611)</f>
        <v>0.713611</v>
      </c>
      <c r="W90" s="113">
        <f>IFERROR(__xludf.DUMMYFUNCTION("""COMPUTED_VALUE"""),0.670027)</f>
        <v>0.670027</v>
      </c>
      <c r="X90" s="116">
        <f>IFERROR(__xludf.DUMMYFUNCTION("""COMPUTED_VALUE"""),1.503939)</f>
        <v>1.503939</v>
      </c>
      <c r="Y90" s="114">
        <f>IFERROR(__xludf.DUMMYFUNCTION("""COMPUTED_VALUE"""),-1.581121150227398)</f>
        <v>-1.58112115</v>
      </c>
      <c r="Z90" s="114">
        <f>IFERROR(__xludf.DUMMYFUNCTION("""COMPUTED_VALUE"""),-1.7011916513064236)</f>
        <v>-1.701191651</v>
      </c>
      <c r="AA90" s="114">
        <f>IFERROR(__xludf.DUMMYFUNCTION("""COMPUTED_VALUE"""),-0.07393837153555102)</f>
        <v>-0.07393837154</v>
      </c>
      <c r="AB90" s="114">
        <f>IFERROR(__xludf.DUMMYFUNCTION("""COMPUTED_VALUE"""),-1.5715757310713885)</f>
        <v>-1.571575731</v>
      </c>
      <c r="AC90" s="114">
        <f>IFERROR(__xludf.DUMMYFUNCTION("""COMPUTED_VALUE"""),-1.2660957880669839)</f>
        <v>-1.266095788</v>
      </c>
      <c r="AD90" s="114">
        <f>IFERROR(__xludf.DUMMYFUNCTION("""COMPUTED_VALUE"""),1.8233730244487945)</f>
        <v>1.823373024</v>
      </c>
      <c r="AE90" s="114">
        <f>IFERROR(__xludf.DUMMYFUNCTION("""COMPUTED_VALUE"""),4.682391415301835)</f>
        <v>4.682391415</v>
      </c>
      <c r="AF90" s="114">
        <f>IFERROR(__xludf.DUMMYFUNCTION("""COMPUTED_VALUE"""),-1.2616469757466628)</f>
        <v>-1.261646976</v>
      </c>
      <c r="AG90" s="118">
        <f>IFERROR(__xludf.DUMMYFUNCTION("""COMPUTED_VALUE"""),0.0)</f>
        <v>0</v>
      </c>
      <c r="AH90" s="105"/>
      <c r="AI90" s="202"/>
      <c r="AJ90" s="63"/>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row>
    <row r="91">
      <c r="A91" s="109">
        <f>VLOOKUP($F91,UpdateHashtag!$V$3:$Y$32,COLUMN(B$9),0)</f>
        <v>4</v>
      </c>
      <c r="B91" s="91" t="str">
        <f>VLOOKUP($F91,UpdateHashtag!$V$3:$Y$32,COLUMN(#REF!),0)</f>
        <v>#REF!</v>
      </c>
      <c r="C91" s="91" t="str">
        <f>VLOOKUP($F91,UpdateHashtag!$V$3:$Y$32,COLUMN(#REF!),0)</f>
        <v>#REF!</v>
      </c>
      <c r="D91" s="110" t="str">
        <f t="shared" si="2"/>
        <v>#REF!</v>
      </c>
      <c r="E91" s="11"/>
      <c r="F91" s="94" t="str">
        <f>VLOOKUP(J91,UpdateBBM!$C$2:E1009,3,0)</f>
        <v>POR</v>
      </c>
      <c r="G91" s="78">
        <v>78.0</v>
      </c>
      <c r="H91" s="111">
        <f>IFERROR(__xludf.DUMMYFUNCTION("""COMPUTED_VALUE"""),78.0)</f>
        <v>78</v>
      </c>
      <c r="I91" s="111"/>
      <c r="J91" s="112" t="str">
        <f>IFERROR(__xludf.DUMMYFUNCTION("""COMPUTED_VALUE"""),"Jrue Holiday")</f>
        <v>Jrue Holiday</v>
      </c>
      <c r="K91" s="111">
        <f>IFERROR(__xludf.DUMMYFUNCTION("""COMPUTED_VALUE"""),61.0)</f>
        <v>61</v>
      </c>
      <c r="L91" s="113" t="str">
        <f>IFERROR(__xludf.DUMMYFUNCTION("""COMPUTED_VALUE"""),"G")</f>
        <v>G</v>
      </c>
      <c r="M91" s="114">
        <f>IFERROR(__xludf.DUMMYFUNCTION("""COMPUTED_VALUE"""),0.79143243716743)</f>
        <v>0.7914324372</v>
      </c>
      <c r="N91" s="114">
        <f>IFERROR(__xludf.DUMMYFUNCTION("""COMPUTED_VALUE"""),0.7825349208329576)</f>
        <v>0.7825349208</v>
      </c>
      <c r="O91" s="115">
        <f>IFERROR(__xludf.DUMMYFUNCTION("""COMPUTED_VALUE"""),-0.008897516334472333)</f>
        <v>-0.008897516334</v>
      </c>
      <c r="P91" s="116">
        <f>IFERROR(__xludf.DUMMYFUNCTION("""COMPUTED_VALUE"""),12.25689)</f>
        <v>12.25689</v>
      </c>
      <c r="Q91" s="116">
        <f>IFERROR(__xludf.DUMMYFUNCTION("""COMPUTED_VALUE"""),2.04459)</f>
        <v>2.04459</v>
      </c>
      <c r="R91" s="116">
        <f>IFERROR(__xludf.DUMMYFUNCTION("""COMPUTED_VALUE"""),4.611311)</f>
        <v>4.611311</v>
      </c>
      <c r="S91" s="117">
        <f>IFERROR(__xludf.DUMMYFUNCTION("""COMPUTED_VALUE"""),5.27)</f>
        <v>5.27</v>
      </c>
      <c r="T91" s="116">
        <f>IFERROR(__xludf.DUMMYFUNCTION("""COMPUTED_VALUE"""),1.187541)</f>
        <v>1.187541</v>
      </c>
      <c r="U91" s="116">
        <f>IFERROR(__xludf.DUMMYFUNCTION("""COMPUTED_VALUE"""),0.526557)</f>
        <v>0.526557</v>
      </c>
      <c r="V91" s="113">
        <f>IFERROR(__xludf.DUMMYFUNCTION("""COMPUTED_VALUE"""),0.436481)</f>
        <v>0.436481</v>
      </c>
      <c r="W91" s="113">
        <f>IFERROR(__xludf.DUMMYFUNCTION("""COMPUTED_VALUE"""),0.869939)</f>
        <v>0.869939</v>
      </c>
      <c r="X91" s="116">
        <f>IFERROR(__xludf.DUMMYFUNCTION("""COMPUTED_VALUE"""),1.712787)</f>
        <v>1.712787</v>
      </c>
      <c r="Y91" s="114">
        <f>IFERROR(__xludf.DUMMYFUNCTION("""COMPUTED_VALUE"""),-0.8627773406774052)</f>
        <v>-0.8627773407</v>
      </c>
      <c r="Z91" s="114">
        <f>IFERROR(__xludf.DUMMYFUNCTION("""COMPUTED_VALUE"""),0.265639292155551)</f>
        <v>0.2656392922</v>
      </c>
      <c r="AA91" s="114">
        <f>IFERROR(__xludf.DUMMYFUNCTION("""COMPUTED_VALUE"""),-0.6141855508865462)</f>
        <v>-0.6141855509</v>
      </c>
      <c r="AB91" s="114">
        <f>IFERROR(__xludf.DUMMYFUNCTION("""COMPUTED_VALUE"""),0.7000909345686452)</f>
        <v>0.7000909346</v>
      </c>
      <c r="AC91" s="114">
        <f>IFERROR(__xludf.DUMMYFUNCTION("""COMPUTED_VALUE"""),0.43378320538880666)</f>
        <v>0.4337832054</v>
      </c>
      <c r="AD91" s="114">
        <f>IFERROR(__xludf.DUMMYFUNCTION("""COMPUTED_VALUE"""),-0.37026184400666684)</f>
        <v>-0.370261844</v>
      </c>
      <c r="AE91" s="114">
        <f>IFERROR(__xludf.DUMMYFUNCTION("""COMPUTED_VALUE"""),-0.7696839737865523)</f>
        <v>-0.7696839738</v>
      </c>
      <c r="AF91" s="114">
        <f>IFERROR(__xludf.DUMMYFUNCTION("""COMPUTED_VALUE"""),1.13715285739972)</f>
        <v>1.137152857</v>
      </c>
      <c r="AG91" s="118">
        <f>IFERROR(__xludf.DUMMYFUNCTION("""COMPUTED_VALUE"""),0.0)</f>
        <v>0</v>
      </c>
      <c r="AH91" s="105"/>
      <c r="AI91" s="202"/>
      <c r="AJ91" s="63"/>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c r="BL91" s="105"/>
      <c r="BM91" s="105"/>
      <c r="BN91" s="105"/>
      <c r="BO91" s="105"/>
      <c r="BP91" s="105"/>
      <c r="BQ91" s="105"/>
      <c r="BR91" s="105"/>
      <c r="BS91" s="105"/>
      <c r="BT91" s="105"/>
      <c r="BU91" s="105"/>
      <c r="BV91" s="105"/>
    </row>
    <row r="92">
      <c r="A92" s="109">
        <f>VLOOKUP($F92,UpdateHashtag!$V$3:$Y$32,COLUMN(B$9),0)</f>
        <v>4</v>
      </c>
      <c r="B92" s="91" t="str">
        <f>VLOOKUP($F92,UpdateHashtag!$V$3:$Y$32,COLUMN(#REF!),0)</f>
        <v>#REF!</v>
      </c>
      <c r="C92" s="91" t="str">
        <f>VLOOKUP($F92,UpdateHashtag!$V$3:$Y$32,COLUMN(#REF!),0)</f>
        <v>#REF!</v>
      </c>
      <c r="D92" s="110" t="str">
        <f t="shared" si="2"/>
        <v>#REF!</v>
      </c>
      <c r="E92" s="11"/>
      <c r="F92" s="94" t="str">
        <f>VLOOKUP(J92,UpdateBBM!$C$2:E1009,3,0)</f>
        <v>DAL</v>
      </c>
      <c r="G92" s="78">
        <v>79.0</v>
      </c>
      <c r="H92" s="111">
        <f>IFERROR(__xludf.DUMMYFUNCTION("""COMPUTED_VALUE"""),79.0)</f>
        <v>79</v>
      </c>
      <c r="I92" s="111"/>
      <c r="J92" s="112" t="str">
        <f>IFERROR(__xludf.DUMMYFUNCTION("""COMPUTED_VALUE"""),"Kyrie Irving")</f>
        <v>Kyrie Irving</v>
      </c>
      <c r="K92" s="111">
        <f>IFERROR(__xludf.DUMMYFUNCTION("""COMPUTED_VALUE"""),10.0)</f>
        <v>10</v>
      </c>
      <c r="L92" s="113" t="str">
        <f>IFERROR(__xludf.DUMMYFUNCTION("""COMPUTED_VALUE"""),"G")</f>
        <v>G</v>
      </c>
      <c r="M92" s="114">
        <f>IFERROR(__xludf.DUMMYFUNCTION("""COMPUTED_VALUE"""),0.7865551622523133)</f>
        <v>0.7865551623</v>
      </c>
      <c r="N92" s="114">
        <f>IFERROR(__xludf.DUMMYFUNCTION("""COMPUTED_VALUE"""),0.7861418586943802)</f>
        <v>0.7861418587</v>
      </c>
      <c r="O92" s="115">
        <f>IFERROR(__xludf.DUMMYFUNCTION("""COMPUTED_VALUE"""),-4.133035579330091E-4)</f>
        <v>-0.0004133035579</v>
      </c>
      <c r="P92" s="116">
        <f>IFERROR(__xludf.DUMMYFUNCTION("""COMPUTED_VALUE"""),18.409)</f>
        <v>18.409</v>
      </c>
      <c r="Q92" s="116">
        <f>IFERROR(__xludf.DUMMYFUNCTION("""COMPUTED_VALUE"""),2.257)</f>
        <v>2.257</v>
      </c>
      <c r="R92" s="116">
        <f>IFERROR(__xludf.DUMMYFUNCTION("""COMPUTED_VALUE"""),3.653)</f>
        <v>3.653</v>
      </c>
      <c r="S92" s="117">
        <f>IFERROR(__xludf.DUMMYFUNCTION("""COMPUTED_VALUE"""),3.067)</f>
        <v>3.067</v>
      </c>
      <c r="T92" s="116">
        <f>IFERROR(__xludf.DUMMYFUNCTION("""COMPUTED_VALUE"""),1.021)</f>
        <v>1.021</v>
      </c>
      <c r="U92" s="116">
        <f>IFERROR(__xludf.DUMMYFUNCTION("""COMPUTED_VALUE"""),0.424)</f>
        <v>0.424</v>
      </c>
      <c r="V92" s="113">
        <f>IFERROR(__xludf.DUMMYFUNCTION("""COMPUTED_VALUE"""),0.453499)</f>
        <v>0.453499</v>
      </c>
      <c r="W92" s="113">
        <f>IFERROR(__xludf.DUMMYFUNCTION("""COMPUTED_VALUE"""),0.904008)</f>
        <v>0.904008</v>
      </c>
      <c r="X92" s="116">
        <f>IFERROR(__xludf.DUMMYFUNCTION("""COMPUTED_VALUE"""),1.747)</f>
        <v>1.747</v>
      </c>
      <c r="Y92" s="114">
        <f>IFERROR(__xludf.DUMMYFUNCTION("""COMPUTED_VALUE"""),0.21656490668051748)</f>
        <v>0.2165649067</v>
      </c>
      <c r="Z92" s="114">
        <f>IFERROR(__xludf.DUMMYFUNCTION("""COMPUTED_VALUE"""),0.4707919731019814)</f>
        <v>0.4707919731</v>
      </c>
      <c r="AA92" s="114">
        <f>IFERROR(__xludf.DUMMYFUNCTION("""COMPUTED_VALUE"""),-1.0026403706550235)</f>
        <v>-1.002640371</v>
      </c>
      <c r="AB92" s="114">
        <f>IFERROR(__xludf.DUMMYFUNCTION("""COMPUTED_VALUE"""),-0.37610650250545336)</f>
        <v>-0.3761065025</v>
      </c>
      <c r="AC92" s="114">
        <f>IFERROR(__xludf.DUMMYFUNCTION("""COMPUTED_VALUE"""),-0.0737055324108665)</f>
        <v>-0.07370553241</v>
      </c>
      <c r="AD92" s="114">
        <f>IFERROR(__xludf.DUMMYFUNCTION("""COMPUTED_VALUE"""),-0.5567096726230032)</f>
        <v>-0.5567096726</v>
      </c>
      <c r="AE92" s="114">
        <f>IFERROR(__xludf.DUMMYFUNCTION("""COMPUTED_VALUE"""),-0.5678566851548554)</f>
        <v>-0.5678566852</v>
      </c>
      <c r="AF92" s="114">
        <f>IFERROR(__xludf.DUMMYFUNCTION("""COMPUTED_VALUE"""),1.6731633716060599)</f>
        <v>1.673163372</v>
      </c>
      <c r="AG92" s="118">
        <f>IFERROR(__xludf.DUMMYFUNCTION("""COMPUTED_VALUE"""),0.0)</f>
        <v>0</v>
      </c>
      <c r="AH92" s="105"/>
      <c r="AI92" s="203"/>
      <c r="AJ92" s="63"/>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c r="BL92" s="105"/>
      <c r="BM92" s="105"/>
      <c r="BN92" s="105"/>
      <c r="BO92" s="105"/>
      <c r="BP92" s="105"/>
      <c r="BQ92" s="105"/>
      <c r="BR92" s="105"/>
      <c r="BS92" s="105"/>
      <c r="BT92" s="105"/>
      <c r="BU92" s="105"/>
      <c r="BV92" s="105"/>
    </row>
    <row r="93">
      <c r="A93" s="109">
        <f>VLOOKUP($F93,UpdateHashtag!$V$3:$Y$32,COLUMN(B$9),0)</f>
        <v>4</v>
      </c>
      <c r="B93" s="91" t="str">
        <f>VLOOKUP($F93,UpdateHashtag!$V$3:$Y$32,COLUMN(#REF!),0)</f>
        <v>#REF!</v>
      </c>
      <c r="C93" s="91" t="str">
        <f>VLOOKUP($F93,UpdateHashtag!$V$3:$Y$32,COLUMN(#REF!),0)</f>
        <v>#REF!</v>
      </c>
      <c r="D93" s="110" t="str">
        <f t="shared" si="2"/>
        <v>#REF!</v>
      </c>
      <c r="E93" s="11"/>
      <c r="F93" s="94" t="str">
        <f>VLOOKUP(J93,UpdateBBM!$C$2:E1009,3,0)</f>
        <v>POR</v>
      </c>
      <c r="G93" s="78">
        <v>80.0</v>
      </c>
      <c r="H93" s="111">
        <f>IFERROR(__xludf.DUMMYFUNCTION("""COMPUTED_VALUE"""),80.0)</f>
        <v>80</v>
      </c>
      <c r="I93" s="111"/>
      <c r="J93" s="112" t="str">
        <f>IFERROR(__xludf.DUMMYFUNCTION("""COMPUTED_VALUE"""),"Robert Williams")</f>
        <v>Robert Williams</v>
      </c>
      <c r="K93" s="111">
        <f>IFERROR(__xludf.DUMMYFUNCTION("""COMPUTED_VALUE"""),44.0)</f>
        <v>44</v>
      </c>
      <c r="L93" s="113" t="str">
        <f>IFERROR(__xludf.DUMMYFUNCTION("""COMPUTED_VALUE"""),"C")</f>
        <v>C</v>
      </c>
      <c r="M93" s="114">
        <f>IFERROR(__xludf.DUMMYFUNCTION("""COMPUTED_VALUE"""),0.6943480104956483)</f>
        <v>0.6943480105</v>
      </c>
      <c r="N93" s="114">
        <f>IFERROR(__xludf.DUMMYFUNCTION("""COMPUTED_VALUE"""),0.4835555911642959)</f>
        <v>0.4835555912</v>
      </c>
      <c r="O93" s="115">
        <f>IFERROR(__xludf.DUMMYFUNCTION("""COMPUTED_VALUE"""),-0.2107924193313524)</f>
        <v>-0.2107924193</v>
      </c>
      <c r="P93" s="116">
        <f>IFERROR(__xludf.DUMMYFUNCTION("""COMPUTED_VALUE"""),6.698636)</f>
        <v>6.698636</v>
      </c>
      <c r="Q93" s="116">
        <f>IFERROR(__xludf.DUMMYFUNCTION("""COMPUTED_VALUE"""),0.025227)</f>
        <v>0.025227</v>
      </c>
      <c r="R93" s="116">
        <f>IFERROR(__xludf.DUMMYFUNCTION("""COMPUTED_VALUE"""),7.14)</f>
        <v>7.14</v>
      </c>
      <c r="S93" s="117">
        <f>IFERROR(__xludf.DUMMYFUNCTION("""COMPUTED_VALUE"""),1.2925)</f>
        <v>1.2925</v>
      </c>
      <c r="T93" s="116">
        <f>IFERROR(__xludf.DUMMYFUNCTION("""COMPUTED_VALUE"""),0.748636)</f>
        <v>0.748636</v>
      </c>
      <c r="U93" s="116">
        <f>IFERROR(__xludf.DUMMYFUNCTION("""COMPUTED_VALUE"""),1.529318)</f>
        <v>1.529318</v>
      </c>
      <c r="V93" s="113">
        <f>IFERROR(__xludf.DUMMYFUNCTION("""COMPUTED_VALUE"""),0.643746)</f>
        <v>0.643746</v>
      </c>
      <c r="W93" s="113">
        <f>IFERROR(__xludf.DUMMYFUNCTION("""COMPUTED_VALUE"""),0.752938)</f>
        <v>0.752938</v>
      </c>
      <c r="X93" s="116">
        <f>IFERROR(__xludf.DUMMYFUNCTION("""COMPUTED_VALUE"""),0.898636)</f>
        <v>0.898636</v>
      </c>
      <c r="Y93" s="114">
        <f>IFERROR(__xludf.DUMMYFUNCTION("""COMPUTED_VALUE"""),-1.8379319402775691)</f>
        <v>-1.83793194</v>
      </c>
      <c r="Z93" s="114">
        <f>IFERROR(__xludf.DUMMYFUNCTION("""COMPUTED_VALUE"""),-1.684729020325152)</f>
        <v>-1.68472902</v>
      </c>
      <c r="AA93" s="114">
        <f>IFERROR(__xludf.DUMMYFUNCTION("""COMPUTED_VALUE"""),0.41082765437305263)</f>
        <v>0.4108276544</v>
      </c>
      <c r="AB93" s="114">
        <f>IFERROR(__xludf.DUMMYFUNCTION("""COMPUTED_VALUE"""),-1.2429754775794382)</f>
        <v>-1.242975478</v>
      </c>
      <c r="AC93" s="114">
        <f>IFERROR(__xludf.DUMMYFUNCTION("""COMPUTED_VALUE"""),-0.9036612945479385)</f>
        <v>-0.9036612945</v>
      </c>
      <c r="AD93" s="114">
        <f>IFERROR(__xludf.DUMMYFUNCTION("""COMPUTED_VALUE"""),1.4527498574973354)</f>
        <v>1.452749857</v>
      </c>
      <c r="AE93" s="114">
        <f>IFERROR(__xludf.DUMMYFUNCTION("""COMPUTED_VALUE"""),2.872919382368157)</f>
        <v>2.872919382</v>
      </c>
      <c r="AF93" s="114">
        <f>IFERROR(__xludf.DUMMYFUNCTION("""COMPUTED_VALUE"""),-0.42157551062172016)</f>
        <v>-0.4215755106</v>
      </c>
      <c r="AG93" s="118">
        <f>IFERROR(__xludf.DUMMYFUNCTION("""COMPUTED_VALUE"""),0.0)</f>
        <v>0</v>
      </c>
      <c r="AH93" s="105"/>
      <c r="AI93" s="202"/>
      <c r="AJ93" s="63"/>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c r="BL93" s="105"/>
      <c r="BM93" s="105"/>
      <c r="BN93" s="105"/>
      <c r="BO93" s="105"/>
      <c r="BP93" s="105"/>
      <c r="BQ93" s="105"/>
      <c r="BR93" s="105"/>
      <c r="BS93" s="105"/>
      <c r="BT93" s="105"/>
      <c r="BU93" s="105"/>
      <c r="BV93" s="105"/>
    </row>
    <row r="94">
      <c r="A94" s="91" t="str">
        <f>VLOOKUP($F94,UpdateHashtag!$V$3:$Y$32,COLUMN(B$9),0)</f>
        <v>#N/A</v>
      </c>
      <c r="B94" s="91" t="str">
        <f>VLOOKUP($F94,UpdateHashtag!$V$3:$Y$32,COLUMN(#REF!),0)</f>
        <v>#REF!</v>
      </c>
      <c r="C94" s="91" t="str">
        <f>VLOOKUP($F94,UpdateHashtag!$V$3:$Y$32,COLUMN(#REF!),0)</f>
        <v>#REF!</v>
      </c>
      <c r="D94" s="110" t="str">
        <f t="shared" si="2"/>
        <v>#N/A</v>
      </c>
      <c r="E94" s="11"/>
      <c r="F94" s="94" t="str">
        <f>VLOOKUP(J94,UpdateBBM!$C$2:E1009,3,0)</f>
        <v>NYK</v>
      </c>
      <c r="G94" s="78">
        <v>81.0</v>
      </c>
      <c r="H94" s="111">
        <f>IFERROR(__xludf.DUMMYFUNCTION("""COMPUTED_VALUE"""),81.0)</f>
        <v>81</v>
      </c>
      <c r="I94" s="111"/>
      <c r="J94" s="112" t="str">
        <f>IFERROR(__xludf.DUMMYFUNCTION("""COMPUTED_VALUE"""),"Mitchell Robinson")</f>
        <v>Mitchell Robinson</v>
      </c>
      <c r="K94" s="111">
        <f>IFERROR(__xludf.DUMMYFUNCTION("""COMPUTED_VALUE"""),68.0)</f>
        <v>68</v>
      </c>
      <c r="L94" s="113" t="str">
        <f>IFERROR(__xludf.DUMMYFUNCTION("""COMPUTED_VALUE"""),"C")</f>
        <v>C</v>
      </c>
      <c r="M94" s="114">
        <f>IFERROR(__xludf.DUMMYFUNCTION("""COMPUTED_VALUE"""),0.6707148554946181)</f>
        <v>0.6707148555</v>
      </c>
      <c r="N94" s="114">
        <f>IFERROR(__xludf.DUMMYFUNCTION("""COMPUTED_VALUE"""),0.41981777340136084)</f>
        <v>0.4198177734</v>
      </c>
      <c r="O94" s="115">
        <f>IFERROR(__xludf.DUMMYFUNCTION("""COMPUTED_VALUE"""),-0.25089708209325723)</f>
        <v>-0.2508970821</v>
      </c>
      <c r="P94" s="116">
        <f>IFERROR(__xludf.DUMMYFUNCTION("""COMPUTED_VALUE"""),7.251618)</f>
        <v>7.251618</v>
      </c>
      <c r="Q94" s="116">
        <f>IFERROR(__xludf.DUMMYFUNCTION("""COMPUTED_VALUE"""),0.0)</f>
        <v>0</v>
      </c>
      <c r="R94" s="116">
        <f>IFERROR(__xludf.DUMMYFUNCTION("""COMPUTED_VALUE"""),8.464559)</f>
        <v>8.464559</v>
      </c>
      <c r="S94" s="117">
        <f>IFERROR(__xludf.DUMMYFUNCTION("""COMPUTED_VALUE"""),0.770588)</f>
        <v>0.770588</v>
      </c>
      <c r="T94" s="116">
        <f>IFERROR(__xludf.DUMMYFUNCTION("""COMPUTED_VALUE"""),0.99)</f>
        <v>0.99</v>
      </c>
      <c r="U94" s="116">
        <f>IFERROR(__xludf.DUMMYFUNCTION("""COMPUTED_VALUE"""),1.485)</f>
        <v>1.485</v>
      </c>
      <c r="V94" s="113">
        <f>IFERROR(__xludf.DUMMYFUNCTION("""COMPUTED_VALUE"""),0.657908)</f>
        <v>0.657908</v>
      </c>
      <c r="W94" s="113">
        <f>IFERROR(__xludf.DUMMYFUNCTION("""COMPUTED_VALUE"""),0.51302)</f>
        <v>0.51302</v>
      </c>
      <c r="X94" s="116">
        <f>IFERROR(__xludf.DUMMYFUNCTION("""COMPUTED_VALUE"""),0.736912)</f>
        <v>0.736912</v>
      </c>
      <c r="Y94" s="114">
        <f>IFERROR(__xludf.DUMMYFUNCTION("""COMPUTED_VALUE"""),-1.7409153338403502)</f>
        <v>-1.740915334</v>
      </c>
      <c r="Z94" s="114">
        <f>IFERROR(__xludf.DUMMYFUNCTION("""COMPUTED_VALUE"""),-1.7090941005108098)</f>
        <v>-1.709094101</v>
      </c>
      <c r="AA94" s="114">
        <f>IFERROR(__xludf.DUMMYFUNCTION("""COMPUTED_VALUE"""),0.9477424217269854)</f>
        <v>0.9477424217</v>
      </c>
      <c r="AB94" s="114">
        <f>IFERROR(__xludf.DUMMYFUNCTION("""COMPUTED_VALUE"""),-1.49793705578108)</f>
        <v>-1.497937056</v>
      </c>
      <c r="AC94" s="114">
        <f>IFERROR(__xludf.DUMMYFUNCTION("""COMPUTED_VALUE"""),-0.16816966359651941)</f>
        <v>-0.1681696636</v>
      </c>
      <c r="AD94" s="114">
        <f>IFERROR(__xludf.DUMMYFUNCTION("""COMPUTED_VALUE"""),1.3721800780710771)</f>
        <v>1.372180078</v>
      </c>
      <c r="AE94" s="114">
        <f>IFERROR(__xludf.DUMMYFUNCTION("""COMPUTED_VALUE"""),3.2160114273320586)</f>
        <v>3.216011427</v>
      </c>
      <c r="AF94" s="114">
        <f>IFERROR(__xludf.DUMMYFUNCTION("""COMPUTED_VALUE"""),-2.2513655890760775)</f>
        <v>-2.251365589</v>
      </c>
      <c r="AG94" s="118">
        <f>IFERROR(__xludf.DUMMYFUNCTION("""COMPUTED_VALUE"""),0.0)</f>
        <v>0</v>
      </c>
      <c r="AH94" s="105"/>
      <c r="AI94" s="202"/>
      <c r="AJ94" s="63"/>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row>
    <row r="95">
      <c r="A95" s="109">
        <f>VLOOKUP($F95,UpdateHashtag!$V$3:$Y$32,COLUMN(B$9),0)</f>
        <v>3</v>
      </c>
      <c r="B95" s="91" t="str">
        <f>VLOOKUP($F95,UpdateHashtag!$V$3:$Y$32,COLUMN(#REF!),0)</f>
        <v>#REF!</v>
      </c>
      <c r="C95" s="91" t="str">
        <f>VLOOKUP($F95,UpdateHashtag!$V$3:$Y$32,COLUMN(#REF!),0)</f>
        <v>#REF!</v>
      </c>
      <c r="D95" s="110" t="str">
        <f t="shared" si="2"/>
        <v>#REF!</v>
      </c>
      <c r="E95" s="11"/>
      <c r="F95" s="94" t="str">
        <f>VLOOKUP(J95,UpdateBBM!$C$2:E1009,3,0)</f>
        <v>IND</v>
      </c>
      <c r="G95" s="78">
        <v>82.0</v>
      </c>
      <c r="H95" s="111">
        <f>IFERROR(__xludf.DUMMYFUNCTION("""COMPUTED_VALUE"""),82.0)</f>
        <v>82</v>
      </c>
      <c r="I95" s="111"/>
      <c r="J95" s="112" t="str">
        <f>IFERROR(__xludf.DUMMYFUNCTION("""COMPUTED_VALUE"""),"Pascal Siakam")</f>
        <v>Pascal Siakam</v>
      </c>
      <c r="K95" s="111">
        <f>IFERROR(__xludf.DUMMYFUNCTION("""COMPUTED_VALUE"""),73.0)</f>
        <v>73</v>
      </c>
      <c r="L95" s="113" t="str">
        <f>IFERROR(__xludf.DUMMYFUNCTION("""COMPUTED_VALUE"""),"F")</f>
        <v>F</v>
      </c>
      <c r="M95" s="114">
        <f>IFERROR(__xludf.DUMMYFUNCTION("""COMPUTED_VALUE"""),0.637664126094064)</f>
        <v>0.6376641261</v>
      </c>
      <c r="N95" s="114">
        <f>IFERROR(__xludf.DUMMYFUNCTION("""COMPUTED_VALUE"""),0.7550559755644793)</f>
        <v>0.7550559756</v>
      </c>
      <c r="O95" s="115">
        <f>IFERROR(__xludf.DUMMYFUNCTION("""COMPUTED_VALUE"""),0.11739184947041537)</f>
        <v>0.1173918495</v>
      </c>
      <c r="P95" s="116">
        <f>IFERROR(__xludf.DUMMYFUNCTION("""COMPUTED_VALUE"""),22.26479)</f>
        <v>22.26479</v>
      </c>
      <c r="Q95" s="116">
        <f>IFERROR(__xludf.DUMMYFUNCTION("""COMPUTED_VALUE"""),1.548082)</f>
        <v>1.548082</v>
      </c>
      <c r="R95" s="116">
        <f>IFERROR(__xludf.DUMMYFUNCTION("""COMPUTED_VALUE"""),6.943699)</f>
        <v>6.943699</v>
      </c>
      <c r="S95" s="117">
        <f>IFERROR(__xludf.DUMMYFUNCTION("""COMPUTED_VALUE"""),5.138356)</f>
        <v>5.138356</v>
      </c>
      <c r="T95" s="116">
        <f>IFERROR(__xludf.DUMMYFUNCTION("""COMPUTED_VALUE"""),0.908082)</f>
        <v>0.908082</v>
      </c>
      <c r="U95" s="116">
        <f>IFERROR(__xludf.DUMMYFUNCTION("""COMPUTED_VALUE"""),0.486027)</f>
        <v>0.486027</v>
      </c>
      <c r="V95" s="113">
        <f>IFERROR(__xludf.DUMMYFUNCTION("""COMPUTED_VALUE"""),0.4932)</f>
        <v>0.4932</v>
      </c>
      <c r="W95" s="113">
        <f>IFERROR(__xludf.DUMMYFUNCTION("""COMPUTED_VALUE"""),0.722999)</f>
        <v>0.722999</v>
      </c>
      <c r="X95" s="116">
        <f>IFERROR(__xludf.DUMMYFUNCTION("""COMPUTED_VALUE"""),2.222055)</f>
        <v>2.222055</v>
      </c>
      <c r="Y95" s="114">
        <f>IFERROR(__xludf.DUMMYFUNCTION("""COMPUTED_VALUE"""),0.8930347753825089)</f>
        <v>0.8930347754</v>
      </c>
      <c r="Z95" s="114">
        <f>IFERROR(__xludf.DUMMYFUNCTION("""COMPUTED_VALUE"""),-0.2139047373691896)</f>
        <v>-0.2139047374</v>
      </c>
      <c r="AA95" s="114">
        <f>IFERROR(__xludf.DUMMYFUNCTION("""COMPUTED_VALUE"""),0.3312563361106389)</f>
        <v>0.3312563361</v>
      </c>
      <c r="AB95" s="114">
        <f>IFERROR(__xludf.DUMMYFUNCTION("""COMPUTED_VALUE"""),0.635780932114636)</f>
        <v>0.6357809321</v>
      </c>
      <c r="AC95" s="114">
        <f>IFERROR(__xludf.DUMMYFUNCTION("""COMPUTED_VALUE"""),-0.41779265386962716)</f>
        <v>-0.4177926539</v>
      </c>
      <c r="AD95" s="114">
        <f>IFERROR(__xludf.DUMMYFUNCTION("""COMPUTED_VALUE"""),-0.44394506888473584)</f>
        <v>-0.4439450689</v>
      </c>
      <c r="AE95" s="114">
        <f>IFERROR(__xludf.DUMMYFUNCTION("""COMPUTED_VALUE"""),-0.0293736079197517)</f>
        <v>-0.02937360792</v>
      </c>
      <c r="AF95" s="114">
        <f>IFERROR(__xludf.DUMMYFUNCTION("""COMPUTED_VALUE"""),-0.7502315081756625)</f>
        <v>-0.7502315082</v>
      </c>
      <c r="AG95" s="118">
        <f>IFERROR(__xludf.DUMMYFUNCTION("""COMPUTED_VALUE"""),0.0)</f>
        <v>0</v>
      </c>
      <c r="AH95" s="105"/>
      <c r="AI95" s="202"/>
      <c r="AJ95" s="63"/>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5"/>
      <c r="BS95" s="105"/>
      <c r="BT95" s="105"/>
      <c r="BU95" s="105"/>
      <c r="BV95" s="105"/>
    </row>
    <row r="96">
      <c r="A96" s="109">
        <f>VLOOKUP($F96,UpdateHashtag!$V$3:$Y$32,COLUMN(B$9),0)</f>
        <v>4</v>
      </c>
      <c r="B96" s="91" t="str">
        <f>VLOOKUP($F96,UpdateHashtag!$V$3:$Y$32,COLUMN(#REF!),0)</f>
        <v>#REF!</v>
      </c>
      <c r="C96" s="91" t="str">
        <f>VLOOKUP($F96,UpdateHashtag!$V$3:$Y$32,COLUMN(#REF!),0)</f>
        <v>#REF!</v>
      </c>
      <c r="D96" s="110" t="str">
        <f t="shared" si="2"/>
        <v>#REF!</v>
      </c>
      <c r="E96" s="11"/>
      <c r="F96" s="94" t="str">
        <f>VLOOKUP(J96,UpdateBBM!$C$2:E1009,3,0)</f>
        <v>POR</v>
      </c>
      <c r="G96" s="78">
        <v>83.0</v>
      </c>
      <c r="H96" s="111">
        <f>IFERROR(__xludf.DUMMYFUNCTION("""COMPUTED_VALUE"""),83.0)</f>
        <v>83</v>
      </c>
      <c r="I96" s="111"/>
      <c r="J96" s="112" t="str">
        <f>IFERROR(__xludf.DUMMYFUNCTION("""COMPUTED_VALUE"""),"Shaedon Sharpe")</f>
        <v>Shaedon Sharpe</v>
      </c>
      <c r="K96" s="111">
        <f>IFERROR(__xludf.DUMMYFUNCTION("""COMPUTED_VALUE"""),68.0)</f>
        <v>68</v>
      </c>
      <c r="L96" s="113" t="str">
        <f>IFERROR(__xludf.DUMMYFUNCTION("""COMPUTED_VALUE"""),"G,F")</f>
        <v>G,F</v>
      </c>
      <c r="M96" s="114">
        <f>IFERROR(__xludf.DUMMYFUNCTION("""COMPUTED_VALUE"""),0.6281207082759439)</f>
        <v>0.6281207083</v>
      </c>
      <c r="N96" s="114">
        <f>IFERROR(__xludf.DUMMYFUNCTION("""COMPUTED_VALUE"""),0.7499990505284349)</f>
        <v>0.7499990505</v>
      </c>
      <c r="O96" s="115">
        <f>IFERROR(__xludf.DUMMYFUNCTION("""COMPUTED_VALUE"""),0.12187834225249095)</f>
        <v>0.1218783423</v>
      </c>
      <c r="P96" s="116">
        <f>IFERROR(__xludf.DUMMYFUNCTION("""COMPUTED_VALUE"""),23.31574)</f>
        <v>23.31574</v>
      </c>
      <c r="Q96" s="116">
        <f>IFERROR(__xludf.DUMMYFUNCTION("""COMPUTED_VALUE"""),2.597206)</f>
        <v>2.597206</v>
      </c>
      <c r="R96" s="116">
        <f>IFERROR(__xludf.DUMMYFUNCTION("""COMPUTED_VALUE"""),5.329559)</f>
        <v>5.329559</v>
      </c>
      <c r="S96" s="117">
        <f>IFERROR(__xludf.DUMMYFUNCTION("""COMPUTED_VALUE"""),3.366029)</f>
        <v>3.366029</v>
      </c>
      <c r="T96" s="116">
        <f>IFERROR(__xludf.DUMMYFUNCTION("""COMPUTED_VALUE"""),0.984559)</f>
        <v>0.984559</v>
      </c>
      <c r="U96" s="116">
        <f>IFERROR(__xludf.DUMMYFUNCTION("""COMPUTED_VALUE"""),0.21)</f>
        <v>0.21</v>
      </c>
      <c r="V96" s="113">
        <f>IFERROR(__xludf.DUMMYFUNCTION("""COMPUTED_VALUE"""),0.467503)</f>
        <v>0.467503</v>
      </c>
      <c r="W96" s="113">
        <f>IFERROR(__xludf.DUMMYFUNCTION("""COMPUTED_VALUE"""),0.788005)</f>
        <v>0.788005</v>
      </c>
      <c r="X96" s="116">
        <f>IFERROR(__xludf.DUMMYFUNCTION("""COMPUTED_VALUE"""),2.240147)</f>
        <v>2.240147</v>
      </c>
      <c r="Y96" s="114">
        <f>IFERROR(__xludf.DUMMYFUNCTION("""COMPUTED_VALUE"""),1.077416188403539)</f>
        <v>1.077416188</v>
      </c>
      <c r="Z96" s="114">
        <f>IFERROR(__xludf.DUMMYFUNCTION("""COMPUTED_VALUE"""),0.7993743043201971)</f>
        <v>0.7993743043</v>
      </c>
      <c r="AA96" s="114">
        <f>IFERROR(__xludf.DUMMYFUNCTION("""COMPUTED_VALUE"""),-0.32304113389762573)</f>
        <v>-0.3230411339</v>
      </c>
      <c r="AB96" s="114">
        <f>IFERROR(__xludf.DUMMYFUNCTION("""COMPUTED_VALUE"""),-0.23002650095718702)</f>
        <v>-0.230026501</v>
      </c>
      <c r="AC96" s="114">
        <f>IFERROR(__xludf.DUMMYFUNCTION("""COMPUTED_VALUE"""),-0.18474964223462076)</f>
        <v>-0.1847496422</v>
      </c>
      <c r="AD96" s="114">
        <f>IFERROR(__xludf.DUMMYFUNCTION("""COMPUTED_VALUE"""),-0.9457600087667669)</f>
        <v>-0.9457600088</v>
      </c>
      <c r="AE96" s="114">
        <f>IFERROR(__xludf.DUMMYFUNCTION("""COMPUTED_VALUE"""),-0.388724085271329)</f>
        <v>-0.3887240853</v>
      </c>
      <c r="AF96" s="114">
        <f>IFERROR(__xludf.DUMMYFUNCTION("""COMPUTED_VALUE"""),-2.5007983453858933E-4)</f>
        <v>-0.0002500798345</v>
      </c>
      <c r="AG96" s="118">
        <f>IFERROR(__xludf.DUMMYFUNCTION("""COMPUTED_VALUE"""),0.0)</f>
        <v>0</v>
      </c>
      <c r="AH96" s="105"/>
      <c r="AI96" s="202"/>
      <c r="AJ96" s="63"/>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5"/>
      <c r="BS96" s="105"/>
      <c r="BT96" s="105"/>
      <c r="BU96" s="105"/>
      <c r="BV96" s="105"/>
    </row>
    <row r="97">
      <c r="A97" s="109">
        <f>VLOOKUP($F97,UpdateHashtag!$V$3:$Y$32,COLUMN(B$9),0)</f>
        <v>4</v>
      </c>
      <c r="B97" s="91" t="str">
        <f>VLOOKUP($F97,UpdateHashtag!$V$3:$Y$32,COLUMN(#REF!),0)</f>
        <v>#REF!</v>
      </c>
      <c r="C97" s="91" t="str">
        <f>VLOOKUP($F97,UpdateHashtag!$V$3:$Y$32,COLUMN(#REF!),0)</f>
        <v>#REF!</v>
      </c>
      <c r="D97" s="110" t="str">
        <f t="shared" si="2"/>
        <v>#REF!</v>
      </c>
      <c r="E97" s="11"/>
      <c r="F97" s="94" t="str">
        <f>VLOOKUP(J97,UpdateBBM!$C$2:E1009,3,0)</f>
        <v>POR</v>
      </c>
      <c r="G97" s="78">
        <v>84.0</v>
      </c>
      <c r="H97" s="111">
        <f>IFERROR(__xludf.DUMMYFUNCTION("""COMPUTED_VALUE"""),84.0)</f>
        <v>84</v>
      </c>
      <c r="I97" s="111"/>
      <c r="J97" s="112" t="str">
        <f>IFERROR(__xludf.DUMMYFUNCTION("""COMPUTED_VALUE"""),"Toumani Camara")</f>
        <v>Toumani Camara</v>
      </c>
      <c r="K97" s="111">
        <f>IFERROR(__xludf.DUMMYFUNCTION("""COMPUTED_VALUE"""),73.0)</f>
        <v>73</v>
      </c>
      <c r="L97" s="113" t="str">
        <f>IFERROR(__xludf.DUMMYFUNCTION("""COMPUTED_VALUE"""),"F")</f>
        <v>F</v>
      </c>
      <c r="M97" s="114">
        <f>IFERROR(__xludf.DUMMYFUNCTION("""COMPUTED_VALUE"""),0.6235022803650957)</f>
        <v>0.6235022804</v>
      </c>
      <c r="N97" s="114">
        <f>IFERROR(__xludf.DUMMYFUNCTION("""COMPUTED_VALUE"""),0.46811378159965783)</f>
        <v>0.4681137816</v>
      </c>
      <c r="O97" s="115">
        <f>IFERROR(__xludf.DUMMYFUNCTION("""COMPUTED_VALUE"""),-0.15538849876543787)</f>
        <v>-0.1553884988</v>
      </c>
      <c r="P97" s="116">
        <f>IFERROR(__xludf.DUMMYFUNCTION("""COMPUTED_VALUE"""),14.79849)</f>
        <v>14.79849</v>
      </c>
      <c r="Q97" s="116">
        <f>IFERROR(__xludf.DUMMYFUNCTION("""COMPUTED_VALUE"""),2.506986)</f>
        <v>2.506986</v>
      </c>
      <c r="R97" s="116">
        <f>IFERROR(__xludf.DUMMYFUNCTION("""COMPUTED_VALUE"""),5.820411)</f>
        <v>5.820411</v>
      </c>
      <c r="S97" s="117">
        <f>IFERROR(__xludf.DUMMYFUNCTION("""COMPUTED_VALUE"""),2.363425)</f>
        <v>2.363425</v>
      </c>
      <c r="T97" s="116">
        <f>IFERROR(__xludf.DUMMYFUNCTION("""COMPUTED_VALUE"""),1.536986)</f>
        <v>1.536986</v>
      </c>
      <c r="U97" s="116">
        <f>IFERROR(__xludf.DUMMYFUNCTION("""COMPUTED_VALUE"""),0.703014)</f>
        <v>0.703014</v>
      </c>
      <c r="V97" s="113">
        <f>IFERROR(__xludf.DUMMYFUNCTION("""COMPUTED_VALUE"""),0.459902)</f>
        <v>0.459902</v>
      </c>
      <c r="W97" s="113">
        <f>IFERROR(__xludf.DUMMYFUNCTION("""COMPUTED_VALUE"""),0.731026)</f>
        <v>0.731026</v>
      </c>
      <c r="X97" s="116">
        <f>IFERROR(__xludf.DUMMYFUNCTION("""COMPUTED_VALUE"""),1.122055)</f>
        <v>1.122055</v>
      </c>
      <c r="Y97" s="114">
        <f>IFERROR(__xludf.DUMMYFUNCTION("""COMPUTED_VALUE"""),-0.41687239816420313)</f>
        <v>-0.4168723982</v>
      </c>
      <c r="Z97" s="114">
        <f>IFERROR(__xludf.DUMMYFUNCTION("""COMPUTED_VALUE"""),0.7122368113820731)</f>
        <v>0.7122368114</v>
      </c>
      <c r="AA97" s="114">
        <f>IFERROR(__xludf.DUMMYFUNCTION("""COMPUTED_VALUE"""),-0.12407250555776864)</f>
        <v>-0.1240725056</v>
      </c>
      <c r="AB97" s="114">
        <f>IFERROR(__xludf.DUMMYFUNCTION("""COMPUTED_VALUE"""),-0.719813089790705)</f>
        <v>-0.7198130898</v>
      </c>
      <c r="AC97" s="114">
        <f>IFERROR(__xludf.DUMMYFUNCTION("""COMPUTED_VALUE"""),1.4986225061039864)</f>
        <v>1.498622506</v>
      </c>
      <c r="AD97" s="114">
        <f>IFERROR(__xludf.DUMMYFUNCTION("""COMPUTED_VALUE"""),-0.04946438996498422)</f>
        <v>-0.04946438996</v>
      </c>
      <c r="AE97" s="114">
        <f>IFERROR(__xludf.DUMMYFUNCTION("""COMPUTED_VALUE"""),-0.4874145255845845)</f>
        <v>-0.4874145256</v>
      </c>
      <c r="AF97" s="114">
        <f>IFERROR(__xludf.DUMMYFUNCTION("""COMPUTED_VALUE"""),-0.6649217166148611)</f>
        <v>-0.6649217166</v>
      </c>
      <c r="AG97" s="118">
        <f>IFERROR(__xludf.DUMMYFUNCTION("""COMPUTED_VALUE"""),0.0)</f>
        <v>0</v>
      </c>
      <c r="AH97" s="105"/>
      <c r="AI97" s="202"/>
      <c r="AJ97" s="63"/>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c r="BT97" s="105"/>
      <c r="BU97" s="105"/>
      <c r="BV97" s="105"/>
    </row>
    <row r="98">
      <c r="A98" s="109">
        <f>VLOOKUP($F98,UpdateHashtag!$V$3:$Y$32,COLUMN(B$9),0)</f>
        <v>4</v>
      </c>
      <c r="B98" s="91" t="str">
        <f>VLOOKUP($F98,UpdateHashtag!$V$3:$Y$32,COLUMN(#REF!),0)</f>
        <v>#REF!</v>
      </c>
      <c r="C98" s="91" t="str">
        <f>VLOOKUP($F98,UpdateHashtag!$V$3:$Y$32,COLUMN(#REF!),0)</f>
        <v>#REF!</v>
      </c>
      <c r="D98" s="110" t="str">
        <f t="shared" si="2"/>
        <v>#REF!</v>
      </c>
      <c r="E98" s="11"/>
      <c r="F98" s="94" t="str">
        <f>VLOOKUP(J98,UpdateBBM!$C$2:E1009,3,0)</f>
        <v>DAL</v>
      </c>
      <c r="G98" s="78">
        <v>85.0</v>
      </c>
      <c r="H98" s="111">
        <f>IFERROR(__xludf.DUMMYFUNCTION("""COMPUTED_VALUE"""),85.0)</f>
        <v>85</v>
      </c>
      <c r="I98" s="111"/>
      <c r="J98" s="112" t="str">
        <f>IFERROR(__xludf.DUMMYFUNCTION("""COMPUTED_VALUE"""),"Daniel Gafford")</f>
        <v>Daniel Gafford</v>
      </c>
      <c r="K98" s="111">
        <f>IFERROR(__xludf.DUMMYFUNCTION("""COMPUTED_VALUE"""),68.0)</f>
        <v>68</v>
      </c>
      <c r="L98" s="113" t="str">
        <f>IFERROR(__xludf.DUMMYFUNCTION("""COMPUTED_VALUE"""),"C")</f>
        <v>C</v>
      </c>
      <c r="M98" s="114">
        <f>IFERROR(__xludf.DUMMYFUNCTION("""COMPUTED_VALUE"""),0.6046238204041576)</f>
        <v>0.6046238204</v>
      </c>
      <c r="N98" s="114">
        <f>IFERROR(__xludf.DUMMYFUNCTION("""COMPUTED_VALUE"""),0.41203899335327887)</f>
        <v>0.4120389934</v>
      </c>
      <c r="O98" s="115">
        <f>IFERROR(__xludf.DUMMYFUNCTION("""COMPUTED_VALUE"""),-0.19258482705087876)</f>
        <v>-0.1925848271</v>
      </c>
      <c r="P98" s="116">
        <f>IFERROR(__xludf.DUMMYFUNCTION("""COMPUTED_VALUE"""),9.703971)</f>
        <v>9.703971</v>
      </c>
      <c r="Q98" s="116">
        <f>IFERROR(__xludf.DUMMYFUNCTION("""COMPUTED_VALUE"""),0.0)</f>
        <v>0</v>
      </c>
      <c r="R98" s="116">
        <f>IFERROR(__xludf.DUMMYFUNCTION("""COMPUTED_VALUE"""),6.318824)</f>
        <v>6.318824</v>
      </c>
      <c r="S98" s="117">
        <f>IFERROR(__xludf.DUMMYFUNCTION("""COMPUTED_VALUE"""),1.368382)</f>
        <v>1.368382</v>
      </c>
      <c r="T98" s="116">
        <f>IFERROR(__xludf.DUMMYFUNCTION("""COMPUTED_VALUE"""),0.48)</f>
        <v>0.48</v>
      </c>
      <c r="U98" s="116">
        <f>IFERROR(__xludf.DUMMYFUNCTION("""COMPUTED_VALUE"""),1.590735)</f>
        <v>1.590735</v>
      </c>
      <c r="V98" s="113">
        <f>IFERROR(__xludf.DUMMYFUNCTION("""COMPUTED_VALUE"""),0.694505)</f>
        <v>0.694505</v>
      </c>
      <c r="W98" s="113">
        <f>IFERROR(__xludf.DUMMYFUNCTION("""COMPUTED_VALUE"""),0.680998)</f>
        <v>0.680998</v>
      </c>
      <c r="X98" s="116">
        <f>IFERROR(__xludf.DUMMYFUNCTION("""COMPUTED_VALUE"""),0.972059)</f>
        <v>0.972059</v>
      </c>
      <c r="Y98" s="114">
        <f>IFERROR(__xludf.DUMMYFUNCTION("""COMPUTED_VALUE"""),-1.3106681181151856)</f>
        <v>-1.310668118</v>
      </c>
      <c r="Z98" s="114">
        <f>IFERROR(__xludf.DUMMYFUNCTION("""COMPUTED_VALUE"""),-1.7090941005108098)</f>
        <v>-1.709094101</v>
      </c>
      <c r="AA98" s="114">
        <f>IFERROR(__xludf.DUMMYFUNCTION("""COMPUTED_VALUE"""),0.07796100139901911)</f>
        <v>0.0779610014</v>
      </c>
      <c r="AB98" s="114">
        <f>IFERROR(__xludf.DUMMYFUNCTION("""COMPUTED_VALUE"""),-1.2059060205117773)</f>
        <v>-1.205906021</v>
      </c>
      <c r="AC98" s="114">
        <f>IFERROR(__xludf.DUMMYFUNCTION("""COMPUTED_VALUE"""),-1.7222569831024264)</f>
        <v>-1.722256983</v>
      </c>
      <c r="AD98" s="114">
        <f>IFERROR(__xludf.DUMMYFUNCTION("""COMPUTED_VALUE"""),1.5644054859783707)</f>
        <v>1.564405486</v>
      </c>
      <c r="AE98" s="114">
        <f>IFERROR(__xludf.DUMMYFUNCTION("""COMPUTED_VALUE"""),4.158421975134807)</f>
        <v>4.158421975</v>
      </c>
      <c r="AF98" s="114">
        <f>IFERROR(__xludf.DUMMYFUNCTION("""COMPUTED_VALUE"""),-1.1630812300211464)</f>
        <v>-1.16308123</v>
      </c>
      <c r="AG98" s="118">
        <f>IFERROR(__xludf.DUMMYFUNCTION("""COMPUTED_VALUE"""),0.0)</f>
        <v>0</v>
      </c>
      <c r="AH98" s="105"/>
      <c r="AI98" s="202"/>
      <c r="AJ98" s="63"/>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row>
    <row r="99">
      <c r="A99" s="109">
        <f>VLOOKUP($F99,UpdateHashtag!$V$3:$Y$32,COLUMN(B$9),0)</f>
        <v>4</v>
      </c>
      <c r="B99" s="91" t="str">
        <f>VLOOKUP($F99,UpdateHashtag!$V$3:$Y$32,COLUMN(#REF!),0)</f>
        <v>#REF!</v>
      </c>
      <c r="C99" s="91" t="str">
        <f>VLOOKUP($F99,UpdateHashtag!$V$3:$Y$32,COLUMN(#REF!),0)</f>
        <v>#REF!</v>
      </c>
      <c r="D99" s="110" t="str">
        <f t="shared" si="2"/>
        <v>#REF!</v>
      </c>
      <c r="E99" s="11"/>
      <c r="F99" s="94" t="str">
        <f>VLOOKUP(J99,UpdateBBM!$C$2:E1009,3,0)</f>
        <v>HOU</v>
      </c>
      <c r="G99" s="78">
        <v>86.0</v>
      </c>
      <c r="H99" s="111">
        <f>IFERROR(__xludf.DUMMYFUNCTION("""COMPUTED_VALUE"""),86.0)</f>
        <v>86</v>
      </c>
      <c r="I99" s="111"/>
      <c r="J99" s="112" t="str">
        <f>IFERROR(__xludf.DUMMYFUNCTION("""COMPUTED_VALUE"""),"Tari Eason")</f>
        <v>Tari Eason</v>
      </c>
      <c r="K99" s="111">
        <f>IFERROR(__xludf.DUMMYFUNCTION("""COMPUTED_VALUE"""),64.0)</f>
        <v>64</v>
      </c>
      <c r="L99" s="113" t="str">
        <f>IFERROR(__xludf.DUMMYFUNCTION("""COMPUTED_VALUE"""),"F")</f>
        <v>F</v>
      </c>
      <c r="M99" s="114">
        <f>IFERROR(__xludf.DUMMYFUNCTION("""COMPUTED_VALUE"""),0.5966892509348858)</f>
        <v>0.5966892509</v>
      </c>
      <c r="N99" s="114">
        <f>IFERROR(__xludf.DUMMYFUNCTION("""COMPUTED_VALUE"""),0.47361009652517616)</f>
        <v>0.4736100965</v>
      </c>
      <c r="O99" s="115">
        <f>IFERROR(__xludf.DUMMYFUNCTION("""COMPUTED_VALUE"""),-0.12307915440970962)</f>
        <v>-0.1230791544</v>
      </c>
      <c r="P99" s="116">
        <f>IFERROR(__xludf.DUMMYFUNCTION("""COMPUTED_VALUE"""),13.505)</f>
        <v>13.505</v>
      </c>
      <c r="Q99" s="116">
        <f>IFERROR(__xludf.DUMMYFUNCTION("""COMPUTED_VALUE"""),1.240781)</f>
        <v>1.240781</v>
      </c>
      <c r="R99" s="116">
        <f>IFERROR(__xludf.DUMMYFUNCTION("""COMPUTED_VALUE"""),7.044688)</f>
        <v>7.044688</v>
      </c>
      <c r="S99" s="117">
        <f>IFERROR(__xludf.DUMMYFUNCTION("""COMPUTED_VALUE"""),1.57625)</f>
        <v>1.57625</v>
      </c>
      <c r="T99" s="116">
        <f>IFERROR(__xludf.DUMMYFUNCTION("""COMPUTED_VALUE"""),1.533906)</f>
        <v>1.533906</v>
      </c>
      <c r="U99" s="116">
        <f>IFERROR(__xludf.DUMMYFUNCTION("""COMPUTED_VALUE"""),0.854219)</f>
        <v>0.854219</v>
      </c>
      <c r="V99" s="113">
        <f>IFERROR(__xludf.DUMMYFUNCTION("""COMPUTED_VALUE"""),0.493378)</f>
        <v>0.493378</v>
      </c>
      <c r="W99" s="113">
        <f>IFERROR(__xludf.DUMMYFUNCTION("""COMPUTED_VALUE"""),0.752028)</f>
        <v>0.752028</v>
      </c>
      <c r="X99" s="116">
        <f>IFERROR(__xludf.DUMMYFUNCTION("""COMPUTED_VALUE"""),1.252344)</f>
        <v>1.252344</v>
      </c>
      <c r="Y99" s="114">
        <f>IFERROR(__xludf.DUMMYFUNCTION("""COMPUTED_VALUE"""),-0.6438056622857806)</f>
        <v>-0.6438056623</v>
      </c>
      <c r="Z99" s="114">
        <f>IFERROR(__xludf.DUMMYFUNCTION("""COMPUTED_VALUE"""),-0.510706319251017)</f>
        <v>-0.5107063193</v>
      </c>
      <c r="AA99" s="114">
        <f>IFERROR(__xludf.DUMMYFUNCTION("""COMPUTED_VALUE"""),0.3721925914532144)</f>
        <v>0.3721925915</v>
      </c>
      <c r="AB99" s="114">
        <f>IFERROR(__xludf.DUMMYFUNCTION("""COMPUTED_VALUE"""),-1.1043594890321047)</f>
        <v>-1.104359489</v>
      </c>
      <c r="AC99" s="114">
        <f>IFERROR(__xludf.DUMMYFUNCTION("""COMPUTED_VALUE"""),1.489237037586186)</f>
        <v>1.489237038</v>
      </c>
      <c r="AD99" s="114">
        <f>IFERROR(__xludf.DUMMYFUNCTION("""COMPUTED_VALUE"""),0.2254251244117342)</f>
        <v>0.2254251244</v>
      </c>
      <c r="AE99" s="114">
        <f>IFERROR(__xludf.DUMMYFUNCTION("""COMPUTED_VALUE"""),-0.02674607495298616)</f>
        <v>-0.02674607495</v>
      </c>
      <c r="AF99" s="114">
        <f>IFERROR(__xludf.DUMMYFUNCTION("""COMPUTED_VALUE"""),-0.43198660043617504)</f>
        <v>-0.4319866004</v>
      </c>
      <c r="AG99" s="118">
        <f>IFERROR(__xludf.DUMMYFUNCTION("""COMPUTED_VALUE"""),0.0)</f>
        <v>0</v>
      </c>
      <c r="AH99" s="105"/>
      <c r="AI99" s="202"/>
      <c r="AJ99" s="63"/>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c r="BL99" s="105"/>
      <c r="BM99" s="105"/>
      <c r="BN99" s="105"/>
      <c r="BO99" s="105"/>
      <c r="BP99" s="105"/>
      <c r="BQ99" s="105"/>
      <c r="BR99" s="105"/>
      <c r="BS99" s="105"/>
      <c r="BT99" s="105"/>
      <c r="BU99" s="105"/>
      <c r="BV99" s="105"/>
    </row>
    <row r="100">
      <c r="A100" s="109">
        <f>VLOOKUP($F100,UpdateHashtag!$V$3:$Y$32,COLUMN(B$9),0)</f>
        <v>2</v>
      </c>
      <c r="B100" s="91" t="str">
        <f>VLOOKUP($F100,UpdateHashtag!$V$3:$Y$32,COLUMN(#REF!),0)</f>
        <v>#REF!</v>
      </c>
      <c r="C100" s="91" t="str">
        <f>VLOOKUP($F100,UpdateHashtag!$V$3:$Y$32,COLUMN(#REF!),0)</f>
        <v>#REF!</v>
      </c>
      <c r="D100" s="110" t="str">
        <f t="shared" si="2"/>
        <v>#REF!</v>
      </c>
      <c r="E100" s="11"/>
      <c r="F100" s="94" t="str">
        <f>VLOOKUP(J100,UpdateBBM!$C$2:E1009,3,0)</f>
        <v>CHI</v>
      </c>
      <c r="G100" s="78">
        <v>87.0</v>
      </c>
      <c r="H100" s="111">
        <f>IFERROR(__xludf.DUMMYFUNCTION("""COMPUTED_VALUE"""),87.0)</f>
        <v>87</v>
      </c>
      <c r="I100" s="111"/>
      <c r="J100" s="112" t="str">
        <f>IFERROR(__xludf.DUMMYFUNCTION("""COMPUTED_VALUE"""),"Matas Buzelis")</f>
        <v>Matas Buzelis</v>
      </c>
      <c r="K100" s="111">
        <f>IFERROR(__xludf.DUMMYFUNCTION("""COMPUTED_VALUE"""),73.0)</f>
        <v>73</v>
      </c>
      <c r="L100" s="113" t="str">
        <f>IFERROR(__xludf.DUMMYFUNCTION("""COMPUTED_VALUE"""),"F")</f>
        <v>F</v>
      </c>
      <c r="M100" s="114">
        <f>IFERROR(__xludf.DUMMYFUNCTION("""COMPUTED_VALUE"""),0.5837237410934454)</f>
        <v>0.5837237411</v>
      </c>
      <c r="N100" s="114">
        <f>IFERROR(__xludf.DUMMYFUNCTION("""COMPUTED_VALUE"""),0.6175488349175375)</f>
        <v>0.6175488349</v>
      </c>
      <c r="O100" s="115">
        <f>IFERROR(__xludf.DUMMYFUNCTION("""COMPUTED_VALUE"""),0.033825093824092156)</f>
        <v>0.03382509382</v>
      </c>
      <c r="P100" s="116">
        <f>IFERROR(__xludf.DUMMYFUNCTION("""COMPUTED_VALUE"""),15.55767)</f>
        <v>15.55767</v>
      </c>
      <c r="Q100" s="116">
        <f>IFERROR(__xludf.DUMMYFUNCTION("""COMPUTED_VALUE"""),2.104795)</f>
        <v>2.104795</v>
      </c>
      <c r="R100" s="116">
        <f>IFERROR(__xludf.DUMMYFUNCTION("""COMPUTED_VALUE"""),5.72)</f>
        <v>5.72</v>
      </c>
      <c r="S100" s="117">
        <f>IFERROR(__xludf.DUMMYFUNCTION("""COMPUTED_VALUE"""),2.08)</f>
        <v>2.08</v>
      </c>
      <c r="T100" s="116">
        <f>IFERROR(__xludf.DUMMYFUNCTION("""COMPUTED_VALUE"""),0.78)</f>
        <v>0.78</v>
      </c>
      <c r="U100" s="116">
        <f>IFERROR(__xludf.DUMMYFUNCTION("""COMPUTED_VALUE"""),1.494932)</f>
        <v>1.494932</v>
      </c>
      <c r="V100" s="113">
        <f>IFERROR(__xludf.DUMMYFUNCTION("""COMPUTED_VALUE"""),0.479121)</f>
        <v>0.479121</v>
      </c>
      <c r="W100" s="113">
        <f>IFERROR(__xludf.DUMMYFUNCTION("""COMPUTED_VALUE"""),0.817997)</f>
        <v>0.817997</v>
      </c>
      <c r="X100" s="116">
        <f>IFERROR(__xludf.DUMMYFUNCTION("""COMPUTED_VALUE"""),1.885068)</f>
        <v>1.885068</v>
      </c>
      <c r="Y100" s="114">
        <f>IFERROR(__xludf.DUMMYFUNCTION("""COMPUTED_VALUE"""),-0.2836798760296528)</f>
        <v>-0.283679876</v>
      </c>
      <c r="Z100" s="114">
        <f>IFERROR(__xludf.DUMMYFUNCTION("""COMPUTED_VALUE"""),0.32378729439828857)</f>
        <v>0.3237872944</v>
      </c>
      <c r="AA100" s="114">
        <f>IFERROR(__xludf.DUMMYFUNCTION("""COMPUTED_VALUE"""),-0.16477446651592595)</f>
        <v>-0.1647744665</v>
      </c>
      <c r="AB100" s="114">
        <f>IFERROR(__xludf.DUMMYFUNCTION("""COMPUTED_VALUE"""),-0.8582703111264863)</f>
        <v>-0.8582703111</v>
      </c>
      <c r="AC100" s="114">
        <f>IFERROR(__xludf.DUMMYFUNCTION("""COMPUTED_VALUE"""),-0.8080879716283633)</f>
        <v>-0.8080879716</v>
      </c>
      <c r="AD100" s="114">
        <f>IFERROR(__xludf.DUMMYFUNCTION("""COMPUTED_VALUE"""),1.3902363768494874)</f>
        <v>1.390236377</v>
      </c>
      <c r="AE100" s="114">
        <f>IFERROR(__xludf.DUMMYFUNCTION("""COMPUTED_VALUE"""),-0.2311699377593521)</f>
        <v>-0.2311699378</v>
      </c>
      <c r="AF100" s="114">
        <f>IFERROR(__xludf.DUMMYFUNCTION("""COMPUTED_VALUE"""),0.39123741560305575)</f>
        <v>0.3912374156</v>
      </c>
      <c r="AG100" s="118">
        <f>IFERROR(__xludf.DUMMYFUNCTION("""COMPUTED_VALUE"""),0.0)</f>
        <v>0</v>
      </c>
      <c r="AH100" s="105"/>
      <c r="AI100" s="202"/>
      <c r="AJ100" s="63"/>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c r="BI100" s="105"/>
      <c r="BJ100" s="105"/>
      <c r="BK100" s="105"/>
      <c r="BL100" s="105"/>
      <c r="BM100" s="105"/>
      <c r="BN100" s="105"/>
      <c r="BO100" s="105"/>
      <c r="BP100" s="105"/>
      <c r="BQ100" s="105"/>
      <c r="BR100" s="105"/>
      <c r="BS100" s="105"/>
      <c r="BT100" s="105"/>
      <c r="BU100" s="105"/>
      <c r="BV100" s="105"/>
    </row>
    <row r="101">
      <c r="A101" s="109">
        <f>VLOOKUP($F101,UpdateHashtag!$V$3:$Y$32,COLUMN(B$9),0)</f>
        <v>3</v>
      </c>
      <c r="B101" s="91" t="str">
        <f>VLOOKUP($F101,UpdateHashtag!$V$3:$Y$32,COLUMN(#REF!),0)</f>
        <v>#REF!</v>
      </c>
      <c r="C101" s="91" t="str">
        <f>VLOOKUP($F101,UpdateHashtag!$V$3:$Y$32,COLUMN(#REF!),0)</f>
        <v>#REF!</v>
      </c>
      <c r="D101" s="110" t="str">
        <f t="shared" si="2"/>
        <v>#REF!</v>
      </c>
      <c r="E101" s="11"/>
      <c r="F101" s="94" t="str">
        <f>VLOOKUP(J101,UpdateBBM!$C$2:E1009,3,0)</f>
        <v>DEN</v>
      </c>
      <c r="G101" s="78">
        <v>88.0</v>
      </c>
      <c r="H101" s="111">
        <f>IFERROR(__xludf.DUMMYFUNCTION("""COMPUTED_VALUE"""),88.0)</f>
        <v>88</v>
      </c>
      <c r="I101" s="111"/>
      <c r="J101" s="112" t="str">
        <f>IFERROR(__xludf.DUMMYFUNCTION("""COMPUTED_VALUE"""),"Cam Johnson")</f>
        <v>Cam Johnson</v>
      </c>
      <c r="K101" s="111">
        <f>IFERROR(__xludf.DUMMYFUNCTION("""COMPUTED_VALUE"""),68.0)</f>
        <v>68</v>
      </c>
      <c r="L101" s="113" t="str">
        <f>IFERROR(__xludf.DUMMYFUNCTION("""COMPUTED_VALUE"""),"F")</f>
        <v>F</v>
      </c>
      <c r="M101" s="114">
        <f>IFERROR(__xludf.DUMMYFUNCTION("""COMPUTED_VALUE"""),0.44414213517950685)</f>
        <v>0.4441421352</v>
      </c>
      <c r="N101" s="114">
        <f>IFERROR(__xludf.DUMMYFUNCTION("""COMPUTED_VALUE"""),0.37784592998711153)</f>
        <v>0.37784593</v>
      </c>
      <c r="O101" s="115">
        <f>IFERROR(__xludf.DUMMYFUNCTION("""COMPUTED_VALUE"""),-0.06629620519239532)</f>
        <v>-0.06629620519</v>
      </c>
      <c r="P101" s="116">
        <f>IFERROR(__xludf.DUMMYFUNCTION("""COMPUTED_VALUE"""),15.83882)</f>
        <v>15.83882</v>
      </c>
      <c r="Q101" s="116">
        <f>IFERROR(__xludf.DUMMYFUNCTION("""COMPUTED_VALUE"""),2.806765)</f>
        <v>2.806765</v>
      </c>
      <c r="R101" s="116">
        <f>IFERROR(__xludf.DUMMYFUNCTION("""COMPUTED_VALUE"""),4.578676)</f>
        <v>4.578676</v>
      </c>
      <c r="S101" s="117">
        <f>IFERROR(__xludf.DUMMYFUNCTION("""COMPUTED_VALUE"""),2.558676)</f>
        <v>2.558676</v>
      </c>
      <c r="T101" s="116">
        <f>IFERROR(__xludf.DUMMYFUNCTION("""COMPUTED_VALUE"""),1.015441)</f>
        <v>1.015441</v>
      </c>
      <c r="U101" s="116">
        <f>IFERROR(__xludf.DUMMYFUNCTION("""COMPUTED_VALUE"""),0.469559)</f>
        <v>0.469559</v>
      </c>
      <c r="V101" s="113">
        <f>IFERROR(__xludf.DUMMYFUNCTION("""COMPUTED_VALUE"""),0.465492)</f>
        <v>0.465492</v>
      </c>
      <c r="W101" s="113">
        <f>IFERROR(__xludf.DUMMYFUNCTION("""COMPUTED_VALUE"""),0.875008)</f>
        <v>0.875008</v>
      </c>
      <c r="X101" s="116">
        <f>IFERROR(__xludf.DUMMYFUNCTION("""COMPUTED_VALUE"""),1.481324)</f>
        <v>1.481324</v>
      </c>
      <c r="Y101" s="114">
        <f>IFERROR(__xludf.DUMMYFUNCTION("""COMPUTED_VALUE"""),-0.23435418568200286)</f>
        <v>-0.2343541857</v>
      </c>
      <c r="Z101" s="114">
        <f>IFERROR(__xludf.DUMMYFUNCTION("""COMPUTED_VALUE"""),1.0017733941297775)</f>
        <v>1.001773394</v>
      </c>
      <c r="AA101" s="114">
        <f>IFERROR(__xludf.DUMMYFUNCTION("""COMPUTED_VALUE"""),-0.6274142658268362)</f>
        <v>-0.6274142658</v>
      </c>
      <c r="AB101" s="114">
        <f>IFERROR(__xludf.DUMMYFUNCTION("""COMPUTED_VALUE"""),-0.6244301457207299)</f>
        <v>-0.6244301457</v>
      </c>
      <c r="AC101" s="114">
        <f>IFERROR(__xludf.DUMMYFUNCTION("""COMPUTED_VALUE"""),-0.09064508419348048)</f>
        <v>-0.09064508419</v>
      </c>
      <c r="AD101" s="114">
        <f>IFERROR(__xludf.DUMMYFUNCTION("""COMPUTED_VALUE"""),-0.4738837648455559)</f>
        <v>-0.4738837648</v>
      </c>
      <c r="AE101" s="114">
        <f>IFERROR(__xludf.DUMMYFUNCTION("""COMPUTED_VALUE"""),-0.4151723517545418)</f>
        <v>-0.4151723518</v>
      </c>
      <c r="AF101" s="114">
        <f>IFERROR(__xludf.DUMMYFUNCTION("""COMPUTED_VALUE"""),1.214558068053645)</f>
        <v>1.214558068</v>
      </c>
      <c r="AG101" s="118">
        <f>IFERROR(__xludf.DUMMYFUNCTION("""COMPUTED_VALUE"""),0.0)</f>
        <v>0</v>
      </c>
      <c r="AH101" s="105"/>
      <c r="AI101" s="202"/>
      <c r="AJ101" s="63"/>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c r="BL101" s="105"/>
      <c r="BM101" s="105"/>
      <c r="BN101" s="105"/>
      <c r="BO101" s="105"/>
      <c r="BP101" s="105"/>
      <c r="BQ101" s="105"/>
      <c r="BR101" s="105"/>
      <c r="BS101" s="105"/>
      <c r="BT101" s="105"/>
      <c r="BU101" s="105"/>
      <c r="BV101" s="105"/>
    </row>
    <row r="102">
      <c r="A102" s="109">
        <f>VLOOKUP($F102,UpdateHashtag!$V$3:$Y$32,COLUMN(B$9),0)</f>
        <v>3</v>
      </c>
      <c r="B102" s="91" t="str">
        <f>VLOOKUP($F102,UpdateHashtag!$V$3:$Y$32,COLUMN(#REF!),0)</f>
        <v>#REF!</v>
      </c>
      <c r="C102" s="91" t="str">
        <f>VLOOKUP($F102,UpdateHashtag!$V$3:$Y$32,COLUMN(#REF!),0)</f>
        <v>#REF!</v>
      </c>
      <c r="D102" s="110" t="str">
        <f t="shared" si="2"/>
        <v>#REF!</v>
      </c>
      <c r="E102" s="11"/>
      <c r="F102" s="94" t="str">
        <f>VLOOKUP(J102,UpdateBBM!$C$2:E1009,3,0)</f>
        <v>PHO</v>
      </c>
      <c r="G102" s="78">
        <v>89.0</v>
      </c>
      <c r="H102" s="111">
        <f>IFERROR(__xludf.DUMMYFUNCTION("""COMPUTED_VALUE"""),89.0)</f>
        <v>89</v>
      </c>
      <c r="I102" s="111"/>
      <c r="J102" s="112" t="str">
        <f>IFERROR(__xludf.DUMMYFUNCTION("""COMPUTED_VALUE"""),"Jalen Green")</f>
        <v>Jalen Green</v>
      </c>
      <c r="K102" s="111">
        <f>IFERROR(__xludf.DUMMYFUNCTION("""COMPUTED_VALUE"""),77.0)</f>
        <v>77</v>
      </c>
      <c r="L102" s="113" t="str">
        <f>IFERROR(__xludf.DUMMYFUNCTION("""COMPUTED_VALUE"""),"G")</f>
        <v>G</v>
      </c>
      <c r="M102" s="114">
        <f>IFERROR(__xludf.DUMMYFUNCTION("""COMPUTED_VALUE"""),0.42364097882169205)</f>
        <v>0.4236409788</v>
      </c>
      <c r="N102" s="114">
        <f>IFERROR(__xludf.DUMMYFUNCTION("""COMPUTED_VALUE"""),0.7060592353856991)</f>
        <v>0.7060592354</v>
      </c>
      <c r="O102" s="115">
        <f>IFERROR(__xludf.DUMMYFUNCTION("""COMPUTED_VALUE"""),0.2824182565640071)</f>
        <v>0.2824182566</v>
      </c>
      <c r="P102" s="116">
        <f>IFERROR(__xludf.DUMMYFUNCTION("""COMPUTED_VALUE"""),21.6387)</f>
        <v>21.6387</v>
      </c>
      <c r="Q102" s="116">
        <f>IFERROR(__xludf.DUMMYFUNCTION("""COMPUTED_VALUE"""),2.884416)</f>
        <v>2.884416</v>
      </c>
      <c r="R102" s="116">
        <f>IFERROR(__xludf.DUMMYFUNCTION("""COMPUTED_VALUE"""),5.053117)</f>
        <v>5.053117</v>
      </c>
      <c r="S102" s="117">
        <f>IFERROR(__xludf.DUMMYFUNCTION("""COMPUTED_VALUE"""),5.341818)</f>
        <v>5.341818</v>
      </c>
      <c r="T102" s="116">
        <f>IFERROR(__xludf.DUMMYFUNCTION("""COMPUTED_VALUE"""),0.878831)</f>
        <v>0.878831</v>
      </c>
      <c r="U102" s="116">
        <f>IFERROR(__xludf.DUMMYFUNCTION("""COMPUTED_VALUE"""),0.357403)</f>
        <v>0.357403</v>
      </c>
      <c r="V102" s="113">
        <f>IFERROR(__xludf.DUMMYFUNCTION("""COMPUTED_VALUE"""),0.42896)</f>
        <v>0.42896</v>
      </c>
      <c r="W102" s="113">
        <f>IFERROR(__xludf.DUMMYFUNCTION("""COMPUTED_VALUE"""),0.765996)</f>
        <v>0.765996</v>
      </c>
      <c r="X102" s="116">
        <f>IFERROR(__xludf.DUMMYFUNCTION("""COMPUTED_VALUE"""),2.887532)</f>
        <v>2.887532</v>
      </c>
      <c r="Y102" s="114">
        <f>IFERROR(__xludf.DUMMYFUNCTION("""COMPUTED_VALUE"""),0.7831919104713932)</f>
        <v>0.7831919105</v>
      </c>
      <c r="Z102" s="114">
        <f>IFERROR(__xludf.DUMMYFUNCTION("""COMPUTED_VALUE"""),1.0767713265631433)</f>
        <v>1.076771327</v>
      </c>
      <c r="AA102" s="114">
        <f>IFERROR(__xludf.DUMMYFUNCTION("""COMPUTED_VALUE"""),-0.43509789551930933)</f>
        <v>-0.4350978955</v>
      </c>
      <c r="AB102" s="114">
        <f>IFERROR(__xludf.DUMMYFUNCTION("""COMPUTED_VALUE"""),0.7351750687201605)</f>
        <v>0.7351750687</v>
      </c>
      <c r="AC102" s="114">
        <f>IFERROR(__xludf.DUMMYFUNCTION("""COMPUTED_VALUE"""),-0.5069271797183863)</f>
        <v>-0.5069271797</v>
      </c>
      <c r="AD102" s="114">
        <f>IFERROR(__xludf.DUMMYFUNCTION("""COMPUTED_VALUE"""),-0.6777825008293874)</f>
        <v>-0.6777825008</v>
      </c>
      <c r="AE102" s="114">
        <f>IFERROR(__xludf.DUMMYFUNCTION("""COMPUTED_VALUE"""),-0.8533362168635684)</f>
        <v>-0.8533362169</v>
      </c>
      <c r="AF102" s="114">
        <f>IFERROR(__xludf.DUMMYFUNCTION("""COMPUTED_VALUE"""),-0.26927149430191494)</f>
        <v>-0.2692714943</v>
      </c>
      <c r="AG102" s="118">
        <f>IFERROR(__xludf.DUMMYFUNCTION("""COMPUTED_VALUE"""),0.0)</f>
        <v>0</v>
      </c>
      <c r="AH102" s="105"/>
      <c r="AI102" s="202"/>
      <c r="AJ102" s="63"/>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5"/>
      <c r="BS102" s="105"/>
      <c r="BT102" s="105"/>
      <c r="BU102" s="105"/>
      <c r="BV102" s="105"/>
    </row>
    <row r="103">
      <c r="A103" s="109">
        <f>VLOOKUP($F103,UpdateHashtag!$V$3:$Y$32,COLUMN(B$9),0)</f>
        <v>4</v>
      </c>
      <c r="B103" s="91" t="str">
        <f>VLOOKUP($F103,UpdateHashtag!$V$3:$Y$32,COLUMN(#REF!),0)</f>
        <v>#REF!</v>
      </c>
      <c r="C103" s="91" t="str">
        <f>VLOOKUP($F103,UpdateHashtag!$V$3:$Y$32,COLUMN(#REF!),0)</f>
        <v>#REF!</v>
      </c>
      <c r="D103" s="110" t="str">
        <f t="shared" si="2"/>
        <v>#REF!</v>
      </c>
      <c r="E103" s="11"/>
      <c r="F103" s="94" t="str">
        <f>VLOOKUP(J103,UpdateBBM!$C$2:E1009,3,0)</f>
        <v>MIN</v>
      </c>
      <c r="G103" s="78">
        <v>90.0</v>
      </c>
      <c r="H103" s="111">
        <f>IFERROR(__xludf.DUMMYFUNCTION("""COMPUTED_VALUE"""),90.0)</f>
        <v>90</v>
      </c>
      <c r="I103" s="111"/>
      <c r="J103" s="112" t="str">
        <f>IFERROR(__xludf.DUMMYFUNCTION("""COMPUTED_VALUE"""),"Julius Randle")</f>
        <v>Julius Randle</v>
      </c>
      <c r="K103" s="111">
        <f>IFERROR(__xludf.DUMMYFUNCTION("""COMPUTED_VALUE"""),68.0)</f>
        <v>68</v>
      </c>
      <c r="L103" s="113" t="str">
        <f>IFERROR(__xludf.DUMMYFUNCTION("""COMPUTED_VALUE"""),"F")</f>
        <v>F</v>
      </c>
      <c r="M103" s="114">
        <f>IFERROR(__xludf.DUMMYFUNCTION("""COMPUTED_VALUE"""),0.4085566328341801)</f>
        <v>0.4085566328</v>
      </c>
      <c r="N103" s="114">
        <f>IFERROR(__xludf.DUMMYFUNCTION("""COMPUTED_VALUE"""),0.7175521267089411)</f>
        <v>0.7175521267</v>
      </c>
      <c r="O103" s="115">
        <f>IFERROR(__xludf.DUMMYFUNCTION("""COMPUTED_VALUE"""),0.308995493874761)</f>
        <v>0.3089954939</v>
      </c>
      <c r="P103" s="116">
        <f>IFERROR(__xludf.DUMMYFUNCTION("""COMPUTED_VALUE"""),19.18368)</f>
        <v>19.18368</v>
      </c>
      <c r="Q103" s="116">
        <f>IFERROR(__xludf.DUMMYFUNCTION("""COMPUTED_VALUE"""),1.692794)</f>
        <v>1.692794</v>
      </c>
      <c r="R103" s="116">
        <f>IFERROR(__xludf.DUMMYFUNCTION("""COMPUTED_VALUE"""),7.418824)</f>
        <v>7.418824</v>
      </c>
      <c r="S103" s="117">
        <f>IFERROR(__xludf.DUMMYFUNCTION("""COMPUTED_VALUE"""),5.376912)</f>
        <v>5.376912</v>
      </c>
      <c r="T103" s="116">
        <f>IFERROR(__xludf.DUMMYFUNCTION("""COMPUTED_VALUE"""),0.754706)</f>
        <v>0.754706</v>
      </c>
      <c r="U103" s="116">
        <f>IFERROR(__xludf.DUMMYFUNCTION("""COMPUTED_VALUE"""),0.270735)</f>
        <v>0.270735</v>
      </c>
      <c r="V103" s="113">
        <f>IFERROR(__xludf.DUMMYFUNCTION("""COMPUTED_VALUE"""),0.487284)</f>
        <v>0.487284</v>
      </c>
      <c r="W103" s="113">
        <f>IFERROR(__xludf.DUMMYFUNCTION("""COMPUTED_VALUE"""),0.796989)</f>
        <v>0.796989</v>
      </c>
      <c r="X103" s="116">
        <f>IFERROR(__xludf.DUMMYFUNCTION("""COMPUTED_VALUE"""),2.994706)</f>
        <v>2.994706</v>
      </c>
      <c r="Y103" s="114">
        <f>IFERROR(__xludf.DUMMYFUNCTION("""COMPUTED_VALUE"""),0.35247678930017734)</f>
        <v>0.3524767893</v>
      </c>
      <c r="Z103" s="114">
        <f>IFERROR(__xludf.DUMMYFUNCTION("""COMPUTED_VALUE"""),-0.07413704862986567)</f>
        <v>-0.07413704863</v>
      </c>
      <c r="AA103" s="114">
        <f>IFERROR(__xludf.DUMMYFUNCTION("""COMPUTED_VALUE"""),0.5238499682848474)</f>
        <v>0.5238499683</v>
      </c>
      <c r="AB103" s="114">
        <f>IFERROR(__xludf.DUMMYFUNCTION("""COMPUTED_VALUE"""),0.7523189964807953)</f>
        <v>0.7523189965</v>
      </c>
      <c r="AC103" s="114">
        <f>IFERROR(__xludf.DUMMYFUNCTION("""COMPUTED_VALUE"""),-0.8851646082157799)</f>
        <v>-0.8851646082</v>
      </c>
      <c r="AD103" s="114">
        <f>IFERROR(__xludf.DUMMYFUNCTION("""COMPUTED_VALUE"""),-0.8353442509831618)</f>
        <v>-0.835344251</v>
      </c>
      <c r="AE103" s="114">
        <f>IFERROR(__xludf.DUMMYFUNCTION("""COMPUTED_VALUE"""),-0.11561917737845294)</f>
        <v>-0.1156191774</v>
      </c>
      <c r="AF103" s="114">
        <f>IFERROR(__xludf.DUMMYFUNCTION("""COMPUTED_VALUE"""),0.11400684963460153)</f>
        <v>0.1140068496</v>
      </c>
      <c r="AG103" s="118">
        <f>IFERROR(__xludf.DUMMYFUNCTION("""COMPUTED_VALUE"""),0.0)</f>
        <v>0</v>
      </c>
      <c r="AH103" s="105"/>
      <c r="AI103" s="202"/>
      <c r="AJ103" s="63"/>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c r="BI103" s="105"/>
      <c r="BJ103" s="105"/>
      <c r="BK103" s="105"/>
      <c r="BL103" s="105"/>
      <c r="BM103" s="105"/>
      <c r="BN103" s="105"/>
      <c r="BO103" s="105"/>
      <c r="BP103" s="105"/>
      <c r="BQ103" s="105"/>
      <c r="BR103" s="105"/>
      <c r="BS103" s="105"/>
      <c r="BT103" s="105"/>
      <c r="BU103" s="105"/>
      <c r="BV103" s="105"/>
    </row>
    <row r="104">
      <c r="A104" s="109">
        <f>VLOOKUP($F104,UpdateHashtag!$V$3:$Y$32,COLUMN(B$9),0)</f>
        <v>4</v>
      </c>
      <c r="B104" s="91" t="str">
        <f>VLOOKUP($F104,UpdateHashtag!$V$3:$Y$32,COLUMN(#REF!),0)</f>
        <v>#REF!</v>
      </c>
      <c r="C104" s="91" t="str">
        <f>VLOOKUP($F104,UpdateHashtag!$V$3:$Y$32,COLUMN(#REF!),0)</f>
        <v>#REF!</v>
      </c>
      <c r="D104" s="110" t="str">
        <f t="shared" si="2"/>
        <v>#REF!</v>
      </c>
      <c r="E104" s="11"/>
      <c r="F104" s="94" t="str">
        <f>VLOOKUP(J104,UpdateBBM!$C$2:E1009,3,0)</f>
        <v>LAC</v>
      </c>
      <c r="G104" s="78">
        <v>91.0</v>
      </c>
      <c r="H104" s="111">
        <f>IFERROR(__xludf.DUMMYFUNCTION("""COMPUTED_VALUE"""),91.0)</f>
        <v>91</v>
      </c>
      <c r="I104" s="111"/>
      <c r="J104" s="112" t="str">
        <f>IFERROR(__xludf.DUMMYFUNCTION("""COMPUTED_VALUE"""),"Bradley Beal")</f>
        <v>Bradley Beal</v>
      </c>
      <c r="K104" s="111">
        <f>IFERROR(__xludf.DUMMYFUNCTION("""COMPUTED_VALUE"""),63.0)</f>
        <v>63</v>
      </c>
      <c r="L104" s="113" t="str">
        <f>IFERROR(__xludf.DUMMYFUNCTION("""COMPUTED_VALUE"""),"G")</f>
        <v>G</v>
      </c>
      <c r="M104" s="114">
        <f>IFERROR(__xludf.DUMMYFUNCTION("""COMPUTED_VALUE"""),0.3610334896591495)</f>
        <v>0.3610334897</v>
      </c>
      <c r="N104" s="114">
        <f>IFERROR(__xludf.DUMMYFUNCTION("""COMPUTED_VALUE"""),0.3282999305315588)</f>
        <v>0.3282999305</v>
      </c>
      <c r="O104" s="115">
        <f>IFERROR(__xludf.DUMMYFUNCTION("""COMPUTED_VALUE"""),-0.03273355912759068)</f>
        <v>-0.03273355913</v>
      </c>
      <c r="P104" s="116">
        <f>IFERROR(__xludf.DUMMYFUNCTION("""COMPUTED_VALUE"""),17.70365)</f>
        <v>17.70365</v>
      </c>
      <c r="Q104" s="116">
        <f>IFERROR(__xludf.DUMMYFUNCTION("""COMPUTED_VALUE"""),2.102222)</f>
        <v>2.102222</v>
      </c>
      <c r="R104" s="116">
        <f>IFERROR(__xludf.DUMMYFUNCTION("""COMPUTED_VALUE"""),3.362698)</f>
        <v>3.362698</v>
      </c>
      <c r="S104" s="117">
        <f>IFERROR(__xludf.DUMMYFUNCTION("""COMPUTED_VALUE"""),3.492063)</f>
        <v>3.492063</v>
      </c>
      <c r="T104" s="116">
        <f>IFERROR(__xludf.DUMMYFUNCTION("""COMPUTED_VALUE"""),1.036508)</f>
        <v>1.036508</v>
      </c>
      <c r="U104" s="116">
        <f>IFERROR(__xludf.DUMMYFUNCTION("""COMPUTED_VALUE"""),0.516667)</f>
        <v>0.516667</v>
      </c>
      <c r="V104" s="113">
        <f>IFERROR(__xludf.DUMMYFUNCTION("""COMPUTED_VALUE"""),0.491198)</f>
        <v>0.491198</v>
      </c>
      <c r="W104" s="113">
        <f>IFERROR(__xludf.DUMMYFUNCTION("""COMPUTED_VALUE"""),0.830012)</f>
        <v>0.830012</v>
      </c>
      <c r="X104" s="116">
        <f>IFERROR(__xludf.DUMMYFUNCTION("""COMPUTED_VALUE"""),1.616667)</f>
        <v>1.616667</v>
      </c>
      <c r="Y104" s="114">
        <f>IFERROR(__xludf.DUMMYFUNCTION("""COMPUTED_VALUE"""),0.09281646034683519)</f>
        <v>0.09281646035</v>
      </c>
      <c r="Z104" s="114">
        <f>IFERROR(__xludf.DUMMYFUNCTION("""COMPUTED_VALUE"""),0.32130220495770084)</f>
        <v>0.321302205</v>
      </c>
      <c r="AA104" s="114">
        <f>IFERROR(__xludf.DUMMYFUNCTION("""COMPUTED_VALUE"""),-1.1203153332594689)</f>
        <v>-1.120315333</v>
      </c>
      <c r="AB104" s="114">
        <f>IFERROR(__xludf.DUMMYFUNCTION("""COMPUTED_VALUE"""),-0.16845706483181402)</f>
        <v>-0.1684570648</v>
      </c>
      <c r="AC104" s="114">
        <f>IFERROR(__xludf.DUMMYFUNCTION("""COMPUTED_VALUE"""),-0.02644908897773371)</f>
        <v>-0.02644908898</v>
      </c>
      <c r="AD104" s="114">
        <f>IFERROR(__xludf.DUMMYFUNCTION("""COMPUTED_VALUE"""),-0.38824178711162877)</f>
        <v>-0.3882417871</v>
      </c>
      <c r="AE104" s="114">
        <f>IFERROR(__xludf.DUMMYFUNCTION("""COMPUTED_VALUE"""),-0.05879486856685919)</f>
        <v>-0.05879486857</v>
      </c>
      <c r="AF104" s="114">
        <f>IFERROR(__xludf.DUMMYFUNCTION("""COMPUTED_VALUE"""),0.5561240747150584)</f>
        <v>0.5561240747</v>
      </c>
      <c r="AG104" s="118">
        <f>IFERROR(__xludf.DUMMYFUNCTION("""COMPUTED_VALUE"""),0.0)</f>
        <v>0</v>
      </c>
      <c r="AH104" s="105"/>
      <c r="AI104" s="202"/>
      <c r="AJ104" s="63"/>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c r="BI104" s="105"/>
      <c r="BJ104" s="105"/>
      <c r="BK104" s="105"/>
      <c r="BL104" s="105"/>
      <c r="BM104" s="105"/>
      <c r="BN104" s="105"/>
      <c r="BO104" s="105"/>
      <c r="BP104" s="105"/>
      <c r="BQ104" s="105"/>
      <c r="BR104" s="105"/>
      <c r="BS104" s="105"/>
      <c r="BT104" s="105"/>
      <c r="BU104" s="105"/>
      <c r="BV104" s="105"/>
    </row>
    <row r="105">
      <c r="A105" s="109">
        <f>VLOOKUP($F105,UpdateHashtag!$V$3:$Y$32,COLUMN(B$9),0)</f>
        <v>4</v>
      </c>
      <c r="B105" s="91" t="str">
        <f>VLOOKUP($F105,UpdateHashtag!$V$3:$Y$32,COLUMN(#REF!),0)</f>
        <v>#REF!</v>
      </c>
      <c r="C105" s="91" t="str">
        <f>VLOOKUP($F105,UpdateHashtag!$V$3:$Y$32,COLUMN(#REF!),0)</f>
        <v>#REF!</v>
      </c>
      <c r="D105" s="110" t="str">
        <f t="shared" si="2"/>
        <v>#REF!</v>
      </c>
      <c r="E105" s="11"/>
      <c r="F105" s="94" t="str">
        <f>VLOOKUP(J105,UpdateBBM!$C$2:E1009,3,0)</f>
        <v>SAC</v>
      </c>
      <c r="G105" s="78">
        <v>92.0</v>
      </c>
      <c r="H105" s="111">
        <f>IFERROR(__xludf.DUMMYFUNCTION("""COMPUTED_VALUE"""),92.0)</f>
        <v>92</v>
      </c>
      <c r="I105" s="111"/>
      <c r="J105" s="112" t="str">
        <f>IFERROR(__xludf.DUMMYFUNCTION("""COMPUTED_VALUE"""),"Keegan Murray")</f>
        <v>Keegan Murray</v>
      </c>
      <c r="K105" s="111">
        <f>IFERROR(__xludf.DUMMYFUNCTION("""COMPUTED_VALUE"""),77.0)</f>
        <v>77</v>
      </c>
      <c r="L105" s="113" t="str">
        <f>IFERROR(__xludf.DUMMYFUNCTION("""COMPUTED_VALUE"""),"F")</f>
        <v>F</v>
      </c>
      <c r="M105" s="114">
        <f>IFERROR(__xludf.DUMMYFUNCTION("""COMPUTED_VALUE"""),0.3241306954045702)</f>
        <v>0.3241306954</v>
      </c>
      <c r="N105" s="114">
        <f>IFERROR(__xludf.DUMMYFUNCTION("""COMPUTED_VALUE"""),0.06056966165339617)</f>
        <v>0.06056966165</v>
      </c>
      <c r="O105" s="115">
        <f>IFERROR(__xludf.DUMMYFUNCTION("""COMPUTED_VALUE"""),-0.263561033751174)</f>
        <v>-0.2635610338</v>
      </c>
      <c r="P105" s="116">
        <f>IFERROR(__xludf.DUMMYFUNCTION("""COMPUTED_VALUE"""),12.73091)</f>
        <v>12.73091</v>
      </c>
      <c r="Q105" s="116">
        <f>IFERROR(__xludf.DUMMYFUNCTION("""COMPUTED_VALUE"""),2.393766)</f>
        <v>2.393766</v>
      </c>
      <c r="R105" s="116">
        <f>IFERROR(__xludf.DUMMYFUNCTION("""COMPUTED_VALUE"""),6.183766)</f>
        <v>6.183766</v>
      </c>
      <c r="S105" s="117">
        <f>IFERROR(__xludf.DUMMYFUNCTION("""COMPUTED_VALUE"""),1.453247)</f>
        <v>1.453247</v>
      </c>
      <c r="T105" s="116">
        <f>IFERROR(__xludf.DUMMYFUNCTION("""COMPUTED_VALUE"""),0.827013)</f>
        <v>0.827013</v>
      </c>
      <c r="U105" s="116">
        <f>IFERROR(__xludf.DUMMYFUNCTION("""COMPUTED_VALUE"""),0.95987)</f>
        <v>0.95987</v>
      </c>
      <c r="V105" s="113">
        <f>IFERROR(__xludf.DUMMYFUNCTION("""COMPUTED_VALUE"""),0.469411)</f>
        <v>0.469411</v>
      </c>
      <c r="W105" s="113">
        <f>IFERROR(__xludf.DUMMYFUNCTION("""COMPUTED_VALUE"""),0.848912)</f>
        <v>0.848912</v>
      </c>
      <c r="X105" s="116">
        <f>IFERROR(__xludf.DUMMYFUNCTION("""COMPUTED_VALUE"""),0.685844)</f>
        <v>0.685844</v>
      </c>
      <c r="Y105" s="114">
        <f>IFERROR(__xludf.DUMMYFUNCTION("""COMPUTED_VALUE"""),-0.7796140337643945)</f>
        <v>-0.7796140338</v>
      </c>
      <c r="Z105" s="114">
        <f>IFERROR(__xludf.DUMMYFUNCTION("""COMPUTED_VALUE"""),0.60288514932871)</f>
        <v>0.6028851493</v>
      </c>
      <c r="AA105" s="114">
        <f>IFERROR(__xludf.DUMMYFUNCTION("""COMPUTED_VALUE"""),0.023214754044777137)</f>
        <v>0.02321475404</v>
      </c>
      <c r="AB105" s="114">
        <f>IFERROR(__xludf.DUMMYFUNCTION("""COMPUTED_VALUE"""),-1.1644482377168188)</f>
        <v>-1.164448238</v>
      </c>
      <c r="AC105" s="114">
        <f>IFERROR(__xludf.DUMMYFUNCTION("""COMPUTED_VALUE"""),-0.664828545840263)</f>
        <v>-0.6648285458</v>
      </c>
      <c r="AD105" s="114">
        <f>IFERROR(__xludf.DUMMYFUNCTION("""COMPUTED_VALUE"""),0.4174978209721304)</f>
        <v>0.417497821</v>
      </c>
      <c r="AE105" s="114">
        <f>IFERROR(__xludf.DUMMYFUNCTION("""COMPUTED_VALUE"""),-0.3634058328266853)</f>
        <v>-0.3634058328</v>
      </c>
      <c r="AF105" s="114">
        <f>IFERROR(__xludf.DUMMYFUNCTION("""COMPUTED_VALUE"""),0.8248203497391212)</f>
        <v>0.8248203497</v>
      </c>
      <c r="AG105" s="118">
        <f>IFERROR(__xludf.DUMMYFUNCTION("""COMPUTED_VALUE"""),0.0)</f>
        <v>0</v>
      </c>
      <c r="AH105" s="105"/>
      <c r="AI105" s="202"/>
      <c r="AJ105" s="63"/>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c r="BI105" s="105"/>
      <c r="BJ105" s="105"/>
      <c r="BK105" s="105"/>
      <c r="BL105" s="105"/>
      <c r="BM105" s="105"/>
      <c r="BN105" s="105"/>
      <c r="BO105" s="105"/>
      <c r="BP105" s="105"/>
      <c r="BQ105" s="105"/>
      <c r="BR105" s="105"/>
      <c r="BS105" s="105"/>
      <c r="BT105" s="105"/>
      <c r="BU105" s="105"/>
      <c r="BV105" s="105"/>
    </row>
    <row r="106">
      <c r="A106" s="109">
        <f>VLOOKUP($F106,UpdateHashtag!$V$3:$Y$32,COLUMN(B$9),0)</f>
        <v>3</v>
      </c>
      <c r="B106" s="91" t="str">
        <f>VLOOKUP($F106,UpdateHashtag!$V$3:$Y$32,COLUMN(#REF!),0)</f>
        <v>#REF!</v>
      </c>
      <c r="C106" s="91" t="str">
        <f>VLOOKUP($F106,UpdateHashtag!$V$3:$Y$32,COLUMN(#REF!),0)</f>
        <v>#REF!</v>
      </c>
      <c r="D106" s="110" t="str">
        <f t="shared" si="2"/>
        <v>#REF!</v>
      </c>
      <c r="E106" s="11"/>
      <c r="F106" s="94" t="str">
        <f>VLOOKUP(J106,UpdateBBM!$C$2:E1009,3,0)</f>
        <v>BOS</v>
      </c>
      <c r="G106" s="78">
        <v>93.0</v>
      </c>
      <c r="H106" s="111">
        <f>IFERROR(__xludf.DUMMYFUNCTION("""COMPUTED_VALUE"""),93.0)</f>
        <v>93</v>
      </c>
      <c r="I106" s="111"/>
      <c r="J106" s="112" t="str">
        <f>IFERROR(__xludf.DUMMYFUNCTION("""COMPUTED_VALUE"""),"Anfernee Simons")</f>
        <v>Anfernee Simons</v>
      </c>
      <c r="K106" s="111">
        <f>IFERROR(__xludf.DUMMYFUNCTION("""COMPUTED_VALUE"""),61.0)</f>
        <v>61</v>
      </c>
      <c r="L106" s="113" t="str">
        <f>IFERROR(__xludf.DUMMYFUNCTION("""COMPUTED_VALUE"""),"G")</f>
        <v>G</v>
      </c>
      <c r="M106" s="114">
        <f>IFERROR(__xludf.DUMMYFUNCTION("""COMPUTED_VALUE"""),0.2650008857999262)</f>
        <v>0.2650008858</v>
      </c>
      <c r="N106" s="114">
        <f>IFERROR(__xludf.DUMMYFUNCTION("""COMPUTED_VALUE"""),0.42200738533396076)</f>
        <v>0.4220073853</v>
      </c>
      <c r="O106" s="115">
        <f>IFERROR(__xludf.DUMMYFUNCTION("""COMPUTED_VALUE"""),0.15700649953403456)</f>
        <v>0.1570064995</v>
      </c>
      <c r="P106" s="116">
        <f>IFERROR(__xludf.DUMMYFUNCTION("""COMPUTED_VALUE"""),18.41)</f>
        <v>18.41</v>
      </c>
      <c r="Q106" s="116">
        <f>IFERROR(__xludf.DUMMYFUNCTION("""COMPUTED_VALUE"""),3.131803)</f>
        <v>3.131803</v>
      </c>
      <c r="R106" s="116">
        <f>IFERROR(__xludf.DUMMYFUNCTION("""COMPUTED_VALUE"""),2.510656)</f>
        <v>2.510656</v>
      </c>
      <c r="S106" s="117">
        <f>IFERROR(__xludf.DUMMYFUNCTION("""COMPUTED_VALUE"""),5.021311)</f>
        <v>5.021311</v>
      </c>
      <c r="T106" s="116">
        <f>IFERROR(__xludf.DUMMYFUNCTION("""COMPUTED_VALUE"""),0.64377)</f>
        <v>0.64377</v>
      </c>
      <c r="U106" s="116">
        <f>IFERROR(__xludf.DUMMYFUNCTION("""COMPUTED_VALUE"""),0.06459)</f>
        <v>0.06459</v>
      </c>
      <c r="V106" s="113">
        <f>IFERROR(__xludf.DUMMYFUNCTION("""COMPUTED_VALUE"""),0.426504)</f>
        <v>0.426504</v>
      </c>
      <c r="W106" s="113">
        <f>IFERROR(__xludf.DUMMYFUNCTION("""COMPUTED_VALUE"""),0.900991)</f>
        <v>0.900991</v>
      </c>
      <c r="X106" s="116">
        <f>IFERROR(__xludf.DUMMYFUNCTION("""COMPUTED_VALUE"""),2.381803)</f>
        <v>2.381803</v>
      </c>
      <c r="Y106" s="114">
        <f>IFERROR(__xludf.DUMMYFUNCTION("""COMPUTED_VALUE"""),0.21674034929246025)</f>
        <v>0.2167403493</v>
      </c>
      <c r="Z106" s="114">
        <f>IFERROR(__xludf.DUMMYFUNCTION("""COMPUTED_VALUE"""),1.3157059637332134)</f>
        <v>1.315705964</v>
      </c>
      <c r="AA106" s="114">
        <f>IFERROR(__xludf.DUMMYFUNCTION("""COMPUTED_VALUE"""),-1.465693630644319)</f>
        <v>-1.465693631</v>
      </c>
      <c r="AB106" s="114">
        <f>IFERROR(__xludf.DUMMYFUNCTION("""COMPUTED_VALUE"""),0.578602752803543)</f>
        <v>0.5786027528</v>
      </c>
      <c r="AC106" s="114">
        <f>IFERROR(__xludf.DUMMYFUNCTION("""COMPUTED_VALUE"""),-1.2232121197387356)</f>
        <v>-1.22321212</v>
      </c>
      <c r="AD106" s="114">
        <f>IFERROR(__xludf.DUMMYFUNCTION("""COMPUTED_VALUE"""),-1.2101142581997792)</f>
        <v>-1.210114258</v>
      </c>
      <c r="AE106" s="114">
        <f>IFERROR(__xludf.DUMMYFUNCTION("""COMPUTED_VALUE"""),-0.8799169702331278)</f>
        <v>-0.8799169702</v>
      </c>
      <c r="AF106" s="114">
        <f>IFERROR(__xludf.DUMMYFUNCTION("""COMPUTED_VALUE"""),1.6242016676763866)</f>
        <v>1.624201668</v>
      </c>
      <c r="AG106" s="118">
        <f>IFERROR(__xludf.DUMMYFUNCTION("""COMPUTED_VALUE"""),0.0)</f>
        <v>0</v>
      </c>
      <c r="AH106" s="105"/>
      <c r="AI106" s="202"/>
      <c r="AJ106" s="63"/>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5"/>
      <c r="BS106" s="105"/>
      <c r="BT106" s="105"/>
      <c r="BU106" s="105"/>
      <c r="BV106" s="105"/>
    </row>
    <row r="107">
      <c r="A107" s="109">
        <f>VLOOKUP($F107,UpdateHashtag!$V$3:$Y$32,COLUMN(B$9),0)</f>
        <v>4</v>
      </c>
      <c r="B107" s="91" t="str">
        <f>VLOOKUP($F107,UpdateHashtag!$V$3:$Y$32,COLUMN(#REF!),0)</f>
        <v>#REF!</v>
      </c>
      <c r="C107" s="91" t="str">
        <f>VLOOKUP($F107,UpdateHashtag!$V$3:$Y$32,COLUMN(#REF!),0)</f>
        <v>#REF!</v>
      </c>
      <c r="D107" s="110" t="str">
        <f t="shared" si="2"/>
        <v>#REF!</v>
      </c>
      <c r="E107" s="11"/>
      <c r="F107" s="94" t="str">
        <f>VLOOKUP(J107,UpdateBBM!$C$2:E1009,3,0)</f>
        <v>HOU</v>
      </c>
      <c r="G107" s="78">
        <v>94.0</v>
      </c>
      <c r="H107" s="111">
        <f>IFERROR(__xludf.DUMMYFUNCTION("""COMPUTED_VALUE"""),94.0)</f>
        <v>94</v>
      </c>
      <c r="I107" s="111"/>
      <c r="J107" s="112" t="str">
        <f>IFERROR(__xludf.DUMMYFUNCTION("""COMPUTED_VALUE"""),"Reed Sheppard")</f>
        <v>Reed Sheppard</v>
      </c>
      <c r="K107" s="111">
        <f>IFERROR(__xludf.DUMMYFUNCTION("""COMPUTED_VALUE"""),73.0)</f>
        <v>73</v>
      </c>
      <c r="L107" s="113" t="str">
        <f>IFERROR(__xludf.DUMMYFUNCTION("""COMPUTED_VALUE"""),"G")</f>
        <v>G</v>
      </c>
      <c r="M107" s="114">
        <f>IFERROR(__xludf.DUMMYFUNCTION("""COMPUTED_VALUE"""),0.26058922925924854)</f>
        <v>0.2605892293</v>
      </c>
      <c r="N107" s="114">
        <f>IFERROR(__xludf.DUMMYFUNCTION("""COMPUTED_VALUE"""),0.2777690182518542)</f>
        <v>0.2777690183</v>
      </c>
      <c r="O107" s="115">
        <f>IFERROR(__xludf.DUMMYFUNCTION("""COMPUTED_VALUE"""),0.017179788992605638)</f>
        <v>0.01717978899</v>
      </c>
      <c r="P107" s="116">
        <f>IFERROR(__xludf.DUMMYFUNCTION("""COMPUTED_VALUE"""),11.86575)</f>
        <v>11.86575</v>
      </c>
      <c r="Q107" s="116">
        <f>IFERROR(__xludf.DUMMYFUNCTION("""COMPUTED_VALUE"""),2.369178)</f>
        <v>2.369178</v>
      </c>
      <c r="R107" s="116">
        <f>IFERROR(__xludf.DUMMYFUNCTION("""COMPUTED_VALUE"""),3.232192)</f>
        <v>3.232192</v>
      </c>
      <c r="S107" s="117">
        <f>IFERROR(__xludf.DUMMYFUNCTION("""COMPUTED_VALUE"""),4.20411)</f>
        <v>4.20411</v>
      </c>
      <c r="T107" s="116">
        <f>IFERROR(__xludf.DUMMYFUNCTION("""COMPUTED_VALUE"""),1.533973)</f>
        <v>1.533973</v>
      </c>
      <c r="U107" s="116">
        <f>IFERROR(__xludf.DUMMYFUNCTION("""COMPUTED_VALUE"""),0.636438)</f>
        <v>0.636438</v>
      </c>
      <c r="V107" s="113">
        <f>IFERROR(__xludf.DUMMYFUNCTION("""COMPUTED_VALUE"""),0.399386)</f>
        <v>0.399386</v>
      </c>
      <c r="W107" s="113">
        <f>IFERROR(__xludf.DUMMYFUNCTION("""COMPUTED_VALUE"""),0.809772)</f>
        <v>0.809772</v>
      </c>
      <c r="X107" s="116">
        <f>IFERROR(__xludf.DUMMYFUNCTION("""COMPUTED_VALUE"""),1.817945)</f>
        <v>1.817945</v>
      </c>
      <c r="Y107" s="114">
        <f>IFERROR(__xludf.DUMMYFUNCTION("""COMPUTED_VALUE"""),-0.9313999639126169)</f>
        <v>-0.9313999639</v>
      </c>
      <c r="Z107" s="114">
        <f>IFERROR(__xludf.DUMMYFUNCTION("""COMPUTED_VALUE"""),0.5791372367110798)</f>
        <v>0.5791372367</v>
      </c>
      <c r="AA107" s="114">
        <f>IFERROR(__xludf.DUMMYFUNCTION("""COMPUTED_VALUE"""),-1.173216410998016)</f>
        <v>-1.173216411</v>
      </c>
      <c r="AB107" s="114">
        <f>IFERROR(__xludf.DUMMYFUNCTION("""COMPUTED_VALUE"""),0.1793882172727257)</f>
        <v>0.1793882173</v>
      </c>
      <c r="AC107" s="114">
        <f>IFERROR(__xludf.DUMMYFUNCTION("""COMPUTED_VALUE"""),1.4894412019987486)</f>
        <v>1.489441202</v>
      </c>
      <c r="AD107" s="114">
        <f>IFERROR(__xludf.DUMMYFUNCTION("""COMPUTED_VALUE"""),-0.1704990403346442)</f>
        <v>-0.1704990403</v>
      </c>
      <c r="AE107" s="114">
        <f>IFERROR(__xludf.DUMMYFUNCTION("""COMPUTED_VALUE"""),-1.1493176269166936)</f>
        <v>-1.149317627</v>
      </c>
      <c r="AF107" s="114">
        <f>IFERROR(__xludf.DUMMYFUNCTION("""COMPUTED_VALUE"""),0.28101899343325504)</f>
        <v>0.2810189934</v>
      </c>
      <c r="AG107" s="118">
        <f>IFERROR(__xludf.DUMMYFUNCTION("""COMPUTED_VALUE"""),0.0)</f>
        <v>0</v>
      </c>
      <c r="AH107" s="105"/>
      <c r="AI107" s="202"/>
      <c r="AJ107" s="63"/>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c r="BI107" s="105"/>
      <c r="BJ107" s="105"/>
      <c r="BK107" s="105"/>
      <c r="BL107" s="105"/>
      <c r="BM107" s="105"/>
      <c r="BN107" s="105"/>
      <c r="BO107" s="105"/>
      <c r="BP107" s="105"/>
      <c r="BQ107" s="105"/>
      <c r="BR107" s="105"/>
      <c r="BS107" s="105"/>
      <c r="BT107" s="105"/>
      <c r="BU107" s="105"/>
      <c r="BV107" s="105"/>
    </row>
    <row r="108">
      <c r="A108" s="109">
        <f>VLOOKUP($F108,UpdateHashtag!$V$3:$Y$32,COLUMN(B$9),0)</f>
        <v>3</v>
      </c>
      <c r="B108" s="91" t="str">
        <f>VLOOKUP($F108,UpdateHashtag!$V$3:$Y$32,COLUMN(#REF!),0)</f>
        <v>#REF!</v>
      </c>
      <c r="C108" s="91" t="str">
        <f>VLOOKUP($F108,UpdateHashtag!$V$3:$Y$32,COLUMN(#REF!),0)</f>
        <v>#REF!</v>
      </c>
      <c r="D108" s="110" t="str">
        <f t="shared" si="2"/>
        <v>#REF!</v>
      </c>
      <c r="E108" s="11"/>
      <c r="F108" s="94" t="str">
        <f>VLOOKUP(J108,UpdateBBM!$C$2:E1009,3,0)</f>
        <v>IND</v>
      </c>
      <c r="G108" s="78">
        <v>95.0</v>
      </c>
      <c r="H108" s="111">
        <f>IFERROR(__xludf.DUMMYFUNCTION("""COMPUTED_VALUE"""),95.0)</f>
        <v>95</v>
      </c>
      <c r="I108" s="111"/>
      <c r="J108" s="112" t="str">
        <f>IFERROR(__xludf.DUMMYFUNCTION("""COMPUTED_VALUE"""),"Isaiah Jackson")</f>
        <v>Isaiah Jackson</v>
      </c>
      <c r="K108" s="111">
        <f>IFERROR(__xludf.DUMMYFUNCTION("""COMPUTED_VALUE"""),55.0)</f>
        <v>55</v>
      </c>
      <c r="L108" s="113" t="str">
        <f>IFERROR(__xludf.DUMMYFUNCTION("""COMPUTED_VALUE"""),"C")</f>
        <v>C</v>
      </c>
      <c r="M108" s="114">
        <f>IFERROR(__xludf.DUMMYFUNCTION("""COMPUTED_VALUE"""),0.24323560833104452)</f>
        <v>0.2432356083</v>
      </c>
      <c r="N108" s="114">
        <f>IFERROR(__xludf.DUMMYFUNCTION("""COMPUTED_VALUE"""),0.10456110544842168)</f>
        <v>0.1045611054</v>
      </c>
      <c r="O108" s="115">
        <f>IFERROR(__xludf.DUMMYFUNCTION("""COMPUTED_VALUE"""),-0.13867450288262284)</f>
        <v>-0.1386745029</v>
      </c>
      <c r="P108" s="116">
        <f>IFERROR(__xludf.DUMMYFUNCTION("""COMPUTED_VALUE"""),10.28545)</f>
        <v>10.28545</v>
      </c>
      <c r="Q108" s="116">
        <f>IFERROR(__xludf.DUMMYFUNCTION("""COMPUTED_VALUE"""),0.050182)</f>
        <v>0.050182</v>
      </c>
      <c r="R108" s="116">
        <f>IFERROR(__xludf.DUMMYFUNCTION("""COMPUTED_VALUE"""),6.868)</f>
        <v>6.868</v>
      </c>
      <c r="S108" s="117">
        <f>IFERROR(__xludf.DUMMYFUNCTION("""COMPUTED_VALUE"""),1.399455)</f>
        <v>1.399455</v>
      </c>
      <c r="T108" s="116">
        <f>IFERROR(__xludf.DUMMYFUNCTION("""COMPUTED_VALUE"""),0.943636)</f>
        <v>0.943636</v>
      </c>
      <c r="U108" s="116">
        <f>IFERROR(__xludf.DUMMYFUNCTION("""COMPUTED_VALUE"""),1.926727)</f>
        <v>1.926727</v>
      </c>
      <c r="V108" s="113">
        <f>IFERROR(__xludf.DUMMYFUNCTION("""COMPUTED_VALUE"""),0.582506)</f>
        <v>0.582506</v>
      </c>
      <c r="W108" s="113">
        <f>IFERROR(__xludf.DUMMYFUNCTION("""COMPUTED_VALUE"""),0.677996)</f>
        <v>0.677996</v>
      </c>
      <c r="X108" s="116">
        <f>IFERROR(__xludf.DUMMYFUNCTION("""COMPUTED_VALUE"""),1.189455)</f>
        <v>1.189455</v>
      </c>
      <c r="Y108" s="114">
        <f>IFERROR(__xludf.DUMMYFUNCTION("""COMPUTED_VALUE"""),-1.2086519235654392)</f>
        <v>-1.208651924</v>
      </c>
      <c r="Z108" s="114">
        <f>IFERROR(__xludf.DUMMYFUNCTION("""COMPUTED_VALUE"""),-1.6606266468351176)</f>
        <v>-1.660626647</v>
      </c>
      <c r="AA108" s="114">
        <f>IFERROR(__xludf.DUMMYFUNCTION("""COMPUTED_VALUE"""),0.30057147347037527)</f>
        <v>0.3005714735</v>
      </c>
      <c r="AB108" s="114">
        <f>IFERROR(__xludf.DUMMYFUNCTION("""COMPUTED_VALUE"""),-1.1907264095439138)</f>
        <v>-1.19072641</v>
      </c>
      <c r="AC108" s="114">
        <f>IFERROR(__xludf.DUMMYFUNCTION("""COMPUTED_VALUE"""),-0.30945143708979744)</f>
        <v>-0.3094514371</v>
      </c>
      <c r="AD108" s="114">
        <f>IFERROR(__xludf.DUMMYFUNCTION("""COMPUTED_VALUE"""),2.1752363296307795)</f>
        <v>2.17523633</v>
      </c>
      <c r="AE108" s="114">
        <f>IFERROR(__xludf.DUMMYFUNCTION("""COMPUTED_VALUE"""),1.5280166508807207)</f>
        <v>1.528016651</v>
      </c>
      <c r="AF108" s="114">
        <f>IFERROR(__xludf.DUMMYFUNCTION("""COMPUTED_VALUE"""),-1.1904335783343036)</f>
        <v>-1.190433578</v>
      </c>
      <c r="AG108" s="118">
        <f>IFERROR(__xludf.DUMMYFUNCTION("""COMPUTED_VALUE"""),0.0)</f>
        <v>0</v>
      </c>
      <c r="AH108" s="105"/>
      <c r="AI108" s="202"/>
      <c r="AJ108" s="63"/>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5"/>
      <c r="BS108" s="105"/>
      <c r="BT108" s="105"/>
      <c r="BU108" s="105"/>
      <c r="BV108" s="105"/>
    </row>
    <row r="109">
      <c r="A109" s="91" t="str">
        <f>VLOOKUP($F109,UpdateHashtag!$V$3:$Y$32,COLUMN(B$9),0)</f>
        <v>#N/A</v>
      </c>
      <c r="B109" s="91" t="str">
        <f>VLOOKUP($F109,UpdateHashtag!$V$3:$Y$32,COLUMN(#REF!),0)</f>
        <v>#REF!</v>
      </c>
      <c r="C109" s="91" t="str">
        <f>VLOOKUP($F109,UpdateHashtag!$V$3:$Y$32,COLUMN(#REF!),0)</f>
        <v>#REF!</v>
      </c>
      <c r="D109" s="110" t="str">
        <f t="shared" si="2"/>
        <v>#N/A</v>
      </c>
      <c r="E109" s="11"/>
      <c r="F109" s="94" t="str">
        <f>VLOOKUP(J109,UpdateBBM!$C$2:E1009,3,0)</f>
        <v>NYK</v>
      </c>
      <c r="G109" s="78">
        <v>96.0</v>
      </c>
      <c r="H109" s="111">
        <f>IFERROR(__xludf.DUMMYFUNCTION("""COMPUTED_VALUE"""),96.0)</f>
        <v>96</v>
      </c>
      <c r="I109" s="111"/>
      <c r="J109" s="112" t="str">
        <f>IFERROR(__xludf.DUMMYFUNCTION("""COMPUTED_VALUE"""),"Mikal Bridges")</f>
        <v>Mikal Bridges</v>
      </c>
      <c r="K109" s="111">
        <f>IFERROR(__xludf.DUMMYFUNCTION("""COMPUTED_VALUE"""),80.0)</f>
        <v>80</v>
      </c>
      <c r="L109" s="113" t="str">
        <f>IFERROR(__xludf.DUMMYFUNCTION("""COMPUTED_VALUE"""),"G,F")</f>
        <v>G,F</v>
      </c>
      <c r="M109" s="114">
        <f>IFERROR(__xludf.DUMMYFUNCTION("""COMPUTED_VALUE"""),0.2362058193104064)</f>
        <v>0.2362058193</v>
      </c>
      <c r="N109" s="114">
        <f>IFERROR(__xludf.DUMMYFUNCTION("""COMPUTED_VALUE"""),0.2247263129888144)</f>
        <v>0.224726313</v>
      </c>
      <c r="O109" s="115">
        <f>IFERROR(__xludf.DUMMYFUNCTION("""COMPUTED_VALUE"""),-0.011479506321592003)</f>
        <v>-0.01147950632</v>
      </c>
      <c r="P109" s="116">
        <f>IFERROR(__xludf.DUMMYFUNCTION("""COMPUTED_VALUE"""),16.497)</f>
        <v>16.497</v>
      </c>
      <c r="Q109" s="116">
        <f>IFERROR(__xludf.DUMMYFUNCTION("""COMPUTED_VALUE"""),1.641125)</f>
        <v>1.641125</v>
      </c>
      <c r="R109" s="116">
        <f>IFERROR(__xludf.DUMMYFUNCTION("""COMPUTED_VALUE"""),2.97)</f>
        <v>2.97</v>
      </c>
      <c r="S109" s="117">
        <f>IFERROR(__xludf.DUMMYFUNCTION("""COMPUTED_VALUE"""),4.35975)</f>
        <v>4.35975</v>
      </c>
      <c r="T109" s="116">
        <f>IFERROR(__xludf.DUMMYFUNCTION("""COMPUTED_VALUE"""),0.89575)</f>
        <v>0.89575</v>
      </c>
      <c r="U109" s="116">
        <f>IFERROR(__xludf.DUMMYFUNCTION("""COMPUTED_VALUE"""),0.51775)</f>
        <v>0.51775</v>
      </c>
      <c r="V109" s="113">
        <f>IFERROR(__xludf.DUMMYFUNCTION("""COMPUTED_VALUE"""),0.502544)</f>
        <v>0.502544</v>
      </c>
      <c r="W109" s="113">
        <f>IFERROR(__xludf.DUMMYFUNCTION("""COMPUTED_VALUE"""),0.856963)</f>
        <v>0.856963</v>
      </c>
      <c r="X109" s="116">
        <f>IFERROR(__xludf.DUMMYFUNCTION("""COMPUTED_VALUE"""),1.702375)</f>
        <v>1.702375</v>
      </c>
      <c r="Y109" s="114">
        <f>IFERROR(__xludf.DUMMYFUNCTION("""COMPUTED_VALUE"""),-0.1188813673536509)</f>
        <v>-0.1188813674</v>
      </c>
      <c r="Z109" s="114">
        <f>IFERROR(__xludf.DUMMYFUNCTION("""COMPUTED_VALUE"""),-0.12404069663052993)</f>
        <v>-0.1240406966</v>
      </c>
      <c r="AA109" s="114">
        <f>IFERROR(__xludf.DUMMYFUNCTION("""COMPUTED_VALUE"""),-1.279496883730497)</f>
        <v>-1.279496884</v>
      </c>
      <c r="AB109" s="114">
        <f>IFERROR(__xludf.DUMMYFUNCTION("""COMPUTED_VALUE"""),0.25542061359874146)</f>
        <v>0.2554206136</v>
      </c>
      <c r="AC109" s="114">
        <f>IFERROR(__xludf.DUMMYFUNCTION("""COMPUTED_VALUE"""),-0.45537109470128734)</f>
        <v>-0.4553710947</v>
      </c>
      <c r="AD109" s="114">
        <f>IFERROR(__xludf.DUMMYFUNCTION("""COMPUTED_VALUE"""),-0.38627290153198524)</f>
        <v>-0.3862729015</v>
      </c>
      <c r="AE109" s="114">
        <f>IFERROR(__xludf.DUMMYFUNCTION("""COMPUTED_VALUE"""),0.11112993362076651)</f>
        <v>0.1111299336</v>
      </c>
      <c r="AF109" s="114">
        <f>IFERROR(__xludf.DUMMYFUNCTION("""COMPUTED_VALUE"""),0.9427418259867599)</f>
        <v>0.942741826</v>
      </c>
      <c r="AG109" s="118">
        <f>IFERROR(__xludf.DUMMYFUNCTION("""COMPUTED_VALUE"""),0.0)</f>
        <v>0</v>
      </c>
      <c r="AH109" s="105"/>
      <c r="AI109" s="202"/>
      <c r="AJ109" s="63"/>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5"/>
      <c r="BS109" s="105"/>
      <c r="BT109" s="105"/>
      <c r="BU109" s="105"/>
      <c r="BV109" s="105"/>
    </row>
    <row r="110">
      <c r="A110" s="109">
        <f>VLOOKUP($F110,UpdateHashtag!$V$3:$Y$32,COLUMN(B$9),0)</f>
        <v>3</v>
      </c>
      <c r="B110" s="91" t="str">
        <f>VLOOKUP($F110,UpdateHashtag!$V$3:$Y$32,COLUMN(#REF!),0)</f>
        <v>#REF!</v>
      </c>
      <c r="C110" s="91" t="str">
        <f>VLOOKUP($F110,UpdateHashtag!$V$3:$Y$32,COLUMN(#REF!),0)</f>
        <v>#REF!</v>
      </c>
      <c r="D110" s="110" t="str">
        <f t="shared" si="2"/>
        <v>#REF!</v>
      </c>
      <c r="E110" s="11"/>
      <c r="F110" s="94" t="str">
        <f>VLOOKUP(J110,UpdateBBM!$C$2:E1009,3,0)</f>
        <v>TOR</v>
      </c>
      <c r="G110" s="78">
        <v>97.0</v>
      </c>
      <c r="H110" s="111">
        <f>IFERROR(__xludf.DUMMYFUNCTION("""COMPUTED_VALUE"""),97.0)</f>
        <v>97</v>
      </c>
      <c r="I110" s="111"/>
      <c r="J110" s="112" t="str">
        <f>IFERROR(__xludf.DUMMYFUNCTION("""COMPUTED_VALUE"""),"Brandon Ingram")</f>
        <v>Brandon Ingram</v>
      </c>
      <c r="K110" s="111">
        <f>IFERROR(__xludf.DUMMYFUNCTION("""COMPUTED_VALUE"""),61.0)</f>
        <v>61</v>
      </c>
      <c r="L110" s="113" t="str">
        <f>IFERROR(__xludf.DUMMYFUNCTION("""COMPUTED_VALUE"""),"F")</f>
        <v>F</v>
      </c>
      <c r="M110" s="114">
        <f>IFERROR(__xludf.DUMMYFUNCTION("""COMPUTED_VALUE"""),0.21848941303554648)</f>
        <v>0.218489413</v>
      </c>
      <c r="N110" s="114">
        <f>IFERROR(__xludf.DUMMYFUNCTION("""COMPUTED_VALUE"""),0.4872505494919235)</f>
        <v>0.4872505495</v>
      </c>
      <c r="O110" s="115">
        <f>IFERROR(__xludf.DUMMYFUNCTION("""COMPUTED_VALUE"""),0.268761136456377)</f>
        <v>0.2687611365</v>
      </c>
      <c r="P110" s="116">
        <f>IFERROR(__xludf.DUMMYFUNCTION("""COMPUTED_VALUE"""),19.02902)</f>
        <v>19.02902</v>
      </c>
      <c r="Q110" s="116">
        <f>IFERROR(__xludf.DUMMYFUNCTION("""COMPUTED_VALUE"""),1.749672)</f>
        <v>1.749672</v>
      </c>
      <c r="R110" s="116">
        <f>IFERROR(__xludf.DUMMYFUNCTION("""COMPUTED_VALUE"""),5.523443)</f>
        <v>5.523443</v>
      </c>
      <c r="S110" s="117">
        <f>IFERROR(__xludf.DUMMYFUNCTION("""COMPUTED_VALUE"""),4.744426)</f>
        <v>4.744426</v>
      </c>
      <c r="T110" s="116">
        <f>IFERROR(__xludf.DUMMYFUNCTION("""COMPUTED_VALUE"""),0.708197)</f>
        <v>0.708197</v>
      </c>
      <c r="U110" s="116">
        <f>IFERROR(__xludf.DUMMYFUNCTION("""COMPUTED_VALUE"""),0.566557)</f>
        <v>0.566557</v>
      </c>
      <c r="V110" s="113">
        <f>IFERROR(__xludf.DUMMYFUNCTION("""COMPUTED_VALUE"""),0.468587)</f>
        <v>0.468587</v>
      </c>
      <c r="W110" s="113">
        <f>IFERROR(__xludf.DUMMYFUNCTION("""COMPUTED_VALUE"""),0.836999)</f>
        <v>0.836999</v>
      </c>
      <c r="X110" s="116">
        <f>IFERROR(__xludf.DUMMYFUNCTION("""COMPUTED_VALUE"""),2.832459)</f>
        <v>2.832459</v>
      </c>
      <c r="Y110" s="114">
        <f>IFERROR(__xludf.DUMMYFUNCTION("""COMPUTED_VALUE"""),0.32534283493714156)</f>
        <v>0.3253428349</v>
      </c>
      <c r="Z110" s="114">
        <f>IFERROR(__xludf.DUMMYFUNCTION("""COMPUTED_VALUE"""),-0.01920237424131968)</f>
        <v>-0.01920237424</v>
      </c>
      <c r="AA110" s="114">
        <f>IFERROR(__xludf.DUMMYFUNCTION("""COMPUTED_VALUE"""),-0.2444495553015419)</f>
        <v>-0.2444495553</v>
      </c>
      <c r="AB110" s="114">
        <f>IFERROR(__xludf.DUMMYFUNCTION("""COMPUTED_VALUE"""),0.4433404162786851)</f>
        <v>0.4433404163</v>
      </c>
      <c r="AC110" s="114">
        <f>IFERROR(__xludf.DUMMYFUNCTION("""COMPUTED_VALUE"""),-1.0268882300646038)</f>
        <v>-1.02688823</v>
      </c>
      <c r="AD110" s="114">
        <f>IFERROR(__xludf.DUMMYFUNCTION("""COMPUTED_VALUE"""),-0.29754215500783265)</f>
        <v>-0.297542155</v>
      </c>
      <c r="AE110" s="114">
        <f>IFERROR(__xludf.DUMMYFUNCTION("""COMPUTED_VALUE"""),-0.3743667529179966)</f>
        <v>-0.3743667529</v>
      </c>
      <c r="AF110" s="114">
        <f>IFERROR(__xludf.DUMMYFUNCTION("""COMPUTED_VALUE"""),0.6541281357447875)</f>
        <v>0.6541281357</v>
      </c>
      <c r="AG110" s="118">
        <f>IFERROR(__xludf.DUMMYFUNCTION("""COMPUTED_VALUE"""),0.0)</f>
        <v>0</v>
      </c>
      <c r="AH110" s="105"/>
      <c r="AI110" s="202"/>
      <c r="AJ110" s="63"/>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c r="BI110" s="105"/>
      <c r="BJ110" s="105"/>
      <c r="BK110" s="105"/>
      <c r="BL110" s="105"/>
      <c r="BM110" s="105"/>
      <c r="BN110" s="105"/>
      <c r="BO110" s="105"/>
      <c r="BP110" s="105"/>
      <c r="BQ110" s="105"/>
      <c r="BR110" s="105"/>
      <c r="BS110" s="105"/>
      <c r="BT110" s="105"/>
      <c r="BU110" s="105"/>
      <c r="BV110" s="105"/>
    </row>
    <row r="111">
      <c r="A111" s="109">
        <f>VLOOKUP($F111,UpdateHashtag!$V$3:$Y$32,COLUMN(B$9),0)</f>
        <v>4</v>
      </c>
      <c r="B111" s="91" t="str">
        <f>VLOOKUP($F111,UpdateHashtag!$V$3:$Y$32,COLUMN(#REF!),0)</f>
        <v>#REF!</v>
      </c>
      <c r="C111" s="91" t="str">
        <f>VLOOKUP($F111,UpdateHashtag!$V$3:$Y$32,COLUMN(#REF!),0)</f>
        <v>#REF!</v>
      </c>
      <c r="D111" s="110" t="str">
        <f t="shared" si="2"/>
        <v>#REF!</v>
      </c>
      <c r="E111" s="11"/>
      <c r="F111" s="94" t="str">
        <f>VLOOKUP(J111,UpdateBBM!$C$2:E1009,3,0)</f>
        <v>POR</v>
      </c>
      <c r="G111" s="78">
        <v>98.0</v>
      </c>
      <c r="H111" s="111">
        <f>IFERROR(__xludf.DUMMYFUNCTION("""COMPUTED_VALUE"""),98.0)</f>
        <v>98</v>
      </c>
      <c r="I111" s="111"/>
      <c r="J111" s="112" t="str">
        <f>IFERROR(__xludf.DUMMYFUNCTION("""COMPUTED_VALUE"""),"Donovan Clingan")</f>
        <v>Donovan Clingan</v>
      </c>
      <c r="K111" s="111">
        <f>IFERROR(__xludf.DUMMYFUNCTION("""COMPUTED_VALUE"""),68.0)</f>
        <v>68</v>
      </c>
      <c r="L111" s="113" t="str">
        <f>IFERROR(__xludf.DUMMYFUNCTION("""COMPUTED_VALUE"""),"C")</f>
        <v>C</v>
      </c>
      <c r="M111" s="114">
        <f>IFERROR(__xludf.DUMMYFUNCTION("""COMPUTED_VALUE"""),0.2099285764078489)</f>
        <v>0.2099285764</v>
      </c>
      <c r="N111" s="114">
        <f>IFERROR(__xludf.DUMMYFUNCTION("""COMPUTED_VALUE"""),0.126164013678699)</f>
        <v>0.1261640137</v>
      </c>
      <c r="O111" s="115">
        <f>IFERROR(__xludf.DUMMYFUNCTION("""COMPUTED_VALUE"""),-0.0837645627291499)</f>
        <v>-0.08376456273</v>
      </c>
      <c r="P111" s="116">
        <f>IFERROR(__xludf.DUMMYFUNCTION("""COMPUTED_VALUE"""),11.13206)</f>
        <v>11.13206</v>
      </c>
      <c r="Q111" s="116">
        <f>IFERROR(__xludf.DUMMYFUNCTION("""COMPUTED_VALUE"""),0.3125)</f>
        <v>0.3125</v>
      </c>
      <c r="R111" s="116">
        <f>IFERROR(__xludf.DUMMYFUNCTION("""COMPUTED_VALUE"""),10.3275)</f>
        <v>10.3275</v>
      </c>
      <c r="S111" s="117">
        <f>IFERROR(__xludf.DUMMYFUNCTION("""COMPUTED_VALUE"""),1.861176)</f>
        <v>1.861176</v>
      </c>
      <c r="T111" s="116">
        <f>IFERROR(__xludf.DUMMYFUNCTION("""COMPUTED_VALUE"""),0.71)</f>
        <v>0.71</v>
      </c>
      <c r="U111" s="116">
        <f>IFERROR(__xludf.DUMMYFUNCTION("""COMPUTED_VALUE"""),1.721176)</f>
        <v>1.721176</v>
      </c>
      <c r="V111" s="113">
        <f>IFERROR(__xludf.DUMMYFUNCTION("""COMPUTED_VALUE"""),0.559216)</f>
        <v>0.559216</v>
      </c>
      <c r="W111" s="113">
        <f>IFERROR(__xludf.DUMMYFUNCTION("""COMPUTED_VALUE"""),0.579018)</f>
        <v>0.579018</v>
      </c>
      <c r="X111" s="116">
        <f>IFERROR(__xludf.DUMMYFUNCTION("""COMPUTED_VALUE"""),1.410882)</f>
        <v>1.410882</v>
      </c>
      <c r="Y111" s="114">
        <f>IFERROR(__xludf.DUMMYFUNCTION("""COMPUTED_VALUE"""),-1.0601204538687516)</f>
        <v>-1.060120454</v>
      </c>
      <c r="Z111" s="114">
        <f>IFERROR(__xludf.DUMMYFUNCTION("""COMPUTED_VALUE"""),-1.4072711505754987)</f>
        <v>-1.407271151</v>
      </c>
      <c r="AA111" s="114">
        <f>IFERROR(__xludf.DUMMYFUNCTION("""COMPUTED_VALUE"""),1.702892274326306)</f>
        <v>1.702892274</v>
      </c>
      <c r="AB111" s="114">
        <f>IFERROR(__xludf.DUMMYFUNCTION("""COMPUTED_VALUE"""),-0.9651690074362016)</f>
        <v>-0.9651690074</v>
      </c>
      <c r="AC111" s="114">
        <f>IFERROR(__xludf.DUMMYFUNCTION("""COMPUTED_VALUE"""),-1.0213940743056449)</f>
        <v>-1.021394074</v>
      </c>
      <c r="AD111" s="114">
        <f>IFERROR(__xludf.DUMMYFUNCTION("""COMPUTED_VALUE"""),1.8015462097957944)</f>
        <v>1.80154621</v>
      </c>
      <c r="AE111" s="114">
        <f>IFERROR(__xludf.DUMMYFUNCTION("""COMPUTED_VALUE"""),1.0756802157426955)</f>
        <v>1.075680216</v>
      </c>
      <c r="AF111" s="114">
        <f>IFERROR(__xludf.DUMMYFUNCTION("""COMPUTED_VALUE"""),-1.931185437397601)</f>
        <v>-1.931185437</v>
      </c>
      <c r="AG111" s="118">
        <f>IFERROR(__xludf.DUMMYFUNCTION("""COMPUTED_VALUE"""),0.0)</f>
        <v>0</v>
      </c>
      <c r="AH111" s="105"/>
      <c r="AI111" s="202"/>
      <c r="AJ111" s="63"/>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c r="BI111" s="105"/>
      <c r="BJ111" s="105"/>
      <c r="BK111" s="105"/>
      <c r="BL111" s="105"/>
      <c r="BM111" s="105"/>
      <c r="BN111" s="105"/>
      <c r="BO111" s="105"/>
      <c r="BP111" s="105"/>
      <c r="BQ111" s="105"/>
      <c r="BR111" s="105"/>
      <c r="BS111" s="105"/>
      <c r="BT111" s="105"/>
      <c r="BU111" s="105"/>
      <c r="BV111" s="105"/>
    </row>
    <row r="112">
      <c r="A112" s="109">
        <f>VLOOKUP($F112,UpdateHashtag!$V$3:$Y$32,COLUMN(B$9),0)</f>
        <v>2</v>
      </c>
      <c r="B112" s="91" t="str">
        <f>VLOOKUP($F112,UpdateHashtag!$V$3:$Y$32,COLUMN(#REF!),0)</f>
        <v>#REF!</v>
      </c>
      <c r="C112" s="91" t="str">
        <f>VLOOKUP($F112,UpdateHashtag!$V$3:$Y$32,COLUMN(#REF!),0)</f>
        <v>#REF!</v>
      </c>
      <c r="D112" s="110" t="str">
        <f t="shared" si="2"/>
        <v>#REF!</v>
      </c>
      <c r="E112" s="11"/>
      <c r="F112" s="94" t="str">
        <f>VLOOKUP(J112,UpdateBBM!$C$2:E1009,3,0)</f>
        <v>ORL</v>
      </c>
      <c r="G112" s="78">
        <v>99.0</v>
      </c>
      <c r="H112" s="111">
        <f>IFERROR(__xludf.DUMMYFUNCTION("""COMPUTED_VALUE"""),99.0)</f>
        <v>99</v>
      </c>
      <c r="I112" s="111"/>
      <c r="J112" s="112" t="str">
        <f>IFERROR(__xludf.DUMMYFUNCTION("""COMPUTED_VALUE"""),"Jalen Suggs")</f>
        <v>Jalen Suggs</v>
      </c>
      <c r="K112" s="111">
        <f>IFERROR(__xludf.DUMMYFUNCTION("""COMPUTED_VALUE"""),61.0)</f>
        <v>61</v>
      </c>
      <c r="L112" s="113" t="str">
        <f>IFERROR(__xludf.DUMMYFUNCTION("""COMPUTED_VALUE"""),"G")</f>
        <v>G</v>
      </c>
      <c r="M112" s="114">
        <f>IFERROR(__xludf.DUMMYFUNCTION("""COMPUTED_VALUE"""),0.10426750160354625)</f>
        <v>0.1042675016</v>
      </c>
      <c r="N112" s="114">
        <f>IFERROR(__xludf.DUMMYFUNCTION("""COMPUTED_VALUE"""),0.2326139618769788)</f>
        <v>0.2326139619</v>
      </c>
      <c r="O112" s="115">
        <f>IFERROR(__xludf.DUMMYFUNCTION("""COMPUTED_VALUE"""),0.12834646027343255)</f>
        <v>0.1283464603</v>
      </c>
      <c r="P112" s="116">
        <f>IFERROR(__xludf.DUMMYFUNCTION("""COMPUTED_VALUE"""),12.77279)</f>
        <v>12.77279</v>
      </c>
      <c r="Q112" s="116">
        <f>IFERROR(__xludf.DUMMYFUNCTION("""COMPUTED_VALUE"""),1.747869)</f>
        <v>1.747869</v>
      </c>
      <c r="R112" s="116">
        <f>IFERROR(__xludf.DUMMYFUNCTION("""COMPUTED_VALUE"""),3.858689)</f>
        <v>3.858689</v>
      </c>
      <c r="S112" s="117">
        <f>IFERROR(__xludf.DUMMYFUNCTION("""COMPUTED_VALUE"""),3.307541)</f>
        <v>3.307541</v>
      </c>
      <c r="T112" s="116">
        <f>IFERROR(__xludf.DUMMYFUNCTION("""COMPUTED_VALUE"""),1.486066)</f>
        <v>1.486066</v>
      </c>
      <c r="U112" s="116">
        <f>IFERROR(__xludf.DUMMYFUNCTION("""COMPUTED_VALUE"""),0.851311)</f>
        <v>0.851311</v>
      </c>
      <c r="V112" s="113">
        <f>IFERROR(__xludf.DUMMYFUNCTION("""COMPUTED_VALUE"""),0.419407)</f>
        <v>0.419407</v>
      </c>
      <c r="W112" s="113">
        <f>IFERROR(__xludf.DUMMYFUNCTION("""COMPUTED_VALUE"""),0.836005)</f>
        <v>0.836005</v>
      </c>
      <c r="X112" s="116">
        <f>IFERROR(__xludf.DUMMYFUNCTION("""COMPUTED_VALUE"""),2.26623)</f>
        <v>2.26623</v>
      </c>
      <c r="Y112" s="114">
        <f>IFERROR(__xludf.DUMMYFUNCTION("""COMPUTED_VALUE"""),-0.7722664971762402)</f>
        <v>-0.7722664972</v>
      </c>
      <c r="Z112" s="114">
        <f>IFERROR(__xludf.DUMMYFUNCTION("""COMPUTED_VALUE"""),-0.02094377193326645)</f>
        <v>-0.02094377193</v>
      </c>
      <c r="AA112" s="114">
        <f>IFERROR(__xludf.DUMMYFUNCTION("""COMPUTED_VALUE"""),-0.9192635927370425)</f>
        <v>-0.9192635927</v>
      </c>
      <c r="AB112" s="114">
        <f>IFERROR(__xludf.DUMMYFUNCTION("""COMPUTED_VALUE"""),-0.25859873686258417)</f>
        <v>-0.2585987369</v>
      </c>
      <c r="AC112" s="114">
        <f>IFERROR(__xludf.DUMMYFUNCTION("""COMPUTED_VALUE"""),1.3434575525564558)</f>
        <v>1.343457553</v>
      </c>
      <c r="AD112" s="114">
        <f>IFERROR(__xludf.DUMMYFUNCTION("""COMPUTED_VALUE"""),0.22013840302151913)</f>
        <v>0.220138403</v>
      </c>
      <c r="AE112" s="114">
        <f>IFERROR(__xludf.DUMMYFUNCTION("""COMPUTED_VALUE"""),-0.9546896284953122)</f>
        <v>-0.9546896285</v>
      </c>
      <c r="AF112" s="114">
        <f>IFERROR(__xludf.DUMMYFUNCTION("""COMPUTED_VALUE"""),0.6400906050081372)</f>
        <v>0.640090605</v>
      </c>
      <c r="AG112" s="118">
        <f>IFERROR(__xludf.DUMMYFUNCTION("""COMPUTED_VALUE"""),0.0)</f>
        <v>0</v>
      </c>
      <c r="AH112" s="105"/>
      <c r="AI112" s="202"/>
      <c r="AJ112" s="63"/>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c r="BT112" s="105"/>
      <c r="BU112" s="105"/>
      <c r="BV112" s="105"/>
    </row>
    <row r="113">
      <c r="A113" s="91" t="str">
        <f>VLOOKUP($F113,UpdateHashtag!$V$3:$Y$32,COLUMN(B$9),0)</f>
        <v>#N/A</v>
      </c>
      <c r="B113" s="91" t="str">
        <f>VLOOKUP($F113,UpdateHashtag!$V$3:$Y$32,COLUMN(#REF!),0)</f>
        <v>#REF!</v>
      </c>
      <c r="C113" s="91" t="str">
        <f>VLOOKUP($F113,UpdateHashtag!$V$3:$Y$32,COLUMN(#REF!),0)</f>
        <v>#REF!</v>
      </c>
      <c r="D113" s="110" t="str">
        <f t="shared" si="2"/>
        <v>#N/A</v>
      </c>
      <c r="E113" s="11"/>
      <c r="F113" s="94" t="str">
        <f>VLOOKUP(J113,UpdateBBM!$C$2:E1009,3,0)</f>
        <v>NOR</v>
      </c>
      <c r="G113" s="78">
        <v>100.0</v>
      </c>
      <c r="H113" s="111">
        <f>IFERROR(__xludf.DUMMYFUNCTION("""COMPUTED_VALUE"""),100.0)</f>
        <v>100</v>
      </c>
      <c r="I113" s="111"/>
      <c r="J113" s="112" t="str">
        <f>IFERROR(__xludf.DUMMYFUNCTION("""COMPUTED_VALUE"""),"Herb Jones")</f>
        <v>Herb Jones</v>
      </c>
      <c r="K113" s="111">
        <f>IFERROR(__xludf.DUMMYFUNCTION("""COMPUTED_VALUE"""),73.0)</f>
        <v>73</v>
      </c>
      <c r="L113" s="113" t="str">
        <f>IFERROR(__xludf.DUMMYFUNCTION("""COMPUTED_VALUE"""),"F")</f>
        <v>F</v>
      </c>
      <c r="M113" s="114">
        <f>IFERROR(__xludf.DUMMYFUNCTION("""COMPUTED_VALUE"""),0.026228674799771756)</f>
        <v>0.0262286748</v>
      </c>
      <c r="N113" s="114">
        <f>IFERROR(__xludf.DUMMYFUNCTION("""COMPUTED_VALUE"""),0.02306028972465657)</f>
        <v>0.02306028972</v>
      </c>
      <c r="O113" s="115">
        <f>IFERROR(__xludf.DUMMYFUNCTION("""COMPUTED_VALUE"""),-0.0031683850751151876)</f>
        <v>-0.003168385075</v>
      </c>
      <c r="P113" s="116">
        <f>IFERROR(__xludf.DUMMYFUNCTION("""COMPUTED_VALUE"""),10.25288)</f>
        <v>10.25288</v>
      </c>
      <c r="Q113" s="116">
        <f>IFERROR(__xludf.DUMMYFUNCTION("""COMPUTED_VALUE"""),1.004932)</f>
        <v>1.004932</v>
      </c>
      <c r="R113" s="116">
        <f>IFERROR(__xludf.DUMMYFUNCTION("""COMPUTED_VALUE"""),4.027397)</f>
        <v>4.027397</v>
      </c>
      <c r="S113" s="117">
        <f>IFERROR(__xludf.DUMMYFUNCTION("""COMPUTED_VALUE"""),3.062329)</f>
        <v>3.062329</v>
      </c>
      <c r="T113" s="116">
        <f>IFERROR(__xludf.DUMMYFUNCTION("""COMPUTED_VALUE"""),1.737671)</f>
        <v>1.737671</v>
      </c>
      <c r="U113" s="116">
        <f>IFERROR(__xludf.DUMMYFUNCTION("""COMPUTED_VALUE"""),0.555068)</f>
        <v>0.555068</v>
      </c>
      <c r="V113" s="113">
        <f>IFERROR(__xludf.DUMMYFUNCTION("""COMPUTED_VALUE"""),0.45336)</f>
        <v>0.45336</v>
      </c>
      <c r="W113" s="113">
        <f>IFERROR(__xludf.DUMMYFUNCTION("""COMPUTED_VALUE"""),0.845028)</f>
        <v>0.845028</v>
      </c>
      <c r="X113" s="116">
        <f>IFERROR(__xludf.DUMMYFUNCTION("""COMPUTED_VALUE"""),1.73589)</f>
        <v>1.73589</v>
      </c>
      <c r="Y113" s="114">
        <f>IFERROR(__xludf.DUMMYFUNCTION("""COMPUTED_VALUE"""),-1.2143660894364086)</f>
        <v>-1.214366089</v>
      </c>
      <c r="Z113" s="114">
        <f>IFERROR(__xludf.DUMMYFUNCTION("""COMPUTED_VALUE"""),-0.7384971701927552)</f>
        <v>-0.7384971702</v>
      </c>
      <c r="AA113" s="114">
        <f>IFERROR(__xludf.DUMMYFUNCTION("""COMPUTED_VALUE"""),-0.8508771965321569)</f>
        <v>-0.8508771965</v>
      </c>
      <c r="AB113" s="114">
        <f>IFERROR(__xludf.DUMMYFUNCTION("""COMPUTED_VALUE"""),-0.3783883537213286)</f>
        <v>-0.3783883537</v>
      </c>
      <c r="AC113" s="114">
        <f>IFERROR(__xludf.DUMMYFUNCTION("""COMPUTED_VALUE"""),2.1101558663295608)</f>
        <v>2.110155866</v>
      </c>
      <c r="AD113" s="114">
        <f>IFERROR(__xludf.DUMMYFUNCTION("""COMPUTED_VALUE"""),-0.3184290676805228)</f>
        <v>-0.3184290677</v>
      </c>
      <c r="AE113" s="114">
        <f>IFERROR(__xludf.DUMMYFUNCTION("""COMPUTED_VALUE"""),-0.5695756534019499)</f>
        <v>-0.5695756534</v>
      </c>
      <c r="AF113" s="114">
        <f>IFERROR(__xludf.DUMMYFUNCTION("""COMPUTED_VALUE"""),0.7686718649238096)</f>
        <v>0.7686718649</v>
      </c>
      <c r="AG113" s="118">
        <f>IFERROR(__xludf.DUMMYFUNCTION("""COMPUTED_VALUE"""),0.0)</f>
        <v>0</v>
      </c>
      <c r="AH113" s="105"/>
      <c r="AI113" s="202"/>
      <c r="AJ113" s="63"/>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c r="BT113" s="105"/>
      <c r="BU113" s="105"/>
      <c r="BV113" s="105"/>
    </row>
    <row r="114">
      <c r="A114" s="109">
        <f>VLOOKUP($F114,UpdateHashtag!$V$3:$Y$32,COLUMN(B$9),0)</f>
        <v>4</v>
      </c>
      <c r="B114" s="91" t="str">
        <f>VLOOKUP($F114,UpdateHashtag!$V$3:$Y$32,COLUMN(#REF!),0)</f>
        <v>#REF!</v>
      </c>
      <c r="C114" s="91" t="str">
        <f>VLOOKUP($F114,UpdateHashtag!$V$3:$Y$32,COLUMN(#REF!),0)</f>
        <v>#REF!</v>
      </c>
      <c r="D114" s="110" t="str">
        <f t="shared" si="2"/>
        <v>#REF!</v>
      </c>
      <c r="E114" s="11"/>
      <c r="F114" s="94" t="str">
        <f>VLOOKUP(J114,UpdateBBM!$C$2:E1009,3,0)</f>
        <v>OKC</v>
      </c>
      <c r="G114" s="78">
        <v>101.0</v>
      </c>
      <c r="H114" s="111">
        <f>IFERROR(__xludf.DUMMYFUNCTION("""COMPUTED_VALUE"""),101.0)</f>
        <v>101</v>
      </c>
      <c r="I114" s="111"/>
      <c r="J114" s="112" t="str">
        <f>IFERROR(__xludf.DUMMYFUNCTION("""COMPUTED_VALUE"""),"Cason Wallace")</f>
        <v>Cason Wallace</v>
      </c>
      <c r="K114" s="111">
        <f>IFERROR(__xludf.DUMMYFUNCTION("""COMPUTED_VALUE"""),73.0)</f>
        <v>73</v>
      </c>
      <c r="L114" s="113" t="str">
        <f>IFERROR(__xludf.DUMMYFUNCTION("""COMPUTED_VALUE"""),"G,F")</f>
        <v>G,F</v>
      </c>
      <c r="M114" s="114">
        <f>IFERROR(__xludf.DUMMYFUNCTION("""COMPUTED_VALUE"""),-0.051516770834307835)</f>
        <v>-0.05151677083</v>
      </c>
      <c r="N114" s="114">
        <f>IFERROR(__xludf.DUMMYFUNCTION("""COMPUTED_VALUE"""),-0.2335038333740891)</f>
        <v>-0.2335038334</v>
      </c>
      <c r="O114" s="115">
        <f>IFERROR(__xludf.DUMMYFUNCTION("""COMPUTED_VALUE"""),-0.18198706253978125)</f>
        <v>-0.1819870625</v>
      </c>
      <c r="P114" s="116">
        <f>IFERROR(__xludf.DUMMYFUNCTION("""COMPUTED_VALUE"""),9.631644)</f>
        <v>9.631644</v>
      </c>
      <c r="Q114" s="116">
        <f>IFERROR(__xludf.DUMMYFUNCTION("""COMPUTED_VALUE"""),1.197397)</f>
        <v>1.197397</v>
      </c>
      <c r="R114" s="116">
        <f>IFERROR(__xludf.DUMMYFUNCTION("""COMPUTED_VALUE"""),3.093973)</f>
        <v>3.093973</v>
      </c>
      <c r="S114" s="117">
        <f>IFERROR(__xludf.DUMMYFUNCTION("""COMPUTED_VALUE"""),2.677534)</f>
        <v>2.677534</v>
      </c>
      <c r="T114" s="116">
        <f>IFERROR(__xludf.DUMMYFUNCTION("""COMPUTED_VALUE"""),1.833562)</f>
        <v>1.833562</v>
      </c>
      <c r="U114" s="116">
        <f>IFERROR(__xludf.DUMMYFUNCTION("""COMPUTED_VALUE"""),0.418082)</f>
        <v>0.418082</v>
      </c>
      <c r="V114" s="113">
        <f>IFERROR(__xludf.DUMMYFUNCTION("""COMPUTED_VALUE"""),0.505295)</f>
        <v>0.505295</v>
      </c>
      <c r="W114" s="113">
        <f>IFERROR(__xludf.DUMMYFUNCTION("""COMPUTED_VALUE"""),0.797946)</f>
        <v>0.797946</v>
      </c>
      <c r="X114" s="116">
        <f>IFERROR(__xludf.DUMMYFUNCTION("""COMPUTED_VALUE"""),1.014795)</f>
        <v>1.014795</v>
      </c>
      <c r="Y114" s="114">
        <f>IFERROR(__xludf.DUMMYFUNCTION("""COMPUTED_VALUE"""),-1.3233573559091547)</f>
        <v>-1.323357356</v>
      </c>
      <c r="Z114" s="114">
        <f>IFERROR(__xludf.DUMMYFUNCTION("""COMPUTED_VALUE"""),-0.5526080372029962)</f>
        <v>-0.5526080372</v>
      </c>
      <c r="AA114" s="114">
        <f>IFERROR(__xludf.DUMMYFUNCTION("""COMPUTED_VALUE"""),-1.2292439811016453)</f>
        <v>-1.229243981</v>
      </c>
      <c r="AB114" s="114">
        <f>IFERROR(__xludf.DUMMYFUNCTION("""COMPUTED_VALUE"""),-0.5663662896264252)</f>
        <v>-0.5663662896</v>
      </c>
      <c r="AC114" s="114">
        <f>IFERROR(__xludf.DUMMYFUNCTION("""COMPUTED_VALUE"""),2.4023578019270917)</f>
        <v>2.402357802</v>
      </c>
      <c r="AD114" s="114">
        <f>IFERROR(__xludf.DUMMYFUNCTION("""COMPUTED_VALUE"""),-0.5674685506103807)</f>
        <v>-0.5674685506</v>
      </c>
      <c r="AE114" s="114">
        <f>IFERROR(__xludf.DUMMYFUNCTION("""COMPUTED_VALUE"""),0.15349560165551962)</f>
        <v>0.1534956017</v>
      </c>
      <c r="AF114" s="114">
        <f>IFERROR(__xludf.DUMMYFUNCTION("""COMPUTED_VALUE"""),0.12632962158474748)</f>
        <v>0.1263296216</v>
      </c>
      <c r="AG114" s="118">
        <f>IFERROR(__xludf.DUMMYFUNCTION("""COMPUTED_VALUE"""),0.0)</f>
        <v>0</v>
      </c>
      <c r="AH114" s="105"/>
      <c r="AI114" s="202"/>
      <c r="AJ114" s="63"/>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5"/>
      <c r="BS114" s="105"/>
      <c r="BT114" s="105"/>
      <c r="BU114" s="105"/>
      <c r="BV114" s="105"/>
    </row>
    <row r="115">
      <c r="A115" s="109">
        <f>VLOOKUP($F115,UpdateHashtag!$V$3:$Y$32,COLUMN(B$9),0)</f>
        <v>4</v>
      </c>
      <c r="B115" s="91" t="str">
        <f>VLOOKUP($F115,UpdateHashtag!$V$3:$Y$32,COLUMN(#REF!),0)</f>
        <v>#REF!</v>
      </c>
      <c r="C115" s="91" t="str">
        <f>VLOOKUP($F115,UpdateHashtag!$V$3:$Y$32,COLUMN(#REF!),0)</f>
        <v>#REF!</v>
      </c>
      <c r="D115" s="110" t="str">
        <f t="shared" si="2"/>
        <v>#REF!</v>
      </c>
      <c r="E115" s="11"/>
      <c r="F115" s="94" t="str">
        <f>VLOOKUP(J115,UpdateBBM!$C$2:E1009,3,0)</f>
        <v>MIA</v>
      </c>
      <c r="G115" s="78">
        <v>102.0</v>
      </c>
      <c r="H115" s="111">
        <f>IFERROR(__xludf.DUMMYFUNCTION("""COMPUTED_VALUE"""),102.0)</f>
        <v>102</v>
      </c>
      <c r="I115" s="111"/>
      <c r="J115" s="112" t="str">
        <f>IFERROR(__xludf.DUMMYFUNCTION("""COMPUTED_VALUE"""),"Andrew Wiggins")</f>
        <v>Andrew Wiggins</v>
      </c>
      <c r="K115" s="111">
        <f>IFERROR(__xludf.DUMMYFUNCTION("""COMPUTED_VALUE"""),68.0)</f>
        <v>68</v>
      </c>
      <c r="L115" s="113" t="str">
        <f>IFERROR(__xludf.DUMMYFUNCTION("""COMPUTED_VALUE"""),"G,F")</f>
        <v>G,F</v>
      </c>
      <c r="M115" s="114">
        <f>IFERROR(__xludf.DUMMYFUNCTION("""COMPUTED_VALUE"""),-0.05305034724921376)</f>
        <v>-0.05305034725</v>
      </c>
      <c r="N115" s="114">
        <f>IFERROR(__xludf.DUMMYFUNCTION("""COMPUTED_VALUE"""),0.08137291523650936)</f>
        <v>0.08137291524</v>
      </c>
      <c r="O115" s="115">
        <f>IFERROR(__xludf.DUMMYFUNCTION("""COMPUTED_VALUE"""),0.13442326248572312)</f>
        <v>0.1344232625</v>
      </c>
      <c r="P115" s="116">
        <f>IFERROR(__xludf.DUMMYFUNCTION("""COMPUTED_VALUE"""),18.89221)</f>
        <v>18.89221</v>
      </c>
      <c r="Q115" s="116">
        <f>IFERROR(__xludf.DUMMYFUNCTION("""COMPUTED_VALUE"""),2.253971)</f>
        <v>2.253971</v>
      </c>
      <c r="R115" s="116">
        <f>IFERROR(__xludf.DUMMYFUNCTION("""COMPUTED_VALUE"""),4.918382)</f>
        <v>4.918382</v>
      </c>
      <c r="S115" s="117">
        <f>IFERROR(__xludf.DUMMYFUNCTION("""COMPUTED_VALUE"""),3.368824)</f>
        <v>3.368824</v>
      </c>
      <c r="T115" s="116">
        <f>IFERROR(__xludf.DUMMYFUNCTION("""COMPUTED_VALUE"""),1.086471)</f>
        <v>1.086471</v>
      </c>
      <c r="U115" s="116">
        <f>IFERROR(__xludf.DUMMYFUNCTION("""COMPUTED_VALUE"""),0.871176)</f>
        <v>0.871176</v>
      </c>
      <c r="V115" s="113">
        <f>IFERROR(__xludf.DUMMYFUNCTION("""COMPUTED_VALUE"""),0.44985)</f>
        <v>0.44985</v>
      </c>
      <c r="W115" s="113">
        <f>IFERROR(__xludf.DUMMYFUNCTION("""COMPUTED_VALUE"""),0.759003)</f>
        <v>0.759003</v>
      </c>
      <c r="X115" s="116">
        <f>IFERROR(__xludf.DUMMYFUNCTION("""COMPUTED_VALUE"""),2.290735)</f>
        <v>2.290735</v>
      </c>
      <c r="Y115" s="114">
        <f>IFERROR(__xludf.DUMMYFUNCTION("""COMPUTED_VALUE"""),0.30134053119728027)</f>
        <v>0.3013405312</v>
      </c>
      <c r="Z115" s="114">
        <f>IFERROR(__xludf.DUMMYFUNCTION("""COMPUTED_VALUE"""),0.4678664636128483)</f>
        <v>0.4678664636</v>
      </c>
      <c r="AA115" s="114">
        <f>IFERROR(__xludf.DUMMYFUNCTION("""COMPUTED_VALUE"""),-0.48971321365872944)</f>
        <v>-0.4897132137</v>
      </c>
      <c r="AB115" s="114">
        <f>IFERROR(__xludf.DUMMYFUNCTION("""COMPUTED_VALUE"""),-0.22866110293783976)</f>
        <v>-0.2286611029</v>
      </c>
      <c r="AC115" s="114">
        <f>IFERROR(__xludf.DUMMYFUNCTION("""COMPUTED_VALUE"""),0.1257996654231949)</f>
        <v>0.1257996654</v>
      </c>
      <c r="AD115" s="114">
        <f>IFERROR(__xludf.DUMMYFUNCTION("""COMPUTED_VALUE"""),0.25625281857056503)</f>
        <v>0.2562528186</v>
      </c>
      <c r="AE115" s="114">
        <f>IFERROR(__xludf.DUMMYFUNCTION("""COMPUTED_VALUE"""),-0.6125979438029884)</f>
        <v>-0.6125979438</v>
      </c>
      <c r="AF115" s="114">
        <f>IFERROR(__xludf.DUMMYFUNCTION("""COMPUTED_VALUE"""),-0.3515122469708099)</f>
        <v>-0.351512247</v>
      </c>
      <c r="AG115" s="118">
        <f>IFERROR(__xludf.DUMMYFUNCTION("""COMPUTED_VALUE"""),0.0)</f>
        <v>0</v>
      </c>
      <c r="AH115" s="105"/>
      <c r="AI115" s="202"/>
      <c r="AJ115" s="63"/>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row>
    <row r="116">
      <c r="A116" s="109">
        <f>VLOOKUP($F116,UpdateHashtag!$V$3:$Y$32,COLUMN(B$9),0)</f>
        <v>4</v>
      </c>
      <c r="B116" s="91" t="str">
        <f>VLOOKUP($F116,UpdateHashtag!$V$3:$Y$32,COLUMN(#REF!),0)</f>
        <v>#REF!</v>
      </c>
      <c r="C116" s="91" t="str">
        <f>VLOOKUP($F116,UpdateHashtag!$V$3:$Y$32,COLUMN(#REF!),0)</f>
        <v>#REF!</v>
      </c>
      <c r="D116" s="110" t="str">
        <f t="shared" si="2"/>
        <v>#REF!</v>
      </c>
      <c r="E116" s="11"/>
      <c r="F116" s="94" t="str">
        <f>VLOOKUP(J116,UpdateBBM!$C$2:E1009,3,0)</f>
        <v>MIA</v>
      </c>
      <c r="G116" s="78">
        <v>103.0</v>
      </c>
      <c r="H116" s="111">
        <f>IFERROR(__xludf.DUMMYFUNCTION("""COMPUTED_VALUE"""),103.0)</f>
        <v>103</v>
      </c>
      <c r="I116" s="111"/>
      <c r="J116" s="112" t="str">
        <f>IFERROR(__xludf.DUMMYFUNCTION("""COMPUTED_VALUE"""),"Norman Powell")</f>
        <v>Norman Powell</v>
      </c>
      <c r="K116" s="111">
        <f>IFERROR(__xludf.DUMMYFUNCTION("""COMPUTED_VALUE"""),68.0)</f>
        <v>68</v>
      </c>
      <c r="L116" s="113" t="str">
        <f>IFERROR(__xludf.DUMMYFUNCTION("""COMPUTED_VALUE"""),"G,F")</f>
        <v>G,F</v>
      </c>
      <c r="M116" s="114">
        <f>IFERROR(__xludf.DUMMYFUNCTION("""COMPUTED_VALUE"""),-0.07593745724840906)</f>
        <v>-0.07593745725</v>
      </c>
      <c r="N116" s="114">
        <f>IFERROR(__xludf.DUMMYFUNCTION("""COMPUTED_VALUE"""),-0.11619553829101847)</f>
        <v>-0.1161955383</v>
      </c>
      <c r="O116" s="115">
        <f>IFERROR(__xludf.DUMMYFUNCTION("""COMPUTED_VALUE"""),-0.04025808104260942)</f>
        <v>-0.04025808104</v>
      </c>
      <c r="P116" s="116">
        <f>IFERROR(__xludf.DUMMYFUNCTION("""COMPUTED_VALUE"""),20.04441)</f>
        <v>20.04441</v>
      </c>
      <c r="Q116" s="116">
        <f>IFERROR(__xludf.DUMMYFUNCTION("""COMPUTED_VALUE"""),2.721324)</f>
        <v>2.721324</v>
      </c>
      <c r="R116" s="116">
        <f>IFERROR(__xludf.DUMMYFUNCTION("""COMPUTED_VALUE"""),3.470882)</f>
        <v>3.470882</v>
      </c>
      <c r="S116" s="117">
        <f>IFERROR(__xludf.DUMMYFUNCTION("""COMPUTED_VALUE"""),1.995)</f>
        <v>1.995</v>
      </c>
      <c r="T116" s="116">
        <f>IFERROR(__xludf.DUMMYFUNCTION("""COMPUTED_VALUE"""),1.193235)</f>
        <v>1.193235</v>
      </c>
      <c r="U116" s="116">
        <f>IFERROR(__xludf.DUMMYFUNCTION("""COMPUTED_VALUE"""),0.137794)</f>
        <v>0.137794</v>
      </c>
      <c r="V116" s="113">
        <f>IFERROR(__xludf.DUMMYFUNCTION("""COMPUTED_VALUE"""),0.48002)</f>
        <v>0.48002</v>
      </c>
      <c r="W116" s="113">
        <f>IFERROR(__xludf.DUMMYFUNCTION("""COMPUTED_VALUE"""),0.80399)</f>
        <v>0.80399</v>
      </c>
      <c r="X116" s="116">
        <f>IFERROR(__xludf.DUMMYFUNCTION("""COMPUTED_VALUE"""),1.586324)</f>
        <v>1.586324</v>
      </c>
      <c r="Y116" s="114">
        <f>IFERROR(__xludf.DUMMYFUNCTION("""COMPUTED_VALUE"""),0.5034855086774943)</f>
        <v>0.5034855087</v>
      </c>
      <c r="Z116" s="114">
        <f>IFERROR(__xludf.DUMMYFUNCTION("""COMPUTED_VALUE"""),0.9192516192004243)</f>
        <v>0.9192516192</v>
      </c>
      <c r="AA116" s="114">
        <f>IFERROR(__xludf.DUMMYFUNCTION("""COMPUTED_VALUE"""),-1.0764625587198537)</f>
        <v>-1.076462559</v>
      </c>
      <c r="AB116" s="114">
        <f>IFERROR(__xludf.DUMMYFUNCTION("""COMPUTED_VALUE"""),-0.899794043378551)</f>
        <v>-0.8997940434</v>
      </c>
      <c r="AC116" s="114">
        <f>IFERROR(__xludf.DUMMYFUNCTION("""COMPUTED_VALUE"""),0.45113413322658463)</f>
        <v>0.4511341332</v>
      </c>
      <c r="AD116" s="114">
        <f>IFERROR(__xludf.DUMMYFUNCTION("""COMPUTED_VALUE"""),-1.0770299553630127)</f>
        <v>-1.077029955</v>
      </c>
      <c r="AE116" s="114">
        <f>IFERROR(__xludf.DUMMYFUNCTION("""COMPUTED_VALUE"""),-0.21864037782194665)</f>
        <v>-0.2186403778</v>
      </c>
      <c r="AF116" s="114">
        <f>IFERROR(__xludf.DUMMYFUNCTION("""COMPUTED_VALUE"""),0.20483018052482968)</f>
        <v>0.2048301805</v>
      </c>
      <c r="AG116" s="118">
        <f>IFERROR(__xludf.DUMMYFUNCTION("""COMPUTED_VALUE"""),0.0)</f>
        <v>0</v>
      </c>
      <c r="AH116" s="105"/>
      <c r="AI116" s="202"/>
      <c r="AJ116" s="63"/>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5"/>
      <c r="BS116" s="105"/>
      <c r="BT116" s="105"/>
      <c r="BU116" s="105"/>
      <c r="BV116" s="105"/>
    </row>
    <row r="117">
      <c r="A117" s="109">
        <f>VLOOKUP($F117,UpdateHashtag!$V$3:$Y$32,COLUMN(B$9),0)</f>
        <v>4</v>
      </c>
      <c r="B117" s="91" t="str">
        <f>VLOOKUP($F117,UpdateHashtag!$V$3:$Y$32,COLUMN(#REF!),0)</f>
        <v>#REF!</v>
      </c>
      <c r="C117" s="91" t="str">
        <f>VLOOKUP($F117,UpdateHashtag!$V$3:$Y$32,COLUMN(#REF!),0)</f>
        <v>#REF!</v>
      </c>
      <c r="D117" s="110" t="str">
        <f t="shared" si="2"/>
        <v>#REF!</v>
      </c>
      <c r="E117" s="11"/>
      <c r="F117" s="94" t="str">
        <f>VLOOKUP(J117,UpdateBBM!$C$2:E1009,3,0)</f>
        <v>DET</v>
      </c>
      <c r="G117" s="78">
        <v>104.0</v>
      </c>
      <c r="H117" s="111">
        <f>IFERROR(__xludf.DUMMYFUNCTION("""COMPUTED_VALUE"""),104.0)</f>
        <v>104</v>
      </c>
      <c r="I117" s="111"/>
      <c r="J117" s="112" t="str">
        <f>IFERROR(__xludf.DUMMYFUNCTION("""COMPUTED_VALUE"""),"Tobias Harris")</f>
        <v>Tobias Harris</v>
      </c>
      <c r="K117" s="111">
        <f>IFERROR(__xludf.DUMMYFUNCTION("""COMPUTED_VALUE"""),73.0)</f>
        <v>73</v>
      </c>
      <c r="L117" s="113" t="str">
        <f>IFERROR(__xludf.DUMMYFUNCTION("""COMPUTED_VALUE"""),"F")</f>
        <v>F</v>
      </c>
      <c r="M117" s="114">
        <f>IFERROR(__xludf.DUMMYFUNCTION("""COMPUTED_VALUE"""),-0.13900757417179233)</f>
        <v>-0.1390075742</v>
      </c>
      <c r="N117" s="114">
        <f>IFERROR(__xludf.DUMMYFUNCTION("""COMPUTED_VALUE"""),-0.29765728599145713)</f>
        <v>-0.297657286</v>
      </c>
      <c r="O117" s="115">
        <f>IFERROR(__xludf.DUMMYFUNCTION("""COMPUTED_VALUE"""),-0.1586497118196648)</f>
        <v>-0.1586497118</v>
      </c>
      <c r="P117" s="116">
        <f>IFERROR(__xludf.DUMMYFUNCTION("""COMPUTED_VALUE"""),13.54205)</f>
        <v>13.54205</v>
      </c>
      <c r="Q117" s="116">
        <f>IFERROR(__xludf.DUMMYFUNCTION("""COMPUTED_VALUE"""),1.189726)</f>
        <v>1.189726</v>
      </c>
      <c r="R117" s="116">
        <f>IFERROR(__xludf.DUMMYFUNCTION("""COMPUTED_VALUE"""),5.544521)</f>
        <v>5.544521</v>
      </c>
      <c r="S117" s="117">
        <f>IFERROR(__xludf.DUMMYFUNCTION("""COMPUTED_VALUE"""),2.021918)</f>
        <v>2.021918</v>
      </c>
      <c r="T117" s="116">
        <f>IFERROR(__xludf.DUMMYFUNCTION("""COMPUTED_VALUE"""),1.108904)</f>
        <v>1.108904</v>
      </c>
      <c r="U117" s="116">
        <f>IFERROR(__xludf.DUMMYFUNCTION("""COMPUTED_VALUE"""),0.717534)</f>
        <v>0.717534</v>
      </c>
      <c r="V117" s="113">
        <f>IFERROR(__xludf.DUMMYFUNCTION("""COMPUTED_VALUE"""),0.502441)</f>
        <v>0.502441</v>
      </c>
      <c r="W117" s="113">
        <f>IFERROR(__xludf.DUMMYFUNCTION("""COMPUTED_VALUE"""),0.850981)</f>
        <v>0.850981</v>
      </c>
      <c r="X117" s="116">
        <f>IFERROR(__xludf.DUMMYFUNCTION("""COMPUTED_VALUE"""),1.108904)</f>
        <v>1.108904</v>
      </c>
      <c r="Y117" s="114">
        <f>IFERROR(__xludf.DUMMYFUNCTION("""COMPUTED_VALUE"""),-0.6373055135133091)</f>
        <v>-0.6373055135</v>
      </c>
      <c r="Z117" s="114">
        <f>IFERROR(__xludf.DUMMYFUNCTION("""COMPUTED_VALUE"""),-0.5600169455196482)</f>
        <v>-0.5600169455</v>
      </c>
      <c r="AA117" s="114">
        <f>IFERROR(__xludf.DUMMYFUNCTION("""COMPUTED_VALUE"""),-0.2359055119887972)</f>
        <v>-0.235905512</v>
      </c>
      <c r="AB117" s="114">
        <f>IFERROR(__xludf.DUMMYFUNCTION("""COMPUTED_VALUE"""),-0.8866442101460678)</f>
        <v>-0.8866442101</v>
      </c>
      <c r="AC117" s="114">
        <f>IFERROR(__xludf.DUMMYFUNCTION("""COMPUTED_VALUE"""),0.19415817687118686)</f>
        <v>0.1941581769</v>
      </c>
      <c r="AD117" s="114">
        <f>IFERROR(__xludf.DUMMYFUNCTION("""COMPUTED_VALUE"""),-0.023067142858407403)</f>
        <v>-0.02306714286</v>
      </c>
      <c r="AE117" s="114">
        <f>IFERROR(__xludf.DUMMYFUNCTION("""COMPUTED_VALUE"""),0.10955255414612264)</f>
        <v>0.1095525541</v>
      </c>
      <c r="AF117" s="114">
        <f>IFERROR(__xludf.DUMMYFUNCTION("""COMPUTED_VALUE"""),0.8549270968713953)</f>
        <v>0.8549270969</v>
      </c>
      <c r="AG117" s="118">
        <f>IFERROR(__xludf.DUMMYFUNCTION("""COMPUTED_VALUE"""),0.0)</f>
        <v>0</v>
      </c>
      <c r="AH117" s="105"/>
      <c r="AI117" s="202"/>
      <c r="AJ117" s="63"/>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c r="BI117" s="105"/>
      <c r="BJ117" s="105"/>
      <c r="BK117" s="105"/>
      <c r="BL117" s="105"/>
      <c r="BM117" s="105"/>
      <c r="BN117" s="105"/>
      <c r="BO117" s="105"/>
      <c r="BP117" s="105"/>
      <c r="BQ117" s="105"/>
      <c r="BR117" s="105"/>
      <c r="BS117" s="105"/>
      <c r="BT117" s="105"/>
      <c r="BU117" s="105"/>
      <c r="BV117" s="105"/>
    </row>
    <row r="118">
      <c r="A118" s="109">
        <f>VLOOKUP($F118,UpdateHashtag!$V$3:$Y$32,COLUMN(B$9),0)</f>
        <v>4</v>
      </c>
      <c r="B118" s="91" t="str">
        <f>VLOOKUP($F118,UpdateHashtag!$V$3:$Y$32,COLUMN(#REF!),0)</f>
        <v>#REF!</v>
      </c>
      <c r="C118" s="91" t="str">
        <f>VLOOKUP($F118,UpdateHashtag!$V$3:$Y$32,COLUMN(#REF!),0)</f>
        <v>#REF!</v>
      </c>
      <c r="D118" s="110" t="str">
        <f t="shared" si="2"/>
        <v>#REF!</v>
      </c>
      <c r="E118" s="11"/>
      <c r="F118" s="94" t="str">
        <f>VLOOKUP(J118,UpdateBBM!$C$2:E1009,3,0)</f>
        <v>MIN</v>
      </c>
      <c r="G118" s="78">
        <v>105.0</v>
      </c>
      <c r="H118" s="111">
        <f>IFERROR(__xludf.DUMMYFUNCTION("""COMPUTED_VALUE"""),105.0)</f>
        <v>105</v>
      </c>
      <c r="I118" s="111"/>
      <c r="J118" s="112" t="str">
        <f>IFERROR(__xludf.DUMMYFUNCTION("""COMPUTED_VALUE"""),"Donte DiVincenzo")</f>
        <v>Donte DiVincenzo</v>
      </c>
      <c r="K118" s="111">
        <f>IFERROR(__xludf.DUMMYFUNCTION("""COMPUTED_VALUE"""),68.0)</f>
        <v>68</v>
      </c>
      <c r="L118" s="113" t="str">
        <f>IFERROR(__xludf.DUMMYFUNCTION("""COMPUTED_VALUE"""),"G")</f>
        <v>G</v>
      </c>
      <c r="M118" s="114">
        <f>IFERROR(__xludf.DUMMYFUNCTION("""COMPUTED_VALUE"""),-0.16118876790046865)</f>
        <v>-0.1611887679</v>
      </c>
      <c r="N118" s="114">
        <f>IFERROR(__xludf.DUMMYFUNCTION("""COMPUTED_VALUE"""),-0.15086593291610795)</f>
        <v>-0.1508659329</v>
      </c>
      <c r="O118" s="115">
        <f>IFERROR(__xludf.DUMMYFUNCTION("""COMPUTED_VALUE"""),0.010322834984360707)</f>
        <v>0.01032283498</v>
      </c>
      <c r="P118" s="116">
        <f>IFERROR(__xludf.DUMMYFUNCTION("""COMPUTED_VALUE"""),13.41471)</f>
        <v>13.41471</v>
      </c>
      <c r="Q118" s="116">
        <f>IFERROR(__xludf.DUMMYFUNCTION("""COMPUTED_VALUE"""),3.161471)</f>
        <v>3.161471</v>
      </c>
      <c r="R118" s="116">
        <f>IFERROR(__xludf.DUMMYFUNCTION("""COMPUTED_VALUE"""),4.0425)</f>
        <v>4.0425</v>
      </c>
      <c r="S118" s="117">
        <f>IFERROR(__xludf.DUMMYFUNCTION("""COMPUTED_VALUE"""),4.215735)</f>
        <v>4.215735</v>
      </c>
      <c r="T118" s="116">
        <f>IFERROR(__xludf.DUMMYFUNCTION("""COMPUTED_VALUE"""),1.226029)</f>
        <v>1.226029</v>
      </c>
      <c r="U118" s="116">
        <f>IFERROR(__xludf.DUMMYFUNCTION("""COMPUTED_VALUE"""),0.344118)</f>
        <v>0.344118</v>
      </c>
      <c r="V118" s="113">
        <f>IFERROR(__xludf.DUMMYFUNCTION("""COMPUTED_VALUE"""),0.426993)</f>
        <v>0.426993</v>
      </c>
      <c r="W118" s="113">
        <f>IFERROR(__xludf.DUMMYFUNCTION("""COMPUTED_VALUE"""),0.78603)</f>
        <v>0.78603</v>
      </c>
      <c r="X118" s="116">
        <f>IFERROR(__xludf.DUMMYFUNCTION("""COMPUTED_VALUE"""),1.790294)</f>
        <v>1.790294</v>
      </c>
      <c r="Y118" s="114">
        <f>IFERROR(__xludf.DUMMYFUNCTION("""COMPUTED_VALUE"""),-0.6596463757180743)</f>
        <v>-0.6596463757</v>
      </c>
      <c r="Z118" s="114">
        <f>IFERROR(__xludf.DUMMYFUNCTION("""COMPUTED_VALUE"""),1.344360310224992)</f>
        <v>1.34436031</v>
      </c>
      <c r="AA118" s="114">
        <f>IFERROR(__xludf.DUMMYFUNCTION("""COMPUTED_VALUE"""),-0.8447551410168141)</f>
        <v>-0.844755141</v>
      </c>
      <c r="AB118" s="114">
        <f>IFERROR(__xludf.DUMMYFUNCTION("""COMPUTED_VALUE"""),0.18506719830131668)</f>
        <v>0.1850671983</v>
      </c>
      <c r="AC118" s="114">
        <f>IFERROR(__xludf.DUMMYFUNCTION("""COMPUTED_VALUE"""),0.5510649951008527)</f>
        <v>0.5510649951</v>
      </c>
      <c r="AD118" s="114">
        <f>IFERROR(__xludf.DUMMYFUNCTION("""COMPUTED_VALUE"""),-0.7019345275381254)</f>
        <v>-0.7019345275</v>
      </c>
      <c r="AE118" s="114">
        <f>IFERROR(__xludf.DUMMYFUNCTION("""COMPUTED_VALUE"""),-0.874653523856185)</f>
        <v>-0.8746535239</v>
      </c>
      <c r="AF118" s="114">
        <f>IFERROR(__xludf.DUMMYFUNCTION("""COMPUTED_VALUE"""),-0.025022392270255493)</f>
        <v>-0.02502239227</v>
      </c>
      <c r="AG118" s="118">
        <f>IFERROR(__xludf.DUMMYFUNCTION("""COMPUTED_VALUE"""),0.0)</f>
        <v>0</v>
      </c>
      <c r="AH118" s="105"/>
      <c r="AI118" s="202"/>
      <c r="AJ118" s="63"/>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c r="BI118" s="105"/>
      <c r="BJ118" s="105"/>
      <c r="BK118" s="105"/>
      <c r="BL118" s="105"/>
      <c r="BM118" s="105"/>
      <c r="BN118" s="105"/>
      <c r="BO118" s="105"/>
      <c r="BP118" s="105"/>
      <c r="BQ118" s="105"/>
      <c r="BR118" s="105"/>
      <c r="BS118" s="105"/>
      <c r="BT118" s="105"/>
      <c r="BU118" s="105"/>
      <c r="BV118" s="105"/>
    </row>
    <row r="119">
      <c r="A119" s="109">
        <f>VLOOKUP($F119,UpdateHashtag!$V$3:$Y$32,COLUMN(B$9),0)</f>
        <v>4</v>
      </c>
      <c r="B119" s="91" t="str">
        <f>VLOOKUP($F119,UpdateHashtag!$V$3:$Y$32,COLUMN(#REF!),0)</f>
        <v>#REF!</v>
      </c>
      <c r="C119" s="91" t="str">
        <f>VLOOKUP($F119,UpdateHashtag!$V$3:$Y$32,COLUMN(#REF!),0)</f>
        <v>#REF!</v>
      </c>
      <c r="D119" s="110" t="str">
        <f t="shared" si="2"/>
        <v>#REF!</v>
      </c>
      <c r="E119" s="11"/>
      <c r="F119" s="94" t="str">
        <f>VLOOKUP(J119,UpdateBBM!$C$2:E1009,3,0)</f>
        <v>SAC</v>
      </c>
      <c r="G119" s="78">
        <v>106.0</v>
      </c>
      <c r="H119" s="111">
        <f>IFERROR(__xludf.DUMMYFUNCTION("""COMPUTED_VALUE"""),106.0)</f>
        <v>106</v>
      </c>
      <c r="I119" s="111"/>
      <c r="J119" s="112" t="str">
        <f>IFERROR(__xludf.DUMMYFUNCTION("""COMPUTED_VALUE"""),"Zach LaVine")</f>
        <v>Zach LaVine</v>
      </c>
      <c r="K119" s="111">
        <f>IFERROR(__xludf.DUMMYFUNCTION("""COMPUTED_VALUE"""),73.0)</f>
        <v>73</v>
      </c>
      <c r="L119" s="113" t="str">
        <f>IFERROR(__xludf.DUMMYFUNCTION("""COMPUTED_VALUE"""),"G,F")</f>
        <v>G,F</v>
      </c>
      <c r="M119" s="114">
        <f>IFERROR(__xludf.DUMMYFUNCTION("""COMPUTED_VALUE"""),-0.18684175519804813)</f>
        <v>-0.1868417552</v>
      </c>
      <c r="N119" s="114">
        <f>IFERROR(__xludf.DUMMYFUNCTION("""COMPUTED_VALUE"""),-0.05922485836507918)</f>
        <v>-0.05922485837</v>
      </c>
      <c r="O119" s="115">
        <f>IFERROR(__xludf.DUMMYFUNCTION("""COMPUTED_VALUE"""),0.12761689683296895)</f>
        <v>0.1276168968</v>
      </c>
      <c r="P119" s="116">
        <f>IFERROR(__xludf.DUMMYFUNCTION("""COMPUTED_VALUE"""),21.21288)</f>
        <v>21.21288</v>
      </c>
      <c r="Q119" s="116">
        <f>IFERROR(__xludf.DUMMYFUNCTION("""COMPUTED_VALUE"""),2.791096)</f>
        <v>2.791096</v>
      </c>
      <c r="R119" s="116">
        <f>IFERROR(__xludf.DUMMYFUNCTION("""COMPUTED_VALUE"""),3.324247)</f>
        <v>3.324247</v>
      </c>
      <c r="S119" s="117">
        <f>IFERROR(__xludf.DUMMYFUNCTION("""COMPUTED_VALUE"""),3.395068)</f>
        <v>3.395068</v>
      </c>
      <c r="T119" s="116">
        <f>IFERROR(__xludf.DUMMYFUNCTION("""COMPUTED_VALUE"""),0.631644)</f>
        <v>0.631644</v>
      </c>
      <c r="U119" s="116">
        <f>IFERROR(__xludf.DUMMYFUNCTION("""COMPUTED_VALUE"""),0.071096)</f>
        <v>0.071096</v>
      </c>
      <c r="V119" s="113">
        <f>IFERROR(__xludf.DUMMYFUNCTION("""COMPUTED_VALUE"""),0.494131)</f>
        <v>0.494131</v>
      </c>
      <c r="W119" s="113">
        <f>IFERROR(__xludf.DUMMYFUNCTION("""COMPUTED_VALUE"""),0.847979)</f>
        <v>0.847979</v>
      </c>
      <c r="X119" s="116">
        <f>IFERROR(__xludf.DUMMYFUNCTION("""COMPUTED_VALUE"""),2.263288)</f>
        <v>2.263288</v>
      </c>
      <c r="Y119" s="114">
        <f>IFERROR(__xludf.DUMMYFUNCTION("""COMPUTED_VALUE"""),0.7084849374540134)</f>
        <v>0.7084849375</v>
      </c>
      <c r="Z119" s="114">
        <f>IFERROR(__xludf.DUMMYFUNCTION("""COMPUTED_VALUE"""),0.9866397499616611)</f>
        <v>0.98663975</v>
      </c>
      <c r="AA119" s="114">
        <f>IFERROR(__xludf.DUMMYFUNCTION("""COMPUTED_VALUE"""),-1.1359015847737661)</f>
        <v>-1.135901585</v>
      </c>
      <c r="AB119" s="114">
        <f>IFERROR(__xludf.DUMMYFUNCTION("""COMPUTED_VALUE"""),-0.21584052847639046)</f>
        <v>-0.2158405285</v>
      </c>
      <c r="AC119" s="114">
        <f>IFERROR(__xludf.DUMMYFUNCTION("""COMPUTED_VALUE"""),-1.260162831182517)</f>
        <v>-1.260162831</v>
      </c>
      <c r="AD119" s="114">
        <f>IFERROR(__xludf.DUMMYFUNCTION("""COMPUTED_VALUE"""),-1.1982864007841187)</f>
        <v>-1.198286401</v>
      </c>
      <c r="AE119" s="114">
        <f>IFERROR(__xludf.DUMMYFUNCTION("""COMPUTED_VALUE"""),-0.015609665624068843)</f>
        <v>-0.01560966562</v>
      </c>
      <c r="AF119" s="114">
        <f>IFERROR(__xludf.DUMMYFUNCTION("""COMPUTED_VALUE"""),0.8112886338775905)</f>
        <v>0.8112886339</v>
      </c>
      <c r="AG119" s="118">
        <f>IFERROR(__xludf.DUMMYFUNCTION("""COMPUTED_VALUE"""),0.0)</f>
        <v>0</v>
      </c>
      <c r="AH119" s="105"/>
      <c r="AI119" s="202"/>
      <c r="AJ119" s="63"/>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105"/>
      <c r="BT119" s="105"/>
      <c r="BU119" s="105"/>
      <c r="BV119" s="105"/>
    </row>
    <row r="120">
      <c r="A120" s="109">
        <f>VLOOKUP($F120,UpdateHashtag!$V$3:$Y$32,COLUMN(B$9),0)</f>
        <v>3</v>
      </c>
      <c r="B120" s="91" t="str">
        <f>VLOOKUP($F120,UpdateHashtag!$V$3:$Y$32,COLUMN(#REF!),0)</f>
        <v>#REF!</v>
      </c>
      <c r="C120" s="91" t="str">
        <f>VLOOKUP($F120,UpdateHashtag!$V$3:$Y$32,COLUMN(#REF!),0)</f>
        <v>#REF!</v>
      </c>
      <c r="D120" s="110" t="str">
        <f t="shared" si="2"/>
        <v>#REF!</v>
      </c>
      <c r="E120" s="11"/>
      <c r="F120" s="94" t="str">
        <f>VLOOKUP(J120,UpdateBBM!$C$2:E1009,3,0)</f>
        <v>BOS</v>
      </c>
      <c r="G120" s="78">
        <v>107.0</v>
      </c>
      <c r="H120" s="111">
        <f>IFERROR(__xludf.DUMMYFUNCTION("""COMPUTED_VALUE"""),107.0)</f>
        <v>107</v>
      </c>
      <c r="I120" s="111"/>
      <c r="J120" s="112" t="str">
        <f>IFERROR(__xludf.DUMMYFUNCTION("""COMPUTED_VALUE"""),"Neemias Queta")</f>
        <v>Neemias Queta</v>
      </c>
      <c r="K120" s="111">
        <f>IFERROR(__xludf.DUMMYFUNCTION("""COMPUTED_VALUE"""),68.0)</f>
        <v>68</v>
      </c>
      <c r="L120" s="113" t="str">
        <f>IFERROR(__xludf.DUMMYFUNCTION("""COMPUTED_VALUE"""),"C")</f>
        <v>C</v>
      </c>
      <c r="M120" s="114">
        <f>IFERROR(__xludf.DUMMYFUNCTION("""COMPUTED_VALUE"""),-0.19428674975757376)</f>
        <v>-0.1942867498</v>
      </c>
      <c r="N120" s="114">
        <f>IFERROR(__xludf.DUMMYFUNCTION("""COMPUTED_VALUE"""),-0.33526947035054144)</f>
        <v>-0.3352694704</v>
      </c>
      <c r="O120" s="115">
        <f>IFERROR(__xludf.DUMMYFUNCTION("""COMPUTED_VALUE"""),-0.14098272059296768)</f>
        <v>-0.1409827206</v>
      </c>
      <c r="P120" s="116">
        <f>IFERROR(__xludf.DUMMYFUNCTION("""COMPUTED_VALUE"""),9.651471)</f>
        <v>9.651471</v>
      </c>
      <c r="Q120" s="116">
        <f>IFERROR(__xludf.DUMMYFUNCTION("""COMPUTED_VALUE"""),0.079265)</f>
        <v>0.079265</v>
      </c>
      <c r="R120" s="116">
        <f>IFERROR(__xludf.DUMMYFUNCTION("""COMPUTED_VALUE"""),7.553382)</f>
        <v>7.553382</v>
      </c>
      <c r="S120" s="117">
        <f>IFERROR(__xludf.DUMMYFUNCTION("""COMPUTED_VALUE"""),1.510735)</f>
        <v>1.510735</v>
      </c>
      <c r="T120" s="116">
        <f>IFERROR(__xludf.DUMMYFUNCTION("""COMPUTED_VALUE"""),0.594559)</f>
        <v>0.594559</v>
      </c>
      <c r="U120" s="116">
        <f>IFERROR(__xludf.DUMMYFUNCTION("""COMPUTED_VALUE"""),1.239265)</f>
        <v>1.239265</v>
      </c>
      <c r="V120" s="113">
        <f>IFERROR(__xludf.DUMMYFUNCTION("""COMPUTED_VALUE"""),0.620251)</f>
        <v>0.620251</v>
      </c>
      <c r="W120" s="113">
        <f>IFERROR(__xludf.DUMMYFUNCTION("""COMPUTED_VALUE"""),0.759991)</f>
        <v>0.759991</v>
      </c>
      <c r="X120" s="116">
        <f>IFERROR(__xludf.DUMMYFUNCTION("""COMPUTED_VALUE"""),1.180147)</f>
        <v>1.180147</v>
      </c>
      <c r="Y120" s="114">
        <f>IFERROR(__xludf.DUMMYFUNCTION("""COMPUTED_VALUE"""),-1.3198788552421694)</f>
        <v>-1.319878855</v>
      </c>
      <c r="Z120" s="114">
        <f>IFERROR(__xludf.DUMMYFUNCTION("""COMPUTED_VALUE"""),-1.632537312905618)</f>
        <v>-1.632537313</v>
      </c>
      <c r="AA120" s="114">
        <f>IFERROR(__xludf.DUMMYFUNCTION("""COMPUTED_VALUE"""),0.5783935388359597)</f>
        <v>0.5783935388</v>
      </c>
      <c r="AB120" s="114">
        <f>IFERROR(__xludf.DUMMYFUNCTION("""COMPUTED_VALUE"""),-1.136364516308505)</f>
        <v>-1.136364516</v>
      </c>
      <c r="AC120" s="114">
        <f>IFERROR(__xludf.DUMMYFUNCTION("""COMPUTED_VALUE"""),-1.3731693571509025)</f>
        <v>-1.373169357</v>
      </c>
      <c r="AD120" s="114">
        <f>IFERROR(__xludf.DUMMYFUNCTION("""COMPUTED_VALUE"""),0.9254357586678634)</f>
        <v>0.9254357587</v>
      </c>
      <c r="AE120" s="114">
        <f>IFERROR(__xludf.DUMMYFUNCTION("""COMPUTED_VALUE"""),2.3303015699974314)</f>
        <v>2.33030157</v>
      </c>
      <c r="AF120" s="114">
        <f>IFERROR(__xludf.DUMMYFUNCTION("""COMPUTED_VALUE"""),-0.33998760915021853)</f>
        <v>-0.3399876092</v>
      </c>
      <c r="AG120" s="118">
        <f>IFERROR(__xludf.DUMMYFUNCTION("""COMPUTED_VALUE"""),0.0)</f>
        <v>0</v>
      </c>
      <c r="AH120" s="105"/>
      <c r="AI120" s="202"/>
      <c r="AJ120" s="63"/>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c r="BI120" s="105"/>
      <c r="BJ120" s="105"/>
      <c r="BK120" s="105"/>
      <c r="BL120" s="105"/>
      <c r="BM120" s="105"/>
      <c r="BN120" s="105"/>
      <c r="BO120" s="105"/>
      <c r="BP120" s="105"/>
      <c r="BQ120" s="105"/>
      <c r="BR120" s="105"/>
      <c r="BS120" s="105"/>
      <c r="BT120" s="105"/>
      <c r="BU120" s="105"/>
      <c r="BV120" s="105"/>
    </row>
    <row r="121">
      <c r="A121" s="109">
        <f>VLOOKUP($F121,UpdateHashtag!$V$3:$Y$32,COLUMN(B$9),0)</f>
        <v>3</v>
      </c>
      <c r="B121" s="91" t="str">
        <f>VLOOKUP($F121,UpdateHashtag!$V$3:$Y$32,COLUMN(#REF!),0)</f>
        <v>#REF!</v>
      </c>
      <c r="C121" s="91" t="str">
        <f>VLOOKUP($F121,UpdateHashtag!$V$3:$Y$32,COLUMN(#REF!),0)</f>
        <v>#REF!</v>
      </c>
      <c r="D121" s="110" t="str">
        <f t="shared" si="2"/>
        <v>#REF!</v>
      </c>
      <c r="E121" s="11"/>
      <c r="F121" s="94" t="str">
        <f>VLOOKUP(J121,UpdateBBM!$C$2:E1009,3,0)</f>
        <v>BKN</v>
      </c>
      <c r="G121" s="78">
        <v>108.0</v>
      </c>
      <c r="H121" s="111">
        <f>IFERROR(__xludf.DUMMYFUNCTION("""COMPUTED_VALUE"""),108.0)</f>
        <v>108</v>
      </c>
      <c r="I121" s="111"/>
      <c r="J121" s="112" t="str">
        <f>IFERROR(__xludf.DUMMYFUNCTION("""COMPUTED_VALUE"""),"Nicolas Claxton")</f>
        <v>Nicolas Claxton</v>
      </c>
      <c r="K121" s="111">
        <f>IFERROR(__xludf.DUMMYFUNCTION("""COMPUTED_VALUE"""),60.0)</f>
        <v>60</v>
      </c>
      <c r="L121" s="113" t="str">
        <f>IFERROR(__xludf.DUMMYFUNCTION("""COMPUTED_VALUE"""),"C")</f>
        <v>C</v>
      </c>
      <c r="M121" s="114">
        <f>IFERROR(__xludf.DUMMYFUNCTION("""COMPUTED_VALUE"""),-0.30004534849900955)</f>
        <v>-0.3000453485</v>
      </c>
      <c r="N121" s="114">
        <f>IFERROR(__xludf.DUMMYFUNCTION("""COMPUTED_VALUE"""),-0.44077512731452195)</f>
        <v>-0.4407751273</v>
      </c>
      <c r="O121" s="115">
        <f>IFERROR(__xludf.DUMMYFUNCTION("""COMPUTED_VALUE"""),-0.1407297788155124)</f>
        <v>-0.1407297788</v>
      </c>
      <c r="P121" s="116">
        <f>IFERROR(__xludf.DUMMYFUNCTION("""COMPUTED_VALUE"""),11.80933)</f>
        <v>11.80933</v>
      </c>
      <c r="Q121" s="116">
        <f>IFERROR(__xludf.DUMMYFUNCTION("""COMPUTED_VALUE"""),0.069333)</f>
        <v>0.069333</v>
      </c>
      <c r="R121" s="116">
        <f>IFERROR(__xludf.DUMMYFUNCTION("""COMPUTED_VALUE"""),7.593833)</f>
        <v>7.593833</v>
      </c>
      <c r="S121" s="117">
        <f>IFERROR(__xludf.DUMMYFUNCTION("""COMPUTED_VALUE"""),2.081333)</f>
        <v>2.081333</v>
      </c>
      <c r="T121" s="116">
        <f>IFERROR(__xludf.DUMMYFUNCTION("""COMPUTED_VALUE"""),0.7875)</f>
        <v>0.7875</v>
      </c>
      <c r="U121" s="116">
        <f>IFERROR(__xludf.DUMMYFUNCTION("""COMPUTED_VALUE"""),1.577833)</f>
        <v>1.577833</v>
      </c>
      <c r="V121" s="113">
        <f>IFERROR(__xludf.DUMMYFUNCTION("""COMPUTED_VALUE"""),0.588503)</f>
        <v>0.588503</v>
      </c>
      <c r="W121" s="113">
        <f>IFERROR(__xludf.DUMMYFUNCTION("""COMPUTED_VALUE"""),0.536003)</f>
        <v>0.536003</v>
      </c>
      <c r="X121" s="116">
        <f>IFERROR(__xludf.DUMMYFUNCTION("""COMPUTED_VALUE"""),1.181167)</f>
        <v>1.181167</v>
      </c>
      <c r="Y121" s="114">
        <f>IFERROR(__xludf.DUMMYFUNCTION("""COMPUTED_VALUE"""),-0.9412984360784161)</f>
        <v>-0.9412984361</v>
      </c>
      <c r="Z121" s="114">
        <f>IFERROR(__xludf.DUMMYFUNCTION("""COMPUTED_VALUE"""),-1.642129970629642)</f>
        <v>-1.642129971</v>
      </c>
      <c r="AA121" s="114">
        <f>IFERROR(__xludf.DUMMYFUNCTION("""COMPUTED_VALUE"""),0.5947904975627766)</f>
        <v>0.5947904976</v>
      </c>
      <c r="AB121" s="114">
        <f>IFERROR(__xludf.DUMMYFUNCTION("""COMPUTED_VALUE"""),-0.8576191213018747)</f>
        <v>-0.8576191213</v>
      </c>
      <c r="AC121" s="114">
        <f>IFERROR(__xludf.DUMMYFUNCTION("""COMPUTED_VALUE"""),-0.7852337463415119)</f>
        <v>-0.7852337463</v>
      </c>
      <c r="AD121" s="114">
        <f>IFERROR(__xludf.DUMMYFUNCTION("""COMPUTED_VALUE"""),1.5409497502917968)</f>
        <v>1.54094975</v>
      </c>
      <c r="AE121" s="114">
        <f>IFERROR(__xludf.DUMMYFUNCTION("""COMPUTED_VALUE"""),1.6497658991823496)</f>
        <v>1.649765899</v>
      </c>
      <c r="AF121" s="114">
        <f>IFERROR(__xludf.DUMMYFUNCTION("""COMPUTED_VALUE"""),-2.1556427878998283)</f>
        <v>-2.155642788</v>
      </c>
      <c r="AG121" s="118">
        <f>IFERROR(__xludf.DUMMYFUNCTION("""COMPUTED_VALUE"""),0.0)</f>
        <v>0</v>
      </c>
      <c r="AH121" s="105"/>
      <c r="AI121" s="202"/>
      <c r="AJ121" s="63"/>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c r="BI121" s="105"/>
      <c r="BJ121" s="105"/>
      <c r="BK121" s="105"/>
      <c r="BL121" s="105"/>
      <c r="BM121" s="105"/>
      <c r="BN121" s="105"/>
      <c r="BO121" s="105"/>
      <c r="BP121" s="105"/>
      <c r="BQ121" s="105"/>
      <c r="BR121" s="105"/>
      <c r="BS121" s="105"/>
      <c r="BT121" s="105"/>
      <c r="BU121" s="105"/>
      <c r="BV121" s="105"/>
    </row>
    <row r="122">
      <c r="A122" s="91" t="str">
        <f>VLOOKUP($F122,UpdateHashtag!$V$3:$Y$32,COLUMN(B$9),0)</f>
        <v>#N/A</v>
      </c>
      <c r="B122" s="91" t="str">
        <f>VLOOKUP($F122,UpdateHashtag!$V$3:$Y$32,COLUMN(#REF!),0)</f>
        <v>#REF!</v>
      </c>
      <c r="C122" s="91" t="str">
        <f>VLOOKUP($F122,UpdateHashtag!$V$3:$Y$32,COLUMN(#REF!),0)</f>
        <v>#REF!</v>
      </c>
      <c r="D122" s="110" t="str">
        <f t="shared" si="2"/>
        <v>#N/A</v>
      </c>
      <c r="E122" s="11"/>
      <c r="F122" s="94" t="str">
        <f>VLOOKUP(J122,UpdateBBM!$C$2:E1009,3,0)</f>
        <v>SAS</v>
      </c>
      <c r="G122" s="78">
        <v>109.0</v>
      </c>
      <c r="H122" s="111">
        <f>IFERROR(__xludf.DUMMYFUNCTION("""COMPUTED_VALUE"""),109.0)</f>
        <v>109</v>
      </c>
      <c r="I122" s="111"/>
      <c r="J122" s="112" t="str">
        <f>IFERROR(__xludf.DUMMYFUNCTION("""COMPUTED_VALUE"""),"Devin Vassell")</f>
        <v>Devin Vassell</v>
      </c>
      <c r="K122" s="111">
        <f>IFERROR(__xludf.DUMMYFUNCTION("""COMPUTED_VALUE"""),68.0)</f>
        <v>68</v>
      </c>
      <c r="L122" s="113" t="str">
        <f>IFERROR(__xludf.DUMMYFUNCTION("""COMPUTED_VALUE"""),"G,F")</f>
        <v>G,F</v>
      </c>
      <c r="M122" s="114">
        <f>IFERROR(__xludf.DUMMYFUNCTION("""COMPUTED_VALUE"""),-0.3302400081580321)</f>
        <v>-0.3302400082</v>
      </c>
      <c r="N122" s="114">
        <f>IFERROR(__xludf.DUMMYFUNCTION("""COMPUTED_VALUE"""),-0.47042050654505174)</f>
        <v>-0.4704205065</v>
      </c>
      <c r="O122" s="115">
        <f>IFERROR(__xludf.DUMMYFUNCTION("""COMPUTED_VALUE"""),-0.14018049838701963)</f>
        <v>-0.1401804984</v>
      </c>
      <c r="P122" s="116">
        <f>IFERROR(__xludf.DUMMYFUNCTION("""COMPUTED_VALUE"""),14.57382)</f>
        <v>14.57382</v>
      </c>
      <c r="Q122" s="116">
        <f>IFERROR(__xludf.DUMMYFUNCTION("""COMPUTED_VALUE"""),2.610735)</f>
        <v>2.610735</v>
      </c>
      <c r="R122" s="116">
        <f>IFERROR(__xludf.DUMMYFUNCTION("""COMPUTED_VALUE"""),4.005588)</f>
        <v>4.005588</v>
      </c>
      <c r="S122" s="117">
        <f>IFERROR(__xludf.DUMMYFUNCTION("""COMPUTED_VALUE"""),2.280147)</f>
        <v>2.280147</v>
      </c>
      <c r="T122" s="116">
        <f>IFERROR(__xludf.DUMMYFUNCTION("""COMPUTED_VALUE"""),1.270147)</f>
        <v>1.270147</v>
      </c>
      <c r="U122" s="116">
        <f>IFERROR(__xludf.DUMMYFUNCTION("""COMPUTED_VALUE"""),0.436912)</f>
        <v>0.436912</v>
      </c>
      <c r="V122" s="113">
        <f>IFERROR(__xludf.DUMMYFUNCTION("""COMPUTED_VALUE"""),0.454526)</f>
        <v>0.454526</v>
      </c>
      <c r="W122" s="113">
        <f>IFERROR(__xludf.DUMMYFUNCTION("""COMPUTED_VALUE"""),0.813953)</f>
        <v>0.813953</v>
      </c>
      <c r="X122" s="116">
        <f>IFERROR(__xludf.DUMMYFUNCTION("""COMPUTED_VALUE"""),1.183382)</f>
        <v>1.183382</v>
      </c>
      <c r="Y122" s="114">
        <f>IFERROR(__xludf.DUMMYFUNCTION("""COMPUTED_VALUE"""),-0.4562890897893373)</f>
        <v>-0.4562890898</v>
      </c>
      <c r="Z122" s="114">
        <f>IFERROR(__xludf.DUMMYFUNCTION("""COMPUTED_VALUE"""),0.8124410649271566)</f>
        <v>0.8124410649</v>
      </c>
      <c r="AA122" s="114">
        <f>IFERROR(__xludf.DUMMYFUNCTION("""COMPUTED_VALUE"""),-0.8597175533310775)</f>
        <v>-0.8597175533</v>
      </c>
      <c r="AB122" s="114">
        <f>IFERROR(__xludf.DUMMYFUNCTION("""COMPUTED_VALUE"""),-0.7604956000787925)</f>
        <v>-0.7604956001</v>
      </c>
      <c r="AC122" s="114">
        <f>IFERROR(__xludf.DUMMYFUNCTION("""COMPUTED_VALUE"""),0.6855026899282279)</f>
        <v>0.6855026899</v>
      </c>
      <c r="AD122" s="114">
        <f>IFERROR(__xludf.DUMMYFUNCTION("""COMPUTED_VALUE"""),-0.5332357570141795)</f>
        <v>-0.533235757</v>
      </c>
      <c r="AE122" s="114">
        <f>IFERROR(__xludf.DUMMYFUNCTION("""COMPUTED_VALUE"""),-0.5551201346867928)</f>
        <v>-0.5551201347</v>
      </c>
      <c r="AF122" s="114">
        <f>IFERROR(__xludf.DUMMYFUNCTION("""COMPUTED_VALUE"""),0.3367763201686658)</f>
        <v>0.3367763202</v>
      </c>
      <c r="AG122" s="118">
        <f>IFERROR(__xludf.DUMMYFUNCTION("""COMPUTED_VALUE"""),0.0)</f>
        <v>0</v>
      </c>
      <c r="AH122" s="105"/>
      <c r="AI122" s="202"/>
      <c r="AJ122" s="63"/>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c r="BI122" s="105"/>
      <c r="BJ122" s="105"/>
      <c r="BK122" s="105"/>
      <c r="BL122" s="105"/>
      <c r="BM122" s="105"/>
      <c r="BN122" s="105"/>
      <c r="BO122" s="105"/>
      <c r="BP122" s="105"/>
      <c r="BQ122" s="105"/>
      <c r="BR122" s="105"/>
      <c r="BS122" s="105"/>
      <c r="BT122" s="105"/>
      <c r="BU122" s="105"/>
      <c r="BV122" s="105"/>
    </row>
    <row r="123">
      <c r="A123" s="109">
        <f>VLOOKUP($F123,UpdateHashtag!$V$3:$Y$32,COLUMN(B$9),0)</f>
        <v>3</v>
      </c>
      <c r="B123" s="91" t="str">
        <f>VLOOKUP($F123,UpdateHashtag!$V$3:$Y$32,COLUMN(#REF!),0)</f>
        <v>#REF!</v>
      </c>
      <c r="C123" s="91" t="str">
        <f>VLOOKUP($F123,UpdateHashtag!$V$3:$Y$32,COLUMN(#REF!),0)</f>
        <v>#REF!</v>
      </c>
      <c r="D123" s="110" t="str">
        <f t="shared" si="2"/>
        <v>#REF!</v>
      </c>
      <c r="E123" s="11"/>
      <c r="F123" s="94" t="str">
        <f>VLOOKUP(J123,UpdateBBM!$C$2:E1009,3,0)</f>
        <v>IND</v>
      </c>
      <c r="G123" s="78">
        <v>110.0</v>
      </c>
      <c r="H123" s="111">
        <f>IFERROR(__xludf.DUMMYFUNCTION("""COMPUTED_VALUE"""),110.0)</f>
        <v>110</v>
      </c>
      <c r="I123" s="111"/>
      <c r="J123" s="112" t="str">
        <f>IFERROR(__xludf.DUMMYFUNCTION("""COMPUTED_VALUE"""),"Andrew Nembhard")</f>
        <v>Andrew Nembhard</v>
      </c>
      <c r="K123" s="111">
        <f>IFERROR(__xludf.DUMMYFUNCTION("""COMPUTED_VALUE"""),68.0)</f>
        <v>68</v>
      </c>
      <c r="L123" s="113" t="str">
        <f>IFERROR(__xludf.DUMMYFUNCTION("""COMPUTED_VALUE"""),"G")</f>
        <v>G</v>
      </c>
      <c r="M123" s="114">
        <f>IFERROR(__xludf.DUMMYFUNCTION("""COMPUTED_VALUE"""),-0.3601854650386096)</f>
        <v>-0.360185465</v>
      </c>
      <c r="N123" s="114">
        <f>IFERROR(__xludf.DUMMYFUNCTION("""COMPUTED_VALUE"""),-0.24279262363965515)</f>
        <v>-0.2427926236</v>
      </c>
      <c r="O123" s="115">
        <f>IFERROR(__xludf.DUMMYFUNCTION("""COMPUTED_VALUE"""),0.11739284139895445)</f>
        <v>0.1173928414</v>
      </c>
      <c r="P123" s="116">
        <f>IFERROR(__xludf.DUMMYFUNCTION("""COMPUTED_VALUE"""),13.39735)</f>
        <v>13.39735</v>
      </c>
      <c r="Q123" s="116">
        <f>IFERROR(__xludf.DUMMYFUNCTION("""COMPUTED_VALUE"""),1.446912)</f>
        <v>1.446912</v>
      </c>
      <c r="R123" s="116">
        <f>IFERROR(__xludf.DUMMYFUNCTION("""COMPUTED_VALUE"""),3.501324)</f>
        <v>3.501324</v>
      </c>
      <c r="S123" s="117">
        <f>IFERROR(__xludf.DUMMYFUNCTION("""COMPUTED_VALUE"""),6.666029)</f>
        <v>6.666029</v>
      </c>
      <c r="T123" s="116">
        <f>IFERROR(__xludf.DUMMYFUNCTION("""COMPUTED_VALUE"""),1.212059)</f>
        <v>1.212059</v>
      </c>
      <c r="U123" s="116">
        <f>IFERROR(__xludf.DUMMYFUNCTION("""COMPUTED_VALUE"""),0.199706)</f>
        <v>0.199706</v>
      </c>
      <c r="V123" s="113">
        <f>IFERROR(__xludf.DUMMYFUNCTION("""COMPUTED_VALUE"""),0.446404)</f>
        <v>0.446404</v>
      </c>
      <c r="W123" s="113">
        <f>IFERROR(__xludf.DUMMYFUNCTION("""COMPUTED_VALUE"""),0.823015)</f>
        <v>0.823015</v>
      </c>
      <c r="X123" s="116">
        <f>IFERROR(__xludf.DUMMYFUNCTION("""COMPUTED_VALUE"""),2.222059)</f>
        <v>2.222059</v>
      </c>
      <c r="Y123" s="114">
        <f>IFERROR(__xludf.DUMMYFUNCTION("""COMPUTED_VALUE"""),-0.6626920594613971)</f>
        <v>-0.6626920595</v>
      </c>
      <c r="Z123" s="114">
        <f>IFERROR(__xludf.DUMMYFUNCTION("""COMPUTED_VALUE"""),-0.31161810647304694)</f>
        <v>-0.3116181065</v>
      </c>
      <c r="AA123" s="114">
        <f>IFERROR(__xludf.DUMMYFUNCTION("""COMPUTED_VALUE"""),-1.0641227842380918)</f>
        <v>-1.064122784</v>
      </c>
      <c r="AB123" s="114">
        <f>IFERROR(__xludf.DUMMYFUNCTION("""COMPUTED_VALUE"""),1.3820713394170872)</f>
        <v>1.382071339</v>
      </c>
      <c r="AC123" s="114">
        <f>IFERROR(__xludf.DUMMYFUNCTION("""COMPUTED_VALUE"""),0.5084951914665437)</f>
        <v>0.5084951915</v>
      </c>
      <c r="AD123" s="114">
        <f>IFERROR(__xludf.DUMMYFUNCTION("""COMPUTED_VALUE"""),-0.964474420730617)</f>
        <v>-0.9644744207</v>
      </c>
      <c r="AE123" s="114">
        <f>IFERROR(__xludf.DUMMYFUNCTION("""COMPUTED_VALUE"""),-0.6541157167915155)</f>
        <v>-0.6541157168</v>
      </c>
      <c r="AF123" s="114">
        <f>IFERROR(__xludf.DUMMYFUNCTION("""COMPUTED_VALUE"""),0.4595411489332901)</f>
        <v>0.4595411489</v>
      </c>
      <c r="AG123" s="118">
        <f>IFERROR(__xludf.DUMMYFUNCTION("""COMPUTED_VALUE"""),0.0)</f>
        <v>0</v>
      </c>
      <c r="AH123" s="105"/>
      <c r="AI123" s="202"/>
      <c r="AJ123" s="63"/>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105"/>
      <c r="BM123" s="105"/>
      <c r="BN123" s="105"/>
      <c r="BO123" s="105"/>
      <c r="BP123" s="105"/>
      <c r="BQ123" s="105"/>
      <c r="BR123" s="105"/>
      <c r="BS123" s="105"/>
      <c r="BT123" s="105"/>
      <c r="BU123" s="105"/>
      <c r="BV123" s="105"/>
    </row>
    <row r="124">
      <c r="A124" s="109">
        <f>VLOOKUP($F124,UpdateHashtag!$V$3:$Y$32,COLUMN(B$9),0)</f>
        <v>4</v>
      </c>
      <c r="B124" s="91" t="str">
        <f>VLOOKUP($F124,UpdateHashtag!$V$3:$Y$32,COLUMN(#REF!),0)</f>
        <v>#REF!</v>
      </c>
      <c r="C124" s="91" t="str">
        <f>VLOOKUP($F124,UpdateHashtag!$V$3:$Y$32,COLUMN(#REF!),0)</f>
        <v>#REF!</v>
      </c>
      <c r="D124" s="110" t="str">
        <f t="shared" si="2"/>
        <v>#REF!</v>
      </c>
      <c r="E124" s="11"/>
      <c r="F124" s="94" t="str">
        <f>VLOOKUP(J124,UpdateBBM!$C$2:E1009,3,0)</f>
        <v>LAC</v>
      </c>
      <c r="G124" s="78">
        <v>111.0</v>
      </c>
      <c r="H124" s="111">
        <f>IFERROR(__xludf.DUMMYFUNCTION("""COMPUTED_VALUE"""),111.0)</f>
        <v>111</v>
      </c>
      <c r="I124" s="111"/>
      <c r="J124" s="112" t="str">
        <f>IFERROR(__xludf.DUMMYFUNCTION("""COMPUTED_VALUE"""),"John Collins")</f>
        <v>John Collins</v>
      </c>
      <c r="K124" s="111">
        <f>IFERROR(__xludf.DUMMYFUNCTION("""COMPUTED_VALUE"""),73.0)</f>
        <v>73</v>
      </c>
      <c r="L124" s="113" t="str">
        <f>IFERROR(__xludf.DUMMYFUNCTION("""COMPUTED_VALUE"""),"F")</f>
        <v>F</v>
      </c>
      <c r="M124" s="114">
        <f>IFERROR(__xludf.DUMMYFUNCTION("""COMPUTED_VALUE"""),-0.4486383451120568)</f>
        <v>-0.4486383451</v>
      </c>
      <c r="N124" s="114">
        <f>IFERROR(__xludf.DUMMYFUNCTION("""COMPUTED_VALUE"""),-0.5189657478871086)</f>
        <v>-0.5189657479</v>
      </c>
      <c r="O124" s="115">
        <f>IFERROR(__xludf.DUMMYFUNCTION("""COMPUTED_VALUE"""),-0.07032740277505178)</f>
        <v>-0.07032740278</v>
      </c>
      <c r="P124" s="116">
        <f>IFERROR(__xludf.DUMMYFUNCTION("""COMPUTED_VALUE"""),15.18315)</f>
        <v>15.18315</v>
      </c>
      <c r="Q124" s="116">
        <f>IFERROR(__xludf.DUMMYFUNCTION("""COMPUTED_VALUE"""),1.094247)</f>
        <v>1.094247</v>
      </c>
      <c r="R124" s="116">
        <f>IFERROR(__xludf.DUMMYFUNCTION("""COMPUTED_VALUE"""),6.446438)</f>
        <v>6.446438</v>
      </c>
      <c r="S124" s="117">
        <f>IFERROR(__xludf.DUMMYFUNCTION("""COMPUTED_VALUE"""),1.230685)</f>
        <v>1.230685</v>
      </c>
      <c r="T124" s="116">
        <f>IFERROR(__xludf.DUMMYFUNCTION("""COMPUTED_VALUE"""),0.644658)</f>
        <v>0.644658</v>
      </c>
      <c r="U124" s="116">
        <f>IFERROR(__xludf.DUMMYFUNCTION("""COMPUTED_VALUE"""),0.761918)</f>
        <v>0.761918</v>
      </c>
      <c r="V124" s="113">
        <f>IFERROR(__xludf.DUMMYFUNCTION("""COMPUTED_VALUE"""),0.557461)</f>
        <v>0.557461</v>
      </c>
      <c r="W124" s="113">
        <f>IFERROR(__xludf.DUMMYFUNCTION("""COMPUTED_VALUE"""),0.823992)</f>
        <v>0.823992</v>
      </c>
      <c r="X124" s="116">
        <f>IFERROR(__xludf.DUMMYFUNCTION("""COMPUTED_VALUE"""),1.465068)</f>
        <v>1.465068</v>
      </c>
      <c r="Y124" s="114">
        <f>IFERROR(__xludf.DUMMYFUNCTION("""COMPUTED_VALUE"""),-0.34938664305437916)</f>
        <v>-0.3493866431</v>
      </c>
      <c r="Z124" s="114">
        <f>IFERROR(__xludf.DUMMYFUNCTION("""COMPUTED_VALUE"""),-0.6522337565176437)</f>
        <v>-0.6522337565</v>
      </c>
      <c r="AA124" s="114">
        <f>IFERROR(__xludf.DUMMYFUNCTION("""COMPUTED_VALUE"""),0.12968979650826265)</f>
        <v>0.1296897965</v>
      </c>
      <c r="AB124" s="114">
        <f>IFERROR(__xludf.DUMMYFUNCTION("""COMPUTED_VALUE"""),-1.2731730012166307)</f>
        <v>-1.273173001</v>
      </c>
      <c r="AC124" s="114">
        <f>IFERROR(__xludf.DUMMYFUNCTION("""COMPUTED_VALUE"""),-1.2205061794647722)</f>
        <v>-1.220506179</v>
      </c>
      <c r="AD124" s="114">
        <f>IFERROR(__xludf.DUMMYFUNCTION("""COMPUTED_VALUE"""),0.05762262405469912)</f>
        <v>0.05762262405</v>
      </c>
      <c r="AE124" s="114">
        <f>IFERROR(__xludf.DUMMYFUNCTION("""COMPUTED_VALUE"""),1.0429151210847107)</f>
        <v>1.042915121</v>
      </c>
      <c r="AF124" s="114">
        <f>IFERROR(__xludf.DUMMYFUNCTION("""COMPUTED_VALUE"""),0.47293328950201396)</f>
        <v>0.4729332895</v>
      </c>
      <c r="AG124" s="118">
        <f>IFERROR(__xludf.DUMMYFUNCTION("""COMPUTED_VALUE"""),0.0)</f>
        <v>0</v>
      </c>
      <c r="AH124" s="105"/>
      <c r="AI124" s="202"/>
      <c r="AJ124" s="63"/>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c r="BI124" s="105"/>
      <c r="BJ124" s="105"/>
      <c r="BK124" s="105"/>
      <c r="BL124" s="105"/>
      <c r="BM124" s="105"/>
      <c r="BN124" s="105"/>
      <c r="BO124" s="105"/>
      <c r="BP124" s="105"/>
      <c r="BQ124" s="105"/>
      <c r="BR124" s="105"/>
      <c r="BS124" s="105"/>
      <c r="BT124" s="105"/>
      <c r="BU124" s="105"/>
      <c r="BV124" s="105"/>
    </row>
    <row r="125">
      <c r="A125" s="109">
        <f>VLOOKUP($F125,UpdateHashtag!$V$3:$Y$32,COLUMN(B$9),0)</f>
        <v>4</v>
      </c>
      <c r="B125" s="91" t="str">
        <f>VLOOKUP($F125,UpdateHashtag!$V$3:$Y$32,COLUMN(#REF!),0)</f>
        <v>#REF!</v>
      </c>
      <c r="C125" s="91" t="str">
        <f>VLOOKUP($F125,UpdateHashtag!$V$3:$Y$32,COLUMN(#REF!),0)</f>
        <v>#REF!</v>
      </c>
      <c r="D125" s="110" t="str">
        <f t="shared" si="2"/>
        <v>#REF!</v>
      </c>
      <c r="E125" s="11"/>
      <c r="F125" s="94" t="str">
        <f>VLOOKUP(J125,UpdateBBM!$C$2:E1009,3,0)</f>
        <v>MIL</v>
      </c>
      <c r="G125" s="78">
        <v>112.0</v>
      </c>
      <c r="H125" s="111">
        <f>IFERROR(__xludf.DUMMYFUNCTION("""COMPUTED_VALUE"""),112.0)</f>
        <v>112</v>
      </c>
      <c r="I125" s="111"/>
      <c r="J125" s="112" t="str">
        <f>IFERROR(__xludf.DUMMYFUNCTION("""COMPUTED_VALUE"""),"Kevin Porter Jr.")</f>
        <v>Kevin Porter Jr.</v>
      </c>
      <c r="K125" s="111">
        <f>IFERROR(__xludf.DUMMYFUNCTION("""COMPUTED_VALUE"""),73.0)</f>
        <v>73</v>
      </c>
      <c r="L125" s="113" t="str">
        <f>IFERROR(__xludf.DUMMYFUNCTION("""COMPUTED_VALUE"""),"G")</f>
        <v>G</v>
      </c>
      <c r="M125" s="114">
        <f>IFERROR(__xludf.DUMMYFUNCTION("""COMPUTED_VALUE"""),-0.45294271954256127)</f>
        <v>-0.4529427195</v>
      </c>
      <c r="N125" s="114">
        <f>IFERROR(__xludf.DUMMYFUNCTION("""COMPUTED_VALUE"""),-0.2145152537742807)</f>
        <v>-0.2145152538</v>
      </c>
      <c r="O125" s="115">
        <f>IFERROR(__xludf.DUMMYFUNCTION("""COMPUTED_VALUE"""),0.23842746576828056)</f>
        <v>0.2384274658</v>
      </c>
      <c r="P125" s="116">
        <f>IFERROR(__xludf.DUMMYFUNCTION("""COMPUTED_VALUE"""),15.31274)</f>
        <v>15.31274</v>
      </c>
      <c r="Q125" s="116">
        <f>IFERROR(__xludf.DUMMYFUNCTION("""COMPUTED_VALUE"""),1.126712)</f>
        <v>1.126712</v>
      </c>
      <c r="R125" s="116">
        <f>IFERROR(__xludf.DUMMYFUNCTION("""COMPUTED_VALUE"""),5.184658)</f>
        <v>5.184658</v>
      </c>
      <c r="S125" s="117">
        <f>IFERROR(__xludf.DUMMYFUNCTION("""COMPUTED_VALUE"""),5.656027)</f>
        <v>5.656027</v>
      </c>
      <c r="T125" s="116">
        <f>IFERROR(__xludf.DUMMYFUNCTION("""COMPUTED_VALUE"""),1.178356)</f>
        <v>1.178356</v>
      </c>
      <c r="U125" s="116">
        <f>IFERROR(__xludf.DUMMYFUNCTION("""COMPUTED_VALUE"""),0.171644)</f>
        <v>0.171644</v>
      </c>
      <c r="V125" s="113">
        <f>IFERROR(__xludf.DUMMYFUNCTION("""COMPUTED_VALUE"""),0.461765)</f>
        <v>0.461765</v>
      </c>
      <c r="W125" s="113">
        <f>IFERROR(__xludf.DUMMYFUNCTION("""COMPUTED_VALUE"""),0.809987)</f>
        <v>0.809987</v>
      </c>
      <c r="X125" s="116">
        <f>IFERROR(__xludf.DUMMYFUNCTION("""COMPUTED_VALUE"""),2.710137)</f>
        <v>2.710137</v>
      </c>
      <c r="Y125" s="114">
        <f>IFERROR(__xludf.DUMMYFUNCTION("""COMPUTED_VALUE"""),-0.3266510349727432)</f>
        <v>-0.326651035</v>
      </c>
      <c r="Z125" s="114">
        <f>IFERROR(__xludf.DUMMYFUNCTION("""COMPUTED_VALUE"""),-0.6208779738947642)</f>
        <v>-0.6208779739</v>
      </c>
      <c r="AA125" s="114">
        <f>IFERROR(__xludf.DUMMYFUNCTION("""COMPUTED_VALUE"""),-0.3817772767982834)</f>
        <v>-0.3817772768</v>
      </c>
      <c r="AB125" s="114">
        <f>IFERROR(__xludf.DUMMYFUNCTION("""COMPUTED_VALUE"""),0.8886707203341484)</f>
        <v>0.8886707203</v>
      </c>
      <c r="AC125" s="114">
        <f>IFERROR(__xludf.DUMMYFUNCTION("""COMPUTED_VALUE"""),0.4057943974875091)</f>
        <v>0.4057943975</v>
      </c>
      <c r="AD125" s="114">
        <f>IFERROR(__xludf.DUMMYFUNCTION("""COMPUTED_VALUE"""),-1.015490918547749)</f>
        <v>-1.015490919</v>
      </c>
      <c r="AE125" s="114">
        <f>IFERROR(__xludf.DUMMYFUNCTION("""COMPUTED_VALUE"""),-0.4635466872007562)</f>
        <v>-0.4635466872</v>
      </c>
      <c r="AF125" s="114">
        <f>IFERROR(__xludf.DUMMYFUNCTION("""COMPUTED_VALUE"""),0.2838726012706088)</f>
        <v>0.2838726013</v>
      </c>
      <c r="AG125" s="118">
        <f>IFERROR(__xludf.DUMMYFUNCTION("""COMPUTED_VALUE"""),0.0)</f>
        <v>0</v>
      </c>
      <c r="AH125" s="105"/>
      <c r="AI125" s="202"/>
      <c r="AJ125" s="63"/>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c r="BI125" s="105"/>
      <c r="BJ125" s="105"/>
      <c r="BK125" s="105"/>
      <c r="BL125" s="105"/>
      <c r="BM125" s="105"/>
      <c r="BN125" s="105"/>
      <c r="BO125" s="105"/>
      <c r="BP125" s="105"/>
      <c r="BQ125" s="105"/>
      <c r="BR125" s="105"/>
      <c r="BS125" s="105"/>
      <c r="BT125" s="105"/>
      <c r="BU125" s="105"/>
      <c r="BV125" s="105"/>
    </row>
    <row r="126">
      <c r="A126" s="109">
        <f>VLOOKUP($F126,UpdateHashtag!$V$3:$Y$32,COLUMN(B$9),0)</f>
        <v>3</v>
      </c>
      <c r="B126" s="91" t="str">
        <f>VLOOKUP($F126,UpdateHashtag!$V$3:$Y$32,COLUMN(#REF!),0)</f>
        <v>#REF!</v>
      </c>
      <c r="C126" s="91" t="str">
        <f>VLOOKUP($F126,UpdateHashtag!$V$3:$Y$32,COLUMN(#REF!),0)</f>
        <v>#REF!</v>
      </c>
      <c r="D126" s="110" t="str">
        <f t="shared" si="2"/>
        <v>#REF!</v>
      </c>
      <c r="E126" s="11"/>
      <c r="F126" s="94" t="str">
        <f>VLOOKUP(J126,UpdateBBM!$C$2:E1009,3,0)</f>
        <v>IND</v>
      </c>
      <c r="G126" s="78">
        <v>113.0</v>
      </c>
      <c r="H126" s="111">
        <f>IFERROR(__xludf.DUMMYFUNCTION("""COMPUTED_VALUE"""),113.0)</f>
        <v>113</v>
      </c>
      <c r="I126" s="111"/>
      <c r="J126" s="112" t="str">
        <f>IFERROR(__xludf.DUMMYFUNCTION("""COMPUTED_VALUE"""),"Aaron Nesmith")</f>
        <v>Aaron Nesmith</v>
      </c>
      <c r="K126" s="111">
        <f>IFERROR(__xludf.DUMMYFUNCTION("""COMPUTED_VALUE"""),68.0)</f>
        <v>68</v>
      </c>
      <c r="L126" s="113" t="str">
        <f>IFERROR(__xludf.DUMMYFUNCTION("""COMPUTED_VALUE"""),"F")</f>
        <v>F</v>
      </c>
      <c r="M126" s="114">
        <f>IFERROR(__xludf.DUMMYFUNCTION("""COMPUTED_VALUE"""),-0.5495090323052391)</f>
        <v>-0.5495090323</v>
      </c>
      <c r="N126" s="114">
        <f>IFERROR(__xludf.DUMMYFUNCTION("""COMPUTED_VALUE"""),-0.6804995607601926)</f>
        <v>-0.6804995608</v>
      </c>
      <c r="O126" s="115">
        <f>IFERROR(__xludf.DUMMYFUNCTION("""COMPUTED_VALUE"""),-0.13099052845495351)</f>
        <v>-0.1309905285</v>
      </c>
      <c r="P126" s="116">
        <f>IFERROR(__xludf.DUMMYFUNCTION("""COMPUTED_VALUE"""),14.89471)</f>
        <v>14.89471</v>
      </c>
      <c r="Q126" s="116">
        <f>IFERROR(__xludf.DUMMYFUNCTION("""COMPUTED_VALUE"""),2.294412)</f>
        <v>2.294412</v>
      </c>
      <c r="R126" s="116">
        <f>IFERROR(__xludf.DUMMYFUNCTION("""COMPUTED_VALUE"""),4.454559)</f>
        <v>4.454559</v>
      </c>
      <c r="S126" s="117">
        <f>IFERROR(__xludf.DUMMYFUNCTION("""COMPUTED_VALUE"""),2.013676)</f>
        <v>2.013676</v>
      </c>
      <c r="T126" s="116">
        <f>IFERROR(__xludf.DUMMYFUNCTION("""COMPUTED_VALUE"""),0.976324)</f>
        <v>0.976324</v>
      </c>
      <c r="U126" s="116">
        <f>IFERROR(__xludf.DUMMYFUNCTION("""COMPUTED_VALUE"""),0.483088)</f>
        <v>0.483088</v>
      </c>
      <c r="V126" s="113">
        <f>IFERROR(__xludf.DUMMYFUNCTION("""COMPUTED_VALUE"""),0.47477)</f>
        <v>0.47477</v>
      </c>
      <c r="W126" s="113">
        <f>IFERROR(__xludf.DUMMYFUNCTION("""COMPUTED_VALUE"""),0.849994)</f>
        <v>0.849994</v>
      </c>
      <c r="X126" s="116">
        <f>IFERROR(__xludf.DUMMYFUNCTION("""COMPUTED_VALUE"""),1.220441)</f>
        <v>1.220441</v>
      </c>
      <c r="Y126" s="114">
        <f>IFERROR(__xludf.DUMMYFUNCTION("""COMPUTED_VALUE"""),-0.3999913100430902)</f>
        <v>-0.39999131</v>
      </c>
      <c r="Z126" s="114">
        <f>IFERROR(__xludf.DUMMYFUNCTION("""COMPUTED_VALUE"""),0.5069257337515167)</f>
        <v>0.5069257338</v>
      </c>
      <c r="AA126" s="114">
        <f>IFERROR(__xludf.DUMMYFUNCTION("""COMPUTED_VALUE"""),-0.6777255393749894)</f>
        <v>-0.6777255394</v>
      </c>
      <c r="AB126" s="114">
        <f>IFERROR(__xludf.DUMMYFUNCTION("""COMPUTED_VALUE"""),-0.8906705466310268)</f>
        <v>-0.8906705466</v>
      </c>
      <c r="AC126" s="114">
        <f>IFERROR(__xludf.DUMMYFUNCTION("""COMPUTED_VALUE"""),-0.20984358159958375)</f>
        <v>-0.2098435816</v>
      </c>
      <c r="AD126" s="114">
        <f>IFERROR(__xludf.DUMMYFUNCTION("""COMPUTED_VALUE"""),-0.44928814803392514)</f>
        <v>-0.449288148</v>
      </c>
      <c r="AE126" s="114">
        <f>IFERROR(__xludf.DUMMYFUNCTION("""COMPUTED_VALUE"""),-0.2911245861714244)</f>
        <v>-0.2911245862</v>
      </c>
      <c r="AF126" s="114">
        <f>IFERROR(__xludf.DUMMYFUNCTION("""COMPUTED_VALUE"""),0.8405478707113033)</f>
        <v>0.8405478707</v>
      </c>
      <c r="AG126" s="118">
        <f>IFERROR(__xludf.DUMMYFUNCTION("""COMPUTED_VALUE"""),0.0)</f>
        <v>0</v>
      </c>
      <c r="AH126" s="105"/>
      <c r="AI126" s="202"/>
      <c r="AJ126" s="63"/>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c r="BI126" s="105"/>
      <c r="BJ126" s="105"/>
      <c r="BK126" s="105"/>
      <c r="BL126" s="105"/>
      <c r="BM126" s="105"/>
      <c r="BN126" s="105"/>
      <c r="BO126" s="105"/>
      <c r="BP126" s="105"/>
      <c r="BQ126" s="105"/>
      <c r="BR126" s="105"/>
      <c r="BS126" s="105"/>
      <c r="BT126" s="105"/>
      <c r="BU126" s="105"/>
      <c r="BV126" s="105"/>
    </row>
    <row r="127">
      <c r="A127" s="91" t="str">
        <f>VLOOKUP($F127,UpdateHashtag!$V$3:$Y$32,COLUMN(B$9),0)</f>
        <v>#N/A</v>
      </c>
      <c r="B127" s="91" t="str">
        <f>VLOOKUP($F127,UpdateHashtag!$V$3:$Y$32,COLUMN(#REF!),0)</f>
        <v>#REF!</v>
      </c>
      <c r="C127" s="91" t="str">
        <f>VLOOKUP($F127,UpdateHashtag!$V$3:$Y$32,COLUMN(#REF!),0)</f>
        <v>#REF!</v>
      </c>
      <c r="D127" s="110" t="str">
        <f t="shared" si="2"/>
        <v>#N/A</v>
      </c>
      <c r="E127" s="11"/>
      <c r="F127" s="94" t="str">
        <f>VLOOKUP(J127,UpdateBBM!$C$2:E1009,3,0)</f>
        <v>GSW</v>
      </c>
      <c r="G127" s="78">
        <v>114.0</v>
      </c>
      <c r="H127" s="111">
        <f>IFERROR(__xludf.DUMMYFUNCTION("""COMPUTED_VALUE"""),114.0)</f>
        <v>114</v>
      </c>
      <c r="I127" s="111"/>
      <c r="J127" s="112" t="str">
        <f>IFERROR(__xludf.DUMMYFUNCTION("""COMPUTED_VALUE"""),"Draymond Green")</f>
        <v>Draymond Green</v>
      </c>
      <c r="K127" s="111">
        <f>IFERROR(__xludf.DUMMYFUNCTION("""COMPUTED_VALUE"""),68.0)</f>
        <v>68</v>
      </c>
      <c r="L127" s="113" t="str">
        <f>IFERROR(__xludf.DUMMYFUNCTION("""COMPUTED_VALUE"""),"F,C")</f>
        <v>F,C</v>
      </c>
      <c r="M127" s="114">
        <f>IFERROR(__xludf.DUMMYFUNCTION("""COMPUTED_VALUE"""),-0.5655191502269246)</f>
        <v>-0.5655191502</v>
      </c>
      <c r="N127" s="114">
        <f>IFERROR(__xludf.DUMMYFUNCTION("""COMPUTED_VALUE"""),-0.37460704533571243)</f>
        <v>-0.3746070453</v>
      </c>
      <c r="O127" s="115">
        <f>IFERROR(__xludf.DUMMYFUNCTION("""COMPUTED_VALUE"""),0.19091210489121213)</f>
        <v>0.1909121049</v>
      </c>
      <c r="P127" s="116">
        <f>IFERROR(__xludf.DUMMYFUNCTION("""COMPUTED_VALUE"""),8.763529)</f>
        <v>8.763529</v>
      </c>
      <c r="Q127" s="116">
        <f>IFERROR(__xludf.DUMMYFUNCTION("""COMPUTED_VALUE"""),1.165)</f>
        <v>1.165</v>
      </c>
      <c r="R127" s="116">
        <f>IFERROR(__xludf.DUMMYFUNCTION("""COMPUTED_VALUE"""),5.921471)</f>
        <v>5.921471</v>
      </c>
      <c r="S127" s="117">
        <f>IFERROR(__xludf.DUMMYFUNCTION("""COMPUTED_VALUE"""),5.921471)</f>
        <v>5.921471</v>
      </c>
      <c r="T127" s="116">
        <f>IFERROR(__xludf.DUMMYFUNCTION("""COMPUTED_VALUE"""),1.375735)</f>
        <v>1.375735</v>
      </c>
      <c r="U127" s="116">
        <f>IFERROR(__xludf.DUMMYFUNCTION("""COMPUTED_VALUE"""),0.837353)</f>
        <v>0.837353</v>
      </c>
      <c r="V127" s="113">
        <f>IFERROR(__xludf.DUMMYFUNCTION("""COMPUTED_VALUE"""),0.411559)</f>
        <v>0.411559</v>
      </c>
      <c r="W127" s="113">
        <f>IFERROR(__xludf.DUMMYFUNCTION("""COMPUTED_VALUE"""),0.708998)</f>
        <v>0.708998</v>
      </c>
      <c r="X127" s="116">
        <f>IFERROR(__xludf.DUMMYFUNCTION("""COMPUTED_VALUE"""),2.518529)</f>
        <v>2.518529</v>
      </c>
      <c r="Y127" s="114">
        <f>IFERROR(__xludf.DUMMYFUNCTION("""COMPUTED_VALUE"""),-1.4756617189756673)</f>
        <v>-1.475661719</v>
      </c>
      <c r="Z127" s="114">
        <f>IFERROR(__xludf.DUMMYFUNCTION("""COMPUTED_VALUE"""),-0.5838981431519699)</f>
        <v>-0.5838981432</v>
      </c>
      <c r="AA127" s="114">
        <f>IFERROR(__xludf.DUMMYFUNCTION("""COMPUTED_VALUE"""),-0.08310747010914865)</f>
        <v>-0.08310747011</v>
      </c>
      <c r="AB127" s="114">
        <f>IFERROR(__xludf.DUMMYFUNCTION("""COMPUTED_VALUE"""),1.0183439624978787)</f>
        <v>1.018343962</v>
      </c>
      <c r="AC127" s="114">
        <f>IFERROR(__xludf.DUMMYFUNCTION("""COMPUTED_VALUE"""),1.0072536152066391)</f>
        <v>1.007253615</v>
      </c>
      <c r="AD127" s="114">
        <f>IFERROR(__xludf.DUMMYFUNCTION("""COMPUTED_VALUE"""),0.19476286754537583)</f>
        <v>0.1947628675</v>
      </c>
      <c r="AE127" s="114">
        <f>IFERROR(__xludf.DUMMYFUNCTION("""COMPUTED_VALUE"""),-1.033851362291221)</f>
        <v>-1.033851362</v>
      </c>
      <c r="AF127" s="114">
        <f>IFERROR(__xludf.DUMMYFUNCTION("""COMPUTED_VALUE"""),-0.894110515033267)</f>
        <v>-0.894110515</v>
      </c>
      <c r="AG127" s="118">
        <f>IFERROR(__xludf.DUMMYFUNCTION("""COMPUTED_VALUE"""),0.0)</f>
        <v>0</v>
      </c>
      <c r="AH127" s="105"/>
      <c r="AI127" s="202"/>
      <c r="AJ127" s="63"/>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c r="BT127" s="105"/>
      <c r="BU127" s="105"/>
      <c r="BV127" s="105"/>
    </row>
    <row r="128">
      <c r="A128" s="109">
        <f>VLOOKUP($F128,UpdateHashtag!$V$3:$Y$32,COLUMN(B$9),0)</f>
        <v>3</v>
      </c>
      <c r="B128" s="91" t="str">
        <f>VLOOKUP($F128,UpdateHashtag!$V$3:$Y$32,COLUMN(#REF!),0)</f>
        <v>#REF!</v>
      </c>
      <c r="C128" s="91" t="str">
        <f>VLOOKUP($F128,UpdateHashtag!$V$3:$Y$32,COLUMN(#REF!),0)</f>
        <v>#REF!</v>
      </c>
      <c r="D128" s="110" t="str">
        <f t="shared" si="2"/>
        <v>#REF!</v>
      </c>
      <c r="E128" s="11"/>
      <c r="F128" s="94" t="str">
        <f>VLOOKUP(J128,UpdateBBM!$C$2:E1009,3,0)</f>
        <v>BOS</v>
      </c>
      <c r="G128" s="78">
        <v>115.0</v>
      </c>
      <c r="H128" s="111">
        <f>IFERROR(__xludf.DUMMYFUNCTION("""COMPUTED_VALUE"""),115.0)</f>
        <v>115</v>
      </c>
      <c r="I128" s="111"/>
      <c r="J128" s="112" t="str">
        <f>IFERROR(__xludf.DUMMYFUNCTION("""COMPUTED_VALUE"""),"Sam Hauser")</f>
        <v>Sam Hauser</v>
      </c>
      <c r="K128" s="111">
        <f>IFERROR(__xludf.DUMMYFUNCTION("""COMPUTED_VALUE"""),62.0)</f>
        <v>62</v>
      </c>
      <c r="L128" s="113" t="str">
        <f>IFERROR(__xludf.DUMMYFUNCTION("""COMPUTED_VALUE"""),"F")</f>
        <v>F</v>
      </c>
      <c r="M128" s="114">
        <f>IFERROR(__xludf.DUMMYFUNCTION("""COMPUTED_VALUE"""),-0.57255951805916)</f>
        <v>-0.5725595181</v>
      </c>
      <c r="N128" s="114">
        <f>IFERROR(__xludf.DUMMYFUNCTION("""COMPUTED_VALUE"""),-0.8625279213587775)</f>
        <v>-0.8625279214</v>
      </c>
      <c r="O128" s="115">
        <f>IFERROR(__xludf.DUMMYFUNCTION("""COMPUTED_VALUE"""),-0.2899684032996175)</f>
        <v>-0.2899684033</v>
      </c>
      <c r="P128" s="116">
        <f>IFERROR(__xludf.DUMMYFUNCTION("""COMPUTED_VALUE"""),11.94903)</f>
        <v>11.94903</v>
      </c>
      <c r="Q128" s="116">
        <f>IFERROR(__xludf.DUMMYFUNCTION("""COMPUTED_VALUE"""),3.13629)</f>
        <v>3.13629</v>
      </c>
      <c r="R128" s="116">
        <f>IFERROR(__xludf.DUMMYFUNCTION("""COMPUTED_VALUE"""),4.750806)</f>
        <v>4.750806</v>
      </c>
      <c r="S128" s="117">
        <f>IFERROR(__xludf.DUMMYFUNCTION("""COMPUTED_VALUE"""),1.680161)</f>
        <v>1.680161</v>
      </c>
      <c r="T128" s="116">
        <f>IFERROR(__xludf.DUMMYFUNCTION("""COMPUTED_VALUE"""),0.713387)</f>
        <v>0.713387</v>
      </c>
      <c r="U128" s="116">
        <f>IFERROR(__xludf.DUMMYFUNCTION("""COMPUTED_VALUE"""),0.285)</f>
        <v>0.285</v>
      </c>
      <c r="V128" s="113">
        <f>IFERROR(__xludf.DUMMYFUNCTION("""COMPUTED_VALUE"""),0.434489)</f>
        <v>0.434489</v>
      </c>
      <c r="W128" s="113">
        <f>IFERROR(__xludf.DUMMYFUNCTION("""COMPUTED_VALUE"""),0.918029)</f>
        <v>0.918029</v>
      </c>
      <c r="X128" s="116">
        <f>IFERROR(__xludf.DUMMYFUNCTION("""COMPUTED_VALUE"""),0.579355)</f>
        <v>0.579355</v>
      </c>
      <c r="Y128" s="114">
        <f>IFERROR(__xludf.DUMMYFUNCTION("""COMPUTED_VALUE"""),-0.9167891031900407)</f>
        <v>-0.9167891032</v>
      </c>
      <c r="Z128" s="114">
        <f>IFERROR(__xludf.DUMMYFUNCTION("""COMPUTED_VALUE"""),1.3200396583775642)</f>
        <v>1.320039658</v>
      </c>
      <c r="AA128" s="114">
        <f>IFERROR(__xludf.DUMMYFUNCTION("""COMPUTED_VALUE"""),-0.5576407495813293)</f>
        <v>-0.5576407496</v>
      </c>
      <c r="AB128" s="114">
        <f>IFERROR(__xludf.DUMMYFUNCTION("""COMPUTED_VALUE"""),-1.0535974591257014)</f>
        <v>-1.053597459</v>
      </c>
      <c r="AC128" s="114">
        <f>IFERROR(__xludf.DUMMYFUNCTION("""COMPUTED_VALUE"""),-1.0110731061661025)</f>
        <v>-1.011073106</v>
      </c>
      <c r="AD128" s="114">
        <f>IFERROR(__xludf.DUMMYFUNCTION("""COMPUTED_VALUE"""),-0.8094105918939525)</f>
        <v>-0.8094105919</v>
      </c>
      <c r="AE128" s="114">
        <f>IFERROR(__xludf.DUMMYFUNCTION("""COMPUTED_VALUE"""),-0.7921708241813314)</f>
        <v>-0.7921708242</v>
      </c>
      <c r="AF128" s="114">
        <f>IFERROR(__xludf.DUMMYFUNCTION("""COMPUTED_VALUE"""),1.9045167952764144)</f>
        <v>1.904516795</v>
      </c>
      <c r="AG128" s="118">
        <f>IFERROR(__xludf.DUMMYFUNCTION("""COMPUTED_VALUE"""),0.0)</f>
        <v>0</v>
      </c>
      <c r="AH128" s="105"/>
      <c r="AI128" s="202"/>
      <c r="AJ128" s="63"/>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c r="BI128" s="105"/>
      <c r="BJ128" s="105"/>
      <c r="BK128" s="105"/>
      <c r="BL128" s="105"/>
      <c r="BM128" s="105"/>
      <c r="BN128" s="105"/>
      <c r="BO128" s="105"/>
      <c r="BP128" s="105"/>
      <c r="BQ128" s="105"/>
      <c r="BR128" s="105"/>
      <c r="BS128" s="105"/>
      <c r="BT128" s="105"/>
      <c r="BU128" s="105"/>
      <c r="BV128" s="105"/>
    </row>
    <row r="129">
      <c r="A129" s="91" t="str">
        <f>VLOOKUP($F129,UpdateHashtag!$V$3:$Y$32,COLUMN(B$9),0)</f>
        <v>#N/A</v>
      </c>
      <c r="B129" s="91" t="str">
        <f>VLOOKUP($F129,UpdateHashtag!$V$3:$Y$32,COLUMN(#REF!),0)</f>
        <v>#REF!</v>
      </c>
      <c r="C129" s="91" t="str">
        <f>VLOOKUP($F129,UpdateHashtag!$V$3:$Y$32,COLUMN(#REF!),0)</f>
        <v>#REF!</v>
      </c>
      <c r="D129" s="110" t="str">
        <f t="shared" si="2"/>
        <v>#N/A</v>
      </c>
      <c r="E129" s="11"/>
      <c r="F129" s="94" t="str">
        <f>VLOOKUP(J129,UpdateBBM!$C$2:E1009,3,0)</f>
        <v>NYK</v>
      </c>
      <c r="G129" s="78">
        <v>116.0</v>
      </c>
      <c r="H129" s="111">
        <f>IFERROR(__xludf.DUMMYFUNCTION("""COMPUTED_VALUE"""),116.0)</f>
        <v>116</v>
      </c>
      <c r="I129" s="111"/>
      <c r="J129" s="112" t="str">
        <f>IFERROR(__xludf.DUMMYFUNCTION("""COMPUTED_VALUE"""),"Josh Hart")</f>
        <v>Josh Hart</v>
      </c>
      <c r="K129" s="111">
        <f>IFERROR(__xludf.DUMMYFUNCTION("""COMPUTED_VALUE"""),73.0)</f>
        <v>73</v>
      </c>
      <c r="L129" s="113" t="str">
        <f>IFERROR(__xludf.DUMMYFUNCTION("""COMPUTED_VALUE"""),"G,F")</f>
        <v>G,F</v>
      </c>
      <c r="M129" s="114">
        <f>IFERROR(__xludf.DUMMYFUNCTION("""COMPUTED_VALUE"""),-0.6256307036339623)</f>
        <v>-0.6256307036</v>
      </c>
      <c r="N129" s="114">
        <f>IFERROR(__xludf.DUMMYFUNCTION("""COMPUTED_VALUE"""),-0.6710579722756411)</f>
        <v>-0.6710579723</v>
      </c>
      <c r="O129" s="115">
        <f>IFERROR(__xludf.DUMMYFUNCTION("""COMPUTED_VALUE"""),-0.045427268641678786)</f>
        <v>-0.04542726864</v>
      </c>
      <c r="P129" s="116">
        <f>IFERROR(__xludf.DUMMYFUNCTION("""COMPUTED_VALUE"""),11.72712)</f>
        <v>11.72712</v>
      </c>
      <c r="Q129" s="116">
        <f>IFERROR(__xludf.DUMMYFUNCTION("""COMPUTED_VALUE"""),0.923288)</f>
        <v>0.923288</v>
      </c>
      <c r="R129" s="116">
        <f>IFERROR(__xludf.DUMMYFUNCTION("""COMPUTED_VALUE"""),7.486849)</f>
        <v>7.486849</v>
      </c>
      <c r="S129" s="117">
        <f>IFERROR(__xludf.DUMMYFUNCTION("""COMPUTED_VALUE"""),4.696301)</f>
        <v>4.696301</v>
      </c>
      <c r="T129" s="116">
        <f>IFERROR(__xludf.DUMMYFUNCTION("""COMPUTED_VALUE"""),1.225068)</f>
        <v>1.225068</v>
      </c>
      <c r="U129" s="116">
        <f>IFERROR(__xludf.DUMMYFUNCTION("""COMPUTED_VALUE"""),0.276027)</f>
        <v>0.276027</v>
      </c>
      <c r="V129" s="113">
        <f>IFERROR(__xludf.DUMMYFUNCTION("""COMPUTED_VALUE"""),0.49429)</f>
        <v>0.49429</v>
      </c>
      <c r="W129" s="113">
        <f>IFERROR(__xludf.DUMMYFUNCTION("""COMPUTED_VALUE"""),0.742975)</f>
        <v>0.742975</v>
      </c>
      <c r="X129" s="116">
        <f>IFERROR(__xludf.DUMMYFUNCTION("""COMPUTED_VALUE"""),1.565479)</f>
        <v>1.565479</v>
      </c>
      <c r="Y129" s="114">
        <f>IFERROR(__xludf.DUMMYFUNCTION("""COMPUTED_VALUE"""),-0.9557215732062136)</f>
        <v>-0.9557215732</v>
      </c>
      <c r="Z129" s="114">
        <f>IFERROR(__xludf.DUMMYFUNCTION("""COMPUTED_VALUE"""),-0.8173516755512145)</f>
        <v>-0.8173516756</v>
      </c>
      <c r="AA129" s="114">
        <f>IFERROR(__xludf.DUMMYFUNCTION("""COMPUTED_VALUE"""),0.5514241473506736)</f>
        <v>0.5514241474</v>
      </c>
      <c r="AB129" s="114">
        <f>IFERROR(__xludf.DUMMYFUNCTION("""COMPUTED_VALUE"""),0.4198306561065604)</f>
        <v>0.4198306561</v>
      </c>
      <c r="AC129" s="114">
        <f>IFERROR(__xludf.DUMMYFUNCTION("""COMPUTED_VALUE"""),0.5481366070340975)</f>
        <v>0.548136607</v>
      </c>
      <c r="AD129" s="114">
        <f>IFERROR(__xludf.DUMMYFUNCTION("""COMPUTED_VALUE"""),-0.825723436128616)</f>
        <v>-0.8257234361</v>
      </c>
      <c r="AE129" s="114">
        <f>IFERROR(__xludf.DUMMYFUNCTION("""COMPUTED_VALUE"""),-0.013253796885365352)</f>
        <v>-0.01325379689</v>
      </c>
      <c r="AF129" s="114">
        <f>IFERROR(__xludf.DUMMYFUNCTION("""COMPUTED_VALUE"""),-0.5341204742017766)</f>
        <v>-0.5341204742</v>
      </c>
      <c r="AG129" s="118">
        <f>IFERROR(__xludf.DUMMYFUNCTION("""COMPUTED_VALUE"""),0.0)</f>
        <v>0</v>
      </c>
      <c r="AH129" s="105"/>
      <c r="AI129" s="202"/>
      <c r="AJ129" s="63"/>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c r="BI129" s="105"/>
      <c r="BJ129" s="105"/>
      <c r="BK129" s="105"/>
      <c r="BL129" s="105"/>
      <c r="BM129" s="105"/>
      <c r="BN129" s="105"/>
      <c r="BO129" s="105"/>
      <c r="BP129" s="105"/>
      <c r="BQ129" s="105"/>
      <c r="BR129" s="105"/>
      <c r="BS129" s="105"/>
      <c r="BT129" s="105"/>
      <c r="BU129" s="105"/>
      <c r="BV129" s="105"/>
    </row>
    <row r="130">
      <c r="A130" s="109">
        <f>VLOOKUP($F130,UpdateHashtag!$V$3:$Y$32,COLUMN(B$9),0)</f>
        <v>3</v>
      </c>
      <c r="B130" s="91" t="str">
        <f>VLOOKUP($F130,UpdateHashtag!$V$3:$Y$32,COLUMN(#REF!),0)</f>
        <v>#REF!</v>
      </c>
      <c r="C130" s="91" t="str">
        <f>VLOOKUP($F130,UpdateHashtag!$V$3:$Y$32,COLUMN(#REF!),0)</f>
        <v>#REF!</v>
      </c>
      <c r="D130" s="110" t="str">
        <f t="shared" si="2"/>
        <v>#REF!</v>
      </c>
      <c r="E130" s="11"/>
      <c r="F130" s="94" t="str">
        <f>VLOOKUP(J130,UpdateBBM!$C$2:E1009,3,0)</f>
        <v>DEN</v>
      </c>
      <c r="G130" s="78">
        <v>117.0</v>
      </c>
      <c r="H130" s="111">
        <f>IFERROR(__xludf.DUMMYFUNCTION("""COMPUTED_VALUE"""),117.0)</f>
        <v>117</v>
      </c>
      <c r="I130" s="111"/>
      <c r="J130" s="112" t="str">
        <f>IFERROR(__xludf.DUMMYFUNCTION("""COMPUTED_VALUE"""),"Aaron Gordon")</f>
        <v>Aaron Gordon</v>
      </c>
      <c r="K130" s="111">
        <f>IFERROR(__xludf.DUMMYFUNCTION("""COMPUTED_VALUE"""),68.0)</f>
        <v>68</v>
      </c>
      <c r="L130" s="113" t="str">
        <f>IFERROR(__xludf.DUMMYFUNCTION("""COMPUTED_VALUE"""),"F")</f>
        <v>F</v>
      </c>
      <c r="M130" s="114">
        <f>IFERROR(__xludf.DUMMYFUNCTION("""COMPUTED_VALUE"""),-0.6673581306520562)</f>
        <v>-0.6673581307</v>
      </c>
      <c r="N130" s="114">
        <f>IFERROR(__xludf.DUMMYFUNCTION("""COMPUTED_VALUE"""),-0.7037871195518386)</f>
        <v>-0.7037871196</v>
      </c>
      <c r="O130" s="115">
        <f>IFERROR(__xludf.DUMMYFUNCTION("""COMPUTED_VALUE"""),-0.03642898889978241)</f>
        <v>-0.0364289889</v>
      </c>
      <c r="P130" s="116">
        <f>IFERROR(__xludf.DUMMYFUNCTION("""COMPUTED_VALUE"""),15.89221)</f>
        <v>15.89221</v>
      </c>
      <c r="Q130" s="116">
        <f>IFERROR(__xludf.DUMMYFUNCTION("""COMPUTED_VALUE"""),1.287059)</f>
        <v>1.287059</v>
      </c>
      <c r="R130" s="116">
        <f>IFERROR(__xludf.DUMMYFUNCTION("""COMPUTED_VALUE"""),6.06)</f>
        <v>6.06</v>
      </c>
      <c r="S130" s="117">
        <f>IFERROR(__xludf.DUMMYFUNCTION("""COMPUTED_VALUE"""),3.913382)</f>
        <v>3.913382</v>
      </c>
      <c r="T130" s="116">
        <f>IFERROR(__xludf.DUMMYFUNCTION("""COMPUTED_VALUE"""),0.547059)</f>
        <v>0.547059</v>
      </c>
      <c r="U130" s="116">
        <f>IFERROR(__xludf.DUMMYFUNCTION("""COMPUTED_VALUE"""),0.333235)</f>
        <v>0.333235</v>
      </c>
      <c r="V130" s="113">
        <f>IFERROR(__xludf.DUMMYFUNCTION("""COMPUTED_VALUE"""),0.530243)</f>
        <v>0.530243</v>
      </c>
      <c r="W130" s="113">
        <f>IFERROR(__xludf.DUMMYFUNCTION("""COMPUTED_VALUE"""),0.79901)</f>
        <v>0.79901</v>
      </c>
      <c r="X130" s="116">
        <f>IFERROR(__xludf.DUMMYFUNCTION("""COMPUTED_VALUE"""),1.601765)</f>
        <v>1.601765</v>
      </c>
      <c r="Y130" s="114">
        <f>IFERROR(__xludf.DUMMYFUNCTION("""COMPUTED_VALUE"""),-0.2249873046303897)</f>
        <v>-0.2249873046</v>
      </c>
      <c r="Z130" s="114">
        <f>IFERROR(__xludf.DUMMYFUNCTION("""COMPUTED_VALUE"""),-0.4660094793242767)</f>
        <v>-0.4660094793</v>
      </c>
      <c r="AA130" s="114">
        <f>IFERROR(__xludf.DUMMYFUNCTION("""COMPUTED_VALUE"""),-0.026954240387579015)</f>
        <v>-0.02695424039</v>
      </c>
      <c r="AB130" s="114">
        <f>IFERROR(__xludf.DUMMYFUNCTION("""COMPUTED_VALUE"""),0.037363374564746255)</f>
        <v>0.03736337456</v>
      </c>
      <c r="AC130" s="114">
        <f>IFERROR(__xludf.DUMMYFUNCTION("""COMPUTED_VALUE"""),-1.5179127839676292)</f>
        <v>-1.517912784</v>
      </c>
      <c r="AD130" s="114">
        <f>IFERROR(__xludf.DUMMYFUNCTION("""COMPUTED_VALUE"""),-0.7217197369224831)</f>
        <v>-0.7217197369</v>
      </c>
      <c r="AE130" s="114">
        <f>IFERROR(__xludf.DUMMYFUNCTION("""COMPUTED_VALUE"""),0.5584557777984566)</f>
        <v>0.5584557778</v>
      </c>
      <c r="AF130" s="114">
        <f>IFERROR(__xludf.DUMMYFUNCTION("""COMPUTED_VALUE"""),0.14006448934968732)</f>
        <v>0.1400644893</v>
      </c>
      <c r="AG130" s="118">
        <f>IFERROR(__xludf.DUMMYFUNCTION("""COMPUTED_VALUE"""),0.0)</f>
        <v>0</v>
      </c>
      <c r="AH130" s="105"/>
      <c r="AI130" s="202"/>
      <c r="AJ130" s="63"/>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c r="BI130" s="105"/>
      <c r="BJ130" s="105"/>
      <c r="BK130" s="105"/>
      <c r="BL130" s="105"/>
      <c r="BM130" s="105"/>
      <c r="BN130" s="105"/>
      <c r="BO130" s="105"/>
      <c r="BP130" s="105"/>
      <c r="BQ130" s="105"/>
      <c r="BR130" s="105"/>
      <c r="BS130" s="105"/>
      <c r="BT130" s="105"/>
      <c r="BU130" s="105"/>
      <c r="BV130" s="105"/>
    </row>
    <row r="131">
      <c r="A131" s="109">
        <f>VLOOKUP($F131,UpdateHashtag!$V$3:$Y$32,COLUMN(B$9),0)</f>
        <v>4</v>
      </c>
      <c r="B131" s="91" t="str">
        <f>VLOOKUP($F131,UpdateHashtag!$V$3:$Y$32,COLUMN(#REF!),0)</f>
        <v>#REF!</v>
      </c>
      <c r="C131" s="91" t="str">
        <f>VLOOKUP($F131,UpdateHashtag!$V$3:$Y$32,COLUMN(#REF!),0)</f>
        <v>#REF!</v>
      </c>
      <c r="D131" s="110" t="str">
        <f t="shared" si="2"/>
        <v>#REF!</v>
      </c>
      <c r="E131" s="11"/>
      <c r="F131" s="94" t="str">
        <f>VLOOKUP(J131,UpdateBBM!$C$2:E1009,3,0)</f>
        <v>POR</v>
      </c>
      <c r="G131" s="78">
        <v>118.0</v>
      </c>
      <c r="H131" s="111">
        <f>IFERROR(__xludf.DUMMYFUNCTION("""COMPUTED_VALUE"""),118.0)</f>
        <v>118</v>
      </c>
      <c r="I131" s="111"/>
      <c r="J131" s="112" t="str">
        <f>IFERROR(__xludf.DUMMYFUNCTION("""COMPUTED_VALUE"""),"Scoot Henderson")</f>
        <v>Scoot Henderson</v>
      </c>
      <c r="K131" s="111">
        <f>IFERROR(__xludf.DUMMYFUNCTION("""COMPUTED_VALUE"""),51.0)</f>
        <v>51</v>
      </c>
      <c r="L131" s="113" t="str">
        <f>IFERROR(__xludf.DUMMYFUNCTION("""COMPUTED_VALUE"""),"G")</f>
        <v>G</v>
      </c>
      <c r="M131" s="114">
        <f>IFERROR(__xludf.DUMMYFUNCTION("""COMPUTED_VALUE"""),-0.6834697754528432)</f>
        <v>-0.6834697755</v>
      </c>
      <c r="N131" s="114">
        <f>IFERROR(__xludf.DUMMYFUNCTION("""COMPUTED_VALUE"""),-0.29828053076243943)</f>
        <v>-0.2982805308</v>
      </c>
      <c r="O131" s="115">
        <f>IFERROR(__xludf.DUMMYFUNCTION("""COMPUTED_VALUE"""),0.3851892446904037)</f>
        <v>0.3851892447</v>
      </c>
      <c r="P131" s="116">
        <f>IFERROR(__xludf.DUMMYFUNCTION("""COMPUTED_VALUE"""),16.64647)</f>
        <v>16.64647</v>
      </c>
      <c r="Q131" s="116">
        <f>IFERROR(__xludf.DUMMYFUNCTION("""COMPUTED_VALUE"""),2.28902)</f>
        <v>2.28902</v>
      </c>
      <c r="R131" s="116">
        <f>IFERROR(__xludf.DUMMYFUNCTION("""COMPUTED_VALUE"""),3.491373)</f>
        <v>3.491373</v>
      </c>
      <c r="S131" s="117">
        <f>IFERROR(__xludf.DUMMYFUNCTION("""COMPUTED_VALUE"""),6.531176)</f>
        <v>6.531176</v>
      </c>
      <c r="T131" s="116">
        <f>IFERROR(__xludf.DUMMYFUNCTION("""COMPUTED_VALUE"""),0.988039)</f>
        <v>0.988039</v>
      </c>
      <c r="U131" s="116">
        <f>IFERROR(__xludf.DUMMYFUNCTION("""COMPUTED_VALUE"""),0.193529)</f>
        <v>0.193529</v>
      </c>
      <c r="V131" s="113">
        <f>IFERROR(__xludf.DUMMYFUNCTION("""COMPUTED_VALUE"""),0.433899)</f>
        <v>0.433899</v>
      </c>
      <c r="W131" s="113">
        <f>IFERROR(__xludf.DUMMYFUNCTION("""COMPUTED_VALUE"""),0.782023)</f>
        <v>0.782023</v>
      </c>
      <c r="X131" s="116">
        <f>IFERROR(__xludf.DUMMYFUNCTION("""COMPUTED_VALUE"""),3.301961)</f>
        <v>3.301961</v>
      </c>
      <c r="Y131" s="114">
        <f>IFERROR(__xludf.DUMMYFUNCTION("""COMPUTED_VALUE"""),-0.09265796014659679)</f>
        <v>-0.09265796015</v>
      </c>
      <c r="Z131" s="114">
        <f>IFERROR(__xludf.DUMMYFUNCTION("""COMPUTED_VALUE"""),0.5017179598441529)</f>
        <v>0.5017179598</v>
      </c>
      <c r="AA131" s="114">
        <f>IFERROR(__xludf.DUMMYFUNCTION("""COMPUTED_VALUE"""),-1.0681564579739835)</f>
        <v>-1.068156458</v>
      </c>
      <c r="AB131" s="114">
        <f>IFERROR(__xludf.DUMMYFUNCTION("""COMPUTED_VALUE"""),1.3161936939419383)</f>
        <v>1.316193694</v>
      </c>
      <c r="AC131" s="114">
        <f>IFERROR(__xludf.DUMMYFUNCTION("""COMPUTED_VALUE"""),-0.1741452817015215)</f>
        <v>-0.1741452817</v>
      </c>
      <c r="AD131" s="114">
        <f>IFERROR(__xludf.DUMMYFUNCTION("""COMPUTED_VALUE"""),-0.9757041587042617)</f>
        <v>-0.9757041587</v>
      </c>
      <c r="AE131" s="114">
        <f>IFERROR(__xludf.DUMMYFUNCTION("""COMPUTED_VALUE"""),-0.798785324059024)</f>
        <v>-0.7987853241</v>
      </c>
      <c r="AF131" s="114">
        <f>IFERROR(__xludf.DUMMYFUNCTION("""COMPUTED_VALUE"""),-0.07489945993712661)</f>
        <v>-0.07489945994</v>
      </c>
      <c r="AG131" s="118">
        <f>IFERROR(__xludf.DUMMYFUNCTION("""COMPUTED_VALUE"""),0.0)</f>
        <v>0</v>
      </c>
      <c r="AH131" s="105"/>
      <c r="AI131" s="202"/>
      <c r="AJ131" s="63"/>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c r="BI131" s="105"/>
      <c r="BJ131" s="105"/>
      <c r="BK131" s="105"/>
      <c r="BL131" s="105"/>
      <c r="BM131" s="105"/>
      <c r="BN131" s="105"/>
      <c r="BO131" s="105"/>
      <c r="BP131" s="105"/>
      <c r="BQ131" s="105"/>
      <c r="BR131" s="105"/>
      <c r="BS131" s="105"/>
      <c r="BT131" s="105"/>
      <c r="BU131" s="105"/>
      <c r="BV131" s="105"/>
    </row>
    <row r="132">
      <c r="A132" s="91" t="str">
        <f>VLOOKUP($F132,UpdateHashtag!$V$3:$Y$32,COLUMN(B$9),0)</f>
        <v>#N/A</v>
      </c>
      <c r="B132" s="91" t="str">
        <f>VLOOKUP($F132,UpdateHashtag!$V$3:$Y$32,COLUMN(#REF!),0)</f>
        <v>#REF!</v>
      </c>
      <c r="C132" s="91" t="str">
        <f>VLOOKUP($F132,UpdateHashtag!$V$3:$Y$32,COLUMN(#REF!),0)</f>
        <v>#REF!</v>
      </c>
      <c r="D132" s="110" t="str">
        <f t="shared" si="2"/>
        <v>#N/A</v>
      </c>
      <c r="E132" s="11"/>
      <c r="F132" s="94" t="str">
        <f>VLOOKUP(J132,UpdateBBM!$C$2:E1009,3,0)</f>
        <v>GSW</v>
      </c>
      <c r="G132" s="78">
        <v>119.0</v>
      </c>
      <c r="H132" s="111">
        <f>IFERROR(__xludf.DUMMYFUNCTION("""COMPUTED_VALUE"""),119.0)</f>
        <v>119</v>
      </c>
      <c r="I132" s="111"/>
      <c r="J132" s="112" t="str">
        <f>IFERROR(__xludf.DUMMYFUNCTION("""COMPUTED_VALUE"""),"Brandin Podziemski")</f>
        <v>Brandin Podziemski</v>
      </c>
      <c r="K132" s="111">
        <f>IFERROR(__xludf.DUMMYFUNCTION("""COMPUTED_VALUE"""),68.0)</f>
        <v>68</v>
      </c>
      <c r="L132" s="113" t="str">
        <f>IFERROR(__xludf.DUMMYFUNCTION("""COMPUTED_VALUE"""),"G,F")</f>
        <v>G,F</v>
      </c>
      <c r="M132" s="114">
        <f>IFERROR(__xludf.DUMMYFUNCTION("""COMPUTED_VALUE"""),-0.7085231882513672)</f>
        <v>-0.7085231883</v>
      </c>
      <c r="N132" s="114">
        <f>IFERROR(__xludf.DUMMYFUNCTION("""COMPUTED_VALUE"""),-0.8317094709432931)</f>
        <v>-0.8317094709</v>
      </c>
      <c r="O132" s="115">
        <f>IFERROR(__xludf.DUMMYFUNCTION("""COMPUTED_VALUE"""),-0.12318628269192589)</f>
        <v>-0.1231862827</v>
      </c>
      <c r="P132" s="116">
        <f>IFERROR(__xludf.DUMMYFUNCTION("""COMPUTED_VALUE"""),14.70971)</f>
        <v>14.70971</v>
      </c>
      <c r="Q132" s="116">
        <f>IFERROR(__xludf.DUMMYFUNCTION("""COMPUTED_VALUE"""),2.332647)</f>
        <v>2.332647</v>
      </c>
      <c r="R132" s="116">
        <f>IFERROR(__xludf.DUMMYFUNCTION("""COMPUTED_VALUE"""),5.502794)</f>
        <v>5.502794</v>
      </c>
      <c r="S132" s="117">
        <f>IFERROR(__xludf.DUMMYFUNCTION("""COMPUTED_VALUE"""),3.469118)</f>
        <v>3.469118</v>
      </c>
      <c r="T132" s="116">
        <f>IFERROR(__xludf.DUMMYFUNCTION("""COMPUTED_VALUE"""),1.143235)</f>
        <v>1.143235</v>
      </c>
      <c r="U132" s="116">
        <f>IFERROR(__xludf.DUMMYFUNCTION("""COMPUTED_VALUE"""),0.178676)</f>
        <v>0.178676</v>
      </c>
      <c r="V132" s="113">
        <f>IFERROR(__xludf.DUMMYFUNCTION("""COMPUTED_VALUE"""),0.451894)</f>
        <v>0.451894</v>
      </c>
      <c r="W132" s="113">
        <f>IFERROR(__xludf.DUMMYFUNCTION("""COMPUTED_VALUE"""),0.769976)</f>
        <v>0.769976</v>
      </c>
      <c r="X132" s="116">
        <f>IFERROR(__xludf.DUMMYFUNCTION("""COMPUTED_VALUE"""),1.251912)</f>
        <v>1.251912</v>
      </c>
      <c r="Y132" s="114">
        <f>IFERROR(__xludf.DUMMYFUNCTION("""COMPUTED_VALUE"""),-0.4324481932524633)</f>
        <v>-0.4324481933</v>
      </c>
      <c r="Z132" s="114">
        <f>IFERROR(__xludf.DUMMYFUNCTION("""COMPUTED_VALUE"""),0.5438543753220022)</f>
        <v>0.5438543753</v>
      </c>
      <c r="AA132" s="114">
        <f>IFERROR(__xludf.DUMMYFUNCTION("""COMPUTED_VALUE"""),-0.25281970191720166)</f>
        <v>-0.2528197019</v>
      </c>
      <c r="AB132" s="114">
        <f>IFERROR(__xludf.DUMMYFUNCTION("""COMPUTED_VALUE"""),-0.17966602996738604)</f>
        <v>-0.17966603</v>
      </c>
      <c r="AC132" s="114">
        <f>IFERROR(__xludf.DUMMYFUNCTION("""COMPUTED_VALUE"""),0.2987726313142407)</f>
        <v>0.2987726313</v>
      </c>
      <c r="AD132" s="114">
        <f>IFERROR(__xludf.DUMMYFUNCTION("""COMPUTED_VALUE"""),-1.0027067972217538)</f>
        <v>-1.002706797</v>
      </c>
      <c r="AE132" s="114">
        <f>IFERROR(__xludf.DUMMYFUNCTION("""COMPUTED_VALUE"""),-0.5876345218479537)</f>
        <v>-0.5876345218</v>
      </c>
      <c r="AF132" s="114">
        <f>IFERROR(__xludf.DUMMYFUNCTION("""COMPUTED_VALUE"""),-0.22176803059453118)</f>
        <v>-0.2217680306</v>
      </c>
      <c r="AG132" s="118">
        <f>IFERROR(__xludf.DUMMYFUNCTION("""COMPUTED_VALUE"""),0.0)</f>
        <v>0</v>
      </c>
      <c r="AH132" s="105"/>
      <c r="AI132" s="202"/>
      <c r="AJ132" s="63"/>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row>
    <row r="133">
      <c r="A133" s="109">
        <f>VLOOKUP($F133,UpdateHashtag!$V$3:$Y$32,COLUMN(B$9),0)</f>
        <v>3</v>
      </c>
      <c r="B133" s="91" t="str">
        <f>VLOOKUP($F133,UpdateHashtag!$V$3:$Y$32,COLUMN(#REF!),0)</f>
        <v>#REF!</v>
      </c>
      <c r="C133" s="91" t="str">
        <f>VLOOKUP($F133,UpdateHashtag!$V$3:$Y$32,COLUMN(#REF!),0)</f>
        <v>#REF!</v>
      </c>
      <c r="D133" s="110" t="str">
        <f t="shared" si="2"/>
        <v>#REF!</v>
      </c>
      <c r="E133" s="11"/>
      <c r="F133" s="94" t="str">
        <f>VLOOKUP(J133,UpdateBBM!$C$2:E1009,3,0)</f>
        <v>BKN</v>
      </c>
      <c r="G133" s="78">
        <v>120.0</v>
      </c>
      <c r="H133" s="111">
        <f>IFERROR(__xludf.DUMMYFUNCTION("""COMPUTED_VALUE"""),120.0)</f>
        <v>120</v>
      </c>
      <c r="I133" s="111"/>
      <c r="J133" s="112" t="str">
        <f>IFERROR(__xludf.DUMMYFUNCTION("""COMPUTED_VALUE"""),"Cam Thomas")</f>
        <v>Cam Thomas</v>
      </c>
      <c r="K133" s="111">
        <f>IFERROR(__xludf.DUMMYFUNCTION("""COMPUTED_VALUE"""),59.0)</f>
        <v>59</v>
      </c>
      <c r="L133" s="113" t="str">
        <f>IFERROR(__xludf.DUMMYFUNCTION("""COMPUTED_VALUE"""),"G,F")</f>
        <v>G,F</v>
      </c>
      <c r="M133" s="114">
        <f>IFERROR(__xludf.DUMMYFUNCTION("""COMPUTED_VALUE"""),-0.7176325748252386)</f>
        <v>-0.7176325748</v>
      </c>
      <c r="N133" s="114">
        <f>IFERROR(__xludf.DUMMYFUNCTION("""COMPUTED_VALUE"""),-0.6447567423119711)</f>
        <v>-0.6447567423</v>
      </c>
      <c r="O133" s="115">
        <f>IFERROR(__xludf.DUMMYFUNCTION("""COMPUTED_VALUE"""),0.07287583251326746)</f>
        <v>0.07287583251</v>
      </c>
      <c r="P133" s="116">
        <f>IFERROR(__xludf.DUMMYFUNCTION("""COMPUTED_VALUE"""),22.24847)</f>
        <v>22.24847</v>
      </c>
      <c r="Q133" s="116">
        <f>IFERROR(__xludf.DUMMYFUNCTION("""COMPUTED_VALUE"""),2.430339)</f>
        <v>2.430339</v>
      </c>
      <c r="R133" s="116">
        <f>IFERROR(__xludf.DUMMYFUNCTION("""COMPUTED_VALUE"""),2.974915)</f>
        <v>2.974915</v>
      </c>
      <c r="S133" s="117">
        <f>IFERROR(__xludf.DUMMYFUNCTION("""COMPUTED_VALUE"""),3.61661)</f>
        <v>3.61661</v>
      </c>
      <c r="T133" s="116">
        <f>IFERROR(__xludf.DUMMYFUNCTION("""COMPUTED_VALUE"""),0.582881)</f>
        <v>0.582881</v>
      </c>
      <c r="U133" s="116">
        <f>IFERROR(__xludf.DUMMYFUNCTION("""COMPUTED_VALUE"""),0.11678)</f>
        <v>0.11678</v>
      </c>
      <c r="V133" s="113">
        <f>IFERROR(__xludf.DUMMYFUNCTION("""COMPUTED_VALUE"""),0.425829)</f>
        <v>0.425829</v>
      </c>
      <c r="W133" s="113">
        <f>IFERROR(__xludf.DUMMYFUNCTION("""COMPUTED_VALUE"""),0.874996)</f>
        <v>0.874996</v>
      </c>
      <c r="X133" s="116">
        <f>IFERROR(__xludf.DUMMYFUNCTION("""COMPUTED_VALUE"""),2.042542)</f>
        <v>2.042542</v>
      </c>
      <c r="Y133" s="114">
        <f>IFERROR(__xludf.DUMMYFUNCTION("""COMPUTED_VALUE"""),0.8901715519556063)</f>
        <v>0.890171552</v>
      </c>
      <c r="Z133" s="114">
        <f>IFERROR(__xludf.DUMMYFUNCTION("""COMPUTED_VALUE"""),0.6382085757222594)</f>
        <v>0.6382085757</v>
      </c>
      <c r="AA133" s="114">
        <f>IFERROR(__xludf.DUMMYFUNCTION("""COMPUTED_VALUE"""),-1.2775045707557298)</f>
        <v>-1.277504571</v>
      </c>
      <c r="AB133" s="114">
        <f>IFERROR(__xludf.DUMMYFUNCTION("""COMPUTED_VALUE"""),-0.10761404976360339)</f>
        <v>-0.1076140498</v>
      </c>
      <c r="AC133" s="114">
        <f>IFERROR(__xludf.DUMMYFUNCTION("""COMPUTED_VALUE"""),-1.4087549095375493)</f>
        <v>-1.40875491</v>
      </c>
      <c r="AD133" s="114">
        <f>IFERROR(__xludf.DUMMYFUNCTION("""COMPUTED_VALUE"""),-1.1152332439785502)</f>
        <v>-1.115233244</v>
      </c>
      <c r="AE133" s="114">
        <f>IFERROR(__xludf.DUMMYFUNCTION("""COMPUTED_VALUE"""),-0.8871588614243292)</f>
        <v>-0.8871588614</v>
      </c>
      <c r="AF133" s="114">
        <f>IFERROR(__xludf.DUMMYFUNCTION("""COMPUTED_VALUE"""),1.2143738559323751)</f>
        <v>1.214373856</v>
      </c>
      <c r="AG133" s="118">
        <f>IFERROR(__xludf.DUMMYFUNCTION("""COMPUTED_VALUE"""),0.0)</f>
        <v>0</v>
      </c>
      <c r="AH133" s="105"/>
      <c r="AI133" s="202"/>
      <c r="AJ133" s="63"/>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c r="BI133" s="105"/>
      <c r="BJ133" s="105"/>
      <c r="BK133" s="105"/>
      <c r="BL133" s="105"/>
      <c r="BM133" s="105"/>
      <c r="BN133" s="105"/>
      <c r="BO133" s="105"/>
      <c r="BP133" s="105"/>
      <c r="BQ133" s="105"/>
      <c r="BR133" s="105"/>
      <c r="BS133" s="105"/>
      <c r="BT133" s="105"/>
      <c r="BU133" s="105"/>
      <c r="BV133" s="105"/>
    </row>
    <row r="134">
      <c r="A134" s="109">
        <f>VLOOKUP($F134,UpdateHashtag!$V$3:$Y$32,COLUMN(B$9),0)</f>
        <v>3</v>
      </c>
      <c r="B134" s="91" t="str">
        <f>VLOOKUP($F134,UpdateHashtag!$V$3:$Y$32,COLUMN(#REF!),0)</f>
        <v>#REF!</v>
      </c>
      <c r="C134" s="91" t="str">
        <f>VLOOKUP($F134,UpdateHashtag!$V$3:$Y$32,COLUMN(#REF!),0)</f>
        <v>#REF!</v>
      </c>
      <c r="D134" s="110" t="str">
        <f t="shared" si="2"/>
        <v>#REF!</v>
      </c>
      <c r="E134" s="11"/>
      <c r="F134" s="94" t="str">
        <f>VLOOKUP(J134,UpdateBBM!$C$2:E1009,3,0)</f>
        <v>DEN</v>
      </c>
      <c r="G134" s="78">
        <v>121.0</v>
      </c>
      <c r="H134" s="111">
        <f>IFERROR(__xludf.DUMMYFUNCTION("""COMPUTED_VALUE"""),121.0)</f>
        <v>121</v>
      </c>
      <c r="I134" s="111"/>
      <c r="J134" s="112" t="str">
        <f>IFERROR(__xludf.DUMMYFUNCTION("""COMPUTED_VALUE"""),"Christian Braun")</f>
        <v>Christian Braun</v>
      </c>
      <c r="K134" s="111">
        <f>IFERROR(__xludf.DUMMYFUNCTION("""COMPUTED_VALUE"""),73.0)</f>
        <v>73</v>
      </c>
      <c r="L134" s="113" t="str">
        <f>IFERROR(__xludf.DUMMYFUNCTION("""COMPUTED_VALUE"""),"G,F")</f>
        <v>G,F</v>
      </c>
      <c r="M134" s="114">
        <f>IFERROR(__xludf.DUMMYFUNCTION("""COMPUTED_VALUE"""),-0.7527649282496073)</f>
        <v>-0.7527649282</v>
      </c>
      <c r="N134" s="114">
        <f>IFERROR(__xludf.DUMMYFUNCTION("""COMPUTED_VALUE"""),-0.9502424428192983)</f>
        <v>-0.9502424428</v>
      </c>
      <c r="O134" s="115">
        <f>IFERROR(__xludf.DUMMYFUNCTION("""COMPUTED_VALUE"""),-0.19747751456969098)</f>
        <v>-0.1974775146</v>
      </c>
      <c r="P134" s="116">
        <f>IFERROR(__xludf.DUMMYFUNCTION("""COMPUTED_VALUE"""),14.0874)</f>
        <v>14.0874</v>
      </c>
      <c r="Q134" s="116">
        <f>IFERROR(__xludf.DUMMYFUNCTION("""COMPUTED_VALUE"""),1.074247)</f>
        <v>1.074247</v>
      </c>
      <c r="R134" s="116">
        <f>IFERROR(__xludf.DUMMYFUNCTION("""COMPUTED_VALUE"""),5.05)</f>
        <v>5.05</v>
      </c>
      <c r="S134" s="117">
        <f>IFERROR(__xludf.DUMMYFUNCTION("""COMPUTED_VALUE"""),3.164658)</f>
        <v>3.164658</v>
      </c>
      <c r="T134" s="116">
        <f>IFERROR(__xludf.DUMMYFUNCTION("""COMPUTED_VALUE"""),0.875342)</f>
        <v>0.875342</v>
      </c>
      <c r="U134" s="116">
        <f>IFERROR(__xludf.DUMMYFUNCTION("""COMPUTED_VALUE"""),0.340685)</f>
        <v>0.340685</v>
      </c>
      <c r="V134" s="113">
        <f>IFERROR(__xludf.DUMMYFUNCTION("""COMPUTED_VALUE"""),0.551526)</f>
        <v>0.551526</v>
      </c>
      <c r="W134" s="113">
        <f>IFERROR(__xludf.DUMMYFUNCTION("""COMPUTED_VALUE"""),0.833993)</f>
        <v>0.833993</v>
      </c>
      <c r="X134" s="116">
        <f>IFERROR(__xludf.DUMMYFUNCTION("""COMPUTED_VALUE"""),0.952329)</f>
        <v>0.952329</v>
      </c>
      <c r="Y134" s="114">
        <f>IFERROR(__xludf.DUMMYFUNCTION("""COMPUTED_VALUE"""),-0.5416278850904356)</f>
        <v>-0.5416278851</v>
      </c>
      <c r="Z134" s="114">
        <f>IFERROR(__xludf.DUMMYFUNCTION("""COMPUTED_VALUE"""),-0.6715504253135037)</f>
        <v>-0.6715504253</v>
      </c>
      <c r="AA134" s="114">
        <f>IFERROR(__xludf.DUMMYFUNCTION("""COMPUTED_VALUE"""),-0.43636138271002145)</f>
        <v>-0.4363613827</v>
      </c>
      <c r="AB134" s="114">
        <f>IFERROR(__xludf.DUMMYFUNCTION("""COMPUTED_VALUE"""),-0.3283991537493106)</f>
        <v>-0.3283991537</v>
      </c>
      <c r="AC134" s="114">
        <f>IFERROR(__xludf.DUMMYFUNCTION("""COMPUTED_VALUE"""),-0.5175589653218299)</f>
        <v>-0.5175589653</v>
      </c>
      <c r="AD134" s="114">
        <f>IFERROR(__xludf.DUMMYFUNCTION("""COMPUTED_VALUE"""),-0.7081756948464503)</f>
        <v>-0.7081756948</v>
      </c>
      <c r="AE134" s="114">
        <f>IFERROR(__xludf.DUMMYFUNCTION("""COMPUTED_VALUE"""),0.9334822466296846)</f>
        <v>0.9334822466</v>
      </c>
      <c r="AF134" s="114">
        <f>IFERROR(__xludf.DUMMYFUNCTION("""COMPUTED_VALUE"""),0.6117731227361183)</f>
        <v>0.6117731227</v>
      </c>
      <c r="AG134" s="118">
        <f>IFERROR(__xludf.DUMMYFUNCTION("""COMPUTED_VALUE"""),0.0)</f>
        <v>0</v>
      </c>
      <c r="AH134" s="105"/>
      <c r="AI134" s="202"/>
      <c r="AJ134" s="63"/>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5"/>
    </row>
    <row r="135">
      <c r="A135" s="109">
        <f>VLOOKUP($F135,UpdateHashtag!$V$3:$Y$32,COLUMN(B$9),0)</f>
        <v>3</v>
      </c>
      <c r="B135" s="91" t="str">
        <f>VLOOKUP($F135,UpdateHashtag!$V$3:$Y$32,COLUMN(#REF!),0)</f>
        <v>#REF!</v>
      </c>
      <c r="C135" s="91" t="str">
        <f>VLOOKUP($F135,UpdateHashtag!$V$3:$Y$32,COLUMN(#REF!),0)</f>
        <v>#REF!</v>
      </c>
      <c r="D135" s="110" t="str">
        <f t="shared" si="2"/>
        <v>#REF!</v>
      </c>
      <c r="E135" s="11"/>
      <c r="F135" s="94" t="str">
        <f>VLOOKUP(J135,UpdateBBM!$C$2:E1009,3,0)</f>
        <v>WAS</v>
      </c>
      <c r="G135" s="78">
        <v>122.0</v>
      </c>
      <c r="H135" s="111">
        <f>IFERROR(__xludf.DUMMYFUNCTION("""COMPUTED_VALUE"""),122.0)</f>
        <v>122</v>
      </c>
      <c r="I135" s="111"/>
      <c r="J135" s="112" t="str">
        <f>IFERROR(__xludf.DUMMYFUNCTION("""COMPUTED_VALUE"""),"C.J. McCollum")</f>
        <v>C.J. McCollum</v>
      </c>
      <c r="K135" s="111">
        <f>IFERROR(__xludf.DUMMYFUNCTION("""COMPUTED_VALUE"""),57.0)</f>
        <v>57</v>
      </c>
      <c r="L135" s="113" t="str">
        <f>IFERROR(__xludf.DUMMYFUNCTION("""COMPUTED_VALUE"""),"G")</f>
        <v>G</v>
      </c>
      <c r="M135" s="114">
        <f>IFERROR(__xludf.DUMMYFUNCTION("""COMPUTED_VALUE"""),-0.7772649150466553)</f>
        <v>-0.777264915</v>
      </c>
      <c r="N135" s="114">
        <f>IFERROR(__xludf.DUMMYFUNCTION("""COMPUTED_VALUE"""),-0.6202269217815062)</f>
        <v>-0.6202269218</v>
      </c>
      <c r="O135" s="115">
        <f>IFERROR(__xludf.DUMMYFUNCTION("""COMPUTED_VALUE"""),0.1570379932651491)</f>
        <v>0.1570379933</v>
      </c>
      <c r="P135" s="116">
        <f>IFERROR(__xludf.DUMMYFUNCTION("""COMPUTED_VALUE"""),19.45105)</f>
        <v>19.45105</v>
      </c>
      <c r="Q135" s="116">
        <f>IFERROR(__xludf.DUMMYFUNCTION("""COMPUTED_VALUE"""),2.874386)</f>
        <v>2.874386</v>
      </c>
      <c r="R135" s="116">
        <f>IFERROR(__xludf.DUMMYFUNCTION("""COMPUTED_VALUE"""),3.862456)</f>
        <v>3.862456</v>
      </c>
      <c r="S135" s="117">
        <f>IFERROR(__xludf.DUMMYFUNCTION("""COMPUTED_VALUE"""),4.699298)</f>
        <v>4.699298</v>
      </c>
      <c r="T135" s="116">
        <f>IFERROR(__xludf.DUMMYFUNCTION("""COMPUTED_VALUE"""),0.694737)</f>
        <v>0.694737</v>
      </c>
      <c r="U135" s="116">
        <f>IFERROR(__xludf.DUMMYFUNCTION("""COMPUTED_VALUE"""),0.391228)</f>
        <v>0.391228</v>
      </c>
      <c r="V135" s="113">
        <f>IFERROR(__xludf.DUMMYFUNCTION("""COMPUTED_VALUE"""),0.438001)</f>
        <v>0.438001</v>
      </c>
      <c r="W135" s="113">
        <f>IFERROR(__xludf.DUMMYFUNCTION("""COMPUTED_VALUE"""),0.76999)</f>
        <v>0.76999</v>
      </c>
      <c r="X135" s="116">
        <f>IFERROR(__xludf.DUMMYFUNCTION("""COMPUTED_VALUE"""),2.38193)</f>
        <v>2.38193</v>
      </c>
      <c r="Y135" s="114">
        <f>IFERROR(__xludf.DUMMYFUNCTION("""COMPUTED_VALUE"""),0.3993848804552587)</f>
        <v>0.3993848805</v>
      </c>
      <c r="Z135" s="114">
        <f>IFERROR(__xludf.DUMMYFUNCTION("""COMPUTED_VALUE"""),1.0670840171620195)</f>
        <v>1.067084017</v>
      </c>
      <c r="AA135" s="114">
        <f>IFERROR(__xludf.DUMMYFUNCTION("""COMPUTED_VALUE"""),-0.9177366257022617)</f>
        <v>-0.9177366257</v>
      </c>
      <c r="AB135" s="114">
        <f>IFERROR(__xludf.DUMMYFUNCTION("""COMPUTED_VALUE"""),0.42129473405431833)</f>
        <v>0.4212947341</v>
      </c>
      <c r="AC135" s="114">
        <f>IFERROR(__xludf.DUMMYFUNCTION("""COMPUTED_VALUE"""),-1.0679039463794067)</f>
        <v>-1.067903946</v>
      </c>
      <c r="AD135" s="114">
        <f>IFERROR(__xludf.DUMMYFUNCTION("""COMPUTED_VALUE"""),-0.6162889138197482)</f>
        <v>-0.6162889138</v>
      </c>
      <c r="AE135" s="114">
        <f>IFERROR(__xludf.DUMMYFUNCTION("""COMPUTED_VALUE"""),-0.7523649732404392)</f>
        <v>-0.7523649732</v>
      </c>
      <c r="AF135" s="114">
        <f>IFERROR(__xludf.DUMMYFUNCTION("""COMPUTED_VALUE"""),-0.22160004069065375)</f>
        <v>-0.2216000407</v>
      </c>
      <c r="AG135" s="118">
        <f>IFERROR(__xludf.DUMMYFUNCTION("""COMPUTED_VALUE"""),0.0)</f>
        <v>0</v>
      </c>
      <c r="AH135" s="105"/>
      <c r="AI135" s="202"/>
      <c r="AJ135" s="63"/>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c r="BI135" s="105"/>
      <c r="BJ135" s="105"/>
      <c r="BK135" s="105"/>
      <c r="BL135" s="105"/>
      <c r="BM135" s="105"/>
      <c r="BN135" s="105"/>
      <c r="BO135" s="105"/>
      <c r="BP135" s="105"/>
      <c r="BQ135" s="105"/>
      <c r="BR135" s="105"/>
      <c r="BS135" s="105"/>
      <c r="BT135" s="105"/>
      <c r="BU135" s="105"/>
      <c r="BV135" s="105"/>
    </row>
    <row r="136">
      <c r="A136" s="91" t="str">
        <f>VLOOKUP($F136,UpdateHashtag!$V$3:$Y$32,COLUMN(B$9),0)</f>
        <v>#N/A</v>
      </c>
      <c r="B136" s="91" t="str">
        <f>VLOOKUP($F136,UpdateHashtag!$V$3:$Y$32,COLUMN(#REF!),0)</f>
        <v>#REF!</v>
      </c>
      <c r="C136" s="91" t="str">
        <f>VLOOKUP($F136,UpdateHashtag!$V$3:$Y$32,COLUMN(#REF!),0)</f>
        <v>#REF!</v>
      </c>
      <c r="D136" s="110" t="str">
        <f t="shared" si="2"/>
        <v>#N/A</v>
      </c>
      <c r="E136" s="11"/>
      <c r="F136" s="94" t="str">
        <f>VLOOKUP(J136,UpdateBBM!$C$2:E1009,3,0)</f>
        <v>NOR</v>
      </c>
      <c r="G136" s="78">
        <v>123.0</v>
      </c>
      <c r="H136" s="111">
        <f>IFERROR(__xludf.DUMMYFUNCTION("""COMPUTED_VALUE"""),123.0)</f>
        <v>123</v>
      </c>
      <c r="I136" s="111"/>
      <c r="J136" s="112" t="str">
        <f>IFERROR(__xludf.DUMMYFUNCTION("""COMPUTED_VALUE"""),"Dejounte Murray")</f>
        <v>Dejounte Murray</v>
      </c>
      <c r="K136" s="111">
        <f>IFERROR(__xludf.DUMMYFUNCTION("""COMPUTED_VALUE"""),25.0)</f>
        <v>25</v>
      </c>
      <c r="L136" s="113" t="str">
        <f>IFERROR(__xludf.DUMMYFUNCTION("""COMPUTED_VALUE"""),"G")</f>
        <v>G</v>
      </c>
      <c r="M136" s="114">
        <f>IFERROR(__xludf.DUMMYFUNCTION("""COMPUTED_VALUE"""),-0.8260959255600255)</f>
        <v>-0.8260959256</v>
      </c>
      <c r="N136" s="114">
        <f>IFERROR(__xludf.DUMMYFUNCTION("""COMPUTED_VALUE"""),-0.7170499148349534)</f>
        <v>-0.7170499148</v>
      </c>
      <c r="O136" s="115">
        <f>IFERROR(__xludf.DUMMYFUNCTION("""COMPUTED_VALUE"""),0.10904601072507214)</f>
        <v>0.1090460107</v>
      </c>
      <c r="P136" s="116">
        <f>IFERROR(__xludf.DUMMYFUNCTION("""COMPUTED_VALUE"""),13.6072)</f>
        <v>13.6072</v>
      </c>
      <c r="Q136" s="116">
        <f>IFERROR(__xludf.DUMMYFUNCTION("""COMPUTED_VALUE"""),1.6608)</f>
        <v>1.6608</v>
      </c>
      <c r="R136" s="116">
        <f>IFERROR(__xludf.DUMMYFUNCTION("""COMPUTED_VALUE"""),5.088)</f>
        <v>5.088</v>
      </c>
      <c r="S136" s="117">
        <f>IFERROR(__xludf.DUMMYFUNCTION("""COMPUTED_VALUE"""),5.0956)</f>
        <v>5.0956</v>
      </c>
      <c r="T136" s="116">
        <f>IFERROR(__xludf.DUMMYFUNCTION("""COMPUTED_VALUE"""),1.2036)</f>
        <v>1.2036</v>
      </c>
      <c r="U136" s="116">
        <f>IFERROR(__xludf.DUMMYFUNCTION("""COMPUTED_VALUE"""),0.282)</f>
        <v>0.282</v>
      </c>
      <c r="V136" s="113">
        <f>IFERROR(__xludf.DUMMYFUNCTION("""COMPUTED_VALUE"""),0.410889)</f>
        <v>0.410889</v>
      </c>
      <c r="W136" s="113">
        <f>IFERROR(__xludf.DUMMYFUNCTION("""COMPUTED_VALUE"""),0.799938)</f>
        <v>0.799938</v>
      </c>
      <c r="X136" s="116">
        <f>IFERROR(__xludf.DUMMYFUNCTION("""COMPUTED_VALUE"""),2.1884)</f>
        <v>2.1884</v>
      </c>
      <c r="Y136" s="114">
        <f>IFERROR(__xludf.DUMMYFUNCTION("""COMPUTED_VALUE"""),-0.6258754273452514)</f>
        <v>-0.6258754273</v>
      </c>
      <c r="Z136" s="114">
        <f>IFERROR(__xludf.DUMMYFUNCTION("""COMPUTED_VALUE"""),-0.10503792370260263)</f>
        <v>-0.1050379237</v>
      </c>
      <c r="AA136" s="114">
        <f>IFERROR(__xludf.DUMMYFUNCTION("""COMPUTED_VALUE"""),-0.4209579456721473)</f>
        <v>-0.4209579457</v>
      </c>
      <c r="AB136" s="114">
        <f>IFERROR(__xludf.DUMMYFUNCTION("""COMPUTED_VALUE"""),0.6148940062773506)</f>
        <v>0.6148940063</v>
      </c>
      <c r="AC136" s="114">
        <f>IFERROR(__xludf.DUMMYFUNCTION("""COMPUTED_VALUE"""),0.4827186725730134)</f>
        <v>0.4827186726</v>
      </c>
      <c r="AD136" s="114">
        <f>IFERROR(__xludf.DUMMYFUNCTION("""COMPUTED_VALUE"""),-0.8148645685688651)</f>
        <v>-0.8148645686</v>
      </c>
      <c r="AE136" s="114">
        <f>IFERROR(__xludf.DUMMYFUNCTION("""COMPUTED_VALUE"""),-1.0404381243530096)</f>
        <v>-1.040438124</v>
      </c>
      <c r="AF136" s="114">
        <f>IFERROR(__xludf.DUMMYFUNCTION("""COMPUTED_VALUE"""),0.15207327160354903)</f>
        <v>0.1520732716</v>
      </c>
      <c r="AG136" s="118">
        <f>IFERROR(__xludf.DUMMYFUNCTION("""COMPUTED_VALUE"""),0.0)</f>
        <v>0</v>
      </c>
      <c r="AH136" s="105"/>
      <c r="AI136" s="202"/>
      <c r="AJ136" s="63"/>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c r="BI136" s="105"/>
      <c r="BJ136" s="105"/>
      <c r="BK136" s="105"/>
      <c r="BL136" s="105"/>
      <c r="BM136" s="105"/>
      <c r="BN136" s="105"/>
      <c r="BO136" s="105"/>
      <c r="BP136" s="105"/>
      <c r="BQ136" s="105"/>
      <c r="BR136" s="105"/>
      <c r="BS136" s="105"/>
      <c r="BT136" s="105"/>
      <c r="BU136" s="105"/>
      <c r="BV136" s="105"/>
    </row>
    <row r="137">
      <c r="A137" s="109">
        <f>VLOOKUP($F137,UpdateHashtag!$V$3:$Y$32,COLUMN(B$9),0)</f>
        <v>4</v>
      </c>
      <c r="B137" s="91" t="str">
        <f>VLOOKUP($F137,UpdateHashtag!$V$3:$Y$32,COLUMN(#REF!),0)</f>
        <v>#REF!</v>
      </c>
      <c r="C137" s="91" t="str">
        <f>VLOOKUP($F137,UpdateHashtag!$V$3:$Y$32,COLUMN(#REF!),0)</f>
        <v>#REF!</v>
      </c>
      <c r="D137" s="110" t="str">
        <f t="shared" si="2"/>
        <v>#REF!</v>
      </c>
      <c r="E137" s="11"/>
      <c r="F137" s="94" t="str">
        <f>VLOOKUP(J137,UpdateBBM!$C$2:E1009,3,0)</f>
        <v>MIA</v>
      </c>
      <c r="G137" s="78">
        <v>124.0</v>
      </c>
      <c r="H137" s="111">
        <f>IFERROR(__xludf.DUMMYFUNCTION("""COMPUTED_VALUE"""),124.0)</f>
        <v>124</v>
      </c>
      <c r="I137" s="111"/>
      <c r="J137" s="112" t="str">
        <f>IFERROR(__xludf.DUMMYFUNCTION("""COMPUTED_VALUE"""),"Kel'el Ware")</f>
        <v>Kel'el Ware</v>
      </c>
      <c r="K137" s="111">
        <f>IFERROR(__xludf.DUMMYFUNCTION("""COMPUTED_VALUE"""),68.0)</f>
        <v>68</v>
      </c>
      <c r="L137" s="113" t="str">
        <f>IFERROR(__xludf.DUMMYFUNCTION("""COMPUTED_VALUE"""),"C")</f>
        <v>C</v>
      </c>
      <c r="M137" s="114">
        <f>IFERROR(__xludf.DUMMYFUNCTION("""COMPUTED_VALUE"""),-0.829869377761991)</f>
        <v>-0.8298693778</v>
      </c>
      <c r="N137" s="114">
        <f>IFERROR(__xludf.DUMMYFUNCTION("""COMPUTED_VALUE"""),-1.001740505078513)</f>
        <v>-1.001740505</v>
      </c>
      <c r="O137" s="115">
        <f>IFERROR(__xludf.DUMMYFUNCTION("""COMPUTED_VALUE"""),-0.1718711273165221)</f>
        <v>-0.1718711273</v>
      </c>
      <c r="P137" s="116">
        <f>IFERROR(__xludf.DUMMYFUNCTION("""COMPUTED_VALUE"""),11.08691)</f>
        <v>11.08691</v>
      </c>
      <c r="Q137" s="116">
        <f>IFERROR(__xludf.DUMMYFUNCTION("""COMPUTED_VALUE"""),0.616765)</f>
        <v>0.616765</v>
      </c>
      <c r="R137" s="116">
        <f>IFERROR(__xludf.DUMMYFUNCTION("""COMPUTED_VALUE"""),9.555)</f>
        <v>9.555</v>
      </c>
      <c r="S137" s="117">
        <f>IFERROR(__xludf.DUMMYFUNCTION("""COMPUTED_VALUE"""),1.327059)</f>
        <v>1.327059</v>
      </c>
      <c r="T137" s="116">
        <f>IFERROR(__xludf.DUMMYFUNCTION("""COMPUTED_VALUE"""),0.6975)</f>
        <v>0.6975</v>
      </c>
      <c r="U137" s="116">
        <f>IFERROR(__xludf.DUMMYFUNCTION("""COMPUTED_VALUE"""),1.212647)</f>
        <v>1.212647</v>
      </c>
      <c r="V137" s="113">
        <f>IFERROR(__xludf.DUMMYFUNCTION("""COMPUTED_VALUE"""),0.562368)</f>
        <v>0.562368</v>
      </c>
      <c r="W137" s="113">
        <f>IFERROR(__xludf.DUMMYFUNCTION("""COMPUTED_VALUE"""),0.68105)</f>
        <v>0.68105</v>
      </c>
      <c r="X137" s="116">
        <f>IFERROR(__xludf.DUMMYFUNCTION("""COMPUTED_VALUE"""),1.055588)</f>
        <v>1.055588</v>
      </c>
      <c r="Y137" s="114">
        <f>IFERROR(__xludf.DUMMYFUNCTION("""COMPUTED_VALUE"""),-1.068041687797958)</f>
        <v>-1.068041688</v>
      </c>
      <c r="Z137" s="114">
        <f>IFERROR(__xludf.DUMMYFUNCTION("""COMPUTED_VALUE"""),-1.113401839016883)</f>
        <v>-1.113401839</v>
      </c>
      <c r="AA137" s="114">
        <f>IFERROR(__xludf.DUMMYFUNCTION("""COMPUTED_VALUE"""),1.389756613490576)</f>
        <v>1.389756613</v>
      </c>
      <c r="AB137" s="114">
        <f>IFERROR(__xludf.DUMMYFUNCTION("""COMPUTED_VALUE"""),-1.2260929050747427)</f>
        <v>-1.226092905</v>
      </c>
      <c r="AC137" s="114">
        <f>IFERROR(__xludf.DUMMYFUNCTION("""COMPUTED_VALUE"""),-1.0594844497837306)</f>
        <v>-1.05948445</v>
      </c>
      <c r="AD137" s="114">
        <f>IFERROR(__xludf.DUMMYFUNCTION("""COMPUTED_VALUE"""),0.8770444416235891)</f>
        <v>0.8770444416</v>
      </c>
      <c r="AE137" s="114">
        <f>IFERROR(__xludf.DUMMYFUNCTION("""COMPUTED_VALUE"""),1.1349913207009161)</f>
        <v>1.134991321</v>
      </c>
      <c r="AF137" s="114">
        <f>IFERROR(__xludf.DUMMYFUNCTION("""COMPUTED_VALUE"""),-1.1626049042950228)</f>
        <v>-1.162604904</v>
      </c>
      <c r="AG137" s="118">
        <f>IFERROR(__xludf.DUMMYFUNCTION("""COMPUTED_VALUE"""),0.0)</f>
        <v>0</v>
      </c>
      <c r="AH137" s="105"/>
      <c r="AI137" s="202"/>
      <c r="AJ137" s="63"/>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c r="BI137" s="105"/>
      <c r="BJ137" s="105"/>
      <c r="BK137" s="105"/>
      <c r="BL137" s="105"/>
      <c r="BM137" s="105"/>
      <c r="BN137" s="105"/>
      <c r="BO137" s="105"/>
      <c r="BP137" s="105"/>
      <c r="BQ137" s="105"/>
      <c r="BR137" s="105"/>
      <c r="BS137" s="105"/>
      <c r="BT137" s="105"/>
      <c r="BU137" s="105"/>
      <c r="BV137" s="105"/>
    </row>
    <row r="138">
      <c r="A138" s="109">
        <f>VLOOKUP($F138,UpdateHashtag!$V$3:$Y$32,COLUMN(B$9),0)</f>
        <v>4</v>
      </c>
      <c r="B138" s="91" t="str">
        <f>VLOOKUP($F138,UpdateHashtag!$V$3:$Y$32,COLUMN(#REF!),0)</f>
        <v>#REF!</v>
      </c>
      <c r="C138" s="91" t="str">
        <f>VLOOKUP($F138,UpdateHashtag!$V$3:$Y$32,COLUMN(#REF!),0)</f>
        <v>#REF!</v>
      </c>
      <c r="D138" s="110" t="str">
        <f t="shared" si="2"/>
        <v>#REF!</v>
      </c>
      <c r="E138" s="11"/>
      <c r="F138" s="94" t="str">
        <f>VLOOKUP(J138,UpdateBBM!$C$2:E1009,3,0)</f>
        <v>SAC</v>
      </c>
      <c r="G138" s="78">
        <v>125.0</v>
      </c>
      <c r="H138" s="111">
        <f>IFERROR(__xludf.DUMMYFUNCTION("""COMPUTED_VALUE"""),125.0)</f>
        <v>125</v>
      </c>
      <c r="I138" s="111"/>
      <c r="J138" s="112" t="str">
        <f>IFERROR(__xludf.DUMMYFUNCTION("""COMPUTED_VALUE"""),"DeMar DeRozan")</f>
        <v>DeMar DeRozan</v>
      </c>
      <c r="K138" s="111">
        <f>IFERROR(__xludf.DUMMYFUNCTION("""COMPUTED_VALUE"""),73.0)</f>
        <v>73</v>
      </c>
      <c r="L138" s="113" t="str">
        <f>IFERROR(__xludf.DUMMYFUNCTION("""COMPUTED_VALUE"""),"F")</f>
        <v>F</v>
      </c>
      <c r="M138" s="114">
        <f>IFERROR(__xludf.DUMMYFUNCTION("""COMPUTED_VALUE"""),-0.8616651186866691)</f>
        <v>-0.8616651187</v>
      </c>
      <c r="N138" s="114">
        <f>IFERROR(__xludf.DUMMYFUNCTION("""COMPUTED_VALUE"""),-0.9959582732123546)</f>
        <v>-0.9959582732</v>
      </c>
      <c r="O138" s="115">
        <f>IFERROR(__xludf.DUMMYFUNCTION("""COMPUTED_VALUE"""),-0.13429315452568558)</f>
        <v>-0.1342931545</v>
      </c>
      <c r="P138" s="116">
        <f>IFERROR(__xludf.DUMMYFUNCTION("""COMPUTED_VALUE"""),21.72589)</f>
        <v>21.72589</v>
      </c>
      <c r="Q138" s="116">
        <f>IFERROR(__xludf.DUMMYFUNCTION("""COMPUTED_VALUE"""),1.232329)</f>
        <v>1.232329</v>
      </c>
      <c r="R138" s="116">
        <f>IFERROR(__xludf.DUMMYFUNCTION("""COMPUTED_VALUE"""),3.74863)</f>
        <v>3.74863</v>
      </c>
      <c r="S138" s="117">
        <f>IFERROR(__xludf.DUMMYFUNCTION("""COMPUTED_VALUE"""),4.102329)</f>
        <v>4.102329</v>
      </c>
      <c r="T138" s="116">
        <f>IFERROR(__xludf.DUMMYFUNCTION("""COMPUTED_VALUE"""),0.491918)</f>
        <v>0.491918</v>
      </c>
      <c r="U138" s="116">
        <f>IFERROR(__xludf.DUMMYFUNCTION("""COMPUTED_VALUE"""),0.355342)</f>
        <v>0.355342</v>
      </c>
      <c r="V138" s="113">
        <f>IFERROR(__xludf.DUMMYFUNCTION("""COMPUTED_VALUE"""),0.462299)</f>
        <v>0.462299</v>
      </c>
      <c r="W138" s="113">
        <f>IFERROR(__xludf.DUMMYFUNCTION("""COMPUTED_VALUE"""),0.840009)</f>
        <v>0.840009</v>
      </c>
      <c r="X138" s="116">
        <f>IFERROR(__xludf.DUMMYFUNCTION("""COMPUTED_VALUE"""),1.207123)</f>
        <v>1.207123</v>
      </c>
      <c r="Y138" s="114">
        <f>IFERROR(__xludf.DUMMYFUNCTION("""COMPUTED_VALUE"""),0.7984887518066648)</f>
        <v>0.7984887518</v>
      </c>
      <c r="Z138" s="114">
        <f>IFERROR(__xludf.DUMMYFUNCTION("""COMPUTED_VALUE"""),-0.5188695434841473)</f>
        <v>-0.5188695435</v>
      </c>
      <c r="AA138" s="114">
        <f>IFERROR(__xludf.DUMMYFUNCTION("""COMPUTED_VALUE"""),-0.9638764052883947)</f>
        <v>-0.9638764053</v>
      </c>
      <c r="AB138" s="114">
        <f>IFERROR(__xludf.DUMMYFUNCTION("""COMPUTED_VALUE"""),0.1296667232451094)</f>
        <v>0.1296667232</v>
      </c>
      <c r="AC138" s="114">
        <f>IFERROR(__xludf.DUMMYFUNCTION("""COMPUTED_VALUE"""),-1.6859400955065997)</f>
        <v>-1.685940096</v>
      </c>
      <c r="AD138" s="114">
        <f>IFERROR(__xludf.DUMMYFUNCTION("""COMPUTED_VALUE"""),-0.6815293828050524)</f>
        <v>-0.6815293828</v>
      </c>
      <c r="AE138" s="114">
        <f>IFERROR(__xludf.DUMMYFUNCTION("""COMPUTED_VALUE"""),-0.45666689133229427)</f>
        <v>-0.4566668913</v>
      </c>
      <c r="AF138" s="114">
        <f>IFERROR(__xludf.DUMMYFUNCTION("""COMPUTED_VALUE"""),0.6968284746457601)</f>
        <v>0.6968284746</v>
      </c>
      <c r="AG138" s="118">
        <f>IFERROR(__xludf.DUMMYFUNCTION("""COMPUTED_VALUE"""),0.0)</f>
        <v>0</v>
      </c>
      <c r="AH138" s="105"/>
      <c r="AI138" s="202"/>
      <c r="AJ138" s="63"/>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c r="BI138" s="105"/>
      <c r="BJ138" s="105"/>
      <c r="BK138" s="105"/>
      <c r="BL138" s="105"/>
      <c r="BM138" s="105"/>
      <c r="BN138" s="105"/>
      <c r="BO138" s="105"/>
      <c r="BP138" s="105"/>
      <c r="BQ138" s="105"/>
      <c r="BR138" s="105"/>
      <c r="BS138" s="105"/>
      <c r="BT138" s="105"/>
      <c r="BU138" s="105"/>
      <c r="BV138" s="105"/>
    </row>
    <row r="139">
      <c r="A139" s="109">
        <f>VLOOKUP($F139,UpdateHashtag!$V$3:$Y$32,COLUMN(B$9),0)</f>
        <v>4</v>
      </c>
      <c r="B139" s="91" t="str">
        <f>VLOOKUP($F139,UpdateHashtag!$V$3:$Y$32,COLUMN(#REF!),0)</f>
        <v>#REF!</v>
      </c>
      <c r="C139" s="91" t="str">
        <f>VLOOKUP($F139,UpdateHashtag!$V$3:$Y$32,COLUMN(#REF!),0)</f>
        <v>#REF!</v>
      </c>
      <c r="D139" s="110" t="str">
        <f t="shared" si="2"/>
        <v>#REF!</v>
      </c>
      <c r="E139" s="11"/>
      <c r="F139" s="94" t="str">
        <f>VLOOKUP(J139,UpdateBBM!$C$2:E1009,3,0)</f>
        <v>CLE</v>
      </c>
      <c r="G139" s="78">
        <v>126.0</v>
      </c>
      <c r="H139" s="111">
        <f>IFERROR(__xludf.DUMMYFUNCTION("""COMPUTED_VALUE"""),126.0)</f>
        <v>126</v>
      </c>
      <c r="I139" s="111"/>
      <c r="J139" s="112" t="str">
        <f>IFERROR(__xludf.DUMMYFUNCTION("""COMPUTED_VALUE"""),"Lonzo Ball")</f>
        <v>Lonzo Ball</v>
      </c>
      <c r="K139" s="111">
        <f>IFERROR(__xludf.DUMMYFUNCTION("""COMPUTED_VALUE"""),54.0)</f>
        <v>54</v>
      </c>
      <c r="L139" s="113" t="str">
        <f>IFERROR(__xludf.DUMMYFUNCTION("""COMPUTED_VALUE"""),"G")</f>
        <v>G</v>
      </c>
      <c r="M139" s="114">
        <f>IFERROR(__xludf.DUMMYFUNCTION("""COMPUTED_VALUE"""),-0.8949480202038795)</f>
        <v>-0.8949480202</v>
      </c>
      <c r="N139" s="114">
        <f>IFERROR(__xludf.DUMMYFUNCTION("""COMPUTED_VALUE"""),-1.0405595753242751)</f>
        <v>-1.040559575</v>
      </c>
      <c r="O139" s="115">
        <f>IFERROR(__xludf.DUMMYFUNCTION("""COMPUTED_VALUE"""),-0.14561155512039559)</f>
        <v>-0.1456115551</v>
      </c>
      <c r="P139" s="116">
        <f>IFERROR(__xludf.DUMMYFUNCTION("""COMPUTED_VALUE"""),8.639815)</f>
        <v>8.639815</v>
      </c>
      <c r="Q139" s="116">
        <f>IFERROR(__xludf.DUMMYFUNCTION("""COMPUTED_VALUE"""),2.183148)</f>
        <v>2.183148</v>
      </c>
      <c r="R139" s="116">
        <f>IFERROR(__xludf.DUMMYFUNCTION("""COMPUTED_VALUE"""),3.737037)</f>
        <v>3.737037</v>
      </c>
      <c r="S139" s="117">
        <f>IFERROR(__xludf.DUMMYFUNCTION("""COMPUTED_VALUE"""),3.428148)</f>
        <v>3.428148</v>
      </c>
      <c r="T139" s="116">
        <f>IFERROR(__xludf.DUMMYFUNCTION("""COMPUTED_VALUE"""),1.389259)</f>
        <v>1.389259</v>
      </c>
      <c r="U139" s="116">
        <f>IFERROR(__xludf.DUMMYFUNCTION("""COMPUTED_VALUE"""),0.510556)</f>
        <v>0.510556</v>
      </c>
      <c r="V139" s="113">
        <f>IFERROR(__xludf.DUMMYFUNCTION("""COMPUTED_VALUE"""),0.383897)</f>
        <v>0.383897</v>
      </c>
      <c r="W139" s="113">
        <f>IFERROR(__xludf.DUMMYFUNCTION("""COMPUTED_VALUE"""),0.815867)</f>
        <v>0.815867</v>
      </c>
      <c r="X139" s="116">
        <f>IFERROR(__xludf.DUMMYFUNCTION("""COMPUTED_VALUE"""),1.161481)</f>
        <v>1.161481</v>
      </c>
      <c r="Y139" s="114">
        <f>IFERROR(__xludf.DUMMYFUNCTION("""COMPUTED_VALUE"""),-1.4973664262695288)</f>
        <v>-1.497366426</v>
      </c>
      <c r="Z139" s="114">
        <f>IFERROR(__xludf.DUMMYFUNCTION("""COMPUTED_VALUE"""),0.39946324190638904)</f>
        <v>0.3994632419</v>
      </c>
      <c r="AA139" s="114">
        <f>IFERROR(__xludf.DUMMYFUNCTION("""COMPUTED_VALUE"""),-0.968575669645765)</f>
        <v>-0.9685756696</v>
      </c>
      <c r="AB139" s="114">
        <f>IFERROR(__xludf.DUMMYFUNCTION("""COMPUTED_VALUE"""),-0.19968046891288108)</f>
        <v>-0.1996804689</v>
      </c>
      <c r="AC139" s="114">
        <f>IFERROR(__xludf.DUMMYFUNCTION("""COMPUTED_VALUE"""),1.0484643542438903)</f>
        <v>1.048464354</v>
      </c>
      <c r="AD139" s="114">
        <f>IFERROR(__xludf.DUMMYFUNCTION("""COMPUTED_VALUE"""),-0.3993515375984256)</f>
        <v>-0.3993515376</v>
      </c>
      <c r="AE139" s="114">
        <f>IFERROR(__xludf.DUMMYFUNCTION("""COMPUTED_VALUE"""),-1.283366855760265)</f>
        <v>-1.283366856</v>
      </c>
      <c r="AF139" s="114">
        <f>IFERROR(__xludf.DUMMYFUNCTION("""COMPUTED_VALUE"""),0.3624873604427822)</f>
        <v>0.3624873604</v>
      </c>
      <c r="AG139" s="118">
        <f>IFERROR(__xludf.DUMMYFUNCTION("""COMPUTED_VALUE"""),0.0)</f>
        <v>0</v>
      </c>
      <c r="AH139" s="105"/>
      <c r="AI139" s="202"/>
      <c r="AJ139" s="63"/>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c r="BI139" s="105"/>
      <c r="BJ139" s="105"/>
      <c r="BK139" s="105"/>
      <c r="BL139" s="105"/>
      <c r="BM139" s="105"/>
      <c r="BN139" s="105"/>
      <c r="BO139" s="105"/>
      <c r="BP139" s="105"/>
      <c r="BQ139" s="105"/>
      <c r="BR139" s="105"/>
      <c r="BS139" s="105"/>
      <c r="BT139" s="105"/>
      <c r="BU139" s="105"/>
      <c r="BV139" s="105"/>
    </row>
    <row r="140">
      <c r="A140" s="109">
        <f>VLOOKUP($F140,UpdateHashtag!$V$3:$Y$32,COLUMN(B$9),0)</f>
        <v>4</v>
      </c>
      <c r="B140" s="91" t="str">
        <f>VLOOKUP($F140,UpdateHashtag!$V$3:$Y$32,COLUMN(#REF!),0)</f>
        <v>#REF!</v>
      </c>
      <c r="C140" s="91" t="str">
        <f>VLOOKUP($F140,UpdateHashtag!$V$3:$Y$32,COLUMN(#REF!),0)</f>
        <v>#REF!</v>
      </c>
      <c r="D140" s="110" t="str">
        <f t="shared" si="2"/>
        <v>#REF!</v>
      </c>
      <c r="E140" s="11"/>
      <c r="F140" s="94" t="str">
        <f>VLOOKUP(J140,UpdateBBM!$C$2:E1009,3,0)</f>
        <v>DAL</v>
      </c>
      <c r="G140" s="78">
        <v>127.0</v>
      </c>
      <c r="H140" s="111">
        <f>IFERROR(__xludf.DUMMYFUNCTION("""COMPUTED_VALUE"""),127.0)</f>
        <v>127</v>
      </c>
      <c r="I140" s="111"/>
      <c r="J140" s="112" t="str">
        <f>IFERROR(__xludf.DUMMYFUNCTION("""COMPUTED_VALUE"""),"D'Angelo Russell")</f>
        <v>D'Angelo Russell</v>
      </c>
      <c r="K140" s="111">
        <f>IFERROR(__xludf.DUMMYFUNCTION("""COMPUTED_VALUE"""),73.0)</f>
        <v>73</v>
      </c>
      <c r="L140" s="113" t="str">
        <f>IFERROR(__xludf.DUMMYFUNCTION("""COMPUTED_VALUE"""),"G")</f>
        <v>G</v>
      </c>
      <c r="M140" s="114">
        <f>IFERROR(__xludf.DUMMYFUNCTION("""COMPUTED_VALUE"""),-0.9404382325756389)</f>
        <v>-0.9404382326</v>
      </c>
      <c r="N140" s="114">
        <f>IFERROR(__xludf.DUMMYFUNCTION("""COMPUTED_VALUE"""),-0.8693478714326426)</f>
        <v>-0.8693478714</v>
      </c>
      <c r="O140" s="115">
        <f>IFERROR(__xludf.DUMMYFUNCTION("""COMPUTED_VALUE"""),0.07109036114299627)</f>
        <v>0.07109036114</v>
      </c>
      <c r="P140" s="116">
        <f>IFERROR(__xludf.DUMMYFUNCTION("""COMPUTED_VALUE"""),12.91973)</f>
        <v>12.91973</v>
      </c>
      <c r="Q140" s="116">
        <f>IFERROR(__xludf.DUMMYFUNCTION("""COMPUTED_VALUE"""),2.306986)</f>
        <v>2.306986</v>
      </c>
      <c r="R140" s="116">
        <f>IFERROR(__xludf.DUMMYFUNCTION("""COMPUTED_VALUE"""),2.499726)</f>
        <v>2.499726</v>
      </c>
      <c r="S140" s="117">
        <f>IFERROR(__xludf.DUMMYFUNCTION("""COMPUTED_VALUE"""),5.635205)</f>
        <v>5.635205</v>
      </c>
      <c r="T140" s="116">
        <f>IFERROR(__xludf.DUMMYFUNCTION("""COMPUTED_VALUE"""),0.852192)</f>
        <v>0.852192</v>
      </c>
      <c r="U140" s="116">
        <f>IFERROR(__xludf.DUMMYFUNCTION("""COMPUTED_VALUE"""),0.451918)</f>
        <v>0.451918</v>
      </c>
      <c r="V140" s="113">
        <f>IFERROR(__xludf.DUMMYFUNCTION("""COMPUTED_VALUE"""),0.418053)</f>
        <v>0.418053</v>
      </c>
      <c r="W140" s="113">
        <f>IFERROR(__xludf.DUMMYFUNCTION("""COMPUTED_VALUE"""),0.829013)</f>
        <v>0.829013</v>
      </c>
      <c r="X140" s="116">
        <f>IFERROR(__xludf.DUMMYFUNCTION("""COMPUTED_VALUE"""),2.035342)</f>
        <v>2.035342</v>
      </c>
      <c r="Y140" s="114">
        <f>IFERROR(__xludf.DUMMYFUNCTION("""COMPUTED_VALUE"""),-0.746486959777401)</f>
        <v>-0.7464869598</v>
      </c>
      <c r="Z140" s="114">
        <f>IFERROR(__xludf.DUMMYFUNCTION("""COMPUTED_VALUE"""),0.5190701234234741)</f>
        <v>0.5190701234</v>
      </c>
      <c r="AA140" s="114">
        <f>IFERROR(__xludf.DUMMYFUNCTION("""COMPUTED_VALUE"""),-1.470124145560739)</f>
        <v>-1.470124146</v>
      </c>
      <c r="AB140" s="114">
        <f>IFERROR(__xludf.DUMMYFUNCTION("""COMPUTED_VALUE"""),0.8784988714758839)</f>
        <v>0.8784988715</v>
      </c>
      <c r="AC140" s="114">
        <f>IFERROR(__xludf.DUMMYFUNCTION("""COMPUTED_VALUE"""),-0.5881023407072451)</f>
        <v>-0.5881023407</v>
      </c>
      <c r="AD140" s="114">
        <f>IFERROR(__xludf.DUMMYFUNCTION("""COMPUTED_VALUE"""),-0.5059549656862669)</f>
        <v>-0.5059549657</v>
      </c>
      <c r="AE140" s="114">
        <f>IFERROR(__xludf.DUMMYFUNCTION("""COMPUTED_VALUE"""),-0.9686113829564107)</f>
        <v>-0.968611383</v>
      </c>
      <c r="AF140" s="114">
        <f>IFERROR(__xludf.DUMMYFUNCTION("""COMPUTED_VALUE"""),0.5422387827953232)</f>
        <v>0.5422387828</v>
      </c>
      <c r="AG140" s="118">
        <f>IFERROR(__xludf.DUMMYFUNCTION("""COMPUTED_VALUE"""),0.0)</f>
        <v>0</v>
      </c>
      <c r="AH140" s="105"/>
      <c r="AI140" s="202"/>
      <c r="AJ140" s="63"/>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c r="BO140" s="105"/>
      <c r="BP140" s="105"/>
      <c r="BQ140" s="105"/>
      <c r="BR140" s="105"/>
      <c r="BS140" s="105"/>
      <c r="BT140" s="105"/>
      <c r="BU140" s="105"/>
      <c r="BV140" s="105"/>
    </row>
    <row r="141">
      <c r="A141" s="109">
        <f>VLOOKUP($F141,UpdateHashtag!$V$3:$Y$32,COLUMN(B$9),0)</f>
        <v>4</v>
      </c>
      <c r="B141" s="91" t="str">
        <f>VLOOKUP($F141,UpdateHashtag!$V$3:$Y$32,COLUMN(#REF!),0)</f>
        <v>#REF!</v>
      </c>
      <c r="C141" s="91" t="str">
        <f>VLOOKUP($F141,UpdateHashtag!$V$3:$Y$32,COLUMN(#REF!),0)</f>
        <v>#REF!</v>
      </c>
      <c r="D141" s="110" t="str">
        <f t="shared" si="2"/>
        <v>#REF!</v>
      </c>
      <c r="E141" s="11"/>
      <c r="F141" s="94" t="str">
        <f>VLOOKUP(J141,UpdateBBM!$C$2:E1009,3,0)</f>
        <v>MIN</v>
      </c>
      <c r="G141" s="78">
        <v>128.0</v>
      </c>
      <c r="H141" s="111">
        <f>IFERROR(__xludf.DUMMYFUNCTION("""COMPUTED_VALUE"""),128.0)</f>
        <v>128</v>
      </c>
      <c r="I141" s="111"/>
      <c r="J141" s="112" t="str">
        <f>IFERROR(__xludf.DUMMYFUNCTION("""COMPUTED_VALUE"""),"Jaden McDaniels")</f>
        <v>Jaden McDaniels</v>
      </c>
      <c r="K141" s="111">
        <f>IFERROR(__xludf.DUMMYFUNCTION("""COMPUTED_VALUE"""),73.0)</f>
        <v>73</v>
      </c>
      <c r="L141" s="113" t="str">
        <f>IFERROR(__xludf.DUMMYFUNCTION("""COMPUTED_VALUE"""),"F")</f>
        <v>F</v>
      </c>
      <c r="M141" s="114">
        <f>IFERROR(__xludf.DUMMYFUNCTION("""COMPUTED_VALUE"""),-0.9506747381704359)</f>
        <v>-0.9506747382</v>
      </c>
      <c r="N141" s="114">
        <f>IFERROR(__xludf.DUMMYFUNCTION("""COMPUTED_VALUE"""),-1.0978766027210463)</f>
        <v>-1.097876603</v>
      </c>
      <c r="O141" s="115">
        <f>IFERROR(__xludf.DUMMYFUNCTION("""COMPUTED_VALUE"""),-0.14720186455061035)</f>
        <v>-0.1472018646</v>
      </c>
      <c r="P141" s="116">
        <f>IFERROR(__xludf.DUMMYFUNCTION("""COMPUTED_VALUE"""),12.43301)</f>
        <v>12.43301</v>
      </c>
      <c r="Q141" s="116">
        <f>IFERROR(__xludf.DUMMYFUNCTION("""COMPUTED_VALUE"""),1.046301)</f>
        <v>1.046301</v>
      </c>
      <c r="R141" s="116">
        <f>IFERROR(__xludf.DUMMYFUNCTION("""COMPUTED_VALUE"""),5.306849)</f>
        <v>5.306849</v>
      </c>
      <c r="S141" s="117">
        <f>IFERROR(__xludf.DUMMYFUNCTION("""COMPUTED_VALUE"""),1.854247)</f>
        <v>1.854247</v>
      </c>
      <c r="T141" s="116">
        <f>IFERROR(__xludf.DUMMYFUNCTION("""COMPUTED_VALUE"""),1.086986)</f>
        <v>1.086986</v>
      </c>
      <c r="U141" s="116">
        <f>IFERROR(__xludf.DUMMYFUNCTION("""COMPUTED_VALUE"""),0.898904)</f>
        <v>0.898904</v>
      </c>
      <c r="V141" s="113">
        <f>IFERROR(__xludf.DUMMYFUNCTION("""COMPUTED_VALUE"""),0.495621)</f>
        <v>0.495621</v>
      </c>
      <c r="W141" s="113">
        <f>IFERROR(__xludf.DUMMYFUNCTION("""COMPUTED_VALUE"""),0.813016)</f>
        <v>0.813016</v>
      </c>
      <c r="X141" s="116">
        <f>IFERROR(__xludf.DUMMYFUNCTION("""COMPUTED_VALUE"""),1.155068)</f>
        <v>1.155068</v>
      </c>
      <c r="Y141" s="114">
        <f>IFERROR(__xludf.DUMMYFUNCTION("""COMPUTED_VALUE"""),-0.8318783878620822)</f>
        <v>-0.8318783879</v>
      </c>
      <c r="Z141" s="114">
        <f>IFERROR(__xludf.DUMMYFUNCTION("""COMPUTED_VALUE"""),-0.6985416066219587)</f>
        <v>-0.6985416066</v>
      </c>
      <c r="AA141" s="114">
        <f>IFERROR(__xludf.DUMMYFUNCTION("""COMPUTED_VALUE"""),-0.3322467142957868)</f>
        <v>-0.3322467143</v>
      </c>
      <c r="AB141" s="114">
        <f>IFERROR(__xludf.DUMMYFUNCTION("""COMPUTED_VALUE"""),-0.9685539243864905)</f>
        <v>-0.9685539244</v>
      </c>
      <c r="AC141" s="114">
        <f>IFERROR(__xludf.DUMMYFUNCTION("""COMPUTED_VALUE"""),0.12736898889289217)</f>
        <v>0.1273689889</v>
      </c>
      <c r="AD141" s="114">
        <f>IFERROR(__xludf.DUMMYFUNCTION("""COMPUTED_VALUE"""),0.30666210698455715)</f>
        <v>0.306662107</v>
      </c>
      <c r="AE141" s="114">
        <f>IFERROR(__xludf.DUMMYFUNCTION("""COMPUTED_VALUE"""),0.006526917949591362)</f>
        <v>0.00652691795</v>
      </c>
      <c r="AF141" s="114">
        <f>IFERROR(__xludf.DUMMYFUNCTION("""COMPUTED_VALUE"""),0.324232092231741)</f>
        <v>0.3242320922</v>
      </c>
      <c r="AG141" s="118">
        <f>IFERROR(__xludf.DUMMYFUNCTION("""COMPUTED_VALUE"""),0.0)</f>
        <v>0</v>
      </c>
      <c r="AH141" s="105"/>
      <c r="AI141" s="202"/>
      <c r="AJ141" s="63"/>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c r="BO141" s="105"/>
      <c r="BP141" s="105"/>
      <c r="BQ141" s="105"/>
      <c r="BR141" s="105"/>
      <c r="BS141" s="105"/>
      <c r="BT141" s="105"/>
      <c r="BU141" s="105"/>
      <c r="BV141" s="105"/>
    </row>
    <row r="142">
      <c r="A142" s="109">
        <f>VLOOKUP($F142,UpdateHashtag!$V$3:$Y$32,COLUMN(B$9),0)</f>
        <v>4</v>
      </c>
      <c r="B142" s="91" t="str">
        <f>VLOOKUP($F142,UpdateHashtag!$V$3:$Y$32,COLUMN(#REF!),0)</f>
        <v>#REF!</v>
      </c>
      <c r="C142" s="91" t="str">
        <f>VLOOKUP($F142,UpdateHashtag!$V$3:$Y$32,COLUMN(#REF!),0)</f>
        <v>#REF!</v>
      </c>
      <c r="D142" s="110" t="str">
        <f t="shared" si="2"/>
        <v>#REF!</v>
      </c>
      <c r="E142" s="11"/>
      <c r="F142" s="94" t="str">
        <f>VLOOKUP(J142,UpdateBBM!$C$2:E1009,3,0)</f>
        <v>CLE</v>
      </c>
      <c r="G142" s="78">
        <v>129.0</v>
      </c>
      <c r="H142" s="111">
        <f>IFERROR(__xludf.DUMMYFUNCTION("""COMPUTED_VALUE"""),129.0)</f>
        <v>129</v>
      </c>
      <c r="I142" s="111"/>
      <c r="J142" s="112" t="str">
        <f>IFERROR(__xludf.DUMMYFUNCTION("""COMPUTED_VALUE"""),"De'Andre Hunter")</f>
        <v>De'Andre Hunter</v>
      </c>
      <c r="K142" s="111">
        <f>IFERROR(__xludf.DUMMYFUNCTION("""COMPUTED_VALUE"""),68.0)</f>
        <v>68</v>
      </c>
      <c r="L142" s="113" t="str">
        <f>IFERROR(__xludf.DUMMYFUNCTION("""COMPUTED_VALUE"""),"F")</f>
        <v>F</v>
      </c>
      <c r="M142" s="114">
        <f>IFERROR(__xludf.DUMMYFUNCTION("""COMPUTED_VALUE"""),-1.1289911872011917)</f>
        <v>-1.128991187</v>
      </c>
      <c r="N142" s="114">
        <f>IFERROR(__xludf.DUMMYFUNCTION("""COMPUTED_VALUE"""),-1.211114604162501)</f>
        <v>-1.211114604</v>
      </c>
      <c r="O142" s="115">
        <f>IFERROR(__xludf.DUMMYFUNCTION("""COMPUTED_VALUE"""),-0.0821234169613092)</f>
        <v>-0.08212341696</v>
      </c>
      <c r="P142" s="116">
        <f>IFERROR(__xludf.DUMMYFUNCTION("""COMPUTED_VALUE"""),16.43294)</f>
        <v>16.43294</v>
      </c>
      <c r="Q142" s="116">
        <f>IFERROR(__xludf.DUMMYFUNCTION("""COMPUTED_VALUE"""),2.471912)</f>
        <v>2.471912</v>
      </c>
      <c r="R142" s="116">
        <f>IFERROR(__xludf.DUMMYFUNCTION("""COMPUTED_VALUE"""),5.218382)</f>
        <v>5.218382</v>
      </c>
      <c r="S142" s="117">
        <f>IFERROR(__xludf.DUMMYFUNCTION("""COMPUTED_VALUE"""),1.790294)</f>
        <v>1.790294</v>
      </c>
      <c r="T142" s="116">
        <f>IFERROR(__xludf.DUMMYFUNCTION("""COMPUTED_VALUE"""),0.800147)</f>
        <v>0.800147</v>
      </c>
      <c r="U142" s="116">
        <f>IFERROR(__xludf.DUMMYFUNCTION("""COMPUTED_VALUE"""),0.391324)</f>
        <v>0.391324</v>
      </c>
      <c r="V142" s="113">
        <f>IFERROR(__xludf.DUMMYFUNCTION("""COMPUTED_VALUE"""),0.463077)</f>
        <v>0.463077</v>
      </c>
      <c r="W142" s="113">
        <f>IFERROR(__xludf.DUMMYFUNCTION("""COMPUTED_VALUE"""),0.819983)</f>
        <v>0.819983</v>
      </c>
      <c r="X142" s="116">
        <f>IFERROR(__xludf.DUMMYFUNCTION("""COMPUTED_VALUE"""),1.4175)</f>
        <v>1.4175</v>
      </c>
      <c r="Y142" s="114">
        <f>IFERROR(__xludf.DUMMYFUNCTION("""COMPUTED_VALUE"""),-0.13012022107469132)</f>
        <v>-0.1301202211</v>
      </c>
      <c r="Z142" s="114">
        <f>IFERROR(__xludf.DUMMYFUNCTION("""COMPUTED_VALUE"""),0.6783611693147736)</f>
        <v>0.6783611693</v>
      </c>
      <c r="AA142" s="114">
        <f>IFERROR(__xludf.DUMMYFUNCTION("""COMPUTED_VALUE"""),-0.3681071317807763)</f>
        <v>-0.3681071318</v>
      </c>
      <c r="AB142" s="114">
        <f>IFERROR(__xludf.DUMMYFUNCTION("""COMPUTED_VALUE"""),-0.9997958920184467)</f>
        <v>-0.999795892</v>
      </c>
      <c r="AC142" s="114">
        <f>IFERROR(__xludf.DUMMYFUNCTION("""COMPUTED_VALUE"""),-0.7466954280478034)</f>
        <v>-0.746695428</v>
      </c>
      <c r="AD142" s="114">
        <f>IFERROR(__xludf.DUMMYFUNCTION("""COMPUTED_VALUE"""),-0.6161143865661509)</f>
        <v>-0.6161143866</v>
      </c>
      <c r="AE142" s="114">
        <f>IFERROR(__xludf.DUMMYFUNCTION("""COMPUTED_VALUE"""),-0.4466128556161884)</f>
        <v>-0.4466128556</v>
      </c>
      <c r="AF142" s="114">
        <f>IFERROR(__xludf.DUMMYFUNCTION("""COMPUTED_VALUE"""),0.4181742496083358)</f>
        <v>0.4181742496</v>
      </c>
      <c r="AG142" s="118">
        <f>IFERROR(__xludf.DUMMYFUNCTION("""COMPUTED_VALUE"""),0.0)</f>
        <v>0</v>
      </c>
      <c r="AH142" s="105"/>
      <c r="AI142" s="202"/>
      <c r="AJ142" s="63"/>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c r="BL142" s="105"/>
      <c r="BM142" s="105"/>
      <c r="BN142" s="105"/>
      <c r="BO142" s="105"/>
      <c r="BP142" s="105"/>
      <c r="BQ142" s="105"/>
      <c r="BR142" s="105"/>
      <c r="BS142" s="105"/>
      <c r="BT142" s="105"/>
      <c r="BU142" s="105"/>
      <c r="BV142" s="105"/>
    </row>
    <row r="143">
      <c r="A143" s="109">
        <f>VLOOKUP($F143,UpdateHashtag!$V$3:$Y$32,COLUMN(B$9),0)</f>
        <v>4</v>
      </c>
      <c r="B143" s="91" t="str">
        <f>VLOOKUP($F143,UpdateHashtag!$V$3:$Y$32,COLUMN(#REF!),0)</f>
        <v>#REF!</v>
      </c>
      <c r="C143" s="91" t="str">
        <f>VLOOKUP($F143,UpdateHashtag!$V$3:$Y$32,COLUMN(#REF!),0)</f>
        <v>#REF!</v>
      </c>
      <c r="D143" s="110" t="str">
        <f t="shared" si="2"/>
        <v>#REF!</v>
      </c>
      <c r="E143" s="11"/>
      <c r="F143" s="94" t="str">
        <f>VLOOKUP(J143,UpdateBBM!$C$2:E1009,3,0)</f>
        <v>MEM</v>
      </c>
      <c r="G143" s="78">
        <v>130.0</v>
      </c>
      <c r="H143" s="111">
        <f>IFERROR(__xludf.DUMMYFUNCTION("""COMPUTED_VALUE"""),130.0)</f>
        <v>130</v>
      </c>
      <c r="I143" s="111"/>
      <c r="J143" s="112" t="str">
        <f>IFERROR(__xludf.DUMMYFUNCTION("""COMPUTED_VALUE"""),"Ty Jerome")</f>
        <v>Ty Jerome</v>
      </c>
      <c r="K143" s="111">
        <f>IFERROR(__xludf.DUMMYFUNCTION("""COMPUTED_VALUE"""),73.0)</f>
        <v>73</v>
      </c>
      <c r="L143" s="113" t="str">
        <f>IFERROR(__xludf.DUMMYFUNCTION("""COMPUTED_VALUE"""),"G,F")</f>
        <v>G,F</v>
      </c>
      <c r="M143" s="114">
        <f>IFERROR(__xludf.DUMMYFUNCTION("""COMPUTED_VALUE"""),-1.1417148477037211)</f>
        <v>-1.141714848</v>
      </c>
      <c r="N143" s="114">
        <f>IFERROR(__xludf.DUMMYFUNCTION("""COMPUTED_VALUE"""),-1.1734520146138465)</f>
        <v>-1.173452015</v>
      </c>
      <c r="O143" s="115">
        <f>IFERROR(__xludf.DUMMYFUNCTION("""COMPUTED_VALUE"""),-0.0317371669101254)</f>
        <v>-0.03173716691</v>
      </c>
      <c r="P143" s="116">
        <f>IFERROR(__xludf.DUMMYFUNCTION("""COMPUTED_VALUE"""),12.75562)</f>
        <v>12.75562</v>
      </c>
      <c r="Q143" s="116">
        <f>IFERROR(__xludf.DUMMYFUNCTION("""COMPUTED_VALUE"""),1.496438)</f>
        <v>1.496438</v>
      </c>
      <c r="R143" s="116">
        <f>IFERROR(__xludf.DUMMYFUNCTION("""COMPUTED_VALUE"""),2.716986)</f>
        <v>2.716986</v>
      </c>
      <c r="S143" s="117">
        <f>IFERROR(__xludf.DUMMYFUNCTION("""COMPUTED_VALUE"""),4.051644)</f>
        <v>4.051644</v>
      </c>
      <c r="T143" s="116">
        <f>IFERROR(__xludf.DUMMYFUNCTION("""COMPUTED_VALUE"""),1.091233)</f>
        <v>1.091233</v>
      </c>
      <c r="U143" s="116">
        <f>IFERROR(__xludf.DUMMYFUNCTION("""COMPUTED_VALUE"""),0.047808)</f>
        <v>0.047808</v>
      </c>
      <c r="V143" s="113">
        <f>IFERROR(__xludf.DUMMYFUNCTION("""COMPUTED_VALUE"""),0.476933)</f>
        <v>0.476933</v>
      </c>
      <c r="W143" s="113">
        <f>IFERROR(__xludf.DUMMYFUNCTION("""COMPUTED_VALUE"""),0.868972)</f>
        <v>0.868972</v>
      </c>
      <c r="X143" s="116">
        <f>IFERROR(__xludf.DUMMYFUNCTION("""COMPUTED_VALUE"""),1.620685)</f>
        <v>1.620685</v>
      </c>
      <c r="Y143" s="114">
        <f>IFERROR(__xludf.DUMMYFUNCTION("""COMPUTED_VALUE"""),-0.7752788468232938)</f>
        <v>-0.7752788468</v>
      </c>
      <c r="Z143" s="114">
        <f>IFERROR(__xludf.DUMMYFUNCTION("""COMPUTED_VALUE"""),-0.2637842395338591)</f>
        <v>-0.2637842395</v>
      </c>
      <c r="AA143" s="114">
        <f>IFERROR(__xludf.DUMMYFUNCTION("""COMPUTED_VALUE"""),-1.3820570210647254)</f>
        <v>-1.382057021</v>
      </c>
      <c r="AB143" s="114">
        <f>IFERROR(__xludf.DUMMYFUNCTION("""COMPUTED_VALUE"""),0.10490636596045151)</f>
        <v>0.104906366</v>
      </c>
      <c r="AC143" s="114">
        <f>IFERROR(__xludf.DUMMYFUNCTION("""COMPUTED_VALUE"""),0.14031057486532633)</f>
        <v>0.1403105749</v>
      </c>
      <c r="AD143" s="114">
        <f>IFERROR(__xludf.DUMMYFUNCTION("""COMPUTED_VALUE"""),-1.2406238037192403)</f>
        <v>-1.240623804</v>
      </c>
      <c r="AE143" s="114">
        <f>IFERROR(__xludf.DUMMYFUNCTION("""COMPUTED_VALUE"""),-0.26146167353910477)</f>
        <v>-0.2614616735</v>
      </c>
      <c r="AF143" s="114">
        <f>IFERROR(__xludf.DUMMYFUNCTION("""COMPUTED_VALUE"""),1.122479608175874)</f>
        <v>1.122479608</v>
      </c>
      <c r="AG143" s="118">
        <f>IFERROR(__xludf.DUMMYFUNCTION("""COMPUTED_VALUE"""),0.0)</f>
        <v>0</v>
      </c>
      <c r="AH143" s="105"/>
      <c r="AI143" s="202"/>
      <c r="AJ143" s="63"/>
      <c r="AK143" s="105"/>
      <c r="AL143" s="105"/>
      <c r="AM143" s="105"/>
      <c r="AN143" s="105"/>
      <c r="AO143" s="105"/>
      <c r="AP143" s="105"/>
      <c r="AQ143" s="105"/>
      <c r="AR143" s="105"/>
      <c r="AS143" s="105"/>
      <c r="AT143" s="105"/>
      <c r="AU143" s="105"/>
      <c r="AV143" s="105"/>
      <c r="AW143" s="105"/>
      <c r="AX143" s="105"/>
      <c r="AY143" s="105"/>
      <c r="AZ143" s="105"/>
      <c r="BA143" s="105"/>
      <c r="BB143" s="105"/>
      <c r="BC143" s="105"/>
      <c r="BD143" s="105"/>
      <c r="BE143" s="105"/>
      <c r="BF143" s="105"/>
      <c r="BG143" s="105"/>
      <c r="BH143" s="105"/>
      <c r="BI143" s="105"/>
      <c r="BJ143" s="105"/>
      <c r="BK143" s="105"/>
      <c r="BL143" s="105"/>
      <c r="BM143" s="105"/>
      <c r="BN143" s="105"/>
      <c r="BO143" s="105"/>
      <c r="BP143" s="105"/>
      <c r="BQ143" s="105"/>
      <c r="BR143" s="105"/>
      <c r="BS143" s="105"/>
      <c r="BT143" s="105"/>
      <c r="BU143" s="105"/>
      <c r="BV143" s="105"/>
    </row>
    <row r="144">
      <c r="A144" s="109">
        <f>VLOOKUP($F144,UpdateHashtag!$V$3:$Y$32,COLUMN(B$9),0)</f>
        <v>3</v>
      </c>
      <c r="B144" s="91" t="str">
        <f>VLOOKUP($F144,UpdateHashtag!$V$3:$Y$32,COLUMN(#REF!),0)</f>
        <v>#REF!</v>
      </c>
      <c r="C144" s="91" t="str">
        <f>VLOOKUP($F144,UpdateHashtag!$V$3:$Y$32,COLUMN(#REF!),0)</f>
        <v>#REF!</v>
      </c>
      <c r="D144" s="110" t="str">
        <f t="shared" si="2"/>
        <v>#REF!</v>
      </c>
      <c r="E144" s="11"/>
      <c r="F144" s="94" t="str">
        <f>VLOOKUP(J144,UpdateBBM!$C$2:E1009,3,0)</f>
        <v>WAS</v>
      </c>
      <c r="G144" s="78">
        <v>131.0</v>
      </c>
      <c r="H144" s="111">
        <f>IFERROR(__xludf.DUMMYFUNCTION("""COMPUTED_VALUE"""),131.0)</f>
        <v>131</v>
      </c>
      <c r="I144" s="111"/>
      <c r="J144" s="112" t="str">
        <f>IFERROR(__xludf.DUMMYFUNCTION("""COMPUTED_VALUE"""),"Khris Middleton")</f>
        <v>Khris Middleton</v>
      </c>
      <c r="K144" s="111">
        <f>IFERROR(__xludf.DUMMYFUNCTION("""COMPUTED_VALUE"""),49.0)</f>
        <v>49</v>
      </c>
      <c r="L144" s="113" t="str">
        <f>IFERROR(__xludf.DUMMYFUNCTION("""COMPUTED_VALUE"""),"F")</f>
        <v>F</v>
      </c>
      <c r="M144" s="114">
        <f>IFERROR(__xludf.DUMMYFUNCTION("""COMPUTED_VALUE"""),-1.1521923588533327)</f>
        <v>-1.152192359</v>
      </c>
      <c r="N144" s="114">
        <f>IFERROR(__xludf.DUMMYFUNCTION("""COMPUTED_VALUE"""),-1.10798400506471)</f>
        <v>-1.107984005</v>
      </c>
      <c r="O144" s="115">
        <f>IFERROR(__xludf.DUMMYFUNCTION("""COMPUTED_VALUE"""),0.044208353788622645)</f>
        <v>0.04420835379</v>
      </c>
      <c r="P144" s="116">
        <f>IFERROR(__xludf.DUMMYFUNCTION("""COMPUTED_VALUE"""),13.24163)</f>
        <v>13.24163</v>
      </c>
      <c r="Q144" s="116">
        <f>IFERROR(__xludf.DUMMYFUNCTION("""COMPUTED_VALUE"""),1.436939)</f>
        <v>1.436939</v>
      </c>
      <c r="R144" s="116">
        <f>IFERROR(__xludf.DUMMYFUNCTION("""COMPUTED_VALUE"""),4.291633)</f>
        <v>4.291633</v>
      </c>
      <c r="S144" s="117">
        <f>IFERROR(__xludf.DUMMYFUNCTION("""COMPUTED_VALUE"""),4.770408)</f>
        <v>4.770408</v>
      </c>
      <c r="T144" s="116">
        <f>IFERROR(__xludf.DUMMYFUNCTION("""COMPUTED_VALUE"""),0.858367)</f>
        <v>0.858367</v>
      </c>
      <c r="U144" s="116">
        <f>IFERROR(__xludf.DUMMYFUNCTION("""COMPUTED_VALUE"""),0.214082)</f>
        <v>0.214082</v>
      </c>
      <c r="V144" s="113">
        <f>IFERROR(__xludf.DUMMYFUNCTION("""COMPUTED_VALUE"""),0.484611)</f>
        <v>0.484611</v>
      </c>
      <c r="W144" s="113">
        <f>IFERROR(__xludf.DUMMYFUNCTION("""COMPUTED_VALUE"""),0.855027)</f>
        <v>0.855027</v>
      </c>
      <c r="X144" s="116">
        <f>IFERROR(__xludf.DUMMYFUNCTION("""COMPUTED_VALUE"""),1.926939)</f>
        <v>1.926939</v>
      </c>
      <c r="Y144" s="114">
        <f>IFERROR(__xludf.DUMMYFUNCTION("""COMPUTED_VALUE"""),-0.6900119829930919)</f>
        <v>-0.690011983</v>
      </c>
      <c r="Z144" s="114">
        <f>IFERROR(__xludf.DUMMYFUNCTION("""COMPUTED_VALUE"""),-0.32125036336810253)</f>
        <v>-0.3212503634</v>
      </c>
      <c r="AA144" s="114">
        <f>IFERROR(__xludf.DUMMYFUNCTION("""COMPUTED_VALUE"""),-0.7437681810284805)</f>
        <v>-0.743768181</v>
      </c>
      <c r="AB144" s="114">
        <f>IFERROR(__xludf.DUMMYFUNCTION("""COMPUTED_VALUE"""),0.45603299994189855)</f>
        <v>0.4560329999</v>
      </c>
      <c r="AC144" s="114">
        <f>IFERROR(__xludf.DUMMYFUNCTION("""COMPUTED_VALUE"""),-0.5692856952210704)</f>
        <v>-0.5692856952</v>
      </c>
      <c r="AD144" s="114">
        <f>IFERROR(__xludf.DUMMYFUNCTION("""COMPUTED_VALUE"""),-0.9383389645044358)</f>
        <v>-0.9383389645</v>
      </c>
      <c r="AE144" s="114">
        <f>IFERROR(__xludf.DUMMYFUNCTION("""COMPUTED_VALUE"""),-0.1538974641645937)</f>
        <v>-0.1538974642</v>
      </c>
      <c r="AF144" s="114">
        <f>IFERROR(__xludf.DUMMYFUNCTION("""COMPUTED_VALUE"""),0.9141966817687301)</f>
        <v>0.9141966818</v>
      </c>
      <c r="AG144" s="118">
        <f>IFERROR(__xludf.DUMMYFUNCTION("""COMPUTED_VALUE"""),0.0)</f>
        <v>0</v>
      </c>
      <c r="AH144" s="105"/>
      <c r="AI144" s="202"/>
      <c r="AJ144" s="63"/>
      <c r="AK144" s="105"/>
      <c r="AL144" s="105"/>
      <c r="AM144" s="105"/>
      <c r="AN144" s="105"/>
      <c r="AO144" s="105"/>
      <c r="AP144" s="105"/>
      <c r="AQ144" s="105"/>
      <c r="AR144" s="105"/>
      <c r="AS144" s="105"/>
      <c r="AT144" s="105"/>
      <c r="AU144" s="105"/>
      <c r="AV144" s="105"/>
      <c r="AW144" s="105"/>
      <c r="AX144" s="105"/>
      <c r="AY144" s="105"/>
      <c r="AZ144" s="105"/>
      <c r="BA144" s="105"/>
      <c r="BB144" s="105"/>
      <c r="BC144" s="105"/>
      <c r="BD144" s="105"/>
      <c r="BE144" s="105"/>
      <c r="BF144" s="105"/>
      <c r="BG144" s="105"/>
      <c r="BH144" s="105"/>
      <c r="BI144" s="105"/>
      <c r="BJ144" s="105"/>
      <c r="BK144" s="105"/>
      <c r="BL144" s="105"/>
      <c r="BM144" s="105"/>
      <c r="BN144" s="105"/>
      <c r="BO144" s="105"/>
      <c r="BP144" s="105"/>
      <c r="BQ144" s="105"/>
      <c r="BR144" s="105"/>
      <c r="BS144" s="105"/>
      <c r="BT144" s="105"/>
      <c r="BU144" s="105"/>
      <c r="BV144" s="105"/>
    </row>
    <row r="145">
      <c r="A145" s="109">
        <f>VLOOKUP($F145,UpdateHashtag!$V$3:$Y$32,COLUMN(B$9),0)</f>
        <v>4</v>
      </c>
      <c r="B145" s="91" t="str">
        <f>VLOOKUP($F145,UpdateHashtag!$V$3:$Y$32,COLUMN(#REF!),0)</f>
        <v>#REF!</v>
      </c>
      <c r="C145" s="91" t="str">
        <f>VLOOKUP($F145,UpdateHashtag!$V$3:$Y$32,COLUMN(#REF!),0)</f>
        <v>#REF!</v>
      </c>
      <c r="D145" s="110" t="str">
        <f t="shared" si="2"/>
        <v>#REF!</v>
      </c>
      <c r="E145" s="11"/>
      <c r="F145" s="94" t="str">
        <f>VLOOKUP(J145,UpdateBBM!$C$2:E1009,3,0)</f>
        <v>SAC</v>
      </c>
      <c r="G145" s="78">
        <v>132.0</v>
      </c>
      <c r="H145" s="111">
        <f>IFERROR(__xludf.DUMMYFUNCTION("""COMPUTED_VALUE"""),132.0)</f>
        <v>132</v>
      </c>
      <c r="I145" s="111"/>
      <c r="J145" s="112" t="str">
        <f>IFERROR(__xludf.DUMMYFUNCTION("""COMPUTED_VALUE"""),"Malik Monk")</f>
        <v>Malik Monk</v>
      </c>
      <c r="K145" s="111">
        <f>IFERROR(__xludf.DUMMYFUNCTION("""COMPUTED_VALUE"""),68.0)</f>
        <v>68</v>
      </c>
      <c r="L145" s="113" t="str">
        <f>IFERROR(__xludf.DUMMYFUNCTION("""COMPUTED_VALUE"""),"G")</f>
        <v>G</v>
      </c>
      <c r="M145" s="114">
        <f>IFERROR(__xludf.DUMMYFUNCTION("""COMPUTED_VALUE"""),-1.1637898042036696)</f>
        <v>-1.163789804</v>
      </c>
      <c r="N145" s="114">
        <f>IFERROR(__xludf.DUMMYFUNCTION("""COMPUTED_VALUE"""),-1.0832662026544078)</f>
        <v>-1.083266203</v>
      </c>
      <c r="O145" s="115">
        <f>IFERROR(__xludf.DUMMYFUNCTION("""COMPUTED_VALUE"""),0.08052360154926186)</f>
        <v>0.08052360155</v>
      </c>
      <c r="P145" s="116">
        <f>IFERROR(__xludf.DUMMYFUNCTION("""COMPUTED_VALUE"""),14.88412)</f>
        <v>14.88412</v>
      </c>
      <c r="Q145" s="116">
        <f>IFERROR(__xludf.DUMMYFUNCTION("""COMPUTED_VALUE"""),1.971618)</f>
        <v>1.971618</v>
      </c>
      <c r="R145" s="116">
        <f>IFERROR(__xludf.DUMMYFUNCTION("""COMPUTED_VALUE"""),3.11)</f>
        <v>3.11</v>
      </c>
      <c r="S145" s="117">
        <f>IFERROR(__xludf.DUMMYFUNCTION("""COMPUTED_VALUE"""),4.365)</f>
        <v>4.365</v>
      </c>
      <c r="T145" s="116">
        <f>IFERROR(__xludf.DUMMYFUNCTION("""COMPUTED_VALUE"""),0.737206)</f>
        <v>0.737206</v>
      </c>
      <c r="U145" s="116">
        <f>IFERROR(__xludf.DUMMYFUNCTION("""COMPUTED_VALUE"""),0.502794)</f>
        <v>0.502794</v>
      </c>
      <c r="V145" s="113">
        <f>IFERROR(__xludf.DUMMYFUNCTION("""COMPUTED_VALUE"""),0.462743)</f>
        <v>0.462743</v>
      </c>
      <c r="W145" s="113">
        <f>IFERROR(__xludf.DUMMYFUNCTION("""COMPUTED_VALUE"""),0.838002)</f>
        <v>0.838002</v>
      </c>
      <c r="X145" s="116">
        <f>IFERROR(__xludf.DUMMYFUNCTION("""COMPUTED_VALUE"""),2.073382)</f>
        <v>2.073382</v>
      </c>
      <c r="Y145" s="114">
        <f>IFERROR(__xludf.DUMMYFUNCTION("""COMPUTED_VALUE"""),-0.401849247303562)</f>
        <v>-0.4018492473</v>
      </c>
      <c r="Z145" s="114">
        <f>IFERROR(__xludf.DUMMYFUNCTION("""COMPUTED_VALUE"""),0.19516049438697672)</f>
        <v>0.1951604944</v>
      </c>
      <c r="AA145" s="114">
        <f>IFERROR(__xludf.DUMMYFUNCTION("""COMPUTED_VALUE"""),-1.222747378854119)</f>
        <v>-1.222747379</v>
      </c>
      <c r="AB145" s="114">
        <f>IFERROR(__xludf.DUMMYFUNCTION("""COMPUTED_VALUE"""),0.2579853147084279)</f>
        <v>0.2579853147</v>
      </c>
      <c r="AC145" s="114">
        <f>IFERROR(__xludf.DUMMYFUNCTION("""COMPUTED_VALUE"""),-0.9384911338851001)</f>
        <v>-0.9384911339</v>
      </c>
      <c r="AD145" s="114">
        <f>IFERROR(__xludf.DUMMYFUNCTION("""COMPUTED_VALUE"""),-0.4134627932486495)</f>
        <v>-0.4134627932</v>
      </c>
      <c r="AE145" s="114">
        <f>IFERROR(__xludf.DUMMYFUNCTION("""COMPUTED_VALUE"""),-0.45093356737732315)</f>
        <v>-0.4509335674</v>
      </c>
      <c r="AF145" s="114">
        <f>IFERROR(__xludf.DUMMYFUNCTION("""COMPUTED_VALUE"""),0.6683247300648218)</f>
        <v>0.6683247301</v>
      </c>
      <c r="AG145" s="118">
        <f>IFERROR(__xludf.DUMMYFUNCTION("""COMPUTED_VALUE"""),0.0)</f>
        <v>0</v>
      </c>
      <c r="AH145" s="105"/>
      <c r="AI145" s="202"/>
      <c r="AJ145" s="63"/>
      <c r="AK145" s="105"/>
      <c r="AL145" s="105"/>
      <c r="AM145" s="105"/>
      <c r="AN145" s="105"/>
      <c r="AO145" s="105"/>
      <c r="AP145" s="105"/>
      <c r="AQ145" s="105"/>
      <c r="AR145" s="105"/>
      <c r="AS145" s="105"/>
      <c r="AT145" s="105"/>
      <c r="AU145" s="105"/>
      <c r="AV145" s="105"/>
      <c r="AW145" s="105"/>
      <c r="AX145" s="105"/>
      <c r="AY145" s="105"/>
      <c r="AZ145" s="105"/>
      <c r="BA145" s="105"/>
      <c r="BB145" s="105"/>
      <c r="BC145" s="105"/>
      <c r="BD145" s="105"/>
      <c r="BE145" s="105"/>
      <c r="BF145" s="105"/>
      <c r="BG145" s="105"/>
      <c r="BH145" s="105"/>
      <c r="BI145" s="105"/>
      <c r="BJ145" s="105"/>
      <c r="BK145" s="105"/>
      <c r="BL145" s="105"/>
      <c r="BM145" s="105"/>
      <c r="BN145" s="105"/>
      <c r="BO145" s="105"/>
      <c r="BP145" s="105"/>
      <c r="BQ145" s="105"/>
      <c r="BR145" s="105"/>
      <c r="BS145" s="105"/>
      <c r="BT145" s="105"/>
      <c r="BU145" s="105"/>
      <c r="BV145" s="105"/>
    </row>
    <row r="146">
      <c r="A146" s="109">
        <f>VLOOKUP($F146,UpdateHashtag!$V$3:$Y$32,COLUMN(B$9),0)</f>
        <v>3</v>
      </c>
      <c r="B146" s="91" t="str">
        <f>VLOOKUP($F146,UpdateHashtag!$V$3:$Y$32,COLUMN(#REF!),0)</f>
        <v>#REF!</v>
      </c>
      <c r="C146" s="91" t="str">
        <f>VLOOKUP($F146,UpdateHashtag!$V$3:$Y$32,COLUMN(#REF!),0)</f>
        <v>#REF!</v>
      </c>
      <c r="D146" s="110" t="str">
        <f t="shared" si="2"/>
        <v>#REF!</v>
      </c>
      <c r="E146" s="11"/>
      <c r="F146" s="94" t="str">
        <f>VLOOKUP(J146,UpdateBBM!$C$2:E1009,3,0)</f>
        <v>IND</v>
      </c>
      <c r="G146" s="78">
        <v>133.0</v>
      </c>
      <c r="H146" s="111">
        <f>IFERROR(__xludf.DUMMYFUNCTION("""COMPUTED_VALUE"""),133.0)</f>
        <v>133</v>
      </c>
      <c r="I146" s="111"/>
      <c r="J146" s="112" t="str">
        <f>IFERROR(__xludf.DUMMYFUNCTION("""COMPUTED_VALUE"""),"T.J. McConnell")</f>
        <v>T.J. McConnell</v>
      </c>
      <c r="K146" s="111">
        <f>IFERROR(__xludf.DUMMYFUNCTION("""COMPUTED_VALUE"""),73.0)</f>
        <v>73</v>
      </c>
      <c r="L146" s="113" t="str">
        <f>IFERROR(__xludf.DUMMYFUNCTION("""COMPUTED_VALUE"""),"G")</f>
        <v>G</v>
      </c>
      <c r="M146" s="114">
        <f>IFERROR(__xludf.DUMMYFUNCTION("""COMPUTED_VALUE"""),-1.1836060973275402)</f>
        <v>-1.183606097</v>
      </c>
      <c r="N146" s="114">
        <f>IFERROR(__xludf.DUMMYFUNCTION("""COMPUTED_VALUE"""),-1.103785277148188)</f>
        <v>-1.103785277</v>
      </c>
      <c r="O146" s="115">
        <f>IFERROR(__xludf.DUMMYFUNCTION("""COMPUTED_VALUE"""),0.07982082017935221)</f>
        <v>0.07982082018</v>
      </c>
      <c r="P146" s="116">
        <f>IFERROR(__xludf.DUMMYFUNCTION("""COMPUTED_VALUE"""),11.28986)</f>
        <v>11.28986</v>
      </c>
      <c r="Q146" s="116">
        <f>IFERROR(__xludf.DUMMYFUNCTION("""COMPUTED_VALUE"""),0.317671)</f>
        <v>0.317671</v>
      </c>
      <c r="R146" s="116">
        <f>IFERROR(__xludf.DUMMYFUNCTION("""COMPUTED_VALUE"""),3.232055)</f>
        <v>3.232055</v>
      </c>
      <c r="S146" s="117">
        <f>IFERROR(__xludf.DUMMYFUNCTION("""COMPUTED_VALUE"""),6.982466)</f>
        <v>6.982466</v>
      </c>
      <c r="T146" s="116">
        <f>IFERROR(__xludf.DUMMYFUNCTION("""COMPUTED_VALUE"""),1.262466)</f>
        <v>1.262466</v>
      </c>
      <c r="U146" s="116">
        <f>IFERROR(__xludf.DUMMYFUNCTION("""COMPUTED_VALUE"""),0.295479)</f>
        <v>0.295479</v>
      </c>
      <c r="V146" s="113">
        <f>IFERROR(__xludf.DUMMYFUNCTION("""COMPUTED_VALUE"""),0.518861)</f>
        <v>0.518861</v>
      </c>
      <c r="W146" s="113">
        <f>IFERROR(__xludf.DUMMYFUNCTION("""COMPUTED_VALUE"""),0.730038)</f>
        <v>0.730038</v>
      </c>
      <c r="X146" s="116">
        <f>IFERROR(__xludf.DUMMYFUNCTION("""COMPUTED_VALUE"""),2.070548)</f>
        <v>2.070548</v>
      </c>
      <c r="Y146" s="114">
        <f>IFERROR(__xludf.DUMMYFUNCTION("""COMPUTED_VALUE"""),-1.0324356097042162)</f>
        <v>-1.03243561</v>
      </c>
      <c r="Z146" s="114">
        <f>IFERROR(__xludf.DUMMYFUNCTION("""COMPUTED_VALUE"""),-1.4022768258583291)</f>
        <v>-1.402276826</v>
      </c>
      <c r="AA146" s="114">
        <f>IFERROR(__xludf.DUMMYFUNCTION("""COMPUTED_VALUE"""),-1.1732719444420736)</f>
        <v>-1.173271944</v>
      </c>
      <c r="AB146" s="114">
        <f>IFERROR(__xludf.DUMMYFUNCTION("""COMPUTED_VALUE"""),1.5366554013305762)</f>
        <v>1.536655401</v>
      </c>
      <c r="AC146" s="114">
        <f>IFERROR(__xludf.DUMMYFUNCTION("""COMPUTED_VALUE"""),0.6620969160044543)</f>
        <v>0.662096916</v>
      </c>
      <c r="AD146" s="114">
        <f>IFERROR(__xludf.DUMMYFUNCTION("""COMPUTED_VALUE"""),-0.7903598513684829)</f>
        <v>-0.7903598514</v>
      </c>
      <c r="AE146" s="114">
        <f>IFERROR(__xludf.DUMMYFUNCTION("""COMPUTED_VALUE"""),0.3690628269176004)</f>
        <v>0.3690628269</v>
      </c>
      <c r="AF146" s="114">
        <f>IFERROR(__xludf.DUMMYFUNCTION("""COMPUTED_VALUE"""),-0.6755330158860465)</f>
        <v>-0.6755330159</v>
      </c>
      <c r="AG146" s="118">
        <f>IFERROR(__xludf.DUMMYFUNCTION("""COMPUTED_VALUE"""),0.0)</f>
        <v>0</v>
      </c>
      <c r="AH146" s="105"/>
      <c r="AI146" s="202"/>
      <c r="AJ146" s="63"/>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5"/>
      <c r="BS146" s="105"/>
      <c r="BT146" s="105"/>
      <c r="BU146" s="105"/>
      <c r="BV146" s="105"/>
    </row>
    <row r="147">
      <c r="A147" s="109">
        <f>VLOOKUP($F147,UpdateHashtag!$V$3:$Y$32,COLUMN(B$9),0)</f>
        <v>4</v>
      </c>
      <c r="B147" s="91" t="str">
        <f>VLOOKUP($F147,UpdateHashtag!$V$3:$Y$32,COLUMN(#REF!),0)</f>
        <v>#REF!</v>
      </c>
      <c r="C147" s="91" t="str">
        <f>VLOOKUP($F147,UpdateHashtag!$V$3:$Y$32,COLUMN(#REF!),0)</f>
        <v>#REF!</v>
      </c>
      <c r="D147" s="110" t="str">
        <f t="shared" si="2"/>
        <v>#REF!</v>
      </c>
      <c r="E147" s="11"/>
      <c r="F147" s="94" t="str">
        <f>VLOOKUP(J147,UpdateBBM!$C$2:E1009,3,0)</f>
        <v>MIN</v>
      </c>
      <c r="G147" s="78">
        <v>134.0</v>
      </c>
      <c r="H147" s="111">
        <f>IFERROR(__xludf.DUMMYFUNCTION("""COMPUTED_VALUE"""),134.0)</f>
        <v>134</v>
      </c>
      <c r="I147" s="111"/>
      <c r="J147" s="112" t="str">
        <f>IFERROR(__xludf.DUMMYFUNCTION("""COMPUTED_VALUE"""),"Naz Reid")</f>
        <v>Naz Reid</v>
      </c>
      <c r="K147" s="111">
        <f>IFERROR(__xludf.DUMMYFUNCTION("""COMPUTED_VALUE"""),73.0)</f>
        <v>73</v>
      </c>
      <c r="L147" s="113" t="str">
        <f>IFERROR(__xludf.DUMMYFUNCTION("""COMPUTED_VALUE"""),"F,C")</f>
        <v>F,C</v>
      </c>
      <c r="M147" s="114">
        <f>IFERROR(__xludf.DUMMYFUNCTION("""COMPUTED_VALUE"""),-1.238159290187061)</f>
        <v>-1.23815929</v>
      </c>
      <c r="N147" s="114">
        <f>IFERROR(__xludf.DUMMYFUNCTION("""COMPUTED_VALUE"""),-1.3383462218085485)</f>
        <v>-1.338346222</v>
      </c>
      <c r="O147" s="115">
        <f>IFERROR(__xludf.DUMMYFUNCTION("""COMPUTED_VALUE"""),-0.1001869316214874)</f>
        <v>-0.1001869316</v>
      </c>
      <c r="P147" s="116">
        <f>IFERROR(__xludf.DUMMYFUNCTION("""COMPUTED_VALUE"""),13.8537)</f>
        <v>13.8537</v>
      </c>
      <c r="Q147" s="116">
        <f>IFERROR(__xludf.DUMMYFUNCTION("""COMPUTED_VALUE"""),2.13726)</f>
        <v>2.13726</v>
      </c>
      <c r="R147" s="116">
        <f>IFERROR(__xludf.DUMMYFUNCTION("""COMPUTED_VALUE"""),6.07)</f>
        <v>6.07</v>
      </c>
      <c r="S147" s="117">
        <f>IFERROR(__xludf.DUMMYFUNCTION("""COMPUTED_VALUE"""),2.61726)</f>
        <v>2.61726</v>
      </c>
      <c r="T147" s="116">
        <f>IFERROR(__xludf.DUMMYFUNCTION("""COMPUTED_VALUE"""),0.660959)</f>
        <v>0.660959</v>
      </c>
      <c r="U147" s="116">
        <f>IFERROR(__xludf.DUMMYFUNCTION("""COMPUTED_VALUE"""),0.897397)</f>
        <v>0.897397</v>
      </c>
      <c r="V147" s="113">
        <f>IFERROR(__xludf.DUMMYFUNCTION("""COMPUTED_VALUE"""),0.465002)</f>
        <v>0.465002</v>
      </c>
      <c r="W147" s="113">
        <f>IFERROR(__xludf.DUMMYFUNCTION("""COMPUTED_VALUE"""),0.757025)</f>
        <v>0.757025</v>
      </c>
      <c r="X147" s="116">
        <f>IFERROR(__xludf.DUMMYFUNCTION("""COMPUTED_VALUE"""),1.344658)</f>
        <v>1.344658</v>
      </c>
      <c r="Y147" s="114">
        <f>IFERROR(__xludf.DUMMYFUNCTION("""COMPUTED_VALUE"""),-0.5826288235014112)</f>
        <v>-0.5826288235</v>
      </c>
      <c r="Z147" s="114">
        <f>IFERROR(__xludf.DUMMYFUNCTION("""COMPUTED_VALUE"""),0.35514307702116793)</f>
        <v>0.355143077</v>
      </c>
      <c r="AA147" s="114">
        <f>IFERROR(__xludf.DUMMYFUNCTION("""COMPUTED_VALUE"""),-0.0229007043249803)</f>
        <v>-0.02290070432</v>
      </c>
      <c r="AB147" s="114">
        <f>IFERROR(__xludf.DUMMYFUNCTION("""COMPUTED_VALUE"""),-0.5958110124236129)</f>
        <v>-0.5958110124</v>
      </c>
      <c r="AC147" s="114">
        <f>IFERROR(__xludf.DUMMYFUNCTION("""COMPUTED_VALUE"""),-1.17083328261131)</f>
        <v>-1.170833283</v>
      </c>
      <c r="AD147" s="114">
        <f>IFERROR(__xludf.DUMMYFUNCTION("""COMPUTED_VALUE"""),0.303922392701526)</f>
        <v>0.3039223927</v>
      </c>
      <c r="AE147" s="114">
        <f>IFERROR(__xludf.DUMMYFUNCTION("""COMPUTED_VALUE"""),-0.42157991946712536)</f>
        <v>-0.4215799195</v>
      </c>
      <c r="AF147" s="114">
        <f>IFERROR(__xludf.DUMMYFUNCTION("""COMPUTED_VALUE"""),-0.37449123181411276)</f>
        <v>-0.3744912318</v>
      </c>
      <c r="AG147" s="118">
        <f>IFERROR(__xludf.DUMMYFUNCTION("""COMPUTED_VALUE"""),0.0)</f>
        <v>0</v>
      </c>
      <c r="AH147" s="105"/>
      <c r="AI147" s="202"/>
      <c r="AJ147" s="63"/>
      <c r="AK147" s="105"/>
      <c r="AL147" s="105"/>
      <c r="AM147" s="105"/>
      <c r="AN147" s="105"/>
      <c r="AO147" s="105"/>
      <c r="AP147" s="105"/>
      <c r="AQ147" s="105"/>
      <c r="AR147" s="105"/>
      <c r="AS147" s="105"/>
      <c r="AT147" s="105"/>
      <c r="AU147" s="105"/>
      <c r="AV147" s="105"/>
      <c r="AW147" s="105"/>
      <c r="AX147" s="105"/>
      <c r="AY147" s="105"/>
      <c r="AZ147" s="105"/>
      <c r="BA147" s="105"/>
      <c r="BB147" s="105"/>
      <c r="BC147" s="105"/>
      <c r="BD147" s="105"/>
      <c r="BE147" s="105"/>
      <c r="BF147" s="105"/>
      <c r="BG147" s="105"/>
      <c r="BH147" s="105"/>
      <c r="BI147" s="105"/>
      <c r="BJ147" s="105"/>
      <c r="BK147" s="105"/>
      <c r="BL147" s="105"/>
      <c r="BM147" s="105"/>
      <c r="BN147" s="105"/>
      <c r="BO147" s="105"/>
      <c r="BP147" s="105"/>
      <c r="BQ147" s="105"/>
      <c r="BR147" s="105"/>
      <c r="BS147" s="105"/>
      <c r="BT147" s="105"/>
      <c r="BU147" s="105"/>
      <c r="BV147" s="105"/>
    </row>
    <row r="148">
      <c r="A148" s="91" t="str">
        <f>VLOOKUP($F148,UpdateHashtag!$V$3:$Y$32,COLUMN(B$9),0)</f>
        <v>#N/A</v>
      </c>
      <c r="B148" s="91" t="str">
        <f>VLOOKUP($F148,UpdateHashtag!$V$3:$Y$32,COLUMN(#REF!),0)</f>
        <v>#REF!</v>
      </c>
      <c r="C148" s="91" t="str">
        <f>VLOOKUP($F148,UpdateHashtag!$V$3:$Y$32,COLUMN(#REF!),0)</f>
        <v>#REF!</v>
      </c>
      <c r="D148" s="110" t="str">
        <f t="shared" si="2"/>
        <v>#N/A</v>
      </c>
      <c r="E148" s="11"/>
      <c r="F148" s="94" t="str">
        <f>VLOOKUP(J148,UpdateBBM!$C$2:E1009,3,0)</f>
        <v>GSW</v>
      </c>
      <c r="G148" s="78">
        <v>135.0</v>
      </c>
      <c r="H148" s="111">
        <f>IFERROR(__xludf.DUMMYFUNCTION("""COMPUTED_VALUE"""),135.0)</f>
        <v>135</v>
      </c>
      <c r="I148" s="111"/>
      <c r="J148" s="112" t="str">
        <f>IFERROR(__xludf.DUMMYFUNCTION("""COMPUTED_VALUE"""),"Al Horford")</f>
        <v>Al Horford</v>
      </c>
      <c r="K148" s="111">
        <f>IFERROR(__xludf.DUMMYFUNCTION("""COMPUTED_VALUE"""),53.0)</f>
        <v>53</v>
      </c>
      <c r="L148" s="113" t="str">
        <f>IFERROR(__xludf.DUMMYFUNCTION("""COMPUTED_VALUE"""),"F,C")</f>
        <v>F,C</v>
      </c>
      <c r="M148" s="114">
        <f>IFERROR(__xludf.DUMMYFUNCTION("""COMPUTED_VALUE"""),-1.254582529704188)</f>
        <v>-1.25458253</v>
      </c>
      <c r="N148" s="114">
        <f>IFERROR(__xludf.DUMMYFUNCTION("""COMPUTED_VALUE"""),-1.4734120500231078)</f>
        <v>-1.47341205</v>
      </c>
      <c r="O148" s="115">
        <f>IFERROR(__xludf.DUMMYFUNCTION("""COMPUTED_VALUE"""),-0.2188295203189199)</f>
        <v>-0.2188295203</v>
      </c>
      <c r="P148" s="116">
        <f>IFERROR(__xludf.DUMMYFUNCTION("""COMPUTED_VALUE"""),8.823962)</f>
        <v>8.823962</v>
      </c>
      <c r="Q148" s="116">
        <f>IFERROR(__xludf.DUMMYFUNCTION("""COMPUTED_VALUE"""),1.85434)</f>
        <v>1.85434</v>
      </c>
      <c r="R148" s="116">
        <f>IFERROR(__xludf.DUMMYFUNCTION("""COMPUTED_VALUE"""),6.52566)</f>
        <v>6.52566</v>
      </c>
      <c r="S148" s="117">
        <f>IFERROR(__xludf.DUMMYFUNCTION("""COMPUTED_VALUE"""),2.540943)</f>
        <v>2.540943</v>
      </c>
      <c r="T148" s="116">
        <f>IFERROR(__xludf.DUMMYFUNCTION("""COMPUTED_VALUE"""),0.575849)</f>
        <v>0.575849</v>
      </c>
      <c r="U148" s="116">
        <f>IFERROR(__xludf.DUMMYFUNCTION("""COMPUTED_VALUE"""),0.867925)</f>
        <v>0.867925</v>
      </c>
      <c r="V148" s="113">
        <f>IFERROR(__xludf.DUMMYFUNCTION("""COMPUTED_VALUE"""),0.438634)</f>
        <v>0.438634</v>
      </c>
      <c r="W148" s="113">
        <f>IFERROR(__xludf.DUMMYFUNCTION("""COMPUTED_VALUE"""),0.850021)</f>
        <v>0.850021</v>
      </c>
      <c r="X148" s="116">
        <f>IFERROR(__xludf.DUMMYFUNCTION("""COMPUTED_VALUE"""),0.866226)</f>
        <v>0.866226</v>
      </c>
      <c r="Y148" s="114">
        <f>IFERROR(__xludf.DUMMYFUNCTION("""COMPUTED_VALUE"""),-1.465059195608143)</f>
        <v>-1.465059196</v>
      </c>
      <c r="Z148" s="114">
        <f>IFERROR(__xludf.DUMMYFUNCTION("""COMPUTED_VALUE"""),0.08188948023493378)</f>
        <v>0.08188948023</v>
      </c>
      <c r="AA148" s="114">
        <f>IFERROR(__xludf.DUMMYFUNCTION("""COMPUTED_VALUE"""),0.16180271990338024)</f>
        <v>0.1618027199</v>
      </c>
      <c r="AB148" s="114">
        <f>IFERROR(__xludf.DUMMYFUNCTION("""COMPUTED_VALUE"""),-0.6330929732975048)</f>
        <v>-0.6330929733</v>
      </c>
      <c r="AC148" s="114">
        <f>IFERROR(__xludf.DUMMYFUNCTION("""COMPUTED_VALUE"""),-1.4301830311665011)</f>
        <v>-1.430183031</v>
      </c>
      <c r="AD148" s="114">
        <f>IFERROR(__xludf.DUMMYFUNCTION("""COMPUTED_VALUE"""),0.2503425258471848)</f>
        <v>0.2503425258</v>
      </c>
      <c r="AE148" s="114">
        <f>IFERROR(__xludf.DUMMYFUNCTION("""COMPUTED_VALUE"""),-0.7451115813226583)</f>
        <v>-0.7451115813</v>
      </c>
      <c r="AF148" s="114">
        <f>IFERROR(__xludf.DUMMYFUNCTION("""COMPUTED_VALUE"""),0.8409408097780583)</f>
        <v>0.8409408098</v>
      </c>
      <c r="AG148" s="118">
        <f>IFERROR(__xludf.DUMMYFUNCTION("""COMPUTED_VALUE"""),0.0)</f>
        <v>0</v>
      </c>
      <c r="AH148" s="105"/>
      <c r="AI148" s="202"/>
      <c r="AJ148" s="63"/>
      <c r="AK148" s="105"/>
      <c r="AL148" s="105"/>
      <c r="AM148" s="105"/>
      <c r="AN148" s="105"/>
      <c r="AO148" s="105"/>
      <c r="AP148" s="105"/>
      <c r="AQ148" s="105"/>
      <c r="AR148" s="105"/>
      <c r="AS148" s="105"/>
      <c r="AT148" s="105"/>
      <c r="AU148" s="105"/>
      <c r="AV148" s="105"/>
      <c r="AW148" s="105"/>
      <c r="AX148" s="105"/>
      <c r="AY148" s="105"/>
      <c r="AZ148" s="105"/>
      <c r="BA148" s="105"/>
      <c r="BB148" s="105"/>
      <c r="BC148" s="105"/>
      <c r="BD148" s="105"/>
      <c r="BE148" s="105"/>
      <c r="BF148" s="105"/>
      <c r="BG148" s="105"/>
      <c r="BH148" s="105"/>
      <c r="BI148" s="105"/>
      <c r="BJ148" s="105"/>
      <c r="BK148" s="105"/>
      <c r="BL148" s="105"/>
      <c r="BM148" s="105"/>
      <c r="BN148" s="105"/>
      <c r="BO148" s="105"/>
      <c r="BP148" s="105"/>
      <c r="BQ148" s="105"/>
      <c r="BR148" s="105"/>
      <c r="BS148" s="105"/>
      <c r="BT148" s="105"/>
      <c r="BU148" s="105"/>
      <c r="BV148" s="105"/>
    </row>
    <row r="149">
      <c r="A149" s="109">
        <f>VLOOKUP($F149,UpdateHashtag!$V$3:$Y$32,COLUMN(B$9),0)</f>
        <v>4</v>
      </c>
      <c r="B149" s="91" t="str">
        <f>VLOOKUP($F149,UpdateHashtag!$V$3:$Y$32,COLUMN(#REF!),0)</f>
        <v>#REF!</v>
      </c>
      <c r="C149" s="91" t="str">
        <f>VLOOKUP($F149,UpdateHashtag!$V$3:$Y$32,COLUMN(#REF!),0)</f>
        <v>#REF!</v>
      </c>
      <c r="D149" s="110" t="str">
        <f t="shared" si="2"/>
        <v>#REF!</v>
      </c>
      <c r="E149" s="11"/>
      <c r="F149" s="94" t="str">
        <f>VLOOKUP(J149,UpdateBBM!$C$2:E1009,3,0)</f>
        <v>MIL</v>
      </c>
      <c r="G149" s="78">
        <v>136.0</v>
      </c>
      <c r="H149" s="111">
        <f>IFERROR(__xludf.DUMMYFUNCTION("""COMPUTED_VALUE"""),136.0)</f>
        <v>136</v>
      </c>
      <c r="I149" s="111"/>
      <c r="J149" s="112" t="str">
        <f>IFERROR(__xludf.DUMMYFUNCTION("""COMPUTED_VALUE"""),"Bobby Portis")</f>
        <v>Bobby Portis</v>
      </c>
      <c r="K149" s="111">
        <f>IFERROR(__xludf.DUMMYFUNCTION("""COMPUTED_VALUE"""),73.0)</f>
        <v>73</v>
      </c>
      <c r="L149" s="113" t="str">
        <f>IFERROR(__xludf.DUMMYFUNCTION("""COMPUTED_VALUE"""),"F,C")</f>
        <v>F,C</v>
      </c>
      <c r="M149" s="114">
        <f>IFERROR(__xludf.DUMMYFUNCTION("""COMPUTED_VALUE"""),-1.2555299577408343)</f>
        <v>-1.255529958</v>
      </c>
      <c r="N149" s="114">
        <f>IFERROR(__xludf.DUMMYFUNCTION("""COMPUTED_VALUE"""),-1.4143835108752718)</f>
        <v>-1.414383511</v>
      </c>
      <c r="O149" s="115">
        <f>IFERROR(__xludf.DUMMYFUNCTION("""COMPUTED_VALUE"""),-0.1588535531344375)</f>
        <v>-0.1588535531</v>
      </c>
      <c r="P149" s="116">
        <f>IFERROR(__xludf.DUMMYFUNCTION("""COMPUTED_VALUE"""),13.78288)</f>
        <v>13.78288</v>
      </c>
      <c r="Q149" s="116">
        <f>IFERROR(__xludf.DUMMYFUNCTION("""COMPUTED_VALUE"""),1.353288)</f>
        <v>1.353288</v>
      </c>
      <c r="R149" s="116">
        <f>IFERROR(__xludf.DUMMYFUNCTION("""COMPUTED_VALUE"""),7.890685)</f>
        <v>7.890685</v>
      </c>
      <c r="S149" s="117">
        <f>IFERROR(__xludf.DUMMYFUNCTION("""COMPUTED_VALUE"""),2.209315)</f>
        <v>2.209315</v>
      </c>
      <c r="T149" s="116">
        <f>IFERROR(__xludf.DUMMYFUNCTION("""COMPUTED_VALUE"""),0.784658)</f>
        <v>0.784658</v>
      </c>
      <c r="U149" s="116">
        <f>IFERROR(__xludf.DUMMYFUNCTION("""COMPUTED_VALUE"""),0.475068)</f>
        <v>0.475068</v>
      </c>
      <c r="V149" s="113">
        <f>IFERROR(__xludf.DUMMYFUNCTION("""COMPUTED_VALUE"""),0.474593)</f>
        <v>0.474593</v>
      </c>
      <c r="W149" s="113">
        <f>IFERROR(__xludf.DUMMYFUNCTION("""COMPUTED_VALUE"""),0.820036)</f>
        <v>0.820036</v>
      </c>
      <c r="X149" s="116">
        <f>IFERROR(__xludf.DUMMYFUNCTION("""COMPUTED_VALUE"""),1.108082)</f>
        <v>1.108082</v>
      </c>
      <c r="Y149" s="114">
        <f>IFERROR(__xludf.DUMMYFUNCTION("""COMPUTED_VALUE"""),-0.595053669279183)</f>
        <v>-0.5950536693</v>
      </c>
      <c r="Z149" s="114">
        <f>IFERROR(__xludf.DUMMYFUNCTION("""COMPUTED_VALUE"""),-0.4020432964402263)</f>
        <v>-0.4020432964</v>
      </c>
      <c r="AA149" s="114">
        <f>IFERROR(__xludf.DUMMYFUNCTION("""COMPUTED_VALUE"""),0.715120526288224)</f>
        <v>0.7151205263</v>
      </c>
      <c r="AB149" s="114">
        <f>IFERROR(__xludf.DUMMYFUNCTION("""COMPUTED_VALUE"""),-0.7950980589361835)</f>
        <v>-0.7950980589</v>
      </c>
      <c r="AC149" s="114">
        <f>IFERROR(__xludf.DUMMYFUNCTION("""COMPUTED_VALUE"""),-0.7938939741102096)</f>
        <v>-0.7938939741</v>
      </c>
      <c r="AD149" s="114">
        <f>IFERROR(__xludf.DUMMYFUNCTION("""COMPUTED_VALUE"""),-0.46386844567819147)</f>
        <v>-0.4638684457</v>
      </c>
      <c r="AE149" s="114">
        <f>IFERROR(__xludf.DUMMYFUNCTION("""COMPUTED_VALUE"""),-0.29353948387672846)</f>
        <v>-0.2935394839</v>
      </c>
      <c r="AF149" s="114">
        <f>IFERROR(__xludf.DUMMYFUNCTION("""COMPUTED_VALUE"""),0.418894832221043)</f>
        <v>0.4188948322</v>
      </c>
      <c r="AG149" s="118">
        <f>IFERROR(__xludf.DUMMYFUNCTION("""COMPUTED_VALUE"""),0.0)</f>
        <v>0</v>
      </c>
      <c r="AH149" s="105"/>
      <c r="AI149" s="202"/>
      <c r="AJ149" s="63"/>
      <c r="AK149" s="105"/>
      <c r="AL149" s="105"/>
      <c r="AM149" s="105"/>
      <c r="AN149" s="105"/>
      <c r="AO149" s="105"/>
      <c r="AP149" s="105"/>
      <c r="AQ149" s="105"/>
      <c r="AR149" s="105"/>
      <c r="AS149" s="105"/>
      <c r="AT149" s="105"/>
      <c r="AU149" s="105"/>
      <c r="AV149" s="105"/>
      <c r="AW149" s="105"/>
      <c r="AX149" s="105"/>
      <c r="AY149" s="105"/>
      <c r="AZ149" s="105"/>
      <c r="BA149" s="105"/>
      <c r="BB149" s="105"/>
      <c r="BC149" s="105"/>
      <c r="BD149" s="105"/>
      <c r="BE149" s="105"/>
      <c r="BF149" s="105"/>
      <c r="BG149" s="105"/>
      <c r="BH149" s="105"/>
      <c r="BI149" s="105"/>
      <c r="BJ149" s="105"/>
      <c r="BK149" s="105"/>
      <c r="BL149" s="105"/>
      <c r="BM149" s="105"/>
      <c r="BN149" s="105"/>
      <c r="BO149" s="105"/>
      <c r="BP149" s="105"/>
      <c r="BQ149" s="105"/>
      <c r="BR149" s="105"/>
      <c r="BS149" s="105"/>
      <c r="BT149" s="105"/>
      <c r="BU149" s="105"/>
      <c r="BV149" s="105"/>
    </row>
    <row r="150">
      <c r="A150" s="109">
        <f>VLOOKUP($F150,UpdateHashtag!$V$3:$Y$32,COLUMN(B$9),0)</f>
        <v>4</v>
      </c>
      <c r="B150" s="91" t="str">
        <f>VLOOKUP($F150,UpdateHashtag!$V$3:$Y$32,COLUMN(#REF!),0)</f>
        <v>#REF!</v>
      </c>
      <c r="C150" s="91" t="str">
        <f>VLOOKUP($F150,UpdateHashtag!$V$3:$Y$32,COLUMN(#REF!),0)</f>
        <v>#REF!</v>
      </c>
      <c r="D150" s="110" t="str">
        <f t="shared" si="2"/>
        <v>#REF!</v>
      </c>
      <c r="E150" s="11"/>
      <c r="F150" s="94" t="str">
        <f>VLOOKUP(J150,UpdateBBM!$C$2:E1009,3,0)</f>
        <v>MEM</v>
      </c>
      <c r="G150" s="78">
        <v>137.0</v>
      </c>
      <c r="H150" s="111">
        <f>IFERROR(__xludf.DUMMYFUNCTION("""COMPUTED_VALUE"""),137.0)</f>
        <v>137</v>
      </c>
      <c r="I150" s="111"/>
      <c r="J150" s="112" t="str">
        <f>IFERROR(__xludf.DUMMYFUNCTION("""COMPUTED_VALUE"""),"Scotty Pippen Jr.")</f>
        <v>Scotty Pippen Jr.</v>
      </c>
      <c r="K150" s="111">
        <f>IFERROR(__xludf.DUMMYFUNCTION("""COMPUTED_VALUE"""),73.0)</f>
        <v>73</v>
      </c>
      <c r="L150" s="113" t="str">
        <f>IFERROR(__xludf.DUMMYFUNCTION("""COMPUTED_VALUE"""),"G")</f>
        <v>G</v>
      </c>
      <c r="M150" s="114">
        <f>IFERROR(__xludf.DUMMYFUNCTION("""COMPUTED_VALUE"""),-1.2923693197247534)</f>
        <v>-1.29236932</v>
      </c>
      <c r="N150" s="114">
        <f>IFERROR(__xludf.DUMMYFUNCTION("""COMPUTED_VALUE"""),-1.2238944261570694)</f>
        <v>-1.223894426</v>
      </c>
      <c r="O150" s="115">
        <f>IFERROR(__xludf.DUMMYFUNCTION("""COMPUTED_VALUE"""),0.06847489356768399)</f>
        <v>0.06847489357</v>
      </c>
      <c r="P150" s="116">
        <f>IFERROR(__xludf.DUMMYFUNCTION("""COMPUTED_VALUE"""),12.13548)</f>
        <v>12.13548</v>
      </c>
      <c r="Q150" s="116">
        <f>IFERROR(__xludf.DUMMYFUNCTION("""COMPUTED_VALUE"""),1.403151)</f>
        <v>1.403151</v>
      </c>
      <c r="R150" s="116">
        <f>IFERROR(__xludf.DUMMYFUNCTION("""COMPUTED_VALUE"""),3.520822)</f>
        <v>3.520822</v>
      </c>
      <c r="S150" s="117">
        <f>IFERROR(__xludf.DUMMYFUNCTION("""COMPUTED_VALUE"""),4.875068)</f>
        <v>4.875068</v>
      </c>
      <c r="T150" s="116">
        <f>IFERROR(__xludf.DUMMYFUNCTION("""COMPUTED_VALUE"""),1.408356)</f>
        <v>1.408356</v>
      </c>
      <c r="U150" s="116">
        <f>IFERROR(__xludf.DUMMYFUNCTION("""COMPUTED_VALUE"""),0.478219)</f>
        <v>0.478219</v>
      </c>
      <c r="V150" s="113">
        <f>IFERROR(__xludf.DUMMYFUNCTION("""COMPUTED_VALUE"""),0.468865)</f>
        <v>0.468865</v>
      </c>
      <c r="W150" s="113">
        <f>IFERROR(__xludf.DUMMYFUNCTION("""COMPUTED_VALUE"""),0.721021)</f>
        <v>0.721021</v>
      </c>
      <c r="X150" s="116">
        <f>IFERROR(__xludf.DUMMYFUNCTION("""COMPUTED_VALUE"""),2.024795)</f>
        <v>2.024795</v>
      </c>
      <c r="Y150" s="114">
        <f>IFERROR(__xludf.DUMMYFUNCTION("""COMPUTED_VALUE"""),-0.8840778281933512)</f>
        <v>-0.8840778282</v>
      </c>
      <c r="Z150" s="114">
        <f>IFERROR(__xludf.DUMMYFUNCTION("""COMPUTED_VALUE"""),-0.3538839436318282)</f>
        <v>-0.3538839436</v>
      </c>
      <c r="AA150" s="114">
        <f>IFERROR(__xludf.DUMMYFUNCTION("""COMPUTED_VALUE"""),-1.0562191996232373)</f>
        <v>-1.0562192</v>
      </c>
      <c r="AB150" s="114">
        <f>IFERROR(__xludf.DUMMYFUNCTION("""COMPUTED_VALUE"""),0.5071609272066172)</f>
        <v>0.5071609272</v>
      </c>
      <c r="AC150" s="114">
        <f>IFERROR(__xludf.DUMMYFUNCTION("""COMPUTED_VALUE"""),1.1066573062842906)</f>
        <v>1.106657306</v>
      </c>
      <c r="AD150" s="114">
        <f>IFERROR(__xludf.DUMMYFUNCTION("""COMPUTED_VALUE"""),-0.4581399521773083)</f>
        <v>-0.4581399522</v>
      </c>
      <c r="AE150" s="114">
        <f>IFERROR(__xludf.DUMMYFUNCTION("""COMPUTED_VALUE"""),-0.3706733322776785)</f>
        <v>-0.3706733323</v>
      </c>
      <c r="AF150" s="114">
        <f>IFERROR(__xludf.DUMMYFUNCTION("""COMPUTED_VALUE"""),-0.7709376033678113)</f>
        <v>-0.7709376034</v>
      </c>
      <c r="AG150" s="118">
        <f>IFERROR(__xludf.DUMMYFUNCTION("""COMPUTED_VALUE"""),0.0)</f>
        <v>0</v>
      </c>
      <c r="AH150" s="105"/>
      <c r="AI150" s="202"/>
      <c r="AJ150" s="63"/>
      <c r="AK150" s="105"/>
      <c r="AL150" s="105"/>
      <c r="AM150" s="105"/>
      <c r="AN150" s="105"/>
      <c r="AO150" s="105"/>
      <c r="AP150" s="105"/>
      <c r="AQ150" s="105"/>
      <c r="AR150" s="105"/>
      <c r="AS150" s="105"/>
      <c r="AT150" s="105"/>
      <c r="AU150" s="105"/>
      <c r="AV150" s="105"/>
      <c r="AW150" s="105"/>
      <c r="AX150" s="105"/>
      <c r="AY150" s="105"/>
      <c r="AZ150" s="105"/>
      <c r="BA150" s="105"/>
      <c r="BB150" s="105"/>
      <c r="BC150" s="105"/>
      <c r="BD150" s="105"/>
      <c r="BE150" s="105"/>
      <c r="BF150" s="105"/>
      <c r="BG150" s="105"/>
      <c r="BH150" s="105"/>
      <c r="BI150" s="105"/>
      <c r="BJ150" s="105"/>
      <c r="BK150" s="105"/>
      <c r="BL150" s="105"/>
      <c r="BM150" s="105"/>
      <c r="BN150" s="105"/>
      <c r="BO150" s="105"/>
      <c r="BP150" s="105"/>
      <c r="BQ150" s="105"/>
      <c r="BR150" s="105"/>
      <c r="BS150" s="105"/>
      <c r="BT150" s="105"/>
      <c r="BU150" s="105"/>
      <c r="BV150" s="105"/>
    </row>
    <row r="151">
      <c r="A151" s="109">
        <f>VLOOKUP($F151,UpdateHashtag!$V$3:$Y$32,COLUMN(B$9),0)</f>
        <v>3</v>
      </c>
      <c r="B151" s="91" t="str">
        <f>VLOOKUP($F151,UpdateHashtag!$V$3:$Y$32,COLUMN(#REF!),0)</f>
        <v>#REF!</v>
      </c>
      <c r="C151" s="91" t="str">
        <f>VLOOKUP($F151,UpdateHashtag!$V$3:$Y$32,COLUMN(#REF!),0)</f>
        <v>#REF!</v>
      </c>
      <c r="D151" s="110" t="str">
        <f t="shared" si="2"/>
        <v>#REF!</v>
      </c>
      <c r="E151" s="11"/>
      <c r="F151" s="94" t="str">
        <f>VLOOKUP(J151,UpdateBBM!$C$2:E1009,3,0)</f>
        <v>WAS</v>
      </c>
      <c r="G151" s="78">
        <v>138.0</v>
      </c>
      <c r="H151" s="111">
        <f>IFERROR(__xludf.DUMMYFUNCTION("""COMPUTED_VALUE"""),138.0)</f>
        <v>138</v>
      </c>
      <c r="I151" s="111"/>
      <c r="J151" s="112" t="str">
        <f>IFERROR(__xludf.DUMMYFUNCTION("""COMPUTED_VALUE"""),"Cam Whitmore")</f>
        <v>Cam Whitmore</v>
      </c>
      <c r="K151" s="111">
        <f>IFERROR(__xludf.DUMMYFUNCTION("""COMPUTED_VALUE"""),68.0)</f>
        <v>68</v>
      </c>
      <c r="L151" s="113" t="str">
        <f>IFERROR(__xludf.DUMMYFUNCTION("""COMPUTED_VALUE"""),"F")</f>
        <v>F</v>
      </c>
      <c r="M151" s="114">
        <f>IFERROR(__xludf.DUMMYFUNCTION("""COMPUTED_VALUE"""),-1.327229411176217)</f>
        <v>-1.327229411</v>
      </c>
      <c r="N151" s="114">
        <f>IFERROR(__xludf.DUMMYFUNCTION("""COMPUTED_VALUE"""),-1.4270032045611942)</f>
        <v>-1.427003205</v>
      </c>
      <c r="O151" s="115">
        <f>IFERROR(__xludf.DUMMYFUNCTION("""COMPUTED_VALUE"""),-0.09977379338497716)</f>
        <v>-0.09977379338</v>
      </c>
      <c r="P151" s="116">
        <f>IFERROR(__xludf.DUMMYFUNCTION("""COMPUTED_VALUE"""),16.47103)</f>
        <v>16.47103</v>
      </c>
      <c r="Q151" s="116">
        <f>IFERROR(__xludf.DUMMYFUNCTION("""COMPUTED_VALUE"""),2.183971)</f>
        <v>2.183971</v>
      </c>
      <c r="R151" s="116">
        <f>IFERROR(__xludf.DUMMYFUNCTION("""COMPUTED_VALUE"""),5.300147)</f>
        <v>5.300147</v>
      </c>
      <c r="S151" s="117">
        <f>IFERROR(__xludf.DUMMYFUNCTION("""COMPUTED_VALUE"""),1.952647)</f>
        <v>1.952647</v>
      </c>
      <c r="T151" s="116">
        <f>IFERROR(__xludf.DUMMYFUNCTION("""COMPUTED_VALUE"""),1.014265)</f>
        <v>1.014265</v>
      </c>
      <c r="U151" s="116">
        <f>IFERROR(__xludf.DUMMYFUNCTION("""COMPUTED_VALUE"""),0.481618)</f>
        <v>0.481618</v>
      </c>
      <c r="V151" s="113">
        <f>IFERROR(__xludf.DUMMYFUNCTION("""COMPUTED_VALUE"""),0.4575)</f>
        <v>0.4575</v>
      </c>
      <c r="W151" s="113">
        <f>IFERROR(__xludf.DUMMYFUNCTION("""COMPUTED_VALUE"""),0.762992)</f>
        <v>0.762992</v>
      </c>
      <c r="X151" s="116">
        <f>IFERROR(__xludf.DUMMYFUNCTION("""COMPUTED_VALUE"""),1.346324)</f>
        <v>1.346324</v>
      </c>
      <c r="Y151" s="114">
        <f>IFERROR(__xludf.DUMMYFUNCTION("""COMPUTED_VALUE"""),-0.12343761198579926)</f>
        <v>-0.123437612</v>
      </c>
      <c r="Z151" s="114">
        <f>IFERROR(__xludf.DUMMYFUNCTION("""COMPUTED_VALUE"""),0.40025812282733875)</f>
        <v>0.4002581228</v>
      </c>
      <c r="AA151" s="114">
        <f>IFERROR(__xludf.DUMMYFUNCTION("""COMPUTED_VALUE"""),-0.3349633941649402)</f>
        <v>-0.3349633942</v>
      </c>
      <c r="AB151" s="114">
        <f>IFERROR(__xludf.DUMMYFUNCTION("""COMPUTED_VALUE"""),-0.920484097873512)</f>
        <v>-0.9204840979</v>
      </c>
      <c r="AC151" s="114">
        <f>IFERROR(__xludf.DUMMYFUNCTION("""COMPUTED_VALUE"""),-0.09422862671845901)</f>
        <v>-0.09422862672</v>
      </c>
      <c r="AD151" s="114">
        <f>IFERROR(__xludf.DUMMYFUNCTION("""COMPUTED_VALUE"""),-0.45196059660463234)</f>
        <v>-0.4519605966</v>
      </c>
      <c r="AE151" s="114">
        <f>IFERROR(__xludf.DUMMYFUNCTION("""COMPUTED_VALUE"""),-0.5178800228132863)</f>
        <v>-0.5178800228</v>
      </c>
      <c r="AF151" s="114">
        <f>IFERROR(__xludf.DUMMYFUNCTION("""COMPUTED_VALUE"""),-0.304791075101416)</f>
        <v>-0.3047910751</v>
      </c>
      <c r="AG151" s="118">
        <f>IFERROR(__xludf.DUMMYFUNCTION("""COMPUTED_VALUE"""),0.0)</f>
        <v>0</v>
      </c>
      <c r="AH151" s="105"/>
      <c r="AI151" s="202"/>
      <c r="AJ151" s="63"/>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c r="BI151" s="105"/>
      <c r="BJ151" s="105"/>
      <c r="BK151" s="105"/>
      <c r="BL151" s="105"/>
      <c r="BM151" s="105"/>
      <c r="BN151" s="105"/>
      <c r="BO151" s="105"/>
      <c r="BP151" s="105"/>
      <c r="BQ151" s="105"/>
      <c r="BR151" s="105"/>
      <c r="BS151" s="105"/>
      <c r="BT151" s="105"/>
      <c r="BU151" s="105"/>
      <c r="BV151" s="105"/>
    </row>
    <row r="152">
      <c r="A152" s="109">
        <f>VLOOKUP($F152,UpdateHashtag!$V$3:$Y$32,COLUMN(B$9),0)</f>
        <v>4</v>
      </c>
      <c r="B152" s="91" t="str">
        <f>VLOOKUP($F152,UpdateHashtag!$V$3:$Y$32,COLUMN(#REF!),0)</f>
        <v>#REF!</v>
      </c>
      <c r="C152" s="91" t="str">
        <f>VLOOKUP($F152,UpdateHashtag!$V$3:$Y$32,COLUMN(#REF!),0)</f>
        <v>#REF!</v>
      </c>
      <c r="D152" s="110" t="str">
        <f t="shared" si="2"/>
        <v>#REF!</v>
      </c>
      <c r="E152" s="11"/>
      <c r="F152" s="94" t="str">
        <f>VLOOKUP(J152,UpdateBBM!$C$2:E1009,3,0)</f>
        <v>OKC</v>
      </c>
      <c r="G152" s="78">
        <v>139.0</v>
      </c>
      <c r="H152" s="111">
        <f>IFERROR(__xludf.DUMMYFUNCTION("""COMPUTED_VALUE"""),139.0)</f>
        <v>139</v>
      </c>
      <c r="I152" s="111"/>
      <c r="J152" s="112" t="str">
        <f>IFERROR(__xludf.DUMMYFUNCTION("""COMPUTED_VALUE"""),"Alex Caruso")</f>
        <v>Alex Caruso</v>
      </c>
      <c r="K152" s="111">
        <f>IFERROR(__xludf.DUMMYFUNCTION("""COMPUTED_VALUE"""),55.0)</f>
        <v>55</v>
      </c>
      <c r="L152" s="113" t="str">
        <f>IFERROR(__xludf.DUMMYFUNCTION("""COMPUTED_VALUE"""),"G,F")</f>
        <v>G,F</v>
      </c>
      <c r="M152" s="114">
        <f>IFERROR(__xludf.DUMMYFUNCTION("""COMPUTED_VALUE"""),-1.3941012723366228)</f>
        <v>-1.394101272</v>
      </c>
      <c r="N152" s="114">
        <f>IFERROR(__xludf.DUMMYFUNCTION("""COMPUTED_VALUE"""),-1.667542906265169)</f>
        <v>-1.667542906</v>
      </c>
      <c r="O152" s="115">
        <f>IFERROR(__xludf.DUMMYFUNCTION("""COMPUTED_VALUE"""),-0.27344163392854615)</f>
        <v>-0.2734416339</v>
      </c>
      <c r="P152" s="116">
        <f>IFERROR(__xludf.DUMMYFUNCTION("""COMPUTED_VALUE"""),7.695091)</f>
        <v>7.695091</v>
      </c>
      <c r="Q152" s="116">
        <f>IFERROR(__xludf.DUMMYFUNCTION("""COMPUTED_VALUE"""),1.157455)</f>
        <v>1.157455</v>
      </c>
      <c r="R152" s="116">
        <f>IFERROR(__xludf.DUMMYFUNCTION("""COMPUTED_VALUE"""),2.826182)</f>
        <v>2.826182</v>
      </c>
      <c r="S152" s="117">
        <f>IFERROR(__xludf.DUMMYFUNCTION("""COMPUTED_VALUE"""),2.498)</f>
        <v>2.498</v>
      </c>
      <c r="T152" s="116">
        <f>IFERROR(__xludf.DUMMYFUNCTION("""COMPUTED_VALUE"""),1.453455)</f>
        <v>1.453455</v>
      </c>
      <c r="U152" s="116">
        <f>IFERROR(__xludf.DUMMYFUNCTION("""COMPUTED_VALUE"""),0.569636)</f>
        <v>0.569636</v>
      </c>
      <c r="V152" s="113">
        <f>IFERROR(__xludf.DUMMYFUNCTION("""COMPUTED_VALUE"""),0.461297)</f>
        <v>0.461297</v>
      </c>
      <c r="W152" s="113">
        <f>IFERROR(__xludf.DUMMYFUNCTION("""COMPUTED_VALUE"""),0.821067)</f>
        <v>0.821067</v>
      </c>
      <c r="X152" s="116">
        <f>IFERROR(__xludf.DUMMYFUNCTION("""COMPUTED_VALUE"""),0.646)</f>
        <v>0.646</v>
      </c>
      <c r="Y152" s="114">
        <f>IFERROR(__xludf.DUMMYFUNCTION("""COMPUTED_VALUE"""),-1.6631112723943489)</f>
        <v>-1.663111272</v>
      </c>
      <c r="Z152" s="114">
        <f>IFERROR(__xludf.DUMMYFUNCTION("""COMPUTED_VALUE"""),-0.5911853564552082)</f>
        <v>-0.5911853565</v>
      </c>
      <c r="AA152" s="114">
        <f>IFERROR(__xludf.DUMMYFUNCTION("""COMPUTED_VALUE"""),-1.3377940286755752)</f>
        <v>-1.337794029</v>
      </c>
      <c r="AB152" s="114">
        <f>IFERROR(__xludf.DUMMYFUNCTION("""COMPUTED_VALUE"""),-0.6540712513457448)</f>
        <v>-0.6540712513</v>
      </c>
      <c r="AC152" s="114">
        <f>IFERROR(__xludf.DUMMYFUNCTION("""COMPUTED_VALUE"""),1.2440843337791865)</f>
        <v>1.244084334</v>
      </c>
      <c r="AD152" s="114">
        <f>IFERROR(__xludf.DUMMYFUNCTION("""COMPUTED_VALUE"""),-0.2919445569471473)</f>
        <v>-0.2919445569</v>
      </c>
      <c r="AE152" s="114">
        <f>IFERROR(__xludf.DUMMYFUNCTION("""COMPUTED_VALUE"""),-0.46956208447483744)</f>
        <v>-0.4695620845</v>
      </c>
      <c r="AF152" s="114">
        <f>IFERROR(__xludf.DUMMYFUNCTION("""COMPUTED_VALUE"""),0.4329300378541579)</f>
        <v>0.4329300379</v>
      </c>
      <c r="AG152" s="118">
        <f>IFERROR(__xludf.DUMMYFUNCTION("""COMPUTED_VALUE"""),0.0)</f>
        <v>0</v>
      </c>
      <c r="AH152" s="105"/>
      <c r="AI152" s="202"/>
      <c r="AJ152" s="63"/>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c r="BI152" s="105"/>
      <c r="BJ152" s="105"/>
      <c r="BK152" s="105"/>
      <c r="BL152" s="105"/>
      <c r="BM152" s="105"/>
      <c r="BN152" s="105"/>
      <c r="BO152" s="105"/>
      <c r="BP152" s="105"/>
      <c r="BQ152" s="105"/>
      <c r="BR152" s="105"/>
      <c r="BS152" s="105"/>
      <c r="BT152" s="105"/>
      <c r="BU152" s="105"/>
      <c r="BV152" s="105"/>
    </row>
    <row r="153">
      <c r="A153" s="109">
        <f>VLOOKUP($F153,UpdateHashtag!$V$3:$Y$32,COLUMN(B$9),0)</f>
        <v>4</v>
      </c>
      <c r="B153" s="91" t="str">
        <f>VLOOKUP($F153,UpdateHashtag!$V$3:$Y$32,COLUMN(#REF!),0)</f>
        <v>#REF!</v>
      </c>
      <c r="C153" s="91" t="str">
        <f>VLOOKUP($F153,UpdateHashtag!$V$3:$Y$32,COLUMN(#REF!),0)</f>
        <v>#REF!</v>
      </c>
      <c r="D153" s="110" t="str">
        <f t="shared" si="2"/>
        <v>#REF!</v>
      </c>
      <c r="E153" s="11"/>
      <c r="F153" s="94" t="str">
        <f>VLOOKUP(J153,UpdateBBM!$C$2:E1009,3,0)</f>
        <v>UTA</v>
      </c>
      <c r="G153" s="78">
        <v>140.0</v>
      </c>
      <c r="H153" s="111">
        <f>IFERROR(__xludf.DUMMYFUNCTION("""COMPUTED_VALUE"""),140.0)</f>
        <v>140</v>
      </c>
      <c r="I153" s="111"/>
      <c r="J153" s="112" t="str">
        <f>IFERROR(__xludf.DUMMYFUNCTION("""COMPUTED_VALUE"""),"Keyonte George")</f>
        <v>Keyonte George</v>
      </c>
      <c r="K153" s="111">
        <f>IFERROR(__xludf.DUMMYFUNCTION("""COMPUTED_VALUE"""),68.0)</f>
        <v>68</v>
      </c>
      <c r="L153" s="113" t="str">
        <f>IFERROR(__xludf.DUMMYFUNCTION("""COMPUTED_VALUE"""),"G")</f>
        <v>G</v>
      </c>
      <c r="M153" s="114">
        <f>IFERROR(__xludf.DUMMYFUNCTION("""COMPUTED_VALUE"""),-1.4962705494028719)</f>
        <v>-1.496270549</v>
      </c>
      <c r="N153" s="114">
        <f>IFERROR(__xludf.DUMMYFUNCTION("""COMPUTED_VALUE"""),-1.4190654447809667)</f>
        <v>-1.419065445</v>
      </c>
      <c r="O153" s="115">
        <f>IFERROR(__xludf.DUMMYFUNCTION("""COMPUTED_VALUE"""),0.07720510462190511)</f>
        <v>0.07720510462</v>
      </c>
      <c r="P153" s="116">
        <f>IFERROR(__xludf.DUMMYFUNCTION("""COMPUTED_VALUE"""),17.63132)</f>
        <v>17.63132</v>
      </c>
      <c r="Q153" s="116">
        <f>IFERROR(__xludf.DUMMYFUNCTION("""COMPUTED_VALUE"""),2.700588)</f>
        <v>2.700588</v>
      </c>
      <c r="R153" s="116">
        <f>IFERROR(__xludf.DUMMYFUNCTION("""COMPUTED_VALUE"""),3.3475)</f>
        <v>3.3475</v>
      </c>
      <c r="S153" s="117">
        <f>IFERROR(__xludf.DUMMYFUNCTION("""COMPUTED_VALUE"""),4.506176)</f>
        <v>4.506176</v>
      </c>
      <c r="T153" s="116">
        <f>IFERROR(__xludf.DUMMYFUNCTION("""COMPUTED_VALUE"""),0.574559)</f>
        <v>0.574559</v>
      </c>
      <c r="U153" s="116">
        <f>IFERROR(__xludf.DUMMYFUNCTION("""COMPUTED_VALUE"""),0.129412)</f>
        <v>0.129412</v>
      </c>
      <c r="V153" s="113">
        <f>IFERROR(__xludf.DUMMYFUNCTION("""COMPUTED_VALUE"""),0.410038)</f>
        <v>0.410038</v>
      </c>
      <c r="W153" s="113">
        <f>IFERROR(__xludf.DUMMYFUNCTION("""COMPUTED_VALUE"""),0.829006)</f>
        <v>0.829006</v>
      </c>
      <c r="X153" s="116">
        <f>IFERROR(__xludf.DUMMYFUNCTION("""COMPUTED_VALUE"""),2.06)</f>
        <v>2.06</v>
      </c>
      <c r="Y153" s="114">
        <f>IFERROR(__xludf.DUMMYFUNCTION("""COMPUTED_VALUE"""),0.0801266962250299)</f>
        <v>0.08012669623</v>
      </c>
      <c r="Z153" s="114">
        <f>IFERROR(__xludf.DUMMYFUNCTION("""COMPUTED_VALUE"""),0.8992240969928769)</f>
        <v>0.899224097</v>
      </c>
      <c r="AA153" s="114">
        <f>IFERROR(__xludf.DUMMYFUNCTION("""COMPUTED_VALUE"""),-1.1264758973674058)</f>
        <v>-1.126475897</v>
      </c>
      <c r="AB153" s="114">
        <f>IFERROR(__xludf.DUMMYFUNCTION("""COMPUTED_VALUE"""),0.3269518373486334)</f>
        <v>0.3269518373</v>
      </c>
      <c r="AC153" s="114">
        <f>IFERROR(__xludf.DUMMYFUNCTION("""COMPUTED_VALUE"""),-1.4341139579158397)</f>
        <v>-1.434113958</v>
      </c>
      <c r="AD153" s="114">
        <f>IFERROR(__xludf.DUMMYFUNCTION("""COMPUTED_VALUE"""),-1.0922683661927184)</f>
        <v>-1.092268366</v>
      </c>
      <c r="AE153" s="114">
        <f>IFERROR(__xludf.DUMMYFUNCTION("""COMPUTED_VALUE"""),-1.0487654126193169)</f>
        <v>-1.048765413</v>
      </c>
      <c r="AF153" s="114">
        <f>IFERROR(__xludf.DUMMYFUNCTION("""COMPUTED_VALUE"""),0.5421416008319346)</f>
        <v>0.5421416008</v>
      </c>
      <c r="AG153" s="118">
        <f>IFERROR(__xludf.DUMMYFUNCTION("""COMPUTED_VALUE"""),0.0)</f>
        <v>0</v>
      </c>
      <c r="AH153" s="105"/>
      <c r="AI153" s="202"/>
      <c r="AJ153" s="63"/>
      <c r="AK153" s="105"/>
      <c r="AL153" s="105"/>
      <c r="AM153" s="105"/>
      <c r="AN153" s="105"/>
      <c r="AO153" s="105"/>
      <c r="AP153" s="105"/>
      <c r="AQ153" s="105"/>
      <c r="AR153" s="105"/>
      <c r="AS153" s="105"/>
      <c r="AT153" s="105"/>
      <c r="AU153" s="105"/>
      <c r="AV153" s="105"/>
      <c r="AW153" s="105"/>
      <c r="AX153" s="105"/>
      <c r="AY153" s="105"/>
      <c r="AZ153" s="105"/>
      <c r="BA153" s="105"/>
      <c r="BB153" s="105"/>
      <c r="BC153" s="105"/>
      <c r="BD153" s="105"/>
      <c r="BE153" s="105"/>
      <c r="BF153" s="105"/>
      <c r="BG153" s="105"/>
      <c r="BH153" s="105"/>
      <c r="BI153" s="105"/>
      <c r="BJ153" s="105"/>
      <c r="BK153" s="105"/>
      <c r="BL153" s="105"/>
      <c r="BM153" s="105"/>
      <c r="BN153" s="105"/>
      <c r="BO153" s="105"/>
      <c r="BP153" s="105"/>
      <c r="BQ153" s="105"/>
      <c r="BR153" s="105"/>
      <c r="BS153" s="105"/>
      <c r="BT153" s="105"/>
      <c r="BU153" s="105"/>
      <c r="BV153" s="105"/>
    </row>
    <row r="154">
      <c r="A154" s="109">
        <f>VLOOKUP($F154,UpdateHashtag!$V$3:$Y$32,COLUMN(B$9),0)</f>
        <v>4</v>
      </c>
      <c r="B154" s="91" t="str">
        <f>VLOOKUP($F154,UpdateHashtag!$V$3:$Y$32,COLUMN(#REF!),0)</f>
        <v>#REF!</v>
      </c>
      <c r="C154" s="91" t="str">
        <f>VLOOKUP($F154,UpdateHashtag!$V$3:$Y$32,COLUMN(#REF!),0)</f>
        <v>#REF!</v>
      </c>
      <c r="D154" s="110" t="str">
        <f t="shared" si="2"/>
        <v>#REF!</v>
      </c>
      <c r="E154" s="11"/>
      <c r="F154" s="94" t="str">
        <f>VLOOKUP(J154,UpdateBBM!$C$2:E1009,3,0)</f>
        <v>DET</v>
      </c>
      <c r="G154" s="78">
        <v>141.0</v>
      </c>
      <c r="H154" s="111">
        <f>IFERROR(__xludf.DUMMYFUNCTION("""COMPUTED_VALUE"""),141.0)</f>
        <v>141</v>
      </c>
      <c r="I154" s="111"/>
      <c r="J154" s="112" t="str">
        <f>IFERROR(__xludf.DUMMYFUNCTION("""COMPUTED_VALUE"""),"Jaden Ivey")</f>
        <v>Jaden Ivey</v>
      </c>
      <c r="K154" s="111">
        <f>IFERROR(__xludf.DUMMYFUNCTION("""COMPUTED_VALUE"""),68.0)</f>
        <v>68</v>
      </c>
      <c r="L154" s="113" t="str">
        <f>IFERROR(__xludf.DUMMYFUNCTION("""COMPUTED_VALUE"""),"G")</f>
        <v>G</v>
      </c>
      <c r="M154" s="114">
        <f>IFERROR(__xludf.DUMMYFUNCTION("""COMPUTED_VALUE"""),-1.5303043527121973)</f>
        <v>-1.530304353</v>
      </c>
      <c r="N154" s="114">
        <f>IFERROR(__xludf.DUMMYFUNCTION("""COMPUTED_VALUE"""),-1.279329486889337)</f>
        <v>-1.279329487</v>
      </c>
      <c r="O154" s="115">
        <f>IFERROR(__xludf.DUMMYFUNCTION("""COMPUTED_VALUE"""),0.2509748658228603)</f>
        <v>0.2509748658</v>
      </c>
      <c r="P154" s="116">
        <f>IFERROR(__xludf.DUMMYFUNCTION("""COMPUTED_VALUE"""),18.80382)</f>
        <v>18.80382</v>
      </c>
      <c r="Q154" s="116">
        <f>IFERROR(__xludf.DUMMYFUNCTION("""COMPUTED_VALUE"""),2.082794)</f>
        <v>2.082794</v>
      </c>
      <c r="R154" s="116">
        <f>IFERROR(__xludf.DUMMYFUNCTION("""COMPUTED_VALUE"""),4.04)</f>
        <v>4.04</v>
      </c>
      <c r="S154" s="117">
        <f>IFERROR(__xludf.DUMMYFUNCTION("""COMPUTED_VALUE"""),4.309265)</f>
        <v>4.309265</v>
      </c>
      <c r="T154" s="116">
        <f>IFERROR(__xludf.DUMMYFUNCTION("""COMPUTED_VALUE"""),0.955735)</f>
        <v>0.955735</v>
      </c>
      <c r="U154" s="116">
        <f>IFERROR(__xludf.DUMMYFUNCTION("""COMPUTED_VALUE"""),0.400294)</f>
        <v>0.400294</v>
      </c>
      <c r="V154" s="113">
        <f>IFERROR(__xludf.DUMMYFUNCTION("""COMPUTED_VALUE"""),0.446003)</f>
        <v>0.446003</v>
      </c>
      <c r="W154" s="113">
        <f>IFERROR(__xludf.DUMMYFUNCTION("""COMPUTED_VALUE"""),0.739995)</f>
        <v>0.739995</v>
      </c>
      <c r="X154" s="116">
        <f>IFERROR(__xludf.DUMMYFUNCTION("""COMPUTED_VALUE"""),2.760735)</f>
        <v>2.760735</v>
      </c>
      <c r="Y154" s="114">
        <f>IFERROR(__xludf.DUMMYFUNCTION("""COMPUTED_VALUE"""),0.2858331587276782)</f>
        <v>0.2858331587</v>
      </c>
      <c r="Z154" s="114">
        <f>IFERROR(__xludf.DUMMYFUNCTION("""COMPUTED_VALUE"""),0.30253799288940253)</f>
        <v>0.3025379929</v>
      </c>
      <c r="AA154" s="114">
        <f>IFERROR(__xludf.DUMMYFUNCTION("""COMPUTED_VALUE"""),-0.8457685250324639)</f>
        <v>-0.845768525</v>
      </c>
      <c r="AB154" s="114">
        <f>IFERROR(__xludf.DUMMYFUNCTION("""COMPUTED_VALUE"""),0.23075795921350042)</f>
        <v>0.2307579592</v>
      </c>
      <c r="AC154" s="114">
        <f>IFERROR(__xludf.DUMMYFUNCTION("""COMPUTED_VALUE"""),-0.27258300085704856)</f>
        <v>-0.2725830009</v>
      </c>
      <c r="AD154" s="114">
        <f>IFERROR(__xludf.DUMMYFUNCTION("""COMPUTED_VALUE"""),-0.5998069963081624)</f>
        <v>-0.5998069963</v>
      </c>
      <c r="AE154" s="114">
        <f>IFERROR(__xludf.DUMMYFUNCTION("""COMPUTED_VALUE"""),-0.6589006664507383)</f>
        <v>-0.6589006665</v>
      </c>
      <c r="AF154" s="114">
        <f>IFERROR(__xludf.DUMMYFUNCTION("""COMPUTED_VALUE"""),-0.5671679341039688)</f>
        <v>-0.5671679341</v>
      </c>
      <c r="AG154" s="118">
        <f>IFERROR(__xludf.DUMMYFUNCTION("""COMPUTED_VALUE"""),0.0)</f>
        <v>0</v>
      </c>
      <c r="AH154" s="105"/>
      <c r="AI154" s="202"/>
      <c r="AJ154" s="63"/>
      <c r="AK154" s="105"/>
      <c r="AL154" s="105"/>
      <c r="AM154" s="105"/>
      <c r="AN154" s="105"/>
      <c r="AO154" s="105"/>
      <c r="AP154" s="105"/>
      <c r="AQ154" s="105"/>
      <c r="AR154" s="105"/>
      <c r="AS154" s="105"/>
      <c r="AT154" s="105"/>
      <c r="AU154" s="105"/>
      <c r="AV154" s="105"/>
      <c r="AW154" s="105"/>
      <c r="AX154" s="105"/>
      <c r="AY154" s="105"/>
      <c r="AZ154" s="105"/>
      <c r="BA154" s="105"/>
      <c r="BB154" s="105"/>
      <c r="BC154" s="105"/>
      <c r="BD154" s="105"/>
      <c r="BE154" s="105"/>
      <c r="BF154" s="105"/>
      <c r="BG154" s="105"/>
      <c r="BH154" s="105"/>
      <c r="BI154" s="105"/>
      <c r="BJ154" s="105"/>
      <c r="BK154" s="105"/>
      <c r="BL154" s="105"/>
      <c r="BM154" s="105"/>
      <c r="BN154" s="105"/>
      <c r="BO154" s="105"/>
      <c r="BP154" s="105"/>
      <c r="BQ154" s="105"/>
      <c r="BR154" s="105"/>
      <c r="BS154" s="105"/>
      <c r="BT154" s="105"/>
      <c r="BU154" s="105"/>
      <c r="BV154" s="105"/>
    </row>
    <row r="155">
      <c r="A155" s="109">
        <f>VLOOKUP($F155,UpdateHashtag!$V$3:$Y$32,COLUMN(B$9),0)</f>
        <v>4</v>
      </c>
      <c r="B155" s="91" t="str">
        <f>VLOOKUP($F155,UpdateHashtag!$V$3:$Y$32,COLUMN(#REF!),0)</f>
        <v>#REF!</v>
      </c>
      <c r="C155" s="91" t="str">
        <f>VLOOKUP($F155,UpdateHashtag!$V$3:$Y$32,COLUMN(#REF!),0)</f>
        <v>#REF!</v>
      </c>
      <c r="D155" s="110" t="str">
        <f t="shared" si="2"/>
        <v>#REF!</v>
      </c>
      <c r="E155" s="11"/>
      <c r="F155" s="94" t="str">
        <f>VLOOKUP(J155,UpdateBBM!$C$2:E1009,3,0)</f>
        <v>POR</v>
      </c>
      <c r="G155" s="78">
        <v>142.0</v>
      </c>
      <c r="H155" s="111">
        <f>IFERROR(__xludf.DUMMYFUNCTION("""COMPUTED_VALUE"""),142.0)</f>
        <v>142</v>
      </c>
      <c r="I155" s="111"/>
      <c r="J155" s="112" t="str">
        <f>IFERROR(__xludf.DUMMYFUNCTION("""COMPUTED_VALUE"""),"Jerami Grant")</f>
        <v>Jerami Grant</v>
      </c>
      <c r="K155" s="111">
        <f>IFERROR(__xludf.DUMMYFUNCTION("""COMPUTED_VALUE"""),57.0)</f>
        <v>57</v>
      </c>
      <c r="L155" s="113" t="str">
        <f>IFERROR(__xludf.DUMMYFUNCTION("""COMPUTED_VALUE"""),"F")</f>
        <v>F</v>
      </c>
      <c r="M155" s="114">
        <f>IFERROR(__xludf.DUMMYFUNCTION("""COMPUTED_VALUE"""),-1.5329879024182984)</f>
        <v>-1.532987902</v>
      </c>
      <c r="N155" s="114">
        <f>IFERROR(__xludf.DUMMYFUNCTION("""COMPUTED_VALUE"""),-1.6183633570948486)</f>
        <v>-1.618363357</v>
      </c>
      <c r="O155" s="115">
        <f>IFERROR(__xludf.DUMMYFUNCTION("""COMPUTED_VALUE"""),-0.08537545467655017)</f>
        <v>-0.08537545468</v>
      </c>
      <c r="P155" s="116">
        <f>IFERROR(__xludf.DUMMYFUNCTION("""COMPUTED_VALUE"""),14.33965)</f>
        <v>14.33965</v>
      </c>
      <c r="Q155" s="116">
        <f>IFERROR(__xludf.DUMMYFUNCTION("""COMPUTED_VALUE"""),2.362456)</f>
        <v>2.362456</v>
      </c>
      <c r="R155" s="116">
        <f>IFERROR(__xludf.DUMMYFUNCTION("""COMPUTED_VALUE"""),3.251228)</f>
        <v>3.251228</v>
      </c>
      <c r="S155" s="117">
        <f>IFERROR(__xludf.DUMMYFUNCTION("""COMPUTED_VALUE"""),1.784912)</f>
        <v>1.784912</v>
      </c>
      <c r="T155" s="116">
        <f>IFERROR(__xludf.DUMMYFUNCTION("""COMPUTED_VALUE"""),0.826842)</f>
        <v>0.826842</v>
      </c>
      <c r="U155" s="116">
        <f>IFERROR(__xludf.DUMMYFUNCTION("""COMPUTED_VALUE"""),0.83)</f>
        <v>0.83</v>
      </c>
      <c r="V155" s="113">
        <f>IFERROR(__xludf.DUMMYFUNCTION("""COMPUTED_VALUE"""),0.388123)</f>
        <v>0.388123</v>
      </c>
      <c r="W155" s="113">
        <f>IFERROR(__xludf.DUMMYFUNCTION("""COMPUTED_VALUE"""),0.858011)</f>
        <v>0.858011</v>
      </c>
      <c r="X155" s="116">
        <f>IFERROR(__xludf.DUMMYFUNCTION("""COMPUTED_VALUE"""),1.404386)</f>
        <v>1.404386</v>
      </c>
      <c r="Y155" s="114">
        <f>IFERROR(__xludf.DUMMYFUNCTION("""COMPUTED_VALUE"""),-0.4973724862279256)</f>
        <v>-0.4973724862</v>
      </c>
      <c r="Z155" s="114">
        <f>IFERROR(__xludf.DUMMYFUNCTION("""COMPUTED_VALUE"""),0.5726449043287913)</f>
        <v>0.5726449043</v>
      </c>
      <c r="AA155" s="114">
        <f>IFERROR(__xludf.DUMMYFUNCTION("""COMPUTED_VALUE"""),-1.1655000997492537)</f>
        <v>-1.1655001</v>
      </c>
      <c r="AB155" s="114">
        <f>IFERROR(__xludf.DUMMYFUNCTION("""COMPUTED_VALUE"""),-1.002425077041748)</f>
        <v>-1.002425077</v>
      </c>
      <c r="AC155" s="114">
        <f>IFERROR(__xludf.DUMMYFUNCTION("""COMPUTED_VALUE"""),-0.6653496221768033)</f>
        <v>-0.6653496222</v>
      </c>
      <c r="AD155" s="114">
        <f>IFERROR(__xludf.DUMMYFUNCTION("""COMPUTED_VALUE"""),0.18139517071516503)</f>
        <v>0.1813951707</v>
      </c>
      <c r="AE155" s="114">
        <f>IFERROR(__xludf.DUMMYFUNCTION("""COMPUTED_VALUE"""),-1.2482228442229955)</f>
        <v>-1.248222844</v>
      </c>
      <c r="AF155" s="114">
        <f>IFERROR(__xludf.DUMMYFUNCTION("""COMPUTED_VALUE"""),0.958243853056926)</f>
        <v>0.9582438531</v>
      </c>
      <c r="AG155" s="118">
        <f>IFERROR(__xludf.DUMMYFUNCTION("""COMPUTED_VALUE"""),0.0)</f>
        <v>0</v>
      </c>
      <c r="AH155" s="105"/>
      <c r="AI155" s="202"/>
      <c r="AJ155" s="63"/>
      <c r="AK155" s="105"/>
      <c r="AL155" s="105"/>
      <c r="AM155" s="105"/>
      <c r="AN155" s="105"/>
      <c r="AO155" s="105"/>
      <c r="AP155" s="105"/>
      <c r="AQ155" s="105"/>
      <c r="AR155" s="105"/>
      <c r="AS155" s="105"/>
      <c r="AT155" s="105"/>
      <c r="AU155" s="105"/>
      <c r="AV155" s="105"/>
      <c r="AW155" s="105"/>
      <c r="AX155" s="105"/>
      <c r="AY155" s="105"/>
      <c r="AZ155" s="105"/>
      <c r="BA155" s="105"/>
      <c r="BB155" s="105"/>
      <c r="BC155" s="105"/>
      <c r="BD155" s="105"/>
      <c r="BE155" s="105"/>
      <c r="BF155" s="105"/>
      <c r="BG155" s="105"/>
      <c r="BH155" s="105"/>
      <c r="BI155" s="105"/>
      <c r="BJ155" s="105"/>
      <c r="BK155" s="105"/>
      <c r="BL155" s="105"/>
      <c r="BM155" s="105"/>
      <c r="BN155" s="105"/>
      <c r="BO155" s="105"/>
      <c r="BP155" s="105"/>
      <c r="BQ155" s="105"/>
      <c r="BR155" s="105"/>
      <c r="BS155" s="105"/>
      <c r="BT155" s="105"/>
      <c r="BU155" s="105"/>
      <c r="BV155" s="105"/>
    </row>
    <row r="156">
      <c r="A156" s="109">
        <f>VLOOKUP($F156,UpdateHashtag!$V$3:$Y$32,COLUMN(B$9),0)</f>
        <v>4</v>
      </c>
      <c r="B156" s="91" t="str">
        <f>VLOOKUP($F156,UpdateHashtag!$V$3:$Y$32,COLUMN(#REF!),0)</f>
        <v>#REF!</v>
      </c>
      <c r="C156" s="91" t="str">
        <f>VLOOKUP($F156,UpdateHashtag!$V$3:$Y$32,COLUMN(#REF!),0)</f>
        <v>#REF!</v>
      </c>
      <c r="D156" s="110" t="str">
        <f t="shared" si="2"/>
        <v>#REF!</v>
      </c>
      <c r="E156" s="11"/>
      <c r="F156" s="94" t="str">
        <f>VLOOKUP(J156,UpdateBBM!$C$2:E1009,3,0)</f>
        <v>UTA</v>
      </c>
      <c r="G156" s="78">
        <v>143.0</v>
      </c>
      <c r="H156" s="111">
        <f>IFERROR(__xludf.DUMMYFUNCTION("""COMPUTED_VALUE"""),143.0)</f>
        <v>143</v>
      </c>
      <c r="I156" s="111"/>
      <c r="J156" s="112" t="str">
        <f>IFERROR(__xludf.DUMMYFUNCTION("""COMPUTED_VALUE"""),"Kyle Filipowski")</f>
        <v>Kyle Filipowski</v>
      </c>
      <c r="K156" s="111">
        <f>IFERROR(__xludf.DUMMYFUNCTION("""COMPUTED_VALUE"""),73.0)</f>
        <v>73</v>
      </c>
      <c r="L156" s="113" t="str">
        <f>IFERROR(__xludf.DUMMYFUNCTION("""COMPUTED_VALUE"""),"F,C")</f>
        <v>F,C</v>
      </c>
      <c r="M156" s="114">
        <f>IFERROR(__xludf.DUMMYFUNCTION("""COMPUTED_VALUE"""),-1.5374905678962711)</f>
        <v>-1.537490568</v>
      </c>
      <c r="N156" s="114">
        <f>IFERROR(__xludf.DUMMYFUNCTION("""COMPUTED_VALUE"""),-1.611418671268036)</f>
        <v>-1.611418671</v>
      </c>
      <c r="O156" s="115">
        <f>IFERROR(__xludf.DUMMYFUNCTION("""COMPUTED_VALUE"""),-0.07392810337176492)</f>
        <v>-0.07392810337</v>
      </c>
      <c r="P156" s="116">
        <f>IFERROR(__xludf.DUMMYFUNCTION("""COMPUTED_VALUE"""),13.78123)</f>
        <v>13.78123</v>
      </c>
      <c r="Q156" s="116">
        <f>IFERROR(__xludf.DUMMYFUNCTION("""COMPUTED_VALUE"""),1.469452)</f>
        <v>1.469452</v>
      </c>
      <c r="R156" s="116">
        <f>IFERROR(__xludf.DUMMYFUNCTION("""COMPUTED_VALUE"""),7.922466)</f>
        <v>7.922466</v>
      </c>
      <c r="S156" s="117">
        <f>IFERROR(__xludf.DUMMYFUNCTION("""COMPUTED_VALUE"""),2.008493)</f>
        <v>2.008493</v>
      </c>
      <c r="T156" s="116">
        <f>IFERROR(__xludf.DUMMYFUNCTION("""COMPUTED_VALUE"""),0.829863)</f>
        <v>0.829863</v>
      </c>
      <c r="U156" s="116">
        <f>IFERROR(__xludf.DUMMYFUNCTION("""COMPUTED_VALUE"""),0.613699)</f>
        <v>0.613699</v>
      </c>
      <c r="V156" s="113">
        <f>IFERROR(__xludf.DUMMYFUNCTION("""COMPUTED_VALUE"""),0.515023)</f>
        <v>0.515023</v>
      </c>
      <c r="W156" s="113">
        <f>IFERROR(__xludf.DUMMYFUNCTION("""COMPUTED_VALUE"""),0.680021)</f>
        <v>0.680021</v>
      </c>
      <c r="X156" s="116">
        <f>IFERROR(__xludf.DUMMYFUNCTION("""COMPUTED_VALUE"""),1.450548)</f>
        <v>1.450548</v>
      </c>
      <c r="Y156" s="114">
        <f>IFERROR(__xludf.DUMMYFUNCTION("""COMPUTED_VALUE"""),-0.5953431495888881)</f>
        <v>-0.5953431496</v>
      </c>
      <c r="Z156" s="114">
        <f>IFERROR(__xludf.DUMMYFUNCTION("""COMPUTED_VALUE"""),-0.28984822074011285)</f>
        <v>-0.2898482207</v>
      </c>
      <c r="AA156" s="114">
        <f>IFERROR(__xludf.DUMMYFUNCTION("""COMPUTED_VALUE"""),0.7280030692487679)</f>
        <v>0.7280030692</v>
      </c>
      <c r="AB156" s="114">
        <f>IFERROR(__xludf.DUMMYFUNCTION("""COMPUTED_VALUE"""),-0.8932025172694085)</f>
        <v>-0.8932025173</v>
      </c>
      <c r="AC156" s="114">
        <f>IFERROR(__xludf.DUMMYFUNCTION("""COMPUTED_VALUE"""),-0.6561439402312593)</f>
        <v>-0.6561439402</v>
      </c>
      <c r="AD156" s="114">
        <f>IFERROR(__xludf.DUMMYFUNCTION("""COMPUTED_VALUE"""),-0.21183836553825647)</f>
        <v>-0.2118383655</v>
      </c>
      <c r="AE156" s="114">
        <f>IFERROR(__xludf.DUMMYFUNCTION("""COMPUTED_VALUE"""),0.30695445285112116)</f>
        <v>0.3069544529</v>
      </c>
      <c r="AF156" s="114">
        <f>IFERROR(__xludf.DUMMYFUNCTION("""COMPUTED_VALUE"""),-1.1720146147661297)</f>
        <v>-1.172014615</v>
      </c>
      <c r="AG156" s="118">
        <f>IFERROR(__xludf.DUMMYFUNCTION("""COMPUTED_VALUE"""),0.0)</f>
        <v>0</v>
      </c>
      <c r="AH156" s="105"/>
      <c r="AI156" s="202"/>
      <c r="AJ156" s="63"/>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c r="BG156" s="105"/>
      <c r="BH156" s="105"/>
      <c r="BI156" s="105"/>
      <c r="BJ156" s="105"/>
      <c r="BK156" s="105"/>
      <c r="BL156" s="105"/>
      <c r="BM156" s="105"/>
      <c r="BN156" s="105"/>
      <c r="BO156" s="105"/>
      <c r="BP156" s="105"/>
      <c r="BQ156" s="105"/>
      <c r="BR156" s="105"/>
      <c r="BS156" s="105"/>
      <c r="BT156" s="105"/>
      <c r="BU156" s="105"/>
      <c r="BV156" s="105"/>
    </row>
    <row r="157">
      <c r="A157" s="109">
        <f>VLOOKUP($F157,UpdateHashtag!$V$3:$Y$32,COLUMN(B$9),0)</f>
        <v>2</v>
      </c>
      <c r="B157" s="91" t="str">
        <f>VLOOKUP($F157,UpdateHashtag!$V$3:$Y$32,COLUMN(#REF!),0)</f>
        <v>#REF!</v>
      </c>
      <c r="C157" s="91" t="str">
        <f>VLOOKUP($F157,UpdateHashtag!$V$3:$Y$32,COLUMN(#REF!),0)</f>
        <v>#REF!</v>
      </c>
      <c r="D157" s="110" t="str">
        <f t="shared" si="2"/>
        <v>#REF!</v>
      </c>
      <c r="E157" s="11"/>
      <c r="F157" s="94" t="str">
        <f>VLOOKUP(J157,UpdateBBM!$C$2:E1009,3,0)</f>
        <v>ORL</v>
      </c>
      <c r="G157" s="78">
        <v>144.0</v>
      </c>
      <c r="H157" s="111">
        <f>IFERROR(__xludf.DUMMYFUNCTION("""COMPUTED_VALUE"""),144.0)</f>
        <v>144</v>
      </c>
      <c r="I157" s="111"/>
      <c r="J157" s="112" t="str">
        <f>IFERROR(__xludf.DUMMYFUNCTION("""COMPUTED_VALUE"""),"Goga Bitadze")</f>
        <v>Goga Bitadze</v>
      </c>
      <c r="K157" s="111">
        <f>IFERROR(__xludf.DUMMYFUNCTION("""COMPUTED_VALUE"""),68.0)</f>
        <v>68</v>
      </c>
      <c r="L157" s="113" t="str">
        <f>IFERROR(__xludf.DUMMYFUNCTION("""COMPUTED_VALUE"""),"C")</f>
        <v>C</v>
      </c>
      <c r="M157" s="114">
        <f>IFERROR(__xludf.DUMMYFUNCTION("""COMPUTED_VALUE"""),-1.5673829149619514)</f>
        <v>-1.567382915</v>
      </c>
      <c r="N157" s="114">
        <f>IFERROR(__xludf.DUMMYFUNCTION("""COMPUTED_VALUE"""),-1.7777277265400624)</f>
        <v>-1.777727727</v>
      </c>
      <c r="O157" s="115">
        <f>IFERROR(__xludf.DUMMYFUNCTION("""COMPUTED_VALUE"""),-0.21034481157811102)</f>
        <v>-0.2103448116</v>
      </c>
      <c r="P157" s="116">
        <f>IFERROR(__xludf.DUMMYFUNCTION("""COMPUTED_VALUE"""),7.173088)</f>
        <v>7.173088</v>
      </c>
      <c r="Q157" s="116">
        <f>IFERROR(__xludf.DUMMYFUNCTION("""COMPUTED_VALUE"""),0.102794)</f>
        <v>0.102794</v>
      </c>
      <c r="R157" s="116">
        <f>IFERROR(__xludf.DUMMYFUNCTION("""COMPUTED_VALUE"""),6.431176)</f>
        <v>6.431176</v>
      </c>
      <c r="S157" s="117">
        <f>IFERROR(__xludf.DUMMYFUNCTION("""COMPUTED_VALUE"""),1.715)</f>
        <v>1.715</v>
      </c>
      <c r="T157" s="116">
        <f>IFERROR(__xludf.DUMMYFUNCTION("""COMPUTED_VALUE"""),0.723676)</f>
        <v>0.723676</v>
      </c>
      <c r="U157" s="116">
        <f>IFERROR(__xludf.DUMMYFUNCTION("""COMPUTED_VALUE"""),1.329118)</f>
        <v>1.329118</v>
      </c>
      <c r="V157" s="113">
        <f>IFERROR(__xludf.DUMMYFUNCTION("""COMPUTED_VALUE"""),0.600416)</f>
        <v>0.600416</v>
      </c>
      <c r="W157" s="113">
        <f>IFERROR(__xludf.DUMMYFUNCTION("""COMPUTED_VALUE"""),0.669994)</f>
        <v>0.669994</v>
      </c>
      <c r="X157" s="116">
        <f>IFERROR(__xludf.DUMMYFUNCTION("""COMPUTED_VALUE"""),0.900441)</f>
        <v>0.900441</v>
      </c>
      <c r="Y157" s="114">
        <f>IFERROR(__xludf.DUMMYFUNCTION("""COMPUTED_VALUE"""),-1.7546928421561994)</f>
        <v>-1.754692842</v>
      </c>
      <c r="Z157" s="114">
        <f>IFERROR(__xludf.DUMMYFUNCTION("""COMPUTED_VALUE"""),-1.6098122179007286)</f>
        <v>-1.609812218</v>
      </c>
      <c r="AA157" s="114">
        <f>IFERROR(__xludf.DUMMYFUNCTION("""COMPUTED_VALUE"""),0.12350328976952495)</f>
        <v>0.1235032898</v>
      </c>
      <c r="AB157" s="114">
        <f>IFERROR(__xludf.DUMMYFUNCTION("""COMPUTED_VALUE"""),-1.0365781025618228)</f>
        <v>-1.036578103</v>
      </c>
      <c r="AC157" s="114">
        <f>IFERROR(__xludf.DUMMYFUNCTION("""COMPUTED_VALUE"""),-0.9797201563025805)</f>
        <v>-0.9797201563</v>
      </c>
      <c r="AD157" s="114">
        <f>IFERROR(__xludf.DUMMYFUNCTION("""COMPUTED_VALUE"""),1.0887878140581697)</f>
        <v>1.088787814</v>
      </c>
      <c r="AE157" s="114">
        <f>IFERROR(__xludf.DUMMYFUNCTION("""COMPUTED_VALUE"""),1.8980293062421956)</f>
        <v>1.898029306</v>
      </c>
      <c r="AF157" s="114">
        <f>IFERROR(__xludf.DUMMYFUNCTION("""COMPUTED_VALUE"""),-1.2619376598448204)</f>
        <v>-1.26193766</v>
      </c>
      <c r="AG157" s="118">
        <f>IFERROR(__xludf.DUMMYFUNCTION("""COMPUTED_VALUE"""),0.0)</f>
        <v>0</v>
      </c>
      <c r="AH157" s="105"/>
      <c r="AI157" s="202"/>
      <c r="AJ157" s="63"/>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c r="BI157" s="105"/>
      <c r="BJ157" s="105"/>
      <c r="BK157" s="105"/>
      <c r="BL157" s="105"/>
      <c r="BM157" s="105"/>
      <c r="BN157" s="105"/>
      <c r="BO157" s="105"/>
      <c r="BP157" s="105"/>
      <c r="BQ157" s="105"/>
      <c r="BR157" s="105"/>
      <c r="BS157" s="105"/>
      <c r="BT157" s="105"/>
      <c r="BU157" s="105"/>
      <c r="BV157" s="105"/>
    </row>
    <row r="158">
      <c r="A158" s="109">
        <f>VLOOKUP($F158,UpdateHashtag!$V$3:$Y$32,COLUMN(B$9),0)</f>
        <v>3</v>
      </c>
      <c r="B158" s="91" t="str">
        <f>VLOOKUP($F158,UpdateHashtag!$V$3:$Y$32,COLUMN(#REF!),0)</f>
        <v>#REF!</v>
      </c>
      <c r="C158" s="91" t="str">
        <f>VLOOKUP($F158,UpdateHashtag!$V$3:$Y$32,COLUMN(#REF!),0)</f>
        <v>#REF!</v>
      </c>
      <c r="D158" s="110" t="str">
        <f t="shared" si="2"/>
        <v>#REF!</v>
      </c>
      <c r="E158" s="11"/>
      <c r="F158" s="94" t="str">
        <f>VLOOKUP(J158,UpdateBBM!$C$2:E1009,3,0)</f>
        <v>IND</v>
      </c>
      <c r="G158" s="78">
        <v>145.0</v>
      </c>
      <c r="H158" s="111">
        <f>IFERROR(__xludf.DUMMYFUNCTION("""COMPUTED_VALUE"""),145.0)</f>
        <v>145</v>
      </c>
      <c r="I158" s="111"/>
      <c r="J158" s="112" t="str">
        <f>IFERROR(__xludf.DUMMYFUNCTION("""COMPUTED_VALUE"""),"Bennedict Mathurin")</f>
        <v>Bennedict Mathurin</v>
      </c>
      <c r="K158" s="111">
        <f>IFERROR(__xludf.DUMMYFUNCTION("""COMPUTED_VALUE"""),68.0)</f>
        <v>68</v>
      </c>
      <c r="L158" s="113" t="str">
        <f>IFERROR(__xludf.DUMMYFUNCTION("""COMPUTED_VALUE"""),"G,F")</f>
        <v>G,F</v>
      </c>
      <c r="M158" s="114">
        <f>IFERROR(__xludf.DUMMYFUNCTION("""COMPUTED_VALUE"""),-1.6127677853783167)</f>
        <v>-1.612767785</v>
      </c>
      <c r="N158" s="114">
        <f>IFERROR(__xludf.DUMMYFUNCTION("""COMPUTED_VALUE"""),-1.5120772847018433)</f>
        <v>-1.512077285</v>
      </c>
      <c r="O158" s="115">
        <f>IFERROR(__xludf.DUMMYFUNCTION("""COMPUTED_VALUE"""),0.10069050067647334)</f>
        <v>0.1006905007</v>
      </c>
      <c r="P158" s="116">
        <f>IFERROR(__xludf.DUMMYFUNCTION("""COMPUTED_VALUE"""),19.48147)</f>
        <v>19.48147</v>
      </c>
      <c r="Q158" s="116">
        <f>IFERROR(__xludf.DUMMYFUNCTION("""COMPUTED_VALUE"""),1.623382)</f>
        <v>1.623382</v>
      </c>
      <c r="R158" s="116">
        <f>IFERROR(__xludf.DUMMYFUNCTION("""COMPUTED_VALUE"""),5.453971)</f>
        <v>5.453971</v>
      </c>
      <c r="S158" s="117">
        <f>IFERROR(__xludf.DUMMYFUNCTION("""COMPUTED_VALUE"""),2.558676)</f>
        <v>2.558676</v>
      </c>
      <c r="T158" s="116">
        <f>IFERROR(__xludf.DUMMYFUNCTION("""COMPUTED_VALUE"""),0.758971)</f>
        <v>0.758971</v>
      </c>
      <c r="U158" s="116">
        <f>IFERROR(__xludf.DUMMYFUNCTION("""COMPUTED_VALUE"""),0.331176)</f>
        <v>0.331176</v>
      </c>
      <c r="V158" s="113">
        <f>IFERROR(__xludf.DUMMYFUNCTION("""COMPUTED_VALUE"""),0.450974)</f>
        <v>0.450974</v>
      </c>
      <c r="W158" s="113">
        <f>IFERROR(__xludf.DUMMYFUNCTION("""COMPUTED_VALUE"""),0.822009)</f>
        <v>0.822009</v>
      </c>
      <c r="X158" s="116">
        <f>IFERROR(__xludf.DUMMYFUNCTION("""COMPUTED_VALUE"""),2.154706)</f>
        <v>2.154706</v>
      </c>
      <c r="Y158" s="114">
        <f>IFERROR(__xludf.DUMMYFUNCTION("""COMPUTED_VALUE"""),0.40472184471055184)</f>
        <v>0.4047218447</v>
      </c>
      <c r="Z158" s="114">
        <f>IFERROR(__xludf.DUMMYFUNCTION("""COMPUTED_VALUE"""),-0.14117747935277689)</f>
        <v>-0.1411774794</v>
      </c>
      <c r="AA158" s="114">
        <f>IFERROR(__xludf.DUMMYFUNCTION("""COMPUTED_VALUE"""),-0.27261028103562585)</f>
        <v>-0.272610281</v>
      </c>
      <c r="AB158" s="114">
        <f>IFERROR(__xludf.DUMMYFUNCTION("""COMPUTED_VALUE"""),-0.6244301457207299)</f>
        <v>-0.6244301457</v>
      </c>
      <c r="AC158" s="114">
        <f>IFERROR(__xludf.DUMMYFUNCTION("""COMPUTED_VALUE"""),-0.8721681721026571)</f>
        <v>-0.8721681721</v>
      </c>
      <c r="AD158" s="114">
        <f>IFERROR(__xludf.DUMMYFUNCTION("""COMPUTED_VALUE"""),-0.725462982913698)</f>
        <v>-0.7254629829</v>
      </c>
      <c r="AE158" s="114">
        <f>IFERROR(__xludf.DUMMYFUNCTION("""COMPUTED_VALUE"""),-0.5989015678929966)</f>
        <v>-0.5989015679</v>
      </c>
      <c r="AF158" s="114">
        <f>IFERROR(__xludf.DUMMYFUNCTION("""COMPUTED_VALUE"""),0.4457833275034319)</f>
        <v>0.4457833275</v>
      </c>
      <c r="AG158" s="118">
        <f>IFERROR(__xludf.DUMMYFUNCTION("""COMPUTED_VALUE"""),0.0)</f>
        <v>0</v>
      </c>
      <c r="AH158" s="105"/>
      <c r="AI158" s="202"/>
      <c r="AJ158" s="63"/>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c r="BG158" s="105"/>
      <c r="BH158" s="105"/>
      <c r="BI158" s="105"/>
      <c r="BJ158" s="105"/>
      <c r="BK158" s="105"/>
      <c r="BL158" s="105"/>
      <c r="BM158" s="105"/>
      <c r="BN158" s="105"/>
      <c r="BO158" s="105"/>
      <c r="BP158" s="105"/>
      <c r="BQ158" s="105"/>
      <c r="BR158" s="105"/>
      <c r="BS158" s="105"/>
      <c r="BT158" s="105"/>
      <c r="BU158" s="105"/>
      <c r="BV158" s="105"/>
    </row>
    <row r="159">
      <c r="A159" s="109">
        <f>VLOOKUP($F159,UpdateHashtag!$V$3:$Y$32,COLUMN(B$9),0)</f>
        <v>4</v>
      </c>
      <c r="B159" s="91" t="str">
        <f>VLOOKUP($F159,UpdateHashtag!$V$3:$Y$32,COLUMN(#REF!),0)</f>
        <v>#REF!</v>
      </c>
      <c r="C159" s="91" t="str">
        <f>VLOOKUP($F159,UpdateHashtag!$V$3:$Y$32,COLUMN(#REF!),0)</f>
        <v>#REF!</v>
      </c>
      <c r="D159" s="110" t="str">
        <f t="shared" si="2"/>
        <v>#REF!</v>
      </c>
      <c r="E159" s="11"/>
      <c r="F159" s="94" t="str">
        <f>VLOOKUP(J159,UpdateBBM!$C$2:E1009,3,0)</f>
        <v>LAC</v>
      </c>
      <c r="G159" s="78">
        <v>146.0</v>
      </c>
      <c r="H159" s="111">
        <f>IFERROR(__xludf.DUMMYFUNCTION("""COMPUTED_VALUE"""),146.0)</f>
        <v>146</v>
      </c>
      <c r="I159" s="111"/>
      <c r="J159" s="112" t="str">
        <f>IFERROR(__xludf.DUMMYFUNCTION("""COMPUTED_VALUE"""),"Chris Paul")</f>
        <v>Chris Paul</v>
      </c>
      <c r="K159" s="111">
        <f>IFERROR(__xludf.DUMMYFUNCTION("""COMPUTED_VALUE"""),58.0)</f>
        <v>58</v>
      </c>
      <c r="L159" s="113" t="str">
        <f>IFERROR(__xludf.DUMMYFUNCTION("""COMPUTED_VALUE"""),"G")</f>
        <v>G</v>
      </c>
      <c r="M159" s="114">
        <f>IFERROR(__xludf.DUMMYFUNCTION("""COMPUTED_VALUE"""),-1.6291975673444885)</f>
        <v>-1.629197567</v>
      </c>
      <c r="N159" s="114">
        <f>IFERROR(__xludf.DUMMYFUNCTION("""COMPUTED_VALUE"""),-1.7369955666460257)</f>
        <v>-1.736995567</v>
      </c>
      <c r="O159" s="115">
        <f>IFERROR(__xludf.DUMMYFUNCTION("""COMPUTED_VALUE"""),-0.10779799930153722)</f>
        <v>-0.1077979993</v>
      </c>
      <c r="P159" s="116">
        <f>IFERROR(__xludf.DUMMYFUNCTION("""COMPUTED_VALUE"""),7.233966)</f>
        <v>7.233966</v>
      </c>
      <c r="Q159" s="116">
        <f>IFERROR(__xludf.DUMMYFUNCTION("""COMPUTED_VALUE"""),1.517414)</f>
        <v>1.517414</v>
      </c>
      <c r="R159" s="116">
        <f>IFERROR(__xludf.DUMMYFUNCTION("""COMPUTED_VALUE"""),3.055517)</f>
        <v>3.055517</v>
      </c>
      <c r="S159" s="117">
        <f>IFERROR(__xludf.DUMMYFUNCTION("""COMPUTED_VALUE"""),5.043966)</f>
        <v>5.043966</v>
      </c>
      <c r="T159" s="116">
        <f>IFERROR(__xludf.DUMMYFUNCTION("""COMPUTED_VALUE"""),1.012241)</f>
        <v>1.012241</v>
      </c>
      <c r="U159" s="116">
        <f>IFERROR(__xludf.DUMMYFUNCTION("""COMPUTED_VALUE"""),0.243448)</f>
        <v>0.243448</v>
      </c>
      <c r="V159" s="113">
        <f>IFERROR(__xludf.DUMMYFUNCTION("""COMPUTED_VALUE"""),0.424589)</f>
        <v>0.424589</v>
      </c>
      <c r="W159" s="113">
        <f>IFERROR(__xludf.DUMMYFUNCTION("""COMPUTED_VALUE"""),0.863995)</f>
        <v>0.863995</v>
      </c>
      <c r="X159" s="116">
        <f>IFERROR(__xludf.DUMMYFUNCTION("""COMPUTED_VALUE"""),1.313966)</f>
        <v>1.313966</v>
      </c>
      <c r="Y159" s="114">
        <f>IFERROR(__xludf.DUMMYFUNCTION("""COMPUTED_VALUE"""),-1.7440122468263606)</f>
        <v>-1.744012247</v>
      </c>
      <c r="Z159" s="114">
        <f>IFERROR(__xludf.DUMMYFUNCTION("""COMPUTED_VALUE"""),-0.24352491730076112)</f>
        <v>-0.2435249173</v>
      </c>
      <c r="AA159" s="114">
        <f>IFERROR(__xludf.DUMMYFUNCTION("""COMPUTED_VALUE"""),-1.244832259383974)</f>
        <v>-1.244832259</v>
      </c>
      <c r="AB159" s="114">
        <f>IFERROR(__xludf.DUMMYFUNCTION("""COMPUTED_VALUE"""),0.5896700487349611)</f>
        <v>0.5896700487</v>
      </c>
      <c r="AC159" s="114">
        <f>IFERROR(__xludf.DUMMYFUNCTION("""COMPUTED_VALUE"""),-0.10039622031587077)</f>
        <v>-0.1003962203</v>
      </c>
      <c r="AD159" s="114">
        <f>IFERROR(__xludf.DUMMYFUNCTION("""COMPUTED_VALUE"""),-0.8849518048259416)</f>
        <v>-0.8849518048</v>
      </c>
      <c r="AE159" s="114">
        <f>IFERROR(__xludf.DUMMYFUNCTION("""COMPUTED_VALUE"""),-0.9003911512424825)</f>
        <v>-0.9003911512</v>
      </c>
      <c r="AF159" s="114">
        <f>IFERROR(__xludf.DUMMYFUNCTION("""COMPUTED_VALUE"""),1.0474307376880434)</f>
        <v>1.047430738</v>
      </c>
      <c r="AG159" s="118">
        <f>IFERROR(__xludf.DUMMYFUNCTION("""COMPUTED_VALUE"""),0.0)</f>
        <v>0</v>
      </c>
      <c r="AH159" s="105"/>
      <c r="AI159" s="202"/>
      <c r="AJ159" s="63"/>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c r="BL159" s="105"/>
      <c r="BM159" s="105"/>
      <c r="BN159" s="105"/>
      <c r="BO159" s="105"/>
      <c r="BP159" s="105"/>
      <c r="BQ159" s="105"/>
      <c r="BR159" s="105"/>
      <c r="BS159" s="105"/>
      <c r="BT159" s="105"/>
      <c r="BU159" s="105"/>
      <c r="BV159" s="105"/>
    </row>
    <row r="160">
      <c r="A160" s="109">
        <f>VLOOKUP($F160,UpdateHashtag!$V$3:$Y$32,COLUMN(B$9),0)</f>
        <v>4</v>
      </c>
      <c r="B160" s="91" t="str">
        <f>VLOOKUP($F160,UpdateHashtag!$V$3:$Y$32,COLUMN(#REF!),0)</f>
        <v>#REF!</v>
      </c>
      <c r="C160" s="91" t="str">
        <f>VLOOKUP($F160,UpdateHashtag!$V$3:$Y$32,COLUMN(#REF!),0)</f>
        <v>#REF!</v>
      </c>
      <c r="D160" s="110" t="str">
        <f t="shared" si="2"/>
        <v>#REF!</v>
      </c>
      <c r="E160" s="11"/>
      <c r="F160" s="94" t="str">
        <f>VLOOKUP(J160,UpdateBBM!$C$2:E1009,3,0)</f>
        <v>CLE</v>
      </c>
      <c r="G160" s="78">
        <v>147.0</v>
      </c>
      <c r="H160" s="111">
        <f>IFERROR(__xludf.DUMMYFUNCTION("""COMPUTED_VALUE"""),147.0)</f>
        <v>147</v>
      </c>
      <c r="I160" s="111"/>
      <c r="J160" s="112" t="str">
        <f>IFERROR(__xludf.DUMMYFUNCTION("""COMPUTED_VALUE"""),"Sam Merrill")</f>
        <v>Sam Merrill</v>
      </c>
      <c r="K160" s="111">
        <f>IFERROR(__xludf.DUMMYFUNCTION("""COMPUTED_VALUE"""),73.0)</f>
        <v>73</v>
      </c>
      <c r="L160" s="113" t="str">
        <f>IFERROR(__xludf.DUMMYFUNCTION("""COMPUTED_VALUE"""),"G")</f>
        <v>G</v>
      </c>
      <c r="M160" s="114">
        <f>IFERROR(__xludf.DUMMYFUNCTION("""COMPUTED_VALUE"""),-1.6549212008688228)</f>
        <v>-1.654921201</v>
      </c>
      <c r="N160" s="114">
        <f>IFERROR(__xludf.DUMMYFUNCTION("""COMPUTED_VALUE"""),-1.9577063128213692)</f>
        <v>-1.957706313</v>
      </c>
      <c r="O160" s="115">
        <f>IFERROR(__xludf.DUMMYFUNCTION("""COMPUTED_VALUE"""),-0.3027851119525464)</f>
        <v>-0.302785112</v>
      </c>
      <c r="P160" s="116">
        <f>IFERROR(__xludf.DUMMYFUNCTION("""COMPUTED_VALUE"""),9.584795)</f>
        <v>9.584795</v>
      </c>
      <c r="Q160" s="116">
        <f>IFERROR(__xludf.DUMMYFUNCTION("""COMPUTED_VALUE"""),2.766575)</f>
        <v>2.766575</v>
      </c>
      <c r="R160" s="116">
        <f>IFERROR(__xludf.DUMMYFUNCTION("""COMPUTED_VALUE"""),2.661781)</f>
        <v>2.661781</v>
      </c>
      <c r="S160" s="117">
        <f>IFERROR(__xludf.DUMMYFUNCTION("""COMPUTED_VALUE"""),1.973014)</f>
        <v>1.973014</v>
      </c>
      <c r="T160" s="116">
        <f>IFERROR(__xludf.DUMMYFUNCTION("""COMPUTED_VALUE"""),0.836849)</f>
        <v>0.836849</v>
      </c>
      <c r="U160" s="116">
        <f>IFERROR(__xludf.DUMMYFUNCTION("""COMPUTED_VALUE"""),0.191644)</f>
        <v>0.191644</v>
      </c>
      <c r="V160" s="113">
        <f>IFERROR(__xludf.DUMMYFUNCTION("""COMPUTED_VALUE"""),0.421071)</f>
        <v>0.421071</v>
      </c>
      <c r="W160" s="113">
        <f>IFERROR(__xludf.DUMMYFUNCTION("""COMPUTED_VALUE"""),0.916133)</f>
        <v>0.916133</v>
      </c>
      <c r="X160" s="116">
        <f>IFERROR(__xludf.DUMMYFUNCTION("""COMPUTED_VALUE"""),0.527671)</f>
        <v>0.527671</v>
      </c>
      <c r="Y160" s="114">
        <f>IFERROR(__xludf.DUMMYFUNCTION("""COMPUTED_VALUE"""),-1.3315766668360516)</f>
        <v>-1.331576667</v>
      </c>
      <c r="Z160" s="114">
        <f>IFERROR(__xludf.DUMMYFUNCTION("""COMPUTED_VALUE"""),0.962956548184497)</f>
        <v>0.9629565482</v>
      </c>
      <c r="AA160" s="114">
        <f>IFERROR(__xludf.DUMMYFUNCTION("""COMPUTED_VALUE"""),-1.4044345668983)</f>
        <v>-1.404434567</v>
      </c>
      <c r="AB160" s="114">
        <f>IFERROR(__xludf.DUMMYFUNCTION("""COMPUTED_VALUE"""),-0.9105345231114204)</f>
        <v>-0.9105345231</v>
      </c>
      <c r="AC160" s="114">
        <f>IFERROR(__xludf.DUMMYFUNCTION("""COMPUTED_VALUE"""),-0.6348559911840669)</f>
        <v>-0.6348559912</v>
      </c>
      <c r="AD160" s="114">
        <f>IFERROR(__xludf.DUMMYFUNCTION("""COMPUTED_VALUE"""),-0.9791310740483318)</f>
        <v>-0.979131074</v>
      </c>
      <c r="AE160" s="114">
        <f>IFERROR(__xludf.DUMMYFUNCTION("""COMPUTED_VALUE"""),-0.9374296124178974)</f>
        <v>-0.9374296124</v>
      </c>
      <c r="AF160" s="114">
        <f>IFERROR(__xludf.DUMMYFUNCTION("""COMPUTED_VALUE"""),1.8728650065919017)</f>
        <v>1.872865007</v>
      </c>
      <c r="AG160" s="118">
        <f>IFERROR(__xludf.DUMMYFUNCTION("""COMPUTED_VALUE"""),0.0)</f>
        <v>0</v>
      </c>
      <c r="AH160" s="105"/>
      <c r="AI160" s="202"/>
      <c r="AJ160" s="63"/>
      <c r="AK160" s="105"/>
      <c r="AL160" s="105"/>
      <c r="AM160" s="105"/>
      <c r="AN160" s="105"/>
      <c r="AO160" s="105"/>
      <c r="AP160" s="105"/>
      <c r="AQ160" s="105"/>
      <c r="AR160" s="105"/>
      <c r="AS160" s="105"/>
      <c r="AT160" s="105"/>
      <c r="AU160" s="105"/>
      <c r="AV160" s="105"/>
      <c r="AW160" s="105"/>
      <c r="AX160" s="105"/>
      <c r="AY160" s="105"/>
      <c r="AZ160" s="105"/>
      <c r="BA160" s="105"/>
      <c r="BB160" s="105"/>
      <c r="BC160" s="105"/>
      <c r="BD160" s="105"/>
      <c r="BE160" s="105"/>
      <c r="BF160" s="105"/>
      <c r="BG160" s="105"/>
      <c r="BH160" s="105"/>
      <c r="BI160" s="105"/>
      <c r="BJ160" s="105"/>
      <c r="BK160" s="105"/>
      <c r="BL160" s="105"/>
      <c r="BM160" s="105"/>
      <c r="BN160" s="105"/>
      <c r="BO160" s="105"/>
      <c r="BP160" s="105"/>
      <c r="BQ160" s="105"/>
      <c r="BR160" s="105"/>
      <c r="BS160" s="105"/>
      <c r="BT160" s="105"/>
      <c r="BU160" s="105"/>
      <c r="BV160" s="105"/>
    </row>
    <row r="161">
      <c r="A161" s="109">
        <f>VLOOKUP($F161,UpdateHashtag!$V$3:$Y$32,COLUMN(B$9),0)</f>
        <v>3</v>
      </c>
      <c r="B161" s="91" t="str">
        <f>VLOOKUP($F161,UpdateHashtag!$V$3:$Y$32,COLUMN(#REF!),0)</f>
        <v>#REF!</v>
      </c>
      <c r="C161" s="91" t="str">
        <f>VLOOKUP($F161,UpdateHashtag!$V$3:$Y$32,COLUMN(#REF!),0)</f>
        <v>#REF!</v>
      </c>
      <c r="D161" s="110" t="str">
        <f t="shared" si="2"/>
        <v>#REF!</v>
      </c>
      <c r="E161" s="11"/>
      <c r="F161" s="94" t="str">
        <f>VLOOKUP(J161,UpdateBBM!$C$2:E1009,3,0)</f>
        <v>PHO</v>
      </c>
      <c r="G161" s="78">
        <v>148.0</v>
      </c>
      <c r="H161" s="111">
        <f>IFERROR(__xludf.DUMMYFUNCTION("""COMPUTED_VALUE"""),148.0)</f>
        <v>148</v>
      </c>
      <c r="I161" s="111"/>
      <c r="J161" s="112" t="str">
        <f>IFERROR(__xludf.DUMMYFUNCTION("""COMPUTED_VALUE"""),"Grayson Allen")</f>
        <v>Grayson Allen</v>
      </c>
      <c r="K161" s="111">
        <f>IFERROR(__xludf.DUMMYFUNCTION("""COMPUTED_VALUE"""),73.0)</f>
        <v>73</v>
      </c>
      <c r="L161" s="113" t="str">
        <f>IFERROR(__xludf.DUMMYFUNCTION("""COMPUTED_VALUE"""),"G")</f>
        <v>G</v>
      </c>
      <c r="M161" s="114">
        <f>IFERROR(__xludf.DUMMYFUNCTION("""COMPUTED_VALUE"""),-1.7259396569812948)</f>
        <v>-1.725939657</v>
      </c>
      <c r="N161" s="114">
        <f>IFERROR(__xludf.DUMMYFUNCTION("""COMPUTED_VALUE"""),-1.8143390058091067)</f>
        <v>-1.814339006</v>
      </c>
      <c r="O161" s="115">
        <f>IFERROR(__xludf.DUMMYFUNCTION("""COMPUTED_VALUE"""),-0.08839934882781186)</f>
        <v>-0.08839934883</v>
      </c>
      <c r="P161" s="116">
        <f>IFERROR(__xludf.DUMMYFUNCTION("""COMPUTED_VALUE"""),11.65137)</f>
        <v>11.65137</v>
      </c>
      <c r="Q161" s="116">
        <f>IFERROR(__xludf.DUMMYFUNCTION("""COMPUTED_VALUE"""),2.337671)</f>
        <v>2.337671</v>
      </c>
      <c r="R161" s="116">
        <f>IFERROR(__xludf.DUMMYFUNCTION("""COMPUTED_VALUE"""),3.062877)</f>
        <v>3.062877</v>
      </c>
      <c r="S161" s="117">
        <f>IFERROR(__xludf.DUMMYFUNCTION("""COMPUTED_VALUE"""),3.174247)</f>
        <v>3.174247</v>
      </c>
      <c r="T161" s="116">
        <f>IFERROR(__xludf.DUMMYFUNCTION("""COMPUTED_VALUE"""),0.956301)</f>
        <v>0.956301</v>
      </c>
      <c r="U161" s="116">
        <f>IFERROR(__xludf.DUMMYFUNCTION("""COMPUTED_VALUE"""),0.331918)</f>
        <v>0.331918</v>
      </c>
      <c r="V161" s="113">
        <f>IFERROR(__xludf.DUMMYFUNCTION("""COMPUTED_VALUE"""),0.455071)</f>
        <v>0.455071</v>
      </c>
      <c r="W161" s="113">
        <f>IFERROR(__xludf.DUMMYFUNCTION("""COMPUTED_VALUE"""),0.823996)</f>
        <v>0.823996</v>
      </c>
      <c r="X161" s="116">
        <f>IFERROR(__xludf.DUMMYFUNCTION("""COMPUTED_VALUE"""),1.392192)</f>
        <v>1.392192</v>
      </c>
      <c r="Y161" s="114">
        <f>IFERROR(__xludf.DUMMYFUNCTION("""COMPUTED_VALUE"""),-0.9690113510608622)</f>
        <v>-0.9690113511</v>
      </c>
      <c r="Z161" s="114">
        <f>IFERROR(__xludf.DUMMYFUNCTION("""COMPUTED_VALUE"""),0.5487067225235219)</f>
        <v>0.5487067225</v>
      </c>
      <c r="AA161" s="114">
        <f>IFERROR(__xludf.DUMMYFUNCTION("""COMPUTED_VALUE"""),-1.2418488568419017)</f>
        <v>-1.241848857</v>
      </c>
      <c r="AB161" s="114">
        <f>IFERROR(__xludf.DUMMYFUNCTION("""COMPUTED_VALUE"""),-0.32371478823678085)</f>
        <v>-0.3237147882</v>
      </c>
      <c r="AC161" s="114">
        <f>IFERROR(__xludf.DUMMYFUNCTION("""COMPUTED_VALUE"""),-0.27085826865540097)</f>
        <v>-0.2708582687</v>
      </c>
      <c r="AD161" s="114">
        <f>IFERROR(__xludf.DUMMYFUNCTION("""COMPUTED_VALUE"""),-0.7241140326827697)</f>
        <v>-0.7241140327</v>
      </c>
      <c r="AE161" s="114">
        <f>IFERROR(__xludf.DUMMYFUNCTION("""COMPUTED_VALUE"""),-0.54833546946108)</f>
        <v>-0.5483354695</v>
      </c>
      <c r="AF161" s="114">
        <f>IFERROR(__xludf.DUMMYFUNCTION("""COMPUTED_VALUE"""),0.47298818176426477)</f>
        <v>0.4729881818</v>
      </c>
      <c r="AG161" s="118">
        <f>IFERROR(__xludf.DUMMYFUNCTION("""COMPUTED_VALUE"""),0.0)</f>
        <v>0</v>
      </c>
      <c r="AH161" s="105"/>
      <c r="AI161" s="202"/>
      <c r="AJ161" s="63"/>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105"/>
      <c r="BT161" s="105"/>
      <c r="BU161" s="105"/>
      <c r="BV161" s="105"/>
    </row>
    <row r="162">
      <c r="A162" s="109">
        <f>VLOOKUP($F162,UpdateHashtag!$V$3:$Y$32,COLUMN(B$9),0)</f>
        <v>4</v>
      </c>
      <c r="B162" s="91" t="str">
        <f>VLOOKUP($F162,UpdateHashtag!$V$3:$Y$32,COLUMN(#REF!),0)</f>
        <v>#REF!</v>
      </c>
      <c r="C162" s="91" t="str">
        <f>VLOOKUP($F162,UpdateHashtag!$V$3:$Y$32,COLUMN(#REF!),0)</f>
        <v>#REF!</v>
      </c>
      <c r="D162" s="110" t="str">
        <f t="shared" si="2"/>
        <v>#REF!</v>
      </c>
      <c r="E162" s="11"/>
      <c r="F162" s="94" t="str">
        <f>VLOOKUP(J162,UpdateBBM!$C$2:E1009,3,0)</f>
        <v>DET</v>
      </c>
      <c r="G162" s="78">
        <v>149.0</v>
      </c>
      <c r="H162" s="111">
        <f>IFERROR(__xludf.DUMMYFUNCTION("""COMPUTED_VALUE"""),149.0)</f>
        <v>149</v>
      </c>
      <c r="I162" s="111"/>
      <c r="J162" s="112" t="str">
        <f>IFERROR(__xludf.DUMMYFUNCTION("""COMPUTED_VALUE"""),"Isaiah Stewart")</f>
        <v>Isaiah Stewart</v>
      </c>
      <c r="K162" s="111">
        <f>IFERROR(__xludf.DUMMYFUNCTION("""COMPUTED_VALUE"""),73.0)</f>
        <v>73</v>
      </c>
      <c r="L162" s="113" t="str">
        <f>IFERROR(__xludf.DUMMYFUNCTION("""COMPUTED_VALUE"""),"C")</f>
        <v>C</v>
      </c>
      <c r="M162" s="114">
        <f>IFERROR(__xludf.DUMMYFUNCTION("""COMPUTED_VALUE"""),-1.8416861258409094)</f>
        <v>-1.841686126</v>
      </c>
      <c r="N162" s="114">
        <f>IFERROR(__xludf.DUMMYFUNCTION("""COMPUTED_VALUE"""),-2.035868701786046)</f>
        <v>-2.035868702</v>
      </c>
      <c r="O162" s="115">
        <f>IFERROR(__xludf.DUMMYFUNCTION("""COMPUTED_VALUE"""),-0.19418257594513655)</f>
        <v>-0.1941825759</v>
      </c>
      <c r="P162" s="116">
        <f>IFERROR(__xludf.DUMMYFUNCTION("""COMPUTED_VALUE"""),6.928356)</f>
        <v>6.928356</v>
      </c>
      <c r="Q162" s="116">
        <f>IFERROR(__xludf.DUMMYFUNCTION("""COMPUTED_VALUE"""),0.30411)</f>
        <v>0.30411</v>
      </c>
      <c r="R162" s="116">
        <f>IFERROR(__xludf.DUMMYFUNCTION("""COMPUTED_VALUE"""),5.647534)</f>
        <v>5.647534</v>
      </c>
      <c r="S162" s="117">
        <f>IFERROR(__xludf.DUMMYFUNCTION("""COMPUTED_VALUE"""),1.527671)</f>
        <v>1.527671</v>
      </c>
      <c r="T162" s="116">
        <f>IFERROR(__xludf.DUMMYFUNCTION("""COMPUTED_VALUE"""),0.375068)</f>
        <v>0.375068</v>
      </c>
      <c r="U162" s="116">
        <f>IFERROR(__xludf.DUMMYFUNCTION("""COMPUTED_VALUE"""),1.573973)</f>
        <v>1.573973</v>
      </c>
      <c r="V162" s="113">
        <f>IFERROR(__xludf.DUMMYFUNCTION("""COMPUTED_VALUE"""),0.583253)</f>
        <v>0.583253</v>
      </c>
      <c r="W162" s="113">
        <f>IFERROR(__xludf.DUMMYFUNCTION("""COMPUTED_VALUE"""),0.739047)</f>
        <v>0.739047</v>
      </c>
      <c r="X162" s="116">
        <f>IFERROR(__xludf.DUMMYFUNCTION("""COMPUTED_VALUE"""),0.965616)</f>
        <v>0.965616</v>
      </c>
      <c r="Y162" s="114">
        <f>IFERROR(__xludf.DUMMYFUNCTION("""COMPUTED_VALUE"""),-1.797629263462125)</f>
        <v>-1.797629263</v>
      </c>
      <c r="Z162" s="114">
        <f>IFERROR(__xludf.DUMMYFUNCTION("""COMPUTED_VALUE"""),-1.415374493135362)</f>
        <v>-1.415374493</v>
      </c>
      <c r="AA162" s="114">
        <f>IFERROR(__xludf.DUMMYFUNCTION("""COMPUTED_VALUE"""),-0.1941488209471516)</f>
        <v>-0.1941488209</v>
      </c>
      <c r="AB162" s="114">
        <f>IFERROR(__xludf.DUMMYFUNCTION("""COMPUTED_VALUE"""),-1.1280910347859054)</f>
        <v>-1.128091035</v>
      </c>
      <c r="AC162" s="114">
        <f>IFERROR(__xludf.DUMMYFUNCTION("""COMPUTED_VALUE"""),-2.0420089254757476)</f>
        <v>-2.042008925</v>
      </c>
      <c r="AD162" s="114">
        <f>IFERROR(__xludf.DUMMYFUNCTION("""COMPUTED_VALUE"""),1.5339323003034093)</f>
        <v>1.5339323</v>
      </c>
      <c r="AE162" s="114">
        <f>IFERROR(__xludf.DUMMYFUNCTION("""COMPUTED_VALUE"""),1.543064206375483)</f>
        <v>1.543064206</v>
      </c>
      <c r="AF162" s="114">
        <f>IFERROR(__xludf.DUMMYFUNCTION("""COMPUTED_VALUE"""),-0.5776215961343942)</f>
        <v>-0.5776215961</v>
      </c>
      <c r="AG162" s="118">
        <f>IFERROR(__xludf.DUMMYFUNCTION("""COMPUTED_VALUE"""),0.0)</f>
        <v>0</v>
      </c>
      <c r="AH162" s="105"/>
      <c r="AI162" s="202"/>
      <c r="AJ162" s="63"/>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c r="BO162" s="105"/>
      <c r="BP162" s="105"/>
      <c r="BQ162" s="105"/>
      <c r="BR162" s="105"/>
      <c r="BS162" s="105"/>
      <c r="BT162" s="105"/>
      <c r="BU162" s="105"/>
      <c r="BV162" s="105"/>
    </row>
    <row r="163">
      <c r="A163" s="109">
        <f>VLOOKUP($F163,UpdateHashtag!$V$3:$Y$32,COLUMN(B$9),0)</f>
        <v>4</v>
      </c>
      <c r="B163" s="91" t="str">
        <f>VLOOKUP($F163,UpdateHashtag!$V$3:$Y$32,COLUMN(#REF!),0)</f>
        <v>#REF!</v>
      </c>
      <c r="C163" s="91" t="str">
        <f>VLOOKUP($F163,UpdateHashtag!$V$3:$Y$32,COLUMN(#REF!),0)</f>
        <v>#REF!</v>
      </c>
      <c r="D163" s="110" t="str">
        <f t="shared" si="2"/>
        <v>#REF!</v>
      </c>
      <c r="E163" s="11"/>
      <c r="F163" s="94" t="str">
        <f>VLOOKUP(J163,UpdateBBM!$C$2:E1009,3,0)</f>
        <v>HOU</v>
      </c>
      <c r="G163" s="78">
        <v>150.0</v>
      </c>
      <c r="H163" s="111">
        <f>IFERROR(__xludf.DUMMYFUNCTION("""COMPUTED_VALUE"""),150.0)</f>
        <v>150</v>
      </c>
      <c r="I163" s="111"/>
      <c r="J163" s="112" t="str">
        <f>IFERROR(__xludf.DUMMYFUNCTION("""COMPUTED_VALUE"""),"Jabari Smith Jr.")</f>
        <v>Jabari Smith Jr.</v>
      </c>
      <c r="K163" s="111">
        <f>IFERROR(__xludf.DUMMYFUNCTION("""COMPUTED_VALUE"""),70.0)</f>
        <v>70</v>
      </c>
      <c r="L163" s="113" t="str">
        <f>IFERROR(__xludf.DUMMYFUNCTION("""COMPUTED_VALUE"""),"F")</f>
        <v>F</v>
      </c>
      <c r="M163" s="114">
        <f>IFERROR(__xludf.DUMMYFUNCTION("""COMPUTED_VALUE"""),-1.8616851591531387)</f>
        <v>-1.861685159</v>
      </c>
      <c r="N163" s="114">
        <f>IFERROR(__xludf.DUMMYFUNCTION("""COMPUTED_VALUE"""),-2.01691023769177)</f>
        <v>-2.016910238</v>
      </c>
      <c r="O163" s="115">
        <f>IFERROR(__xludf.DUMMYFUNCTION("""COMPUTED_VALUE"""),-0.15522507853863132)</f>
        <v>-0.1552250785</v>
      </c>
      <c r="P163" s="116">
        <f>IFERROR(__xludf.DUMMYFUNCTION("""COMPUTED_VALUE"""),13.27057)</f>
        <v>13.27057</v>
      </c>
      <c r="Q163" s="116">
        <f>IFERROR(__xludf.DUMMYFUNCTION("""COMPUTED_VALUE"""),1.990571)</f>
        <v>1.990571</v>
      </c>
      <c r="R163" s="116">
        <f>IFERROR(__xludf.DUMMYFUNCTION("""COMPUTED_VALUE"""),7.07)</f>
        <v>7.07</v>
      </c>
      <c r="S163" s="117">
        <f>IFERROR(__xludf.DUMMYFUNCTION("""COMPUTED_VALUE"""),1.105143)</f>
        <v>1.105143</v>
      </c>
      <c r="T163" s="116">
        <f>IFERROR(__xludf.DUMMYFUNCTION("""COMPUTED_VALUE"""),0.468857)</f>
        <v>0.468857</v>
      </c>
      <c r="U163" s="116">
        <f>IFERROR(__xludf.DUMMYFUNCTION("""COMPUTED_VALUE"""),0.530286)</f>
        <v>0.530286</v>
      </c>
      <c r="V163" s="113">
        <f>IFERROR(__xludf.DUMMYFUNCTION("""COMPUTED_VALUE"""),0.446872)</f>
        <v>0.446872</v>
      </c>
      <c r="W163" s="113">
        <f>IFERROR(__xludf.DUMMYFUNCTION("""COMPUTED_VALUE"""),0.820015)</f>
        <v>0.820015</v>
      </c>
      <c r="X163" s="116">
        <f>IFERROR(__xludf.DUMMYFUNCTION("""COMPUTED_VALUE"""),1.122714)</f>
        <v>1.122714</v>
      </c>
      <c r="Y163" s="114">
        <f>IFERROR(__xludf.DUMMYFUNCTION("""COMPUTED_VALUE"""),-0.6849346738034745)</f>
        <v>-0.6849346738</v>
      </c>
      <c r="Z163" s="114">
        <f>IFERROR(__xludf.DUMMYFUNCTION("""COMPUTED_VALUE"""),0.21346593557137336)</f>
        <v>0.2134659356</v>
      </c>
      <c r="AA163" s="114">
        <f>IFERROR(__xludf.DUMMYFUNCTION("""COMPUTED_VALUE"""),0.3824529019348638)</f>
        <v>0.3824529019</v>
      </c>
      <c r="AB163" s="114">
        <f>IFERROR(__xludf.DUMMYFUNCTION("""COMPUTED_VALUE"""),-1.3345020882094392)</f>
        <v>-1.334502088</v>
      </c>
      <c r="AC163" s="114">
        <f>IFERROR(__xludf.DUMMYFUNCTION("""COMPUTED_VALUE"""),-1.756212267418611)</f>
        <v>-1.756212267</v>
      </c>
      <c r="AD163" s="114">
        <f>IFERROR(__xludf.DUMMYFUNCTION("""COMPUTED_VALUE"""),-0.3634825509997506)</f>
        <v>-0.363482551</v>
      </c>
      <c r="AE163" s="114">
        <f>IFERROR(__xludf.DUMMYFUNCTION("""COMPUTED_VALUE"""),-0.6485190698173745)</f>
        <v>-0.6485190698</v>
      </c>
      <c r="AF163" s="114">
        <f>IFERROR(__xludf.DUMMYFUNCTION("""COMPUTED_VALUE"""),0.4186093076320318)</f>
        <v>0.4186093076</v>
      </c>
      <c r="AG163" s="118">
        <f>IFERROR(__xludf.DUMMYFUNCTION("""COMPUTED_VALUE"""),0.0)</f>
        <v>0</v>
      </c>
      <c r="AH163" s="105"/>
      <c r="AI163" s="202"/>
      <c r="AJ163" s="63"/>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c r="BO163" s="105"/>
      <c r="BP163" s="105"/>
      <c r="BQ163" s="105"/>
      <c r="BR163" s="105"/>
      <c r="BS163" s="105"/>
      <c r="BT163" s="105"/>
      <c r="BU163" s="105"/>
      <c r="BV163" s="105"/>
    </row>
    <row r="164">
      <c r="A164" s="109">
        <f>VLOOKUP($F164,UpdateHashtag!$V$3:$Y$32,COLUMN(B$9),0)</f>
        <v>4</v>
      </c>
      <c r="B164" s="91" t="str">
        <f>VLOOKUP($F164,UpdateHashtag!$V$3:$Y$32,COLUMN(#REF!),0)</f>
        <v>#REF!</v>
      </c>
      <c r="C164" s="91" t="str">
        <f>VLOOKUP($F164,UpdateHashtag!$V$3:$Y$32,COLUMN(#REF!),0)</f>
        <v>#REF!</v>
      </c>
      <c r="D164" s="110" t="str">
        <f t="shared" si="2"/>
        <v>#REF!</v>
      </c>
      <c r="E164" s="11"/>
      <c r="F164" s="94" t="str">
        <f>VLOOKUP(J164,UpdateBBM!$C$2:E1009,3,0)</f>
        <v>CHA</v>
      </c>
      <c r="G164" s="78">
        <v>151.0</v>
      </c>
      <c r="H164" s="111">
        <f>IFERROR(__xludf.DUMMYFUNCTION("""COMPUTED_VALUE"""),151.0)</f>
        <v>151</v>
      </c>
      <c r="I164" s="111"/>
      <c r="J164" s="112" t="str">
        <f>IFERROR(__xludf.DUMMYFUNCTION("""COMPUTED_VALUE"""),"Moussa Diabate")</f>
        <v>Moussa Diabate</v>
      </c>
      <c r="K164" s="111">
        <f>IFERROR(__xludf.DUMMYFUNCTION("""COMPUTED_VALUE"""),73.0)</f>
        <v>73</v>
      </c>
      <c r="L164" s="113" t="str">
        <f>IFERROR(__xludf.DUMMYFUNCTION("""COMPUTED_VALUE"""),"C")</f>
        <v>C</v>
      </c>
      <c r="M164" s="114">
        <f>IFERROR(__xludf.DUMMYFUNCTION("""COMPUTED_VALUE"""),-1.8672796282403075)</f>
        <v>-1.867279628</v>
      </c>
      <c r="N164" s="114">
        <f>IFERROR(__xludf.DUMMYFUNCTION("""COMPUTED_VALUE"""),-2.0323156239764435)</f>
        <v>-2.032315624</v>
      </c>
      <c r="O164" s="115">
        <f>IFERROR(__xludf.DUMMYFUNCTION("""COMPUTED_VALUE"""),-0.16503599573613603)</f>
        <v>-0.1650359957</v>
      </c>
      <c r="P164" s="116">
        <f>IFERROR(__xludf.DUMMYFUNCTION("""COMPUTED_VALUE"""),9.221233)</f>
        <v>9.221233</v>
      </c>
      <c r="Q164" s="116">
        <f>IFERROR(__xludf.DUMMYFUNCTION("""COMPUTED_VALUE"""),0.032466)</f>
        <v>0.032466</v>
      </c>
      <c r="R164" s="116">
        <f>IFERROR(__xludf.DUMMYFUNCTION("""COMPUTED_VALUE"""),7.562466)</f>
        <v>7.562466</v>
      </c>
      <c r="S164" s="117">
        <f>IFERROR(__xludf.DUMMYFUNCTION("""COMPUTED_VALUE"""),0.916712)</f>
        <v>0.916712</v>
      </c>
      <c r="T164" s="116">
        <f>IFERROR(__xludf.DUMMYFUNCTION("""COMPUTED_VALUE"""),0.897808)</f>
        <v>0.897808</v>
      </c>
      <c r="U164" s="116">
        <f>IFERROR(__xludf.DUMMYFUNCTION("""COMPUTED_VALUE"""),0.641644)</f>
        <v>0.641644</v>
      </c>
      <c r="V164" s="113">
        <f>IFERROR(__xludf.DUMMYFUNCTION("""COMPUTED_VALUE"""),0.620212)</f>
        <v>0.620212</v>
      </c>
      <c r="W164" s="113">
        <f>IFERROR(__xludf.DUMMYFUNCTION("""COMPUTED_VALUE"""),0.64)</f>
        <v>0.64</v>
      </c>
      <c r="X164" s="116">
        <f>IFERROR(__xludf.DUMMYFUNCTION("""COMPUTED_VALUE"""),1.083151)</f>
        <v>1.083151</v>
      </c>
      <c r="Y164" s="114">
        <f>IFERROR(__xludf.DUMMYFUNCTION("""COMPUTED_VALUE"""),-1.3953609337191113)</f>
        <v>-1.395360934</v>
      </c>
      <c r="Z164" s="114">
        <f>IFERROR(__xludf.DUMMYFUNCTION("""COMPUTED_VALUE"""),-1.6777373520544903)</f>
        <v>-1.677737352</v>
      </c>
      <c r="AA164" s="114">
        <f>IFERROR(__xludf.DUMMYFUNCTION("""COMPUTED_VALUE"""),0.5820757709952239)</f>
        <v>0.582075771</v>
      </c>
      <c r="AB164" s="114">
        <f>IFERROR(__xludf.DUMMYFUNCTION("""COMPUTED_VALUE"""),-1.4265533634093073)</f>
        <v>-1.426553363</v>
      </c>
      <c r="AC164" s="114">
        <f>IFERROR(__xludf.DUMMYFUNCTION("""COMPUTED_VALUE"""),-0.4490998952825752)</f>
        <v>-0.4490998953</v>
      </c>
      <c r="AD164" s="114">
        <f>IFERROR(__xludf.DUMMYFUNCTION("""COMPUTED_VALUE"""),-0.16103457281144584)</f>
        <v>-0.1610345728</v>
      </c>
      <c r="AE164" s="114">
        <f>IFERROR(__xludf.DUMMYFUNCTION("""COMPUTED_VALUE"""),2.329428435003482)</f>
        <v>2.329428435</v>
      </c>
      <c r="AF164" s="114">
        <f>IFERROR(__xludf.DUMMYFUNCTION("""COMPUTED_VALUE"""),-1.5117710647527092)</f>
        <v>-1.511771065</v>
      </c>
      <c r="AG164" s="118">
        <f>IFERROR(__xludf.DUMMYFUNCTION("""COMPUTED_VALUE"""),0.0)</f>
        <v>0</v>
      </c>
      <c r="AH164" s="105"/>
      <c r="AI164" s="202"/>
      <c r="AJ164" s="63"/>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c r="BL164" s="105"/>
      <c r="BM164" s="105"/>
      <c r="BN164" s="105"/>
      <c r="BO164" s="105"/>
      <c r="BP164" s="105"/>
      <c r="BQ164" s="105"/>
      <c r="BR164" s="105"/>
      <c r="BS164" s="105"/>
      <c r="BT164" s="105"/>
      <c r="BU164" s="105"/>
      <c r="BV164" s="105"/>
    </row>
    <row r="165">
      <c r="A165" s="109">
        <f>VLOOKUP($F165,UpdateHashtag!$V$3:$Y$32,COLUMN(B$9),0)</f>
        <v>4</v>
      </c>
      <c r="B165" s="91" t="str">
        <f>VLOOKUP($F165,UpdateHashtag!$V$3:$Y$32,COLUMN(#REF!),0)</f>
        <v>#REF!</v>
      </c>
      <c r="C165" s="91" t="str">
        <f>VLOOKUP($F165,UpdateHashtag!$V$3:$Y$32,COLUMN(#REF!),0)</f>
        <v>#REF!</v>
      </c>
      <c r="D165" s="110" t="str">
        <f t="shared" si="2"/>
        <v>#REF!</v>
      </c>
      <c r="E165" s="11"/>
      <c r="F165" s="94" t="str">
        <f>VLOOKUP(J165,UpdateBBM!$C$2:E1009,3,0)</f>
        <v>PHI</v>
      </c>
      <c r="G165" s="78">
        <v>152.0</v>
      </c>
      <c r="H165" s="111">
        <f>IFERROR(__xludf.DUMMYFUNCTION("""COMPUTED_VALUE"""),152.0)</f>
        <v>152</v>
      </c>
      <c r="I165" s="111"/>
      <c r="J165" s="112" t="str">
        <f>IFERROR(__xludf.DUMMYFUNCTION("""COMPUTED_VALUE"""),"Kelly Oubre")</f>
        <v>Kelly Oubre</v>
      </c>
      <c r="K165" s="111">
        <f>IFERROR(__xludf.DUMMYFUNCTION("""COMPUTED_VALUE"""),73.0)</f>
        <v>73</v>
      </c>
      <c r="L165" s="113" t="str">
        <f>IFERROR(__xludf.DUMMYFUNCTION("""COMPUTED_VALUE"""),"F")</f>
        <v>F</v>
      </c>
      <c r="M165" s="114">
        <f>IFERROR(__xludf.DUMMYFUNCTION("""COMPUTED_VALUE"""),-1.9044413645146314)</f>
        <v>-1.904441365</v>
      </c>
      <c r="N165" s="114">
        <f>IFERROR(__xludf.DUMMYFUNCTION("""COMPUTED_VALUE"""),-2.013800411354482)</f>
        <v>-2.013800411</v>
      </c>
      <c r="O165" s="115">
        <f>IFERROR(__xludf.DUMMYFUNCTION("""COMPUTED_VALUE"""),-0.10935904683985043)</f>
        <v>-0.1093590468</v>
      </c>
      <c r="P165" s="116">
        <f>IFERROR(__xludf.DUMMYFUNCTION("""COMPUTED_VALUE"""),13.16712)</f>
        <v>13.16712</v>
      </c>
      <c r="Q165" s="116">
        <f>IFERROR(__xludf.DUMMYFUNCTION("""COMPUTED_VALUE"""),1.124795)</f>
        <v>1.124795</v>
      </c>
      <c r="R165" s="116">
        <f>IFERROR(__xludf.DUMMYFUNCTION("""COMPUTED_VALUE"""),4.764384)</f>
        <v>4.764384</v>
      </c>
      <c r="S165" s="117">
        <f>IFERROR(__xludf.DUMMYFUNCTION("""COMPUTED_VALUE"""),1.497397)</f>
        <v>1.497397</v>
      </c>
      <c r="T165" s="116">
        <f>IFERROR(__xludf.DUMMYFUNCTION("""COMPUTED_VALUE"""),1.361233)</f>
        <v>1.361233</v>
      </c>
      <c r="U165" s="116">
        <f>IFERROR(__xludf.DUMMYFUNCTION("""COMPUTED_VALUE"""),0.48274)</f>
        <v>0.48274</v>
      </c>
      <c r="V165" s="113">
        <f>IFERROR(__xludf.DUMMYFUNCTION("""COMPUTED_VALUE"""),0.470829)</f>
        <v>0.470829</v>
      </c>
      <c r="W165" s="113">
        <f>IFERROR(__xludf.DUMMYFUNCTION("""COMPUTED_VALUE"""),0.763013)</f>
        <v>0.763013</v>
      </c>
      <c r="X165" s="116">
        <f>IFERROR(__xludf.DUMMYFUNCTION("""COMPUTED_VALUE"""),1.307671)</f>
        <v>1.307671</v>
      </c>
      <c r="Y165" s="114">
        <f>IFERROR(__xludf.DUMMYFUNCTION("""COMPUTED_VALUE"""),-0.7030842120089317)</f>
        <v>-0.703084212</v>
      </c>
      <c r="Z165" s="114">
        <f>IFERROR(__xludf.DUMMYFUNCTION("""COMPUTED_VALUE"""),-0.6227294765988473)</f>
        <v>-0.6227294766</v>
      </c>
      <c r="AA165" s="114">
        <f>IFERROR(__xludf.DUMMYFUNCTION("""COMPUTED_VALUE"""),-0.5521368583155332)</f>
        <v>-0.5521368583</v>
      </c>
      <c r="AB165" s="114">
        <f>IFERROR(__xludf.DUMMYFUNCTION("""COMPUTED_VALUE"""),-1.1428803226705992)</f>
        <v>-1.142880323</v>
      </c>
      <c r="AC165" s="114">
        <f>IFERROR(__xludf.DUMMYFUNCTION("""COMPUTED_VALUE"""),0.9630626851919829)</f>
        <v>0.9630626852</v>
      </c>
      <c r="AD165" s="114">
        <f>IFERROR(__xludf.DUMMYFUNCTION("""COMPUTED_VALUE"""),-0.44992080932821504)</f>
        <v>-0.4499208093</v>
      </c>
      <c r="AE165" s="114">
        <f>IFERROR(__xludf.DUMMYFUNCTION("""COMPUTED_VALUE"""),-0.34444797154391704)</f>
        <v>-0.3444479715</v>
      </c>
      <c r="AF165" s="114">
        <f>IFERROR(__xludf.DUMMYFUNCTION("""COMPUTED_VALUE"""),-0.3045437687510202)</f>
        <v>-0.3045437688</v>
      </c>
      <c r="AG165" s="118">
        <f>IFERROR(__xludf.DUMMYFUNCTION("""COMPUTED_VALUE"""),0.0)</f>
        <v>0</v>
      </c>
      <c r="AH165" s="105"/>
      <c r="AI165" s="202"/>
      <c r="AJ165" s="63"/>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c r="BO165" s="105"/>
      <c r="BP165" s="105"/>
      <c r="BQ165" s="105"/>
      <c r="BR165" s="105"/>
      <c r="BS165" s="105"/>
      <c r="BT165" s="105"/>
      <c r="BU165" s="105"/>
      <c r="BV165" s="105"/>
    </row>
    <row r="166">
      <c r="A166" s="109">
        <f>VLOOKUP($F166,UpdateHashtag!$V$3:$Y$32,COLUMN(B$9),0)</f>
        <v>3</v>
      </c>
      <c r="B166" s="91" t="str">
        <f>VLOOKUP($F166,UpdateHashtag!$V$3:$Y$32,COLUMN(#REF!),0)</f>
        <v>#REF!</v>
      </c>
      <c r="C166" s="91" t="str">
        <f>VLOOKUP($F166,UpdateHashtag!$V$3:$Y$32,COLUMN(#REF!),0)</f>
        <v>#REF!</v>
      </c>
      <c r="D166" s="110" t="str">
        <f t="shared" si="2"/>
        <v>#REF!</v>
      </c>
      <c r="E166" s="11"/>
      <c r="F166" s="94" t="str">
        <f>VLOOKUP(J166,UpdateBBM!$C$2:E1009,3,0)</f>
        <v>WAS</v>
      </c>
      <c r="G166" s="78">
        <v>153.0</v>
      </c>
      <c r="H166" s="111">
        <f>IFERROR(__xludf.DUMMYFUNCTION("""COMPUTED_VALUE"""),153.0)</f>
        <v>153</v>
      </c>
      <c r="I166" s="111"/>
      <c r="J166" s="112" t="str">
        <f>IFERROR(__xludf.DUMMYFUNCTION("""COMPUTED_VALUE"""),"Kyshawn George")</f>
        <v>Kyshawn George</v>
      </c>
      <c r="K166" s="111">
        <f>IFERROR(__xludf.DUMMYFUNCTION("""COMPUTED_VALUE"""),68.0)</f>
        <v>68</v>
      </c>
      <c r="L166" s="113" t="str">
        <f>IFERROR(__xludf.DUMMYFUNCTION("""COMPUTED_VALUE"""),"F")</f>
        <v>F</v>
      </c>
      <c r="M166" s="114">
        <f>IFERROR(__xludf.DUMMYFUNCTION("""COMPUTED_VALUE"""),-1.9267157746727253)</f>
        <v>-1.926715775</v>
      </c>
      <c r="N166" s="114">
        <f>IFERROR(__xludf.DUMMYFUNCTION("""COMPUTED_VALUE"""),-1.972699515224805)</f>
        <v>-1.972699515</v>
      </c>
      <c r="O166" s="115">
        <f>IFERROR(__xludf.DUMMYFUNCTION("""COMPUTED_VALUE"""),-0.045983740552079766)</f>
        <v>-0.04598374055</v>
      </c>
      <c r="P166" s="116">
        <f>IFERROR(__xludf.DUMMYFUNCTION("""COMPUTED_VALUE"""),10.13235)</f>
        <v>10.13235</v>
      </c>
      <c r="Q166" s="116">
        <f>IFERROR(__xludf.DUMMYFUNCTION("""COMPUTED_VALUE"""),1.693676)</f>
        <v>1.693676</v>
      </c>
      <c r="R166" s="116">
        <f>IFERROR(__xludf.DUMMYFUNCTION("""COMPUTED_VALUE"""),5.167206)</f>
        <v>5.167206</v>
      </c>
      <c r="S166" s="117">
        <f>IFERROR(__xludf.DUMMYFUNCTION("""COMPUTED_VALUE"""),3.004118)</f>
        <v>3.004118</v>
      </c>
      <c r="T166" s="116">
        <f>IFERROR(__xludf.DUMMYFUNCTION("""COMPUTED_VALUE"""),1.140147)</f>
        <v>1.140147</v>
      </c>
      <c r="U166" s="116">
        <f>IFERROR(__xludf.DUMMYFUNCTION("""COMPUTED_VALUE"""),0.660882)</f>
        <v>0.660882</v>
      </c>
      <c r="V166" s="113">
        <f>IFERROR(__xludf.DUMMYFUNCTION("""COMPUTED_VALUE"""),0.422027)</f>
        <v>0.422027</v>
      </c>
      <c r="W166" s="113">
        <f>IFERROR(__xludf.DUMMYFUNCTION("""COMPUTED_VALUE"""),0.760024)</f>
        <v>0.760024</v>
      </c>
      <c r="X166" s="116">
        <f>IFERROR(__xludf.DUMMYFUNCTION("""COMPUTED_VALUE"""),1.563235)</f>
        <v>1.563235</v>
      </c>
      <c r="Y166" s="114">
        <f>IFERROR(__xludf.DUMMYFUNCTION("""COMPUTED_VALUE"""),-1.2355121874538448)</f>
        <v>-1.235512187</v>
      </c>
      <c r="Z166" s="114">
        <f>IFERROR(__xludf.DUMMYFUNCTION("""COMPUTED_VALUE"""),-0.0732851835359682)</f>
        <v>-0.07328518354</v>
      </c>
      <c r="AA166" s="114">
        <f>IFERROR(__xludf.DUMMYFUNCTION("""COMPUTED_VALUE"""),-0.38885150793473)</f>
        <v>-0.3888515079</v>
      </c>
      <c r="AB166" s="114">
        <f>IFERROR(__xludf.DUMMYFUNCTION("""COMPUTED_VALUE"""),-0.4068252711110337)</f>
        <v>-0.4068252711</v>
      </c>
      <c r="AC166" s="114">
        <f>IFERROR(__xludf.DUMMYFUNCTION("""COMPUTED_VALUE"""),0.2893627849561344)</f>
        <v>0.289362785</v>
      </c>
      <c r="AD166" s="114">
        <f>IFERROR(__xludf.DUMMYFUNCTION("""COMPUTED_VALUE"""),-0.12606003838745652)</f>
        <v>-0.1260600384</v>
      </c>
      <c r="AE166" s="114">
        <f>IFERROR(__xludf.DUMMYFUNCTION("""COMPUTED_VALUE"""),-0.9274381599604793)</f>
        <v>-0.92743816</v>
      </c>
      <c r="AF166" s="114">
        <f>IFERROR(__xludf.DUMMYFUNCTION("""COMPUTED_VALUE"""),-0.3396021392512718)</f>
        <v>-0.3396021393</v>
      </c>
      <c r="AG166" s="118">
        <f>IFERROR(__xludf.DUMMYFUNCTION("""COMPUTED_VALUE"""),0.0)</f>
        <v>0</v>
      </c>
      <c r="AH166" s="105"/>
      <c r="AI166" s="202"/>
      <c r="AJ166" s="63"/>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c r="BO166" s="105"/>
      <c r="BP166" s="105"/>
      <c r="BQ166" s="105"/>
      <c r="BR166" s="105"/>
      <c r="BS166" s="105"/>
      <c r="BT166" s="105"/>
      <c r="BU166" s="105"/>
      <c r="BV166" s="105"/>
    </row>
    <row r="167">
      <c r="A167" s="109">
        <f>VLOOKUP($F167,UpdateHashtag!$V$3:$Y$32,COLUMN(B$9),0)</f>
        <v>4</v>
      </c>
      <c r="B167" s="91" t="str">
        <f>VLOOKUP($F167,UpdateHashtag!$V$3:$Y$32,COLUMN(#REF!),0)</f>
        <v>#REF!</v>
      </c>
      <c r="C167" s="91" t="str">
        <f>VLOOKUP($F167,UpdateHashtag!$V$3:$Y$32,COLUMN(#REF!),0)</f>
        <v>#REF!</v>
      </c>
      <c r="D167" s="110" t="str">
        <f t="shared" si="2"/>
        <v>#REF!</v>
      </c>
      <c r="E167" s="11"/>
      <c r="F167" s="94" t="str">
        <f>VLOOKUP(J167,UpdateBBM!$C$2:E1009,3,0)</f>
        <v>SAC</v>
      </c>
      <c r="G167" s="78">
        <v>154.0</v>
      </c>
      <c r="H167" s="111">
        <f>IFERROR(__xludf.DUMMYFUNCTION("""COMPUTED_VALUE"""),154.0)</f>
        <v>154</v>
      </c>
      <c r="I167" s="111"/>
      <c r="J167" s="112" t="str">
        <f>IFERROR(__xludf.DUMMYFUNCTION("""COMPUTED_VALUE"""),"Keon Ellis")</f>
        <v>Keon Ellis</v>
      </c>
      <c r="K167" s="111">
        <f>IFERROR(__xludf.DUMMYFUNCTION("""COMPUTED_VALUE"""),73.0)</f>
        <v>73</v>
      </c>
      <c r="L167" s="113" t="str">
        <f>IFERROR(__xludf.DUMMYFUNCTION("""COMPUTED_VALUE"""),"G")</f>
        <v>G</v>
      </c>
      <c r="M167" s="114">
        <f>IFERROR(__xludf.DUMMYFUNCTION("""COMPUTED_VALUE"""),-2.005858088887117)</f>
        <v>-2.005858089</v>
      </c>
      <c r="N167" s="114">
        <f>IFERROR(__xludf.DUMMYFUNCTION("""COMPUTED_VALUE"""),-2.2550721162317595)</f>
        <v>-2.255072116</v>
      </c>
      <c r="O167" s="115">
        <f>IFERROR(__xludf.DUMMYFUNCTION("""COMPUTED_VALUE"""),-0.24921402734464237)</f>
        <v>-0.2492140273</v>
      </c>
      <c r="P167" s="116">
        <f>IFERROR(__xludf.DUMMYFUNCTION("""COMPUTED_VALUE"""),6.315068)</f>
        <v>6.315068</v>
      </c>
      <c r="Q167" s="116">
        <f>IFERROR(__xludf.DUMMYFUNCTION("""COMPUTED_VALUE"""),1.41863)</f>
        <v>1.41863</v>
      </c>
      <c r="R167" s="116">
        <f>IFERROR(__xludf.DUMMYFUNCTION("""COMPUTED_VALUE"""),2.509863)</f>
        <v>2.509863</v>
      </c>
      <c r="S167" s="117">
        <f>IFERROR(__xludf.DUMMYFUNCTION("""COMPUTED_VALUE"""),1.400548)</f>
        <v>1.400548</v>
      </c>
      <c r="T167" s="116">
        <f>IFERROR(__xludf.DUMMYFUNCTION("""COMPUTED_VALUE"""),1.394384)</f>
        <v>1.394384</v>
      </c>
      <c r="U167" s="116">
        <f>IFERROR(__xludf.DUMMYFUNCTION("""COMPUTED_VALUE"""),0.707808)</f>
        <v>0.707808</v>
      </c>
      <c r="V167" s="113">
        <f>IFERROR(__xludf.DUMMYFUNCTION("""COMPUTED_VALUE"""),0.44344)</f>
        <v>0.44344</v>
      </c>
      <c r="W167" s="113">
        <f>IFERROR(__xludf.DUMMYFUNCTION("""COMPUTED_VALUE"""),0.819086)</f>
        <v>0.819086</v>
      </c>
      <c r="X167" s="116">
        <f>IFERROR(__xludf.DUMMYFUNCTION("""COMPUTED_VALUE"""),0.743699)</f>
        <v>0.743699</v>
      </c>
      <c r="Y167" s="114">
        <f>IFERROR(__xludf.DUMMYFUNCTION("""COMPUTED_VALUE"""),-1.905226112055152)</f>
        <v>-1.905226112</v>
      </c>
      <c r="Z167" s="114">
        <f>IFERROR(__xludf.DUMMYFUNCTION("""COMPUTED_VALUE"""),-0.3389338078172724)</f>
        <v>-0.3389338078</v>
      </c>
      <c r="AA167" s="114">
        <f>IFERROR(__xludf.DUMMYFUNCTION("""COMPUTED_VALUE"""),-1.4660150760540829)</f>
        <v>-1.466015076</v>
      </c>
      <c r="AB167" s="114">
        <f>IFERROR(__xludf.DUMMYFUNCTION("""COMPUTED_VALUE"""),-1.190192463198602)</f>
        <v>-1.190192463</v>
      </c>
      <c r="AC167" s="114">
        <f>IFERROR(__xludf.DUMMYFUNCTION("""COMPUTED_VALUE"""),1.0640814081899057)</f>
        <v>1.064081408</v>
      </c>
      <c r="AD167" s="114">
        <f>IFERROR(__xludf.DUMMYFUNCTION("""COMPUTED_VALUE"""),-0.04074893523847399)</f>
        <v>-0.04074893524</v>
      </c>
      <c r="AE167" s="114">
        <f>IFERROR(__xludf.DUMMYFUNCTION("""COMPUTED_VALUE"""),-0.689255569284915)</f>
        <v>-0.6892555693</v>
      </c>
      <c r="AF167" s="114">
        <f>IFERROR(__xludf.DUMMYFUNCTION("""COMPUTED_VALUE"""),0.40599232717168143)</f>
        <v>0.4059923272</v>
      </c>
      <c r="AG167" s="118">
        <f>IFERROR(__xludf.DUMMYFUNCTION("""COMPUTED_VALUE"""),0.0)</f>
        <v>0</v>
      </c>
      <c r="AH167" s="105"/>
      <c r="AI167" s="202"/>
      <c r="AJ167" s="63"/>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c r="BL167" s="105"/>
      <c r="BM167" s="105"/>
      <c r="BN167" s="105"/>
      <c r="BO167" s="105"/>
      <c r="BP167" s="105"/>
      <c r="BQ167" s="105"/>
      <c r="BR167" s="105"/>
      <c r="BS167" s="105"/>
      <c r="BT167" s="105"/>
      <c r="BU167" s="105"/>
      <c r="BV167" s="105"/>
    </row>
    <row r="168">
      <c r="A168" s="109">
        <f>VLOOKUP($F168,UpdateHashtag!$V$3:$Y$32,COLUMN(B$9),0)</f>
        <v>4</v>
      </c>
      <c r="B168" s="91" t="str">
        <f>VLOOKUP($F168,UpdateHashtag!$V$3:$Y$32,COLUMN(#REF!),0)</f>
        <v>#REF!</v>
      </c>
      <c r="C168" s="91" t="str">
        <f>VLOOKUP($F168,UpdateHashtag!$V$3:$Y$32,COLUMN(#REF!),0)</f>
        <v>#REF!</v>
      </c>
      <c r="D168" s="110" t="str">
        <f t="shared" si="2"/>
        <v>#REF!</v>
      </c>
      <c r="E168" s="11"/>
      <c r="F168" s="94" t="str">
        <f>VLOOKUP(J168,UpdateBBM!$C$2:E1009,3,0)</f>
        <v>MEM</v>
      </c>
      <c r="G168" s="78">
        <v>155.0</v>
      </c>
      <c r="H168" s="111">
        <f>IFERROR(__xludf.DUMMYFUNCTION("""COMPUTED_VALUE"""),155.0)</f>
        <v>155</v>
      </c>
      <c r="I168" s="111"/>
      <c r="J168" s="112" t="str">
        <f>IFERROR(__xludf.DUMMYFUNCTION("""COMPUTED_VALUE"""),"Kentavious Caldwell-Pope")</f>
        <v>Kentavious Caldwell-Pope</v>
      </c>
      <c r="K168" s="111">
        <f>IFERROR(__xludf.DUMMYFUNCTION("""COMPUTED_VALUE"""),77.0)</f>
        <v>77</v>
      </c>
      <c r="L168" s="113" t="str">
        <f>IFERROR(__xludf.DUMMYFUNCTION("""COMPUTED_VALUE"""),"G,F")</f>
        <v>G,F</v>
      </c>
      <c r="M168" s="114">
        <f>IFERROR(__xludf.DUMMYFUNCTION("""COMPUTED_VALUE"""),-2.0146581788407447)</f>
        <v>-2.014658179</v>
      </c>
      <c r="N168" s="114">
        <f>IFERROR(__xludf.DUMMYFUNCTION("""COMPUTED_VALUE"""),-2.2523259100088326)</f>
        <v>-2.25232591</v>
      </c>
      <c r="O168" s="115">
        <f>IFERROR(__xludf.DUMMYFUNCTION("""COMPUTED_VALUE"""),-0.23766773116808793)</f>
        <v>-0.2376677312</v>
      </c>
      <c r="P168" s="116">
        <f>IFERROR(__xludf.DUMMYFUNCTION("""COMPUTED_VALUE"""),9.322078)</f>
        <v>9.322078</v>
      </c>
      <c r="Q168" s="116">
        <f>IFERROR(__xludf.DUMMYFUNCTION("""COMPUTED_VALUE"""),1.835714)</f>
        <v>1.835714</v>
      </c>
      <c r="R168" s="116">
        <f>IFERROR(__xludf.DUMMYFUNCTION("""COMPUTED_VALUE"""),2.669351)</f>
        <v>2.669351</v>
      </c>
      <c r="S168" s="117">
        <f>IFERROR(__xludf.DUMMYFUNCTION("""COMPUTED_VALUE"""),1.880649)</f>
        <v>1.880649</v>
      </c>
      <c r="T168" s="116">
        <f>IFERROR(__xludf.DUMMYFUNCTION("""COMPUTED_VALUE"""),1.148442)</f>
        <v>1.148442</v>
      </c>
      <c r="U168" s="116">
        <f>IFERROR(__xludf.DUMMYFUNCTION("""COMPUTED_VALUE"""),0.364935)</f>
        <v>0.364935</v>
      </c>
      <c r="V168" s="113">
        <f>IFERROR(__xludf.DUMMYFUNCTION("""COMPUTED_VALUE"""),0.436349)</f>
        <v>0.436349</v>
      </c>
      <c r="W168" s="113">
        <f>IFERROR(__xludf.DUMMYFUNCTION("""COMPUTED_VALUE"""),0.869977)</f>
        <v>0.869977</v>
      </c>
      <c r="X168" s="116">
        <f>IFERROR(__xludf.DUMMYFUNCTION("""COMPUTED_VALUE"""),0.79026)</f>
        <v>0.79026</v>
      </c>
      <c r="Y168" s="114">
        <f>IFERROR(__xludf.DUMMYFUNCTION("""COMPUTED_VALUE"""),-1.3776684235177643)</f>
        <v>-1.377668424</v>
      </c>
      <c r="Z168" s="114">
        <f>IFERROR(__xludf.DUMMYFUNCTION("""COMPUTED_VALUE"""),0.06389986658534942)</f>
        <v>0.06389986659</v>
      </c>
      <c r="AA168" s="114">
        <f>IFERROR(__xludf.DUMMYFUNCTION("""COMPUTED_VALUE"""),-1.401366040098913)</f>
        <v>-1.40136604</v>
      </c>
      <c r="AB168" s="114">
        <f>IFERROR(__xludf.DUMMYFUNCTION("""COMPUTED_VALUE"""),-0.9556561646345021)</f>
        <v>-0.9556561646</v>
      </c>
      <c r="AC168" s="114">
        <f>IFERROR(__xludf.DUMMYFUNCTION("""COMPUTED_VALUE"""),0.31463955812339206)</f>
        <v>0.3146395581</v>
      </c>
      <c r="AD168" s="114">
        <f>IFERROR(__xludf.DUMMYFUNCTION("""COMPUTED_VALUE"""),-0.664089383390907)</f>
        <v>-0.6640893834</v>
      </c>
      <c r="AE168" s="114">
        <f>IFERROR(__xludf.DUMMYFUNCTION("""COMPUTED_VALUE"""),-0.771181441655239)</f>
        <v>-0.7711814417</v>
      </c>
      <c r="AF168" s="114">
        <f>IFERROR(__xludf.DUMMYFUNCTION("""COMPUTED_VALUE"""),1.1377300784808384)</f>
        <v>1.137730078</v>
      </c>
      <c r="AG168" s="118">
        <f>IFERROR(__xludf.DUMMYFUNCTION("""COMPUTED_VALUE"""),0.0)</f>
        <v>0</v>
      </c>
      <c r="AH168" s="105"/>
      <c r="AI168" s="202"/>
      <c r="AJ168" s="63"/>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c r="BI168" s="105"/>
      <c r="BJ168" s="105"/>
      <c r="BK168" s="105"/>
      <c r="BL168" s="105"/>
      <c r="BM168" s="105"/>
      <c r="BN168" s="105"/>
      <c r="BO168" s="105"/>
      <c r="BP168" s="105"/>
      <c r="BQ168" s="105"/>
      <c r="BR168" s="105"/>
      <c r="BS168" s="105"/>
      <c r="BT168" s="105"/>
      <c r="BU168" s="105"/>
      <c r="BV168" s="105"/>
    </row>
    <row r="169">
      <c r="A169" s="109">
        <f>VLOOKUP($F169,UpdateHashtag!$V$3:$Y$32,COLUMN(B$9),0)</f>
        <v>4</v>
      </c>
      <c r="B169" s="91" t="str">
        <f>VLOOKUP($F169,UpdateHashtag!$V$3:$Y$32,COLUMN(#REF!),0)</f>
        <v>#REF!</v>
      </c>
      <c r="C169" s="91" t="str">
        <f>VLOOKUP($F169,UpdateHashtag!$V$3:$Y$32,COLUMN(#REF!),0)</f>
        <v>#REF!</v>
      </c>
      <c r="D169" s="110" t="str">
        <f t="shared" si="2"/>
        <v>#REF!</v>
      </c>
      <c r="E169" s="11"/>
      <c r="F169" s="94" t="str">
        <f>VLOOKUP(J169,UpdateBBM!$C$2:E1009,3,0)</f>
        <v>MEM</v>
      </c>
      <c r="G169" s="78">
        <v>156.0</v>
      </c>
      <c r="H169" s="111">
        <f>IFERROR(__xludf.DUMMYFUNCTION("""COMPUTED_VALUE"""),156.0)</f>
        <v>156</v>
      </c>
      <c r="I169" s="111"/>
      <c r="J169" s="112" t="str">
        <f>IFERROR(__xludf.DUMMYFUNCTION("""COMPUTED_VALUE"""),"Santi Aldama")</f>
        <v>Santi Aldama</v>
      </c>
      <c r="K169" s="111">
        <f>IFERROR(__xludf.DUMMYFUNCTION("""COMPUTED_VALUE"""),73.0)</f>
        <v>73</v>
      </c>
      <c r="L169" s="113" t="str">
        <f>IFERROR(__xludf.DUMMYFUNCTION("""COMPUTED_VALUE"""),"F,C")</f>
        <v>F,C</v>
      </c>
      <c r="M169" s="114">
        <f>IFERROR(__xludf.DUMMYFUNCTION("""COMPUTED_VALUE"""),-2.035167924460678)</f>
        <v>-2.035167924</v>
      </c>
      <c r="N169" s="114">
        <f>IFERROR(__xludf.DUMMYFUNCTION("""COMPUTED_VALUE"""),-2.152883473277667)</f>
        <v>-2.152883473</v>
      </c>
      <c r="O169" s="115">
        <f>IFERROR(__xludf.DUMMYFUNCTION("""COMPUTED_VALUE"""),-0.11771554881698876)</f>
        <v>-0.1177155488</v>
      </c>
      <c r="P169" s="116">
        <f>IFERROR(__xludf.DUMMYFUNCTION("""COMPUTED_VALUE"""),12.74507)</f>
        <v>12.74507</v>
      </c>
      <c r="Q169" s="116">
        <f>IFERROR(__xludf.DUMMYFUNCTION("""COMPUTED_VALUE"""),2.103973)</f>
        <v>2.103973</v>
      </c>
      <c r="R169" s="116">
        <f>IFERROR(__xludf.DUMMYFUNCTION("""COMPUTED_VALUE"""),6.127397)</f>
        <v>6.127397</v>
      </c>
      <c r="S169" s="117">
        <f>IFERROR(__xludf.DUMMYFUNCTION("""COMPUTED_VALUE"""),3.336712)</f>
        <v>3.336712</v>
      </c>
      <c r="T169" s="116">
        <f>IFERROR(__xludf.DUMMYFUNCTION("""COMPUTED_VALUE"""),0.849726)</f>
        <v>0.849726</v>
      </c>
      <c r="U169" s="116">
        <f>IFERROR(__xludf.DUMMYFUNCTION("""COMPUTED_VALUE"""),0.606438)</f>
        <v>0.606438</v>
      </c>
      <c r="V169" s="113">
        <f>IFERROR(__xludf.DUMMYFUNCTION("""COMPUTED_VALUE"""),0.448072)</f>
        <v>0.448072</v>
      </c>
      <c r="W169" s="113">
        <f>IFERROR(__xludf.DUMMYFUNCTION("""COMPUTED_VALUE"""),0.663014)</f>
        <v>0.663014</v>
      </c>
      <c r="X169" s="116">
        <f>IFERROR(__xludf.DUMMYFUNCTION("""COMPUTED_VALUE"""),1.273973)</f>
        <v>1.273973</v>
      </c>
      <c r="Y169" s="114">
        <f>IFERROR(__xludf.DUMMYFUNCTION("""COMPUTED_VALUE"""),-0.7771297663792879)</f>
        <v>-0.7771297664</v>
      </c>
      <c r="Z169" s="114">
        <f>IFERROR(__xludf.DUMMYFUNCTION("""COMPUTED_VALUE"""),0.32299337931077843)</f>
        <v>0.3229933793</v>
      </c>
      <c r="AA169" s="114">
        <f>IFERROR(__xludf.DUMMYFUNCTION("""COMPUTED_VALUE"""),3.653766135159385E-4)</f>
        <v>0.0003653766135</v>
      </c>
      <c r="AB169" s="114">
        <f>IFERROR(__xludf.DUMMYFUNCTION("""COMPUTED_VALUE"""),-0.24434828046817278)</f>
        <v>-0.2443482805</v>
      </c>
      <c r="AC169" s="114">
        <f>IFERROR(__xludf.DUMMYFUNCTION("""COMPUTED_VALUE"""),-0.5956168099815617)</f>
        <v>-0.59561681</v>
      </c>
      <c r="AD169" s="114">
        <f>IFERROR(__xludf.DUMMYFUNCTION("""COMPUTED_VALUE"""),-0.22503880708376978)</f>
        <v>-0.2250388071</v>
      </c>
      <c r="AE169" s="114">
        <f>IFERROR(__xludf.DUMMYFUNCTION("""COMPUTED_VALUE"""),-0.6341085652891691)</f>
        <v>-0.6341085653</v>
      </c>
      <c r="AF169" s="114">
        <f>IFERROR(__xludf.DUMMYFUNCTION("""COMPUTED_VALUE"""),-1.3226406078528774)</f>
        <v>-1.322640608</v>
      </c>
      <c r="AG169" s="118">
        <f>IFERROR(__xludf.DUMMYFUNCTION("""COMPUTED_VALUE"""),0.0)</f>
        <v>0</v>
      </c>
      <c r="AH169" s="105"/>
      <c r="AI169" s="202"/>
      <c r="AJ169" s="63"/>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c r="BI169" s="105"/>
      <c r="BJ169" s="105"/>
      <c r="BK169" s="105"/>
      <c r="BL169" s="105"/>
      <c r="BM169" s="105"/>
      <c r="BN169" s="105"/>
      <c r="BO169" s="105"/>
      <c r="BP169" s="105"/>
      <c r="BQ169" s="105"/>
      <c r="BR169" s="105"/>
      <c r="BS169" s="105"/>
      <c r="BT169" s="105"/>
      <c r="BU169" s="105"/>
      <c r="BV169" s="105"/>
    </row>
    <row r="170">
      <c r="A170" s="91" t="str">
        <f>VLOOKUP($F170,UpdateHashtag!$V$3:$Y$32,COLUMN(B$9),0)</f>
        <v>#N/A</v>
      </c>
      <c r="B170" s="91" t="str">
        <f>VLOOKUP($F170,UpdateHashtag!$V$3:$Y$32,COLUMN(#REF!),0)</f>
        <v>#REF!</v>
      </c>
      <c r="C170" s="91" t="str">
        <f>VLOOKUP($F170,UpdateHashtag!$V$3:$Y$32,COLUMN(#REF!),0)</f>
        <v>#REF!</v>
      </c>
      <c r="D170" s="110" t="str">
        <f t="shared" si="2"/>
        <v>#N/A</v>
      </c>
      <c r="E170" s="11"/>
      <c r="F170" s="94" t="str">
        <f>VLOOKUP(J170,UpdateBBM!$C$2:E1009,3,0)</f>
        <v>#N/A</v>
      </c>
      <c r="G170" s="78">
        <v>157.0</v>
      </c>
      <c r="H170" s="111"/>
      <c r="I170" s="111"/>
      <c r="J170" s="112"/>
      <c r="K170" s="111"/>
      <c r="L170" s="113"/>
      <c r="M170" s="114"/>
      <c r="N170" s="114"/>
      <c r="O170" s="115"/>
      <c r="P170" s="116"/>
      <c r="Q170" s="116"/>
      <c r="R170" s="116"/>
      <c r="S170" s="117"/>
      <c r="T170" s="116"/>
      <c r="U170" s="116"/>
      <c r="V170" s="113"/>
      <c r="W170" s="113"/>
      <c r="X170" s="116"/>
      <c r="Y170" s="209"/>
      <c r="Z170" s="209"/>
      <c r="AA170" s="209"/>
      <c r="AB170" s="209"/>
      <c r="AC170" s="209"/>
      <c r="AD170" s="209"/>
      <c r="AE170" s="209"/>
      <c r="AF170" s="209"/>
      <c r="AG170" s="210"/>
      <c r="AH170" s="105"/>
      <c r="AI170" s="202"/>
      <c r="AJ170" s="63"/>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105"/>
      <c r="BM170" s="105"/>
      <c r="BN170" s="105"/>
      <c r="BO170" s="105"/>
      <c r="BP170" s="105"/>
      <c r="BQ170" s="105"/>
      <c r="BR170" s="105"/>
      <c r="BS170" s="105"/>
      <c r="BT170" s="105"/>
      <c r="BU170" s="105"/>
      <c r="BV170" s="105"/>
    </row>
    <row r="171">
      <c r="A171" s="91" t="str">
        <f>VLOOKUP($F171,UpdateHashtag!$V$3:$Y$32,COLUMN(B$9),0)</f>
        <v>#N/A</v>
      </c>
      <c r="B171" s="91" t="str">
        <f>VLOOKUP($F171,UpdateHashtag!$V$3:$Y$32,COLUMN(#REF!),0)</f>
        <v>#REF!</v>
      </c>
      <c r="C171" s="91" t="str">
        <f>VLOOKUP($F171,UpdateHashtag!$V$3:$Y$32,COLUMN(#REF!),0)</f>
        <v>#REF!</v>
      </c>
      <c r="D171" s="110" t="str">
        <f t="shared" si="2"/>
        <v>#N/A</v>
      </c>
      <c r="E171" s="11"/>
      <c r="F171" s="94" t="str">
        <f>VLOOKUP(J171,UpdateBBM!$C$2:E1009,3,0)</f>
        <v>#N/A</v>
      </c>
      <c r="G171" s="78">
        <v>158.0</v>
      </c>
      <c r="H171" s="111"/>
      <c r="I171" s="111"/>
      <c r="J171" s="112"/>
      <c r="K171" s="111"/>
      <c r="L171" s="113"/>
      <c r="M171" s="114"/>
      <c r="N171" s="114"/>
      <c r="O171" s="115"/>
      <c r="P171" s="116"/>
      <c r="Q171" s="116"/>
      <c r="R171" s="116"/>
      <c r="S171" s="117"/>
      <c r="T171" s="116"/>
      <c r="U171" s="116"/>
      <c r="V171" s="113"/>
      <c r="W171" s="113"/>
      <c r="X171" s="116"/>
      <c r="Y171" s="209"/>
      <c r="Z171" s="209"/>
      <c r="AA171" s="209"/>
      <c r="AB171" s="209"/>
      <c r="AC171" s="209"/>
      <c r="AD171" s="209"/>
      <c r="AE171" s="209"/>
      <c r="AF171" s="209"/>
      <c r="AG171" s="210"/>
      <c r="AH171" s="105"/>
      <c r="AI171" s="202"/>
      <c r="AJ171" s="63"/>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c r="BL171" s="105"/>
      <c r="BM171" s="105"/>
      <c r="BN171" s="105"/>
      <c r="BO171" s="105"/>
      <c r="BP171" s="105"/>
      <c r="BQ171" s="105"/>
      <c r="BR171" s="105"/>
      <c r="BS171" s="105"/>
      <c r="BT171" s="105"/>
      <c r="BU171" s="105"/>
      <c r="BV171" s="105"/>
    </row>
    <row r="172">
      <c r="A172" s="91" t="str">
        <f>VLOOKUP($F172,UpdateHashtag!$V$3:$Y$32,COLUMN(B$9),0)</f>
        <v>#N/A</v>
      </c>
      <c r="B172" s="91" t="str">
        <f>VLOOKUP($F172,UpdateHashtag!$V$3:$Y$32,COLUMN(#REF!),0)</f>
        <v>#REF!</v>
      </c>
      <c r="C172" s="91" t="str">
        <f>VLOOKUP($F172,UpdateHashtag!$V$3:$Y$32,COLUMN(#REF!),0)</f>
        <v>#REF!</v>
      </c>
      <c r="D172" s="110" t="str">
        <f t="shared" si="2"/>
        <v>#N/A</v>
      </c>
      <c r="E172" s="11"/>
      <c r="F172" s="94" t="str">
        <f>VLOOKUP(J172,UpdateBBM!$C$2:E1009,3,0)</f>
        <v>#N/A</v>
      </c>
      <c r="G172" s="78">
        <v>159.0</v>
      </c>
      <c r="H172" s="111"/>
      <c r="I172" s="111"/>
      <c r="J172" s="112"/>
      <c r="K172" s="111"/>
      <c r="L172" s="113"/>
      <c r="M172" s="114"/>
      <c r="N172" s="114"/>
      <c r="O172" s="115"/>
      <c r="P172" s="116"/>
      <c r="Q172" s="116"/>
      <c r="R172" s="116"/>
      <c r="S172" s="117"/>
      <c r="T172" s="116"/>
      <c r="U172" s="116"/>
      <c r="V172" s="113"/>
      <c r="W172" s="113"/>
      <c r="X172" s="116"/>
      <c r="Y172" s="209"/>
      <c r="Z172" s="209"/>
      <c r="AA172" s="209"/>
      <c r="AB172" s="209"/>
      <c r="AC172" s="209"/>
      <c r="AD172" s="209"/>
      <c r="AE172" s="209"/>
      <c r="AF172" s="209"/>
      <c r="AG172" s="210"/>
      <c r="AH172" s="105"/>
      <c r="AI172" s="202"/>
      <c r="AJ172" s="63"/>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c r="BL172" s="105"/>
      <c r="BM172" s="105"/>
      <c r="BN172" s="105"/>
      <c r="BO172" s="105"/>
      <c r="BP172" s="105"/>
      <c r="BQ172" s="105"/>
      <c r="BR172" s="105"/>
      <c r="BS172" s="105"/>
      <c r="BT172" s="105"/>
      <c r="BU172" s="105"/>
      <c r="BV172" s="105"/>
    </row>
    <row r="173">
      <c r="A173" s="91" t="str">
        <f>VLOOKUP($F173,UpdateHashtag!$V$3:$Y$32,COLUMN(B$9),0)</f>
        <v>#N/A</v>
      </c>
      <c r="B173" s="91" t="str">
        <f>VLOOKUP($F173,UpdateHashtag!$V$3:$Y$32,COLUMN(#REF!),0)</f>
        <v>#REF!</v>
      </c>
      <c r="C173" s="91" t="str">
        <f>VLOOKUP($F173,UpdateHashtag!$V$3:$Y$32,COLUMN(#REF!),0)</f>
        <v>#REF!</v>
      </c>
      <c r="D173" s="110" t="str">
        <f t="shared" si="2"/>
        <v>#N/A</v>
      </c>
      <c r="E173" s="11"/>
      <c r="F173" s="94" t="str">
        <f>VLOOKUP(J173,UpdateBBM!$C$2:E1009,3,0)</f>
        <v>#N/A</v>
      </c>
      <c r="G173" s="78">
        <v>160.0</v>
      </c>
      <c r="H173" s="111"/>
      <c r="I173" s="111"/>
      <c r="J173" s="112"/>
      <c r="K173" s="111"/>
      <c r="L173" s="113"/>
      <c r="M173" s="114"/>
      <c r="N173" s="114"/>
      <c r="O173" s="115"/>
      <c r="P173" s="116"/>
      <c r="Q173" s="116"/>
      <c r="R173" s="116"/>
      <c r="S173" s="117"/>
      <c r="T173" s="116"/>
      <c r="U173" s="116"/>
      <c r="V173" s="113"/>
      <c r="W173" s="113"/>
      <c r="X173" s="116"/>
      <c r="Y173" s="209"/>
      <c r="Z173" s="209"/>
      <c r="AA173" s="209"/>
      <c r="AB173" s="209"/>
      <c r="AC173" s="209"/>
      <c r="AD173" s="209"/>
      <c r="AE173" s="209"/>
      <c r="AF173" s="209"/>
      <c r="AG173" s="210"/>
      <c r="AH173" s="105"/>
      <c r="AI173" s="202"/>
      <c r="AJ173" s="63"/>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c r="BL173" s="105"/>
      <c r="BM173" s="105"/>
      <c r="BN173" s="105"/>
      <c r="BO173" s="105"/>
      <c r="BP173" s="105"/>
      <c r="BQ173" s="105"/>
      <c r="BR173" s="105"/>
      <c r="BS173" s="105"/>
      <c r="BT173" s="105"/>
      <c r="BU173" s="105"/>
      <c r="BV173" s="105"/>
    </row>
    <row r="174">
      <c r="A174" s="91" t="str">
        <f>VLOOKUP($F174,UpdateHashtag!$V$3:$Y$32,COLUMN(B$9),0)</f>
        <v>#N/A</v>
      </c>
      <c r="B174" s="91" t="str">
        <f>VLOOKUP($F174,UpdateHashtag!$V$3:$Y$32,COLUMN(#REF!),0)</f>
        <v>#REF!</v>
      </c>
      <c r="C174" s="91" t="str">
        <f>VLOOKUP($F174,UpdateHashtag!$V$3:$Y$32,COLUMN(#REF!),0)</f>
        <v>#REF!</v>
      </c>
      <c r="D174" s="110" t="str">
        <f t="shared" si="2"/>
        <v>#N/A</v>
      </c>
      <c r="E174" s="11"/>
      <c r="F174" s="94" t="str">
        <f>VLOOKUP(J174,UpdateBBM!$C$2:E1009,3,0)</f>
        <v>#N/A</v>
      </c>
      <c r="G174" s="78">
        <v>161.0</v>
      </c>
      <c r="H174" s="111"/>
      <c r="I174" s="111"/>
      <c r="J174" s="112"/>
      <c r="K174" s="111"/>
      <c r="L174" s="113"/>
      <c r="M174" s="114"/>
      <c r="N174" s="114"/>
      <c r="O174" s="115"/>
      <c r="P174" s="116"/>
      <c r="Q174" s="116"/>
      <c r="R174" s="116"/>
      <c r="S174" s="117"/>
      <c r="T174" s="116"/>
      <c r="U174" s="116"/>
      <c r="V174" s="113"/>
      <c r="W174" s="113"/>
      <c r="X174" s="116"/>
      <c r="Y174" s="209"/>
      <c r="Z174" s="209"/>
      <c r="AA174" s="209"/>
      <c r="AB174" s="209"/>
      <c r="AC174" s="209"/>
      <c r="AD174" s="209"/>
      <c r="AE174" s="209"/>
      <c r="AF174" s="209"/>
      <c r="AG174" s="210"/>
      <c r="AH174" s="105"/>
      <c r="AI174" s="202"/>
      <c r="AJ174" s="63"/>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c r="BO174" s="105"/>
      <c r="BP174" s="105"/>
      <c r="BQ174" s="105"/>
      <c r="BR174" s="105"/>
      <c r="BS174" s="105"/>
      <c r="BT174" s="105"/>
      <c r="BU174" s="105"/>
      <c r="BV174" s="105"/>
    </row>
    <row r="175">
      <c r="A175" s="91" t="str">
        <f>VLOOKUP($F175,UpdateHashtag!$V$3:$Y$32,COLUMN(B$9),0)</f>
        <v>#N/A</v>
      </c>
      <c r="B175" s="91" t="str">
        <f>VLOOKUP($F175,UpdateHashtag!$V$3:$Y$32,COLUMN(#REF!),0)</f>
        <v>#REF!</v>
      </c>
      <c r="C175" s="91" t="str">
        <f>VLOOKUP($F175,UpdateHashtag!$V$3:$Y$32,COLUMN(#REF!),0)</f>
        <v>#REF!</v>
      </c>
      <c r="D175" s="110" t="str">
        <f t="shared" si="2"/>
        <v>#N/A</v>
      </c>
      <c r="E175" s="11"/>
      <c r="F175" s="94" t="str">
        <f>VLOOKUP(J175,UpdateBBM!$C$2:E1009,3,0)</f>
        <v>#N/A</v>
      </c>
      <c r="G175" s="78">
        <v>162.0</v>
      </c>
      <c r="H175" s="111"/>
      <c r="I175" s="111"/>
      <c r="J175" s="112"/>
      <c r="K175" s="111"/>
      <c r="L175" s="113"/>
      <c r="M175" s="114"/>
      <c r="N175" s="114"/>
      <c r="O175" s="115"/>
      <c r="P175" s="116"/>
      <c r="Q175" s="116"/>
      <c r="R175" s="116"/>
      <c r="S175" s="117"/>
      <c r="T175" s="116"/>
      <c r="U175" s="116"/>
      <c r="V175" s="113"/>
      <c r="W175" s="113"/>
      <c r="X175" s="116"/>
      <c r="Y175" s="209"/>
      <c r="Z175" s="209"/>
      <c r="AA175" s="209"/>
      <c r="AB175" s="209"/>
      <c r="AC175" s="209"/>
      <c r="AD175" s="209"/>
      <c r="AE175" s="209"/>
      <c r="AF175" s="209"/>
      <c r="AG175" s="210"/>
      <c r="AH175" s="105"/>
      <c r="AI175" s="202"/>
      <c r="AJ175" s="63"/>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c r="BL175" s="105"/>
      <c r="BM175" s="105"/>
      <c r="BN175" s="105"/>
      <c r="BO175" s="105"/>
      <c r="BP175" s="105"/>
      <c r="BQ175" s="105"/>
      <c r="BR175" s="105"/>
      <c r="BS175" s="105"/>
      <c r="BT175" s="105"/>
      <c r="BU175" s="105"/>
      <c r="BV175" s="105"/>
    </row>
    <row r="176">
      <c r="A176" s="91" t="str">
        <f>VLOOKUP($F176,UpdateHashtag!$V$3:$Y$32,COLUMN(B$9),0)</f>
        <v>#N/A</v>
      </c>
      <c r="B176" s="91" t="str">
        <f>VLOOKUP($F176,UpdateHashtag!$V$3:$Y$32,COLUMN(#REF!),0)</f>
        <v>#REF!</v>
      </c>
      <c r="C176" s="91" t="str">
        <f>VLOOKUP($F176,UpdateHashtag!$V$3:$Y$32,COLUMN(#REF!),0)</f>
        <v>#REF!</v>
      </c>
      <c r="D176" s="110" t="str">
        <f t="shared" si="2"/>
        <v>#N/A</v>
      </c>
      <c r="E176" s="11"/>
      <c r="F176" s="94" t="str">
        <f>VLOOKUP(J176,UpdateBBM!$C$2:E1009,3,0)</f>
        <v>#N/A</v>
      </c>
      <c r="G176" s="78">
        <v>163.0</v>
      </c>
      <c r="H176" s="111"/>
      <c r="I176" s="111"/>
      <c r="J176" s="112"/>
      <c r="K176" s="111"/>
      <c r="L176" s="113"/>
      <c r="M176" s="114"/>
      <c r="N176" s="114"/>
      <c r="O176" s="115"/>
      <c r="P176" s="116"/>
      <c r="Q176" s="116"/>
      <c r="R176" s="116"/>
      <c r="S176" s="117"/>
      <c r="T176" s="116"/>
      <c r="U176" s="116"/>
      <c r="V176" s="113"/>
      <c r="W176" s="113"/>
      <c r="X176" s="116"/>
      <c r="Y176" s="209"/>
      <c r="Z176" s="209"/>
      <c r="AA176" s="209"/>
      <c r="AB176" s="209"/>
      <c r="AC176" s="209"/>
      <c r="AD176" s="209"/>
      <c r="AE176" s="209"/>
      <c r="AF176" s="209"/>
      <c r="AG176" s="210"/>
      <c r="AH176" s="105"/>
      <c r="AI176" s="202"/>
      <c r="AJ176" s="63"/>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c r="BL176" s="105"/>
      <c r="BM176" s="105"/>
      <c r="BN176" s="105"/>
      <c r="BO176" s="105"/>
      <c r="BP176" s="105"/>
      <c r="BQ176" s="105"/>
      <c r="BR176" s="105"/>
      <c r="BS176" s="105"/>
      <c r="BT176" s="105"/>
      <c r="BU176" s="105"/>
      <c r="BV176" s="105"/>
    </row>
    <row r="177">
      <c r="A177" s="91" t="str">
        <f>VLOOKUP($F177,UpdateHashtag!$V$3:$Y$32,COLUMN(B$9),0)</f>
        <v>#N/A</v>
      </c>
      <c r="B177" s="91" t="str">
        <f>VLOOKUP($F177,UpdateHashtag!$V$3:$Y$32,COLUMN(#REF!),0)</f>
        <v>#REF!</v>
      </c>
      <c r="C177" s="91" t="str">
        <f>VLOOKUP($F177,UpdateHashtag!$V$3:$Y$32,COLUMN(#REF!),0)</f>
        <v>#REF!</v>
      </c>
      <c r="D177" s="110" t="str">
        <f t="shared" si="2"/>
        <v>#N/A</v>
      </c>
      <c r="E177" s="11"/>
      <c r="F177" s="94" t="str">
        <f>VLOOKUP(J177,UpdateBBM!$C$2:E1009,3,0)</f>
        <v>#N/A</v>
      </c>
      <c r="G177" s="78">
        <v>164.0</v>
      </c>
      <c r="H177" s="111"/>
      <c r="I177" s="111"/>
      <c r="J177" s="112"/>
      <c r="K177" s="111"/>
      <c r="L177" s="113"/>
      <c r="M177" s="114"/>
      <c r="N177" s="114"/>
      <c r="O177" s="115"/>
      <c r="P177" s="116"/>
      <c r="Q177" s="116"/>
      <c r="R177" s="116"/>
      <c r="S177" s="117"/>
      <c r="T177" s="116"/>
      <c r="U177" s="116"/>
      <c r="V177" s="113"/>
      <c r="W177" s="113"/>
      <c r="X177" s="116"/>
      <c r="Y177" s="209"/>
      <c r="Z177" s="209"/>
      <c r="AA177" s="209"/>
      <c r="AB177" s="209"/>
      <c r="AC177" s="209"/>
      <c r="AD177" s="209"/>
      <c r="AE177" s="209"/>
      <c r="AF177" s="209"/>
      <c r="AG177" s="210"/>
      <c r="AH177" s="105"/>
      <c r="AI177" s="202"/>
      <c r="AJ177" s="63"/>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c r="BO177" s="105"/>
      <c r="BP177" s="105"/>
      <c r="BQ177" s="105"/>
      <c r="BR177" s="105"/>
      <c r="BS177" s="105"/>
      <c r="BT177" s="105"/>
      <c r="BU177" s="105"/>
      <c r="BV177" s="105"/>
    </row>
    <row r="178">
      <c r="A178" s="91" t="str">
        <f>VLOOKUP($F178,UpdateHashtag!$V$3:$Y$32,COLUMN(B$9),0)</f>
        <v>#N/A</v>
      </c>
      <c r="B178" s="91" t="str">
        <f>VLOOKUP($F178,UpdateHashtag!$V$3:$Y$32,COLUMN(#REF!),0)</f>
        <v>#REF!</v>
      </c>
      <c r="C178" s="91" t="str">
        <f>VLOOKUP($F178,UpdateHashtag!$V$3:$Y$32,COLUMN(#REF!),0)</f>
        <v>#REF!</v>
      </c>
      <c r="D178" s="110" t="str">
        <f t="shared" si="2"/>
        <v>#N/A</v>
      </c>
      <c r="E178" s="11"/>
      <c r="F178" s="94" t="str">
        <f>VLOOKUP(J178,UpdateBBM!$C$2:E1009,3,0)</f>
        <v>#N/A</v>
      </c>
      <c r="G178" s="78">
        <v>165.0</v>
      </c>
      <c r="H178" s="111"/>
      <c r="I178" s="111"/>
      <c r="J178" s="112"/>
      <c r="K178" s="111"/>
      <c r="L178" s="113"/>
      <c r="M178" s="114"/>
      <c r="N178" s="114"/>
      <c r="O178" s="115"/>
      <c r="P178" s="116"/>
      <c r="Q178" s="116"/>
      <c r="R178" s="116"/>
      <c r="S178" s="117"/>
      <c r="T178" s="116"/>
      <c r="U178" s="116"/>
      <c r="V178" s="113"/>
      <c r="W178" s="113"/>
      <c r="X178" s="116"/>
      <c r="Y178" s="209"/>
      <c r="Z178" s="209"/>
      <c r="AA178" s="209"/>
      <c r="AB178" s="209"/>
      <c r="AC178" s="209"/>
      <c r="AD178" s="209"/>
      <c r="AE178" s="209"/>
      <c r="AF178" s="209"/>
      <c r="AG178" s="210"/>
      <c r="AH178" s="105"/>
      <c r="AI178" s="202"/>
      <c r="AJ178" s="63"/>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c r="BL178" s="105"/>
      <c r="BM178" s="105"/>
      <c r="BN178" s="105"/>
      <c r="BO178" s="105"/>
      <c r="BP178" s="105"/>
      <c r="BQ178" s="105"/>
      <c r="BR178" s="105"/>
      <c r="BS178" s="105"/>
      <c r="BT178" s="105"/>
      <c r="BU178" s="105"/>
      <c r="BV178" s="105"/>
    </row>
    <row r="179">
      <c r="A179" s="91" t="str">
        <f>VLOOKUP($F179,UpdateHashtag!$V$3:$Y$32,COLUMN(B$9),0)</f>
        <v>#N/A</v>
      </c>
      <c r="B179" s="91" t="str">
        <f>VLOOKUP($F179,UpdateHashtag!$V$3:$Y$32,COLUMN(#REF!),0)</f>
        <v>#REF!</v>
      </c>
      <c r="C179" s="91" t="str">
        <f>VLOOKUP($F179,UpdateHashtag!$V$3:$Y$32,COLUMN(#REF!),0)</f>
        <v>#REF!</v>
      </c>
      <c r="D179" s="110" t="str">
        <f t="shared" si="2"/>
        <v>#N/A</v>
      </c>
      <c r="E179" s="11"/>
      <c r="F179" s="94" t="str">
        <f>VLOOKUP(J179,UpdateBBM!$C$2:E1009,3,0)</f>
        <v>#N/A</v>
      </c>
      <c r="G179" s="78">
        <v>166.0</v>
      </c>
      <c r="H179" s="111"/>
      <c r="I179" s="111"/>
      <c r="J179" s="112"/>
      <c r="K179" s="111"/>
      <c r="L179" s="113"/>
      <c r="M179" s="114"/>
      <c r="N179" s="114"/>
      <c r="O179" s="115"/>
      <c r="P179" s="116"/>
      <c r="Q179" s="116"/>
      <c r="R179" s="116"/>
      <c r="S179" s="117"/>
      <c r="T179" s="116"/>
      <c r="U179" s="116"/>
      <c r="V179" s="113"/>
      <c r="W179" s="113"/>
      <c r="X179" s="116"/>
      <c r="Y179" s="209"/>
      <c r="Z179" s="209"/>
      <c r="AA179" s="209"/>
      <c r="AB179" s="209"/>
      <c r="AC179" s="209"/>
      <c r="AD179" s="209"/>
      <c r="AE179" s="209"/>
      <c r="AF179" s="209"/>
      <c r="AG179" s="210"/>
      <c r="AH179" s="105"/>
      <c r="AI179" s="202"/>
      <c r="AJ179" s="63"/>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c r="BL179" s="105"/>
      <c r="BM179" s="105"/>
      <c r="BN179" s="105"/>
      <c r="BO179" s="105"/>
      <c r="BP179" s="105"/>
      <c r="BQ179" s="105"/>
      <c r="BR179" s="105"/>
      <c r="BS179" s="105"/>
      <c r="BT179" s="105"/>
      <c r="BU179" s="105"/>
      <c r="BV179" s="105"/>
    </row>
    <row r="180">
      <c r="A180" s="91" t="str">
        <f>VLOOKUP($F180,UpdateHashtag!$V$3:$Y$32,COLUMN(B$9),0)</f>
        <v>#N/A</v>
      </c>
      <c r="B180" s="91" t="str">
        <f>VLOOKUP($F180,UpdateHashtag!$V$3:$Y$32,COLUMN(#REF!),0)</f>
        <v>#REF!</v>
      </c>
      <c r="C180" s="91" t="str">
        <f>VLOOKUP($F180,UpdateHashtag!$V$3:$Y$32,COLUMN(#REF!),0)</f>
        <v>#REF!</v>
      </c>
      <c r="D180" s="110" t="str">
        <f t="shared" si="2"/>
        <v>#N/A</v>
      </c>
      <c r="E180" s="11"/>
      <c r="F180" s="94" t="str">
        <f>VLOOKUP(J180,UpdateBBM!$C$2:E1009,3,0)</f>
        <v>#N/A</v>
      </c>
      <c r="G180" s="78">
        <v>167.0</v>
      </c>
      <c r="H180" s="111"/>
      <c r="I180" s="111"/>
      <c r="J180" s="112"/>
      <c r="K180" s="111"/>
      <c r="L180" s="113"/>
      <c r="M180" s="114"/>
      <c r="N180" s="114"/>
      <c r="O180" s="115"/>
      <c r="P180" s="116"/>
      <c r="Q180" s="116"/>
      <c r="R180" s="116"/>
      <c r="S180" s="117"/>
      <c r="T180" s="116"/>
      <c r="U180" s="116"/>
      <c r="V180" s="113"/>
      <c r="W180" s="113"/>
      <c r="X180" s="116"/>
      <c r="Y180" s="209"/>
      <c r="Z180" s="209"/>
      <c r="AA180" s="209"/>
      <c r="AB180" s="209"/>
      <c r="AC180" s="209"/>
      <c r="AD180" s="209"/>
      <c r="AE180" s="209"/>
      <c r="AF180" s="209"/>
      <c r="AG180" s="210"/>
      <c r="AH180" s="105"/>
      <c r="AI180" s="202"/>
      <c r="AJ180" s="63"/>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c r="BL180" s="105"/>
      <c r="BM180" s="105"/>
      <c r="BN180" s="105"/>
      <c r="BO180" s="105"/>
      <c r="BP180" s="105"/>
      <c r="BQ180" s="105"/>
      <c r="BR180" s="105"/>
      <c r="BS180" s="105"/>
      <c r="BT180" s="105"/>
      <c r="BU180" s="105"/>
      <c r="BV180" s="105"/>
    </row>
    <row r="181">
      <c r="A181" s="91" t="str">
        <f>VLOOKUP($F181,UpdateHashtag!$V$3:$Y$32,COLUMN(B$9),0)</f>
        <v>#N/A</v>
      </c>
      <c r="B181" s="91" t="str">
        <f>VLOOKUP($F181,UpdateHashtag!$V$3:$Y$32,COLUMN(#REF!),0)</f>
        <v>#REF!</v>
      </c>
      <c r="C181" s="91" t="str">
        <f>VLOOKUP($F181,UpdateHashtag!$V$3:$Y$32,COLUMN(#REF!),0)</f>
        <v>#REF!</v>
      </c>
      <c r="D181" s="110" t="str">
        <f t="shared" si="2"/>
        <v>#N/A</v>
      </c>
      <c r="E181" s="11"/>
      <c r="F181" s="94" t="str">
        <f>VLOOKUP(J181,UpdateBBM!$C$2:E1009,3,0)</f>
        <v>#N/A</v>
      </c>
      <c r="G181" s="78">
        <v>168.0</v>
      </c>
      <c r="H181" s="111"/>
      <c r="I181" s="111"/>
      <c r="J181" s="112"/>
      <c r="K181" s="111"/>
      <c r="L181" s="113"/>
      <c r="M181" s="114"/>
      <c r="N181" s="114"/>
      <c r="O181" s="115"/>
      <c r="P181" s="116"/>
      <c r="Q181" s="116"/>
      <c r="R181" s="116"/>
      <c r="S181" s="117"/>
      <c r="T181" s="116"/>
      <c r="U181" s="116"/>
      <c r="V181" s="113"/>
      <c r="W181" s="113"/>
      <c r="X181" s="116"/>
      <c r="Y181" s="209"/>
      <c r="Z181" s="209"/>
      <c r="AA181" s="209"/>
      <c r="AB181" s="209"/>
      <c r="AC181" s="209"/>
      <c r="AD181" s="209"/>
      <c r="AE181" s="209"/>
      <c r="AF181" s="209"/>
      <c r="AG181" s="210"/>
      <c r="AH181" s="105"/>
      <c r="AI181" s="202"/>
      <c r="AJ181" s="63"/>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c r="BL181" s="105"/>
      <c r="BM181" s="105"/>
      <c r="BN181" s="105"/>
      <c r="BO181" s="105"/>
      <c r="BP181" s="105"/>
      <c r="BQ181" s="105"/>
      <c r="BR181" s="105"/>
      <c r="BS181" s="105"/>
      <c r="BT181" s="105"/>
      <c r="BU181" s="105"/>
      <c r="BV181" s="105"/>
    </row>
    <row r="182">
      <c r="A182" s="91" t="str">
        <f>VLOOKUP($F182,UpdateHashtag!$V$3:$Y$32,COLUMN(B$9),0)</f>
        <v>#N/A</v>
      </c>
      <c r="B182" s="91" t="str">
        <f>VLOOKUP($F182,UpdateHashtag!$V$3:$Y$32,COLUMN(#REF!),0)</f>
        <v>#REF!</v>
      </c>
      <c r="C182" s="91" t="str">
        <f>VLOOKUP($F182,UpdateHashtag!$V$3:$Y$32,COLUMN(#REF!),0)</f>
        <v>#REF!</v>
      </c>
      <c r="D182" s="110" t="str">
        <f t="shared" si="2"/>
        <v>#N/A</v>
      </c>
      <c r="E182" s="11"/>
      <c r="F182" s="94" t="str">
        <f>VLOOKUP(J182,UpdateBBM!$C$2:E1009,3,0)</f>
        <v>#N/A</v>
      </c>
      <c r="G182" s="78">
        <v>169.0</v>
      </c>
      <c r="H182" s="111"/>
      <c r="I182" s="111"/>
      <c r="J182" s="112"/>
      <c r="K182" s="111"/>
      <c r="L182" s="113"/>
      <c r="M182" s="114"/>
      <c r="N182" s="115"/>
      <c r="O182" s="115"/>
      <c r="P182" s="116"/>
      <c r="Q182" s="116"/>
      <c r="R182" s="116"/>
      <c r="S182" s="117"/>
      <c r="T182" s="116"/>
      <c r="U182" s="116"/>
      <c r="V182" s="113"/>
      <c r="W182" s="113"/>
      <c r="X182" s="116"/>
      <c r="Y182" s="209"/>
      <c r="Z182" s="209"/>
      <c r="AA182" s="209"/>
      <c r="AB182" s="209"/>
      <c r="AC182" s="209"/>
      <c r="AD182" s="209"/>
      <c r="AE182" s="209"/>
      <c r="AF182" s="209"/>
      <c r="AG182" s="210"/>
      <c r="AH182" s="105"/>
      <c r="AI182" s="202"/>
      <c r="AJ182" s="63"/>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c r="BL182" s="105"/>
      <c r="BM182" s="105"/>
      <c r="BN182" s="105"/>
      <c r="BO182" s="105"/>
      <c r="BP182" s="105"/>
      <c r="BQ182" s="105"/>
      <c r="BR182" s="105"/>
      <c r="BS182" s="105"/>
      <c r="BT182" s="105"/>
      <c r="BU182" s="105"/>
      <c r="BV182" s="105"/>
    </row>
    <row r="183">
      <c r="A183" s="91" t="str">
        <f>VLOOKUP($F183,UpdateHashtag!$V$3:$Y$32,COLUMN(B$9),0)</f>
        <v>#N/A</v>
      </c>
      <c r="B183" s="91" t="str">
        <f>VLOOKUP($F183,UpdateHashtag!$V$3:$Y$32,COLUMN(#REF!),0)</f>
        <v>#REF!</v>
      </c>
      <c r="C183" s="91" t="str">
        <f>VLOOKUP($F183,UpdateHashtag!$V$3:$Y$32,COLUMN(#REF!),0)</f>
        <v>#REF!</v>
      </c>
      <c r="D183" s="110" t="str">
        <f t="shared" si="2"/>
        <v>#N/A</v>
      </c>
      <c r="E183" s="11"/>
      <c r="F183" s="94" t="str">
        <f>VLOOKUP(J183,UpdateBBM!$C$2:E1009,3,0)</f>
        <v>#N/A</v>
      </c>
      <c r="G183" s="78">
        <v>170.0</v>
      </c>
      <c r="H183" s="111"/>
      <c r="I183" s="111"/>
      <c r="J183" s="112"/>
      <c r="K183" s="111"/>
      <c r="L183" s="113"/>
      <c r="M183" s="114"/>
      <c r="N183" s="115"/>
      <c r="O183" s="115"/>
      <c r="P183" s="116"/>
      <c r="Q183" s="116"/>
      <c r="R183" s="116"/>
      <c r="S183" s="117"/>
      <c r="T183" s="116"/>
      <c r="U183" s="116"/>
      <c r="V183" s="113"/>
      <c r="W183" s="113"/>
      <c r="X183" s="116"/>
      <c r="Y183" s="209"/>
      <c r="Z183" s="209"/>
      <c r="AA183" s="209"/>
      <c r="AB183" s="209"/>
      <c r="AC183" s="209"/>
      <c r="AD183" s="209"/>
      <c r="AE183" s="209"/>
      <c r="AF183" s="209"/>
      <c r="AG183" s="210"/>
      <c r="AH183" s="105"/>
      <c r="AI183" s="202"/>
      <c r="AJ183" s="63"/>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c r="BO183" s="105"/>
      <c r="BP183" s="105"/>
      <c r="BQ183" s="105"/>
      <c r="BR183" s="105"/>
      <c r="BS183" s="105"/>
      <c r="BT183" s="105"/>
      <c r="BU183" s="105"/>
      <c r="BV183" s="105"/>
    </row>
    <row r="184">
      <c r="A184" s="91" t="str">
        <f>VLOOKUP($F184,UpdateHashtag!$V$3:$Y$32,COLUMN(B$9),0)</f>
        <v>#N/A</v>
      </c>
      <c r="B184" s="91" t="str">
        <f>VLOOKUP($F184,UpdateHashtag!$V$3:$Y$32,COLUMN(#REF!),0)</f>
        <v>#REF!</v>
      </c>
      <c r="C184" s="91" t="str">
        <f>VLOOKUP($F184,UpdateHashtag!$V$3:$Y$32,COLUMN(#REF!),0)</f>
        <v>#REF!</v>
      </c>
      <c r="D184" s="110" t="str">
        <f t="shared" si="2"/>
        <v>#N/A</v>
      </c>
      <c r="E184" s="11"/>
      <c r="F184" s="94" t="str">
        <f>VLOOKUP(J184,UpdateBBM!$C$2:E1009,3,0)</f>
        <v>#N/A</v>
      </c>
      <c r="G184" s="78">
        <v>171.0</v>
      </c>
      <c r="H184" s="111"/>
      <c r="I184" s="111"/>
      <c r="J184" s="112"/>
      <c r="K184" s="111"/>
      <c r="L184" s="113"/>
      <c r="M184" s="114"/>
      <c r="N184" s="115"/>
      <c r="O184" s="115"/>
      <c r="P184" s="116"/>
      <c r="Q184" s="116"/>
      <c r="R184" s="116"/>
      <c r="S184" s="117"/>
      <c r="T184" s="116"/>
      <c r="U184" s="116"/>
      <c r="V184" s="113"/>
      <c r="W184" s="113"/>
      <c r="X184" s="116"/>
      <c r="Y184" s="209"/>
      <c r="Z184" s="209"/>
      <c r="AA184" s="209"/>
      <c r="AB184" s="209"/>
      <c r="AC184" s="209"/>
      <c r="AD184" s="209"/>
      <c r="AE184" s="209"/>
      <c r="AF184" s="209"/>
      <c r="AG184" s="210"/>
      <c r="AH184" s="105"/>
      <c r="AI184" s="202"/>
      <c r="AJ184" s="63"/>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c r="BO184" s="105"/>
      <c r="BP184" s="105"/>
      <c r="BQ184" s="105"/>
      <c r="BR184" s="105"/>
      <c r="BS184" s="105"/>
      <c r="BT184" s="105"/>
      <c r="BU184" s="105"/>
      <c r="BV184" s="105"/>
    </row>
    <row r="185">
      <c r="A185" s="91" t="str">
        <f>VLOOKUP($F185,UpdateHashtag!$V$3:$Y$32,COLUMN(B$9),0)</f>
        <v>#N/A</v>
      </c>
      <c r="B185" s="91" t="str">
        <f>VLOOKUP($F185,UpdateHashtag!$V$3:$Y$32,COLUMN(#REF!),0)</f>
        <v>#REF!</v>
      </c>
      <c r="C185" s="91" t="str">
        <f>VLOOKUP($F185,UpdateHashtag!$V$3:$Y$32,COLUMN(#REF!),0)</f>
        <v>#REF!</v>
      </c>
      <c r="D185" s="110" t="str">
        <f t="shared" si="2"/>
        <v>#N/A</v>
      </c>
      <c r="E185" s="11"/>
      <c r="F185" s="94" t="str">
        <f>VLOOKUP(J185,UpdateBBM!$C$2:E1009,3,0)</f>
        <v>#N/A</v>
      </c>
      <c r="G185" s="78">
        <v>172.0</v>
      </c>
      <c r="H185" s="111"/>
      <c r="I185" s="111"/>
      <c r="J185" s="112"/>
      <c r="K185" s="111"/>
      <c r="L185" s="113"/>
      <c r="M185" s="114"/>
      <c r="N185" s="115"/>
      <c r="O185" s="115"/>
      <c r="P185" s="116"/>
      <c r="Q185" s="116"/>
      <c r="R185" s="116"/>
      <c r="S185" s="117"/>
      <c r="T185" s="116"/>
      <c r="U185" s="116"/>
      <c r="V185" s="113"/>
      <c r="W185" s="113"/>
      <c r="X185" s="116"/>
      <c r="Y185" s="209"/>
      <c r="Z185" s="209"/>
      <c r="AA185" s="209"/>
      <c r="AB185" s="209"/>
      <c r="AC185" s="209"/>
      <c r="AD185" s="209"/>
      <c r="AE185" s="209"/>
      <c r="AF185" s="209"/>
      <c r="AG185" s="210"/>
      <c r="AH185" s="105"/>
      <c r="AI185" s="202"/>
      <c r="AJ185" s="63"/>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c r="BL185" s="105"/>
      <c r="BM185" s="105"/>
      <c r="BN185" s="105"/>
      <c r="BO185" s="105"/>
      <c r="BP185" s="105"/>
      <c r="BQ185" s="105"/>
      <c r="BR185" s="105"/>
      <c r="BS185" s="105"/>
      <c r="BT185" s="105"/>
      <c r="BU185" s="105"/>
      <c r="BV185" s="105"/>
    </row>
    <row r="186">
      <c r="A186" s="91" t="str">
        <f>VLOOKUP($F186,UpdateHashtag!$V$3:$Y$32,COLUMN(B$9),0)</f>
        <v>#N/A</v>
      </c>
      <c r="B186" s="91" t="str">
        <f>VLOOKUP($F186,UpdateHashtag!$V$3:$Y$32,COLUMN(#REF!),0)</f>
        <v>#REF!</v>
      </c>
      <c r="C186" s="91" t="str">
        <f>VLOOKUP($F186,UpdateHashtag!$V$3:$Y$32,COLUMN(#REF!),0)</f>
        <v>#REF!</v>
      </c>
      <c r="D186" s="110" t="str">
        <f t="shared" si="2"/>
        <v>#N/A</v>
      </c>
      <c r="E186" s="11"/>
      <c r="F186" s="94" t="str">
        <f>VLOOKUP(J186,UpdateBBM!$C$2:E1009,3,0)</f>
        <v>#N/A</v>
      </c>
      <c r="G186" s="78">
        <v>173.0</v>
      </c>
      <c r="H186" s="111"/>
      <c r="I186" s="111"/>
      <c r="J186" s="112"/>
      <c r="K186" s="111"/>
      <c r="L186" s="113"/>
      <c r="M186" s="114"/>
      <c r="N186" s="115"/>
      <c r="O186" s="115"/>
      <c r="P186" s="116"/>
      <c r="Q186" s="116"/>
      <c r="R186" s="116"/>
      <c r="S186" s="117"/>
      <c r="T186" s="116"/>
      <c r="U186" s="116"/>
      <c r="V186" s="113"/>
      <c r="W186" s="113"/>
      <c r="X186" s="116"/>
      <c r="Y186" s="209"/>
      <c r="Z186" s="209"/>
      <c r="AA186" s="209"/>
      <c r="AB186" s="209"/>
      <c r="AC186" s="209"/>
      <c r="AD186" s="209"/>
      <c r="AE186" s="209"/>
      <c r="AF186" s="209"/>
      <c r="AG186" s="210"/>
      <c r="AH186" s="105"/>
      <c r="AI186" s="202"/>
      <c r="AJ186" s="63"/>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5"/>
      <c r="BS186" s="105"/>
      <c r="BT186" s="105"/>
      <c r="BU186" s="105"/>
      <c r="BV186" s="105"/>
    </row>
    <row r="187">
      <c r="A187" s="91" t="str">
        <f>VLOOKUP($F187,UpdateHashtag!$V$3:$Y$32,COLUMN(B$9),0)</f>
        <v>#N/A</v>
      </c>
      <c r="B187" s="91" t="str">
        <f>VLOOKUP($F187,UpdateHashtag!$V$3:$Y$32,COLUMN(#REF!),0)</f>
        <v>#REF!</v>
      </c>
      <c r="C187" s="91" t="str">
        <f>VLOOKUP($F187,UpdateHashtag!$V$3:$Y$32,COLUMN(#REF!),0)</f>
        <v>#REF!</v>
      </c>
      <c r="D187" s="110" t="str">
        <f t="shared" si="2"/>
        <v>#N/A</v>
      </c>
      <c r="E187" s="11"/>
      <c r="F187" s="94" t="str">
        <f>VLOOKUP(J187,UpdateBBM!$C$2:E1009,3,0)</f>
        <v>#N/A</v>
      </c>
      <c r="G187" s="78">
        <v>174.0</v>
      </c>
      <c r="H187" s="111"/>
      <c r="I187" s="111"/>
      <c r="J187" s="112"/>
      <c r="K187" s="111"/>
      <c r="L187" s="113"/>
      <c r="M187" s="114"/>
      <c r="N187" s="115"/>
      <c r="O187" s="115"/>
      <c r="P187" s="116"/>
      <c r="Q187" s="116"/>
      <c r="R187" s="116"/>
      <c r="S187" s="117"/>
      <c r="T187" s="116"/>
      <c r="U187" s="116"/>
      <c r="V187" s="113"/>
      <c r="W187" s="113"/>
      <c r="X187" s="116"/>
      <c r="Y187" s="209"/>
      <c r="Z187" s="209"/>
      <c r="AA187" s="209"/>
      <c r="AB187" s="209"/>
      <c r="AC187" s="209"/>
      <c r="AD187" s="209"/>
      <c r="AE187" s="209"/>
      <c r="AF187" s="209"/>
      <c r="AG187" s="210"/>
      <c r="AH187" s="105"/>
      <c r="AI187" s="202"/>
      <c r="AJ187" s="63"/>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c r="BL187" s="105"/>
      <c r="BM187" s="105"/>
      <c r="BN187" s="105"/>
      <c r="BO187" s="105"/>
      <c r="BP187" s="105"/>
      <c r="BQ187" s="105"/>
      <c r="BR187" s="105"/>
      <c r="BS187" s="105"/>
      <c r="BT187" s="105"/>
      <c r="BU187" s="105"/>
      <c r="BV187" s="105"/>
    </row>
    <row r="188">
      <c r="A188" s="91" t="str">
        <f>VLOOKUP($F188,UpdateHashtag!$V$3:$Y$32,COLUMN(B$9),0)</f>
        <v>#N/A</v>
      </c>
      <c r="B188" s="91" t="str">
        <f>VLOOKUP($F188,UpdateHashtag!$V$3:$Y$32,COLUMN(#REF!),0)</f>
        <v>#REF!</v>
      </c>
      <c r="C188" s="91" t="str">
        <f>VLOOKUP($F188,UpdateHashtag!$V$3:$Y$32,COLUMN(#REF!),0)</f>
        <v>#REF!</v>
      </c>
      <c r="D188" s="110" t="str">
        <f t="shared" si="2"/>
        <v>#N/A</v>
      </c>
      <c r="E188" s="11"/>
      <c r="F188" s="94" t="str">
        <f>VLOOKUP(J188,UpdateBBM!$C$2:E1009,3,0)</f>
        <v>#N/A</v>
      </c>
      <c r="G188" s="78">
        <v>175.0</v>
      </c>
      <c r="H188" s="111"/>
      <c r="I188" s="111"/>
      <c r="J188" s="112"/>
      <c r="K188" s="111"/>
      <c r="L188" s="113"/>
      <c r="M188" s="114"/>
      <c r="N188" s="115"/>
      <c r="O188" s="115"/>
      <c r="P188" s="116"/>
      <c r="Q188" s="116"/>
      <c r="R188" s="116"/>
      <c r="S188" s="117"/>
      <c r="T188" s="116"/>
      <c r="U188" s="116"/>
      <c r="V188" s="113"/>
      <c r="W188" s="113"/>
      <c r="X188" s="116"/>
      <c r="Y188" s="209"/>
      <c r="Z188" s="209"/>
      <c r="AA188" s="209"/>
      <c r="AB188" s="209"/>
      <c r="AC188" s="209"/>
      <c r="AD188" s="209"/>
      <c r="AE188" s="209"/>
      <c r="AF188" s="209"/>
      <c r="AG188" s="210"/>
      <c r="AH188" s="105"/>
      <c r="AI188" s="202"/>
      <c r="AJ188" s="63"/>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c r="BI188" s="105"/>
      <c r="BJ188" s="105"/>
      <c r="BK188" s="105"/>
      <c r="BL188" s="105"/>
      <c r="BM188" s="105"/>
      <c r="BN188" s="105"/>
      <c r="BO188" s="105"/>
      <c r="BP188" s="105"/>
      <c r="BQ188" s="105"/>
      <c r="BR188" s="105"/>
      <c r="BS188" s="105"/>
      <c r="BT188" s="105"/>
      <c r="BU188" s="105"/>
      <c r="BV188" s="105"/>
    </row>
    <row r="189">
      <c r="A189" s="91" t="str">
        <f>VLOOKUP($F189,UpdateHashtag!$V$3:$Y$32,COLUMN(B$9),0)</f>
        <v>#N/A</v>
      </c>
      <c r="B189" s="91" t="str">
        <f>VLOOKUP($F189,UpdateHashtag!$V$3:$Y$32,COLUMN(#REF!),0)</f>
        <v>#REF!</v>
      </c>
      <c r="C189" s="91" t="str">
        <f>VLOOKUP($F189,UpdateHashtag!$V$3:$Y$32,COLUMN(#REF!),0)</f>
        <v>#REF!</v>
      </c>
      <c r="D189" s="110" t="str">
        <f t="shared" si="2"/>
        <v>#N/A</v>
      </c>
      <c r="E189" s="11"/>
      <c r="F189" s="94" t="str">
        <f>VLOOKUP(J189,UpdateBBM!$C$2:E1009,3,0)</f>
        <v>#N/A</v>
      </c>
      <c r="G189" s="78">
        <v>176.0</v>
      </c>
      <c r="H189" s="111"/>
      <c r="I189" s="111"/>
      <c r="J189" s="112"/>
      <c r="K189" s="111"/>
      <c r="L189" s="113"/>
      <c r="M189" s="114"/>
      <c r="N189" s="115"/>
      <c r="O189" s="115"/>
      <c r="P189" s="116"/>
      <c r="Q189" s="116"/>
      <c r="R189" s="116"/>
      <c r="S189" s="117"/>
      <c r="T189" s="116"/>
      <c r="U189" s="116"/>
      <c r="V189" s="113"/>
      <c r="W189" s="113"/>
      <c r="X189" s="116"/>
      <c r="Y189" s="209"/>
      <c r="Z189" s="209"/>
      <c r="AA189" s="209"/>
      <c r="AB189" s="209"/>
      <c r="AC189" s="209"/>
      <c r="AD189" s="209"/>
      <c r="AE189" s="209"/>
      <c r="AF189" s="209"/>
      <c r="AG189" s="210"/>
      <c r="AH189" s="105"/>
      <c r="AI189" s="202"/>
      <c r="AJ189" s="63"/>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105"/>
      <c r="BT189" s="105"/>
      <c r="BU189" s="105"/>
      <c r="BV189" s="105"/>
    </row>
    <row r="190">
      <c r="A190" s="91" t="str">
        <f>VLOOKUP($F190,UpdateHashtag!$V$3:$Y$32,COLUMN(B$9),0)</f>
        <v>#N/A</v>
      </c>
      <c r="B190" s="91" t="str">
        <f>VLOOKUP($F190,UpdateHashtag!$V$3:$Y$32,COLUMN(#REF!),0)</f>
        <v>#REF!</v>
      </c>
      <c r="C190" s="91" t="str">
        <f>VLOOKUP($F190,UpdateHashtag!$V$3:$Y$32,COLUMN(#REF!),0)</f>
        <v>#REF!</v>
      </c>
      <c r="D190" s="110" t="str">
        <f t="shared" si="2"/>
        <v>#N/A</v>
      </c>
      <c r="E190" s="11"/>
      <c r="F190" s="94" t="str">
        <f>VLOOKUP(J190,UpdateBBM!$C$2:E1009,3,0)</f>
        <v>#N/A</v>
      </c>
      <c r="G190" s="78">
        <v>177.0</v>
      </c>
      <c r="H190" s="111"/>
      <c r="I190" s="111"/>
      <c r="J190" s="112"/>
      <c r="K190" s="111"/>
      <c r="L190" s="113"/>
      <c r="M190" s="114"/>
      <c r="N190" s="115"/>
      <c r="O190" s="115"/>
      <c r="P190" s="116"/>
      <c r="Q190" s="116"/>
      <c r="R190" s="116"/>
      <c r="S190" s="117"/>
      <c r="T190" s="116"/>
      <c r="U190" s="116"/>
      <c r="V190" s="113"/>
      <c r="W190" s="113"/>
      <c r="X190" s="116"/>
      <c r="Y190" s="209"/>
      <c r="Z190" s="209"/>
      <c r="AA190" s="209"/>
      <c r="AB190" s="209"/>
      <c r="AC190" s="209"/>
      <c r="AD190" s="209"/>
      <c r="AE190" s="209"/>
      <c r="AF190" s="209"/>
      <c r="AG190" s="210"/>
      <c r="AH190" s="105"/>
      <c r="AI190" s="202"/>
      <c r="AJ190" s="63"/>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c r="BL190" s="105"/>
      <c r="BM190" s="105"/>
      <c r="BN190" s="105"/>
      <c r="BO190" s="105"/>
      <c r="BP190" s="105"/>
      <c r="BQ190" s="105"/>
      <c r="BR190" s="105"/>
      <c r="BS190" s="105"/>
      <c r="BT190" s="105"/>
      <c r="BU190" s="105"/>
      <c r="BV190" s="105"/>
    </row>
    <row r="191">
      <c r="A191" s="91" t="str">
        <f>VLOOKUP($F191,UpdateHashtag!$V$3:$Y$32,COLUMN(B$9),0)</f>
        <v>#N/A</v>
      </c>
      <c r="B191" s="91" t="str">
        <f>VLOOKUP($F191,UpdateHashtag!$V$3:$Y$32,COLUMN(#REF!),0)</f>
        <v>#REF!</v>
      </c>
      <c r="C191" s="91" t="str">
        <f>VLOOKUP($F191,UpdateHashtag!$V$3:$Y$32,COLUMN(#REF!),0)</f>
        <v>#REF!</v>
      </c>
      <c r="D191" s="110" t="str">
        <f t="shared" si="2"/>
        <v>#N/A</v>
      </c>
      <c r="E191" s="11"/>
      <c r="F191" s="94" t="str">
        <f>VLOOKUP(J191,UpdateBBM!$C$2:E1009,3,0)</f>
        <v>#N/A</v>
      </c>
      <c r="G191" s="78">
        <v>178.0</v>
      </c>
      <c r="H191" s="111"/>
      <c r="I191" s="111"/>
      <c r="J191" s="112"/>
      <c r="K191" s="111"/>
      <c r="L191" s="113"/>
      <c r="M191" s="114"/>
      <c r="N191" s="115"/>
      <c r="O191" s="115"/>
      <c r="P191" s="116"/>
      <c r="Q191" s="116"/>
      <c r="R191" s="116"/>
      <c r="S191" s="117"/>
      <c r="T191" s="116"/>
      <c r="U191" s="116"/>
      <c r="V191" s="113"/>
      <c r="W191" s="113"/>
      <c r="X191" s="116"/>
      <c r="Y191" s="209"/>
      <c r="Z191" s="209"/>
      <c r="AA191" s="209"/>
      <c r="AB191" s="209"/>
      <c r="AC191" s="209"/>
      <c r="AD191" s="209"/>
      <c r="AE191" s="209"/>
      <c r="AF191" s="209"/>
      <c r="AG191" s="210"/>
      <c r="AH191" s="105"/>
      <c r="AI191" s="202"/>
      <c r="AJ191" s="63"/>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c r="BL191" s="105"/>
      <c r="BM191" s="105"/>
      <c r="BN191" s="105"/>
      <c r="BO191" s="105"/>
      <c r="BP191" s="105"/>
      <c r="BQ191" s="105"/>
      <c r="BR191" s="105"/>
      <c r="BS191" s="105"/>
      <c r="BT191" s="105"/>
      <c r="BU191" s="105"/>
      <c r="BV191" s="105"/>
    </row>
    <row r="192">
      <c r="A192" s="91" t="str">
        <f>VLOOKUP($F192,UpdateHashtag!$V$3:$Y$32,COLUMN(B$9),0)</f>
        <v>#N/A</v>
      </c>
      <c r="B192" s="91" t="str">
        <f>VLOOKUP($F192,UpdateHashtag!$V$3:$Y$32,COLUMN(#REF!),0)</f>
        <v>#REF!</v>
      </c>
      <c r="C192" s="91" t="str">
        <f>VLOOKUP($F192,UpdateHashtag!$V$3:$Y$32,COLUMN(#REF!),0)</f>
        <v>#REF!</v>
      </c>
      <c r="D192" s="110" t="str">
        <f t="shared" si="2"/>
        <v>#N/A</v>
      </c>
      <c r="E192" s="11"/>
      <c r="F192" s="94" t="str">
        <f>VLOOKUP(J192,UpdateBBM!$C$2:E1009,3,0)</f>
        <v>#N/A</v>
      </c>
      <c r="G192" s="78">
        <v>179.0</v>
      </c>
      <c r="H192" s="111"/>
      <c r="I192" s="111"/>
      <c r="J192" s="112"/>
      <c r="K192" s="111"/>
      <c r="L192" s="113"/>
      <c r="M192" s="114"/>
      <c r="N192" s="115"/>
      <c r="O192" s="115"/>
      <c r="P192" s="116"/>
      <c r="Q192" s="116"/>
      <c r="R192" s="116"/>
      <c r="S192" s="117"/>
      <c r="T192" s="116"/>
      <c r="U192" s="116"/>
      <c r="V192" s="113"/>
      <c r="W192" s="113"/>
      <c r="X192" s="116"/>
      <c r="Y192" s="209"/>
      <c r="Z192" s="209"/>
      <c r="AA192" s="209"/>
      <c r="AB192" s="209"/>
      <c r="AC192" s="209"/>
      <c r="AD192" s="209"/>
      <c r="AE192" s="209"/>
      <c r="AF192" s="209"/>
      <c r="AG192" s="210"/>
      <c r="AH192" s="105"/>
      <c r="AI192" s="202"/>
      <c r="AJ192" s="63"/>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c r="BL192" s="105"/>
      <c r="BM192" s="105"/>
      <c r="BN192" s="105"/>
      <c r="BO192" s="105"/>
      <c r="BP192" s="105"/>
      <c r="BQ192" s="105"/>
      <c r="BR192" s="105"/>
      <c r="BS192" s="105"/>
      <c r="BT192" s="105"/>
      <c r="BU192" s="105"/>
      <c r="BV192" s="105"/>
    </row>
    <row r="193">
      <c r="A193" s="91" t="str">
        <f>VLOOKUP($F193,UpdateHashtag!$V$3:$Y$32,COLUMN(B$9),0)</f>
        <v>#N/A</v>
      </c>
      <c r="B193" s="91" t="str">
        <f>VLOOKUP($F193,UpdateHashtag!$V$3:$Y$32,COLUMN(#REF!),0)</f>
        <v>#REF!</v>
      </c>
      <c r="C193" s="91" t="str">
        <f>VLOOKUP($F193,UpdateHashtag!$V$3:$Y$32,COLUMN(#REF!),0)</f>
        <v>#REF!</v>
      </c>
      <c r="D193" s="110" t="str">
        <f t="shared" si="2"/>
        <v>#N/A</v>
      </c>
      <c r="E193" s="11"/>
      <c r="F193" s="94" t="str">
        <f>VLOOKUP(J193,UpdateBBM!$C$2:E1009,3,0)</f>
        <v>#N/A</v>
      </c>
      <c r="G193" s="78">
        <v>180.0</v>
      </c>
      <c r="H193" s="111"/>
      <c r="I193" s="111"/>
      <c r="J193" s="112"/>
      <c r="K193" s="111"/>
      <c r="L193" s="113"/>
      <c r="M193" s="114"/>
      <c r="N193" s="115"/>
      <c r="O193" s="115"/>
      <c r="P193" s="116"/>
      <c r="Q193" s="116"/>
      <c r="R193" s="116"/>
      <c r="S193" s="117"/>
      <c r="T193" s="116"/>
      <c r="U193" s="116"/>
      <c r="V193" s="113"/>
      <c r="W193" s="113"/>
      <c r="X193" s="116"/>
      <c r="Y193" s="209"/>
      <c r="Z193" s="209"/>
      <c r="AA193" s="209"/>
      <c r="AB193" s="209"/>
      <c r="AC193" s="209"/>
      <c r="AD193" s="209"/>
      <c r="AE193" s="209"/>
      <c r="AF193" s="209"/>
      <c r="AG193" s="210"/>
      <c r="AH193" s="105"/>
      <c r="AI193" s="202"/>
      <c r="AJ193" s="63"/>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c r="BL193" s="105"/>
      <c r="BM193" s="105"/>
      <c r="BN193" s="105"/>
      <c r="BO193" s="105"/>
      <c r="BP193" s="105"/>
      <c r="BQ193" s="105"/>
      <c r="BR193" s="105"/>
      <c r="BS193" s="105"/>
      <c r="BT193" s="105"/>
      <c r="BU193" s="105"/>
      <c r="BV193" s="105"/>
    </row>
    <row r="194">
      <c r="A194" s="91" t="str">
        <f>VLOOKUP($F194,UpdateHashtag!$V$3:$Y$32,COLUMN(B$9),0)</f>
        <v>#N/A</v>
      </c>
      <c r="B194" s="91" t="str">
        <f>VLOOKUP($F194,UpdateHashtag!$V$3:$Y$32,COLUMN(#REF!),0)</f>
        <v>#REF!</v>
      </c>
      <c r="C194" s="91" t="str">
        <f>VLOOKUP($F194,UpdateHashtag!$V$3:$Y$32,COLUMN(#REF!),0)</f>
        <v>#REF!</v>
      </c>
      <c r="D194" s="110" t="str">
        <f t="shared" si="2"/>
        <v>#N/A</v>
      </c>
      <c r="E194" s="11"/>
      <c r="F194" s="94" t="str">
        <f>VLOOKUP(J194,UpdateBBM!$C$2:E1009,3,0)</f>
        <v>#N/A</v>
      </c>
      <c r="G194" s="78">
        <v>181.0</v>
      </c>
      <c r="H194" s="111"/>
      <c r="I194" s="111"/>
      <c r="J194" s="112"/>
      <c r="K194" s="111"/>
      <c r="L194" s="113"/>
      <c r="M194" s="114"/>
      <c r="N194" s="115"/>
      <c r="O194" s="115"/>
      <c r="P194" s="116"/>
      <c r="Q194" s="116"/>
      <c r="R194" s="116"/>
      <c r="S194" s="117"/>
      <c r="T194" s="116"/>
      <c r="U194" s="116"/>
      <c r="V194" s="113"/>
      <c r="W194" s="113"/>
      <c r="X194" s="116"/>
      <c r="Y194" s="209"/>
      <c r="Z194" s="209"/>
      <c r="AA194" s="209"/>
      <c r="AB194" s="209"/>
      <c r="AC194" s="209"/>
      <c r="AD194" s="209"/>
      <c r="AE194" s="209"/>
      <c r="AF194" s="209"/>
      <c r="AG194" s="210"/>
      <c r="AH194" s="105"/>
      <c r="AI194" s="202"/>
      <c r="AJ194" s="63"/>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c r="BL194" s="105"/>
      <c r="BM194" s="105"/>
      <c r="BN194" s="105"/>
      <c r="BO194" s="105"/>
      <c r="BP194" s="105"/>
      <c r="BQ194" s="105"/>
      <c r="BR194" s="105"/>
      <c r="BS194" s="105"/>
      <c r="BT194" s="105"/>
      <c r="BU194" s="105"/>
      <c r="BV194" s="105"/>
    </row>
    <row r="195">
      <c r="A195" s="91" t="str">
        <f>VLOOKUP($F195,UpdateHashtag!$V$3:$Y$32,COLUMN(B$9),0)</f>
        <v>#N/A</v>
      </c>
      <c r="B195" s="91" t="str">
        <f>VLOOKUP($F195,UpdateHashtag!$V$3:$Y$32,COLUMN(#REF!),0)</f>
        <v>#REF!</v>
      </c>
      <c r="C195" s="91" t="str">
        <f>VLOOKUP($F195,UpdateHashtag!$V$3:$Y$32,COLUMN(#REF!),0)</f>
        <v>#REF!</v>
      </c>
      <c r="D195" s="110" t="str">
        <f t="shared" si="2"/>
        <v>#N/A</v>
      </c>
      <c r="E195" s="11"/>
      <c r="F195" s="94" t="str">
        <f>VLOOKUP(J195,UpdateBBM!$C$2:E1009,3,0)</f>
        <v>#N/A</v>
      </c>
      <c r="G195" s="78">
        <v>182.0</v>
      </c>
      <c r="H195" s="111"/>
      <c r="I195" s="111"/>
      <c r="J195" s="112"/>
      <c r="K195" s="111"/>
      <c r="L195" s="113"/>
      <c r="M195" s="114"/>
      <c r="N195" s="115"/>
      <c r="O195" s="115"/>
      <c r="P195" s="116"/>
      <c r="Q195" s="116"/>
      <c r="R195" s="116"/>
      <c r="S195" s="117"/>
      <c r="T195" s="116"/>
      <c r="U195" s="116"/>
      <c r="V195" s="113"/>
      <c r="W195" s="113"/>
      <c r="X195" s="116"/>
      <c r="Y195" s="209"/>
      <c r="Z195" s="209"/>
      <c r="AA195" s="209"/>
      <c r="AB195" s="209"/>
      <c r="AC195" s="209"/>
      <c r="AD195" s="209"/>
      <c r="AE195" s="209"/>
      <c r="AF195" s="209"/>
      <c r="AG195" s="210"/>
      <c r="AH195" s="105"/>
      <c r="AI195" s="202"/>
      <c r="AJ195" s="63"/>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c r="BL195" s="105"/>
      <c r="BM195" s="105"/>
      <c r="BN195" s="105"/>
      <c r="BO195" s="105"/>
      <c r="BP195" s="105"/>
      <c r="BQ195" s="105"/>
      <c r="BR195" s="105"/>
      <c r="BS195" s="105"/>
      <c r="BT195" s="105"/>
      <c r="BU195" s="105"/>
      <c r="BV195" s="105"/>
    </row>
    <row r="196">
      <c r="A196" s="91" t="str">
        <f>VLOOKUP($F196,UpdateHashtag!$V$3:$Y$32,COLUMN(B$9),0)</f>
        <v>#N/A</v>
      </c>
      <c r="B196" s="91" t="str">
        <f>VLOOKUP($F196,UpdateHashtag!$V$3:$Y$32,COLUMN(#REF!),0)</f>
        <v>#REF!</v>
      </c>
      <c r="C196" s="91" t="str">
        <f>VLOOKUP($F196,UpdateHashtag!$V$3:$Y$32,COLUMN(#REF!),0)</f>
        <v>#REF!</v>
      </c>
      <c r="D196" s="110" t="str">
        <f t="shared" si="2"/>
        <v>#N/A</v>
      </c>
      <c r="E196" s="11"/>
      <c r="F196" s="94" t="str">
        <f>VLOOKUP(J196,UpdateBBM!$C$2:E1009,3,0)</f>
        <v>#N/A</v>
      </c>
      <c r="G196" s="78">
        <v>183.0</v>
      </c>
      <c r="H196" s="111"/>
      <c r="I196" s="111"/>
      <c r="J196" s="112"/>
      <c r="K196" s="111"/>
      <c r="L196" s="113"/>
      <c r="M196" s="114"/>
      <c r="N196" s="115"/>
      <c r="O196" s="115"/>
      <c r="P196" s="116"/>
      <c r="Q196" s="116"/>
      <c r="R196" s="116"/>
      <c r="S196" s="117"/>
      <c r="T196" s="116"/>
      <c r="U196" s="116"/>
      <c r="V196" s="113"/>
      <c r="W196" s="113"/>
      <c r="X196" s="116"/>
      <c r="Y196" s="209"/>
      <c r="Z196" s="209"/>
      <c r="AA196" s="209"/>
      <c r="AB196" s="209"/>
      <c r="AC196" s="209"/>
      <c r="AD196" s="209"/>
      <c r="AE196" s="209"/>
      <c r="AF196" s="209"/>
      <c r="AG196" s="210"/>
      <c r="AH196" s="105"/>
      <c r="AI196" s="202"/>
      <c r="AJ196" s="63"/>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c r="BL196" s="105"/>
      <c r="BM196" s="105"/>
      <c r="BN196" s="105"/>
      <c r="BO196" s="105"/>
      <c r="BP196" s="105"/>
      <c r="BQ196" s="105"/>
      <c r="BR196" s="105"/>
      <c r="BS196" s="105"/>
      <c r="BT196" s="105"/>
      <c r="BU196" s="105"/>
      <c r="BV196" s="105"/>
    </row>
    <row r="197">
      <c r="A197" s="91" t="str">
        <f>VLOOKUP($F197,UpdateHashtag!$V$3:$Y$32,COLUMN(B$9),0)</f>
        <v>#N/A</v>
      </c>
      <c r="B197" s="91" t="str">
        <f>VLOOKUP($F197,UpdateHashtag!$V$3:$Y$32,COLUMN(#REF!),0)</f>
        <v>#REF!</v>
      </c>
      <c r="C197" s="91" t="str">
        <f>VLOOKUP($F197,UpdateHashtag!$V$3:$Y$32,COLUMN(#REF!),0)</f>
        <v>#REF!</v>
      </c>
      <c r="D197" s="110" t="str">
        <f t="shared" si="2"/>
        <v>#N/A</v>
      </c>
      <c r="E197" s="11"/>
      <c r="F197" s="94" t="str">
        <f>VLOOKUP(J197,UpdateBBM!$C$2:E1009,3,0)</f>
        <v>#N/A</v>
      </c>
      <c r="G197" s="78">
        <v>184.0</v>
      </c>
      <c r="H197" s="111"/>
      <c r="I197" s="111"/>
      <c r="J197" s="112"/>
      <c r="K197" s="111"/>
      <c r="L197" s="113"/>
      <c r="M197" s="114"/>
      <c r="N197" s="115"/>
      <c r="O197" s="115"/>
      <c r="P197" s="116"/>
      <c r="Q197" s="116"/>
      <c r="R197" s="116"/>
      <c r="S197" s="117"/>
      <c r="T197" s="116"/>
      <c r="U197" s="116"/>
      <c r="V197" s="113"/>
      <c r="W197" s="113"/>
      <c r="X197" s="116"/>
      <c r="Y197" s="209"/>
      <c r="Z197" s="209"/>
      <c r="AA197" s="209"/>
      <c r="AB197" s="209"/>
      <c r="AC197" s="209"/>
      <c r="AD197" s="209"/>
      <c r="AE197" s="209"/>
      <c r="AF197" s="209"/>
      <c r="AG197" s="210"/>
      <c r="AH197" s="105"/>
      <c r="AI197" s="202"/>
      <c r="AJ197" s="63"/>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c r="BL197" s="105"/>
      <c r="BM197" s="105"/>
      <c r="BN197" s="105"/>
      <c r="BO197" s="105"/>
      <c r="BP197" s="105"/>
      <c r="BQ197" s="105"/>
      <c r="BR197" s="105"/>
      <c r="BS197" s="105"/>
      <c r="BT197" s="105"/>
      <c r="BU197" s="105"/>
      <c r="BV197" s="105"/>
    </row>
    <row r="198">
      <c r="A198" s="91" t="str">
        <f>VLOOKUP($F198,UpdateHashtag!$V$3:$Y$32,COLUMN(B$9),0)</f>
        <v>#N/A</v>
      </c>
      <c r="B198" s="91" t="str">
        <f>VLOOKUP($F198,UpdateHashtag!$V$3:$Y$32,COLUMN(#REF!),0)</f>
        <v>#REF!</v>
      </c>
      <c r="C198" s="91" t="str">
        <f>VLOOKUP($F198,UpdateHashtag!$V$3:$Y$32,COLUMN(#REF!),0)</f>
        <v>#REF!</v>
      </c>
      <c r="D198" s="110" t="str">
        <f t="shared" si="2"/>
        <v>#N/A</v>
      </c>
      <c r="E198" s="11"/>
      <c r="F198" s="94" t="str">
        <f>VLOOKUP(J198,UpdateBBM!$C$2:E1009,3,0)</f>
        <v>#N/A</v>
      </c>
      <c r="G198" s="78">
        <v>185.0</v>
      </c>
      <c r="H198" s="111"/>
      <c r="I198" s="111"/>
      <c r="J198" s="112"/>
      <c r="K198" s="111"/>
      <c r="L198" s="113"/>
      <c r="M198" s="114"/>
      <c r="N198" s="115"/>
      <c r="O198" s="115"/>
      <c r="P198" s="116"/>
      <c r="Q198" s="116"/>
      <c r="R198" s="116"/>
      <c r="S198" s="117"/>
      <c r="T198" s="116"/>
      <c r="U198" s="116"/>
      <c r="V198" s="113"/>
      <c r="W198" s="113"/>
      <c r="X198" s="116"/>
      <c r="Y198" s="209"/>
      <c r="Z198" s="209"/>
      <c r="AA198" s="209"/>
      <c r="AB198" s="209"/>
      <c r="AC198" s="209"/>
      <c r="AD198" s="209"/>
      <c r="AE198" s="209"/>
      <c r="AF198" s="209"/>
      <c r="AG198" s="210"/>
      <c r="AH198" s="105"/>
      <c r="AI198" s="202"/>
      <c r="AJ198" s="63"/>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c r="BL198" s="105"/>
      <c r="BM198" s="105"/>
      <c r="BN198" s="105"/>
      <c r="BO198" s="105"/>
      <c r="BP198" s="105"/>
      <c r="BQ198" s="105"/>
      <c r="BR198" s="105"/>
      <c r="BS198" s="105"/>
      <c r="BT198" s="105"/>
      <c r="BU198" s="105"/>
      <c r="BV198" s="105"/>
    </row>
    <row r="199">
      <c r="A199" s="91" t="str">
        <f>VLOOKUP($F199,UpdateHashtag!$V$3:$Y$32,COLUMN(B$9),0)</f>
        <v>#N/A</v>
      </c>
      <c r="B199" s="91" t="str">
        <f>VLOOKUP($F199,UpdateHashtag!$V$3:$Y$32,COLUMN(#REF!),0)</f>
        <v>#REF!</v>
      </c>
      <c r="C199" s="91" t="str">
        <f>VLOOKUP($F199,UpdateHashtag!$V$3:$Y$32,COLUMN(#REF!),0)</f>
        <v>#REF!</v>
      </c>
      <c r="D199" s="110" t="str">
        <f t="shared" si="2"/>
        <v>#N/A</v>
      </c>
      <c r="E199" s="11"/>
      <c r="F199" s="94" t="str">
        <f>VLOOKUP(J199,UpdateBBM!$C$2:E1009,3,0)</f>
        <v>#N/A</v>
      </c>
      <c r="G199" s="78">
        <v>186.0</v>
      </c>
      <c r="H199" s="111"/>
      <c r="I199" s="111"/>
      <c r="J199" s="112"/>
      <c r="K199" s="111"/>
      <c r="L199" s="113"/>
      <c r="M199" s="114"/>
      <c r="N199" s="115"/>
      <c r="O199" s="115"/>
      <c r="P199" s="116"/>
      <c r="Q199" s="116"/>
      <c r="R199" s="116"/>
      <c r="S199" s="117"/>
      <c r="T199" s="116"/>
      <c r="U199" s="116"/>
      <c r="V199" s="113"/>
      <c r="W199" s="113"/>
      <c r="X199" s="116"/>
      <c r="Y199" s="209"/>
      <c r="Z199" s="209"/>
      <c r="AA199" s="209"/>
      <c r="AB199" s="209"/>
      <c r="AC199" s="209"/>
      <c r="AD199" s="209"/>
      <c r="AE199" s="209"/>
      <c r="AF199" s="209"/>
      <c r="AG199" s="210"/>
      <c r="AH199" s="105"/>
      <c r="AI199" s="202"/>
      <c r="AJ199" s="63"/>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c r="BL199" s="105"/>
      <c r="BM199" s="105"/>
      <c r="BN199" s="105"/>
      <c r="BO199" s="105"/>
      <c r="BP199" s="105"/>
      <c r="BQ199" s="105"/>
      <c r="BR199" s="105"/>
      <c r="BS199" s="105"/>
      <c r="BT199" s="105"/>
      <c r="BU199" s="105"/>
      <c r="BV199" s="105"/>
    </row>
    <row r="200">
      <c r="A200" s="91" t="str">
        <f>VLOOKUP($F200,UpdateHashtag!$V$3:$Y$32,COLUMN(B$9),0)</f>
        <v>#N/A</v>
      </c>
      <c r="B200" s="91" t="str">
        <f>VLOOKUP($F200,UpdateHashtag!$V$3:$Y$32,COLUMN(#REF!),0)</f>
        <v>#REF!</v>
      </c>
      <c r="C200" s="91" t="str">
        <f>VLOOKUP($F200,UpdateHashtag!$V$3:$Y$32,COLUMN(#REF!),0)</f>
        <v>#REF!</v>
      </c>
      <c r="D200" s="110" t="str">
        <f t="shared" si="2"/>
        <v>#N/A</v>
      </c>
      <c r="E200" s="11"/>
      <c r="F200" s="94" t="str">
        <f>VLOOKUP(J200,UpdateBBM!$C$2:E1009,3,0)</f>
        <v>#N/A</v>
      </c>
      <c r="G200" s="78">
        <v>187.0</v>
      </c>
      <c r="H200" s="111"/>
      <c r="I200" s="111"/>
      <c r="J200" s="112"/>
      <c r="K200" s="111"/>
      <c r="L200" s="113"/>
      <c r="M200" s="114"/>
      <c r="N200" s="115"/>
      <c r="O200" s="115"/>
      <c r="P200" s="116"/>
      <c r="Q200" s="116"/>
      <c r="R200" s="116"/>
      <c r="S200" s="117"/>
      <c r="T200" s="116"/>
      <c r="U200" s="116"/>
      <c r="V200" s="113"/>
      <c r="W200" s="113"/>
      <c r="X200" s="116"/>
      <c r="Y200" s="209"/>
      <c r="Z200" s="209"/>
      <c r="AA200" s="209"/>
      <c r="AB200" s="209"/>
      <c r="AC200" s="209"/>
      <c r="AD200" s="209"/>
      <c r="AE200" s="209"/>
      <c r="AF200" s="209"/>
      <c r="AG200" s="210"/>
      <c r="AH200" s="105"/>
      <c r="AI200" s="202"/>
      <c r="AJ200" s="63"/>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c r="BL200" s="105"/>
      <c r="BM200" s="105"/>
      <c r="BN200" s="105"/>
      <c r="BO200" s="105"/>
      <c r="BP200" s="105"/>
      <c r="BQ200" s="105"/>
      <c r="BR200" s="105"/>
      <c r="BS200" s="105"/>
      <c r="BT200" s="105"/>
      <c r="BU200" s="105"/>
      <c r="BV200" s="105"/>
    </row>
    <row r="201">
      <c r="A201" s="91" t="str">
        <f>VLOOKUP($F201,UpdateHashtag!$V$3:$Y$32,COLUMN(B$9),0)</f>
        <v>#N/A</v>
      </c>
      <c r="B201" s="91" t="str">
        <f>VLOOKUP($F201,UpdateHashtag!$V$3:$Y$32,COLUMN(#REF!),0)</f>
        <v>#REF!</v>
      </c>
      <c r="C201" s="91" t="str">
        <f>VLOOKUP($F201,UpdateHashtag!$V$3:$Y$32,COLUMN(#REF!),0)</f>
        <v>#REF!</v>
      </c>
      <c r="D201" s="110" t="str">
        <f t="shared" si="2"/>
        <v>#N/A</v>
      </c>
      <c r="E201" s="11"/>
      <c r="F201" s="94" t="str">
        <f>VLOOKUP(J201,UpdateBBM!$C$2:E1009,3,0)</f>
        <v>#N/A</v>
      </c>
      <c r="G201" s="78">
        <v>188.0</v>
      </c>
      <c r="H201" s="111"/>
      <c r="I201" s="111"/>
      <c r="J201" s="112"/>
      <c r="K201" s="111"/>
      <c r="L201" s="113"/>
      <c r="M201" s="114"/>
      <c r="N201" s="115"/>
      <c r="O201" s="115"/>
      <c r="P201" s="116"/>
      <c r="Q201" s="116"/>
      <c r="R201" s="116"/>
      <c r="S201" s="117"/>
      <c r="T201" s="116"/>
      <c r="U201" s="116"/>
      <c r="V201" s="113"/>
      <c r="W201" s="113"/>
      <c r="X201" s="116"/>
      <c r="Y201" s="209"/>
      <c r="Z201" s="209"/>
      <c r="AA201" s="209"/>
      <c r="AB201" s="209"/>
      <c r="AC201" s="209"/>
      <c r="AD201" s="209"/>
      <c r="AE201" s="209"/>
      <c r="AF201" s="209"/>
      <c r="AG201" s="210"/>
      <c r="AH201" s="105"/>
      <c r="AI201" s="202"/>
      <c r="AJ201" s="63"/>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c r="BL201" s="105"/>
      <c r="BM201" s="105"/>
      <c r="BN201" s="105"/>
      <c r="BO201" s="105"/>
      <c r="BP201" s="105"/>
      <c r="BQ201" s="105"/>
      <c r="BR201" s="105"/>
      <c r="BS201" s="105"/>
      <c r="BT201" s="105"/>
      <c r="BU201" s="105"/>
      <c r="BV201" s="105"/>
    </row>
    <row r="202">
      <c r="A202" s="91" t="str">
        <f>VLOOKUP($F202,UpdateHashtag!$V$3:$Y$32,COLUMN(B$9),0)</f>
        <v>#N/A</v>
      </c>
      <c r="B202" s="91" t="str">
        <f>VLOOKUP($F202,UpdateHashtag!$V$3:$Y$32,COLUMN(#REF!),0)</f>
        <v>#REF!</v>
      </c>
      <c r="C202" s="91" t="str">
        <f>VLOOKUP($F202,UpdateHashtag!$V$3:$Y$32,COLUMN(#REF!),0)</f>
        <v>#REF!</v>
      </c>
      <c r="D202" s="110" t="str">
        <f t="shared" si="2"/>
        <v>#N/A</v>
      </c>
      <c r="E202" s="11"/>
      <c r="F202" s="94" t="str">
        <f>VLOOKUP(J202,UpdateBBM!$C$2:E1009,3,0)</f>
        <v>#N/A</v>
      </c>
      <c r="G202" s="78">
        <v>189.0</v>
      </c>
      <c r="H202" s="111"/>
      <c r="I202" s="111"/>
      <c r="J202" s="112"/>
      <c r="K202" s="111"/>
      <c r="L202" s="113"/>
      <c r="M202" s="114"/>
      <c r="N202" s="115"/>
      <c r="O202" s="115"/>
      <c r="P202" s="116"/>
      <c r="Q202" s="116"/>
      <c r="R202" s="116"/>
      <c r="S202" s="117"/>
      <c r="T202" s="116"/>
      <c r="U202" s="116"/>
      <c r="V202" s="113"/>
      <c r="W202" s="113"/>
      <c r="X202" s="116"/>
      <c r="Y202" s="209"/>
      <c r="Z202" s="209"/>
      <c r="AA202" s="209"/>
      <c r="AB202" s="209"/>
      <c r="AC202" s="209"/>
      <c r="AD202" s="209"/>
      <c r="AE202" s="209"/>
      <c r="AF202" s="209"/>
      <c r="AG202" s="210"/>
      <c r="AH202" s="105"/>
      <c r="AI202" s="202"/>
      <c r="AJ202" s="63"/>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c r="BL202" s="105"/>
      <c r="BM202" s="105"/>
      <c r="BN202" s="105"/>
      <c r="BO202" s="105"/>
      <c r="BP202" s="105"/>
      <c r="BQ202" s="105"/>
      <c r="BR202" s="105"/>
      <c r="BS202" s="105"/>
      <c r="BT202" s="105"/>
      <c r="BU202" s="105"/>
      <c r="BV202" s="105"/>
    </row>
    <row r="203">
      <c r="A203" s="91" t="str">
        <f>VLOOKUP($F203,UpdateHashtag!$V$3:$Y$32,COLUMN(B$9),0)</f>
        <v>#N/A</v>
      </c>
      <c r="B203" s="91" t="str">
        <f>VLOOKUP($F203,UpdateHashtag!$V$3:$Y$32,COLUMN(#REF!),0)</f>
        <v>#REF!</v>
      </c>
      <c r="C203" s="91" t="str">
        <f>VLOOKUP($F203,UpdateHashtag!$V$3:$Y$32,COLUMN(#REF!),0)</f>
        <v>#REF!</v>
      </c>
      <c r="D203" s="110" t="str">
        <f t="shared" si="2"/>
        <v>#N/A</v>
      </c>
      <c r="E203" s="11"/>
      <c r="F203" s="94" t="str">
        <f>VLOOKUP(J203,UpdateBBM!$C$2:E1009,3,0)</f>
        <v>#N/A</v>
      </c>
      <c r="G203" s="78">
        <v>190.0</v>
      </c>
      <c r="H203" s="111"/>
      <c r="I203" s="111"/>
      <c r="J203" s="112"/>
      <c r="K203" s="111"/>
      <c r="L203" s="113"/>
      <c r="M203" s="114"/>
      <c r="N203" s="115"/>
      <c r="O203" s="115"/>
      <c r="P203" s="116"/>
      <c r="Q203" s="116"/>
      <c r="R203" s="116"/>
      <c r="S203" s="117"/>
      <c r="T203" s="116"/>
      <c r="U203" s="116"/>
      <c r="V203" s="113"/>
      <c r="W203" s="113"/>
      <c r="X203" s="116"/>
      <c r="Y203" s="209"/>
      <c r="Z203" s="209"/>
      <c r="AA203" s="209"/>
      <c r="AB203" s="209"/>
      <c r="AC203" s="209"/>
      <c r="AD203" s="209"/>
      <c r="AE203" s="209"/>
      <c r="AF203" s="209"/>
      <c r="AG203" s="210"/>
      <c r="AH203" s="105"/>
      <c r="AI203" s="202"/>
      <c r="AJ203" s="63"/>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c r="BL203" s="105"/>
      <c r="BM203" s="105"/>
      <c r="BN203" s="105"/>
      <c r="BO203" s="105"/>
      <c r="BP203" s="105"/>
      <c r="BQ203" s="105"/>
      <c r="BR203" s="105"/>
      <c r="BS203" s="105"/>
      <c r="BT203" s="105"/>
      <c r="BU203" s="105"/>
      <c r="BV203" s="105"/>
    </row>
    <row r="204">
      <c r="A204" s="91" t="str">
        <f>VLOOKUP($F204,UpdateHashtag!$V$3:$Y$32,COLUMN(B$9),0)</f>
        <v>#N/A</v>
      </c>
      <c r="B204" s="91" t="str">
        <f>VLOOKUP($F204,UpdateHashtag!$V$3:$Y$32,COLUMN(#REF!),0)</f>
        <v>#REF!</v>
      </c>
      <c r="C204" s="91" t="str">
        <f>VLOOKUP($F204,UpdateHashtag!$V$3:$Y$32,COLUMN(#REF!),0)</f>
        <v>#REF!</v>
      </c>
      <c r="D204" s="110" t="str">
        <f t="shared" si="2"/>
        <v>#N/A</v>
      </c>
      <c r="E204" s="11"/>
      <c r="F204" s="94" t="str">
        <f>VLOOKUP(J204,UpdateBBM!$C$2:E1009,3,0)</f>
        <v>#N/A</v>
      </c>
      <c r="G204" s="78">
        <v>191.0</v>
      </c>
      <c r="H204" s="111"/>
      <c r="I204" s="111"/>
      <c r="J204" s="112"/>
      <c r="K204" s="111"/>
      <c r="L204" s="113"/>
      <c r="M204" s="114"/>
      <c r="N204" s="115"/>
      <c r="O204" s="115"/>
      <c r="P204" s="116"/>
      <c r="Q204" s="116"/>
      <c r="R204" s="116"/>
      <c r="S204" s="117"/>
      <c r="T204" s="116"/>
      <c r="U204" s="116"/>
      <c r="V204" s="113"/>
      <c r="W204" s="113"/>
      <c r="X204" s="116"/>
      <c r="Y204" s="209"/>
      <c r="Z204" s="209"/>
      <c r="AA204" s="209"/>
      <c r="AB204" s="209"/>
      <c r="AC204" s="209"/>
      <c r="AD204" s="209"/>
      <c r="AE204" s="209"/>
      <c r="AF204" s="209"/>
      <c r="AG204" s="210"/>
      <c r="AH204" s="105"/>
      <c r="AI204" s="202"/>
      <c r="AJ204" s="63"/>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5"/>
    </row>
    <row r="205">
      <c r="A205" s="91" t="str">
        <f>VLOOKUP($F205,UpdateHashtag!$V$3:$Y$32,COLUMN(B$9),0)</f>
        <v>#N/A</v>
      </c>
      <c r="B205" s="91" t="str">
        <f>VLOOKUP($F205,UpdateHashtag!$V$3:$Y$32,COLUMN(#REF!),0)</f>
        <v>#REF!</v>
      </c>
      <c r="C205" s="91" t="str">
        <f>VLOOKUP($F205,UpdateHashtag!$V$3:$Y$32,COLUMN(#REF!),0)</f>
        <v>#REF!</v>
      </c>
      <c r="D205" s="110" t="str">
        <f t="shared" si="2"/>
        <v>#N/A</v>
      </c>
      <c r="E205" s="11"/>
      <c r="F205" s="94" t="str">
        <f>VLOOKUP(J205,UpdateBBM!$C$2:E1009,3,0)</f>
        <v>#N/A</v>
      </c>
      <c r="G205" s="78">
        <v>192.0</v>
      </c>
      <c r="H205" s="111"/>
      <c r="I205" s="111"/>
      <c r="J205" s="112"/>
      <c r="K205" s="111"/>
      <c r="L205" s="113"/>
      <c r="M205" s="114"/>
      <c r="N205" s="115"/>
      <c r="O205" s="115"/>
      <c r="P205" s="116"/>
      <c r="Q205" s="116"/>
      <c r="R205" s="116"/>
      <c r="S205" s="117"/>
      <c r="T205" s="116"/>
      <c r="U205" s="116"/>
      <c r="V205" s="113"/>
      <c r="W205" s="113"/>
      <c r="X205" s="116"/>
      <c r="Y205" s="209"/>
      <c r="Z205" s="209"/>
      <c r="AA205" s="209"/>
      <c r="AB205" s="209"/>
      <c r="AC205" s="209"/>
      <c r="AD205" s="209"/>
      <c r="AE205" s="209"/>
      <c r="AF205" s="209"/>
      <c r="AG205" s="210"/>
      <c r="AH205" s="105"/>
      <c r="AI205" s="202"/>
      <c r="AJ205" s="63"/>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5"/>
    </row>
    <row r="206">
      <c r="A206" s="91" t="str">
        <f>VLOOKUP($F206,UpdateHashtag!$V$3:$Y$32,COLUMN(B$9),0)</f>
        <v>#N/A</v>
      </c>
      <c r="B206" s="91" t="str">
        <f>VLOOKUP($F206,UpdateHashtag!$V$3:$Y$32,COLUMN(#REF!),0)</f>
        <v>#REF!</v>
      </c>
      <c r="C206" s="91" t="str">
        <f>VLOOKUP($F206,UpdateHashtag!$V$3:$Y$32,COLUMN(#REF!),0)</f>
        <v>#REF!</v>
      </c>
      <c r="D206" s="110" t="str">
        <f t="shared" si="2"/>
        <v>#N/A</v>
      </c>
      <c r="E206" s="11"/>
      <c r="F206" s="94" t="str">
        <f>VLOOKUP(J206,UpdateBBM!$C$2:E1009,3,0)</f>
        <v>#N/A</v>
      </c>
      <c r="G206" s="78">
        <v>193.0</v>
      </c>
      <c r="H206" s="111"/>
      <c r="I206" s="111"/>
      <c r="J206" s="112"/>
      <c r="K206" s="111"/>
      <c r="L206" s="113"/>
      <c r="M206" s="114"/>
      <c r="N206" s="115"/>
      <c r="O206" s="115"/>
      <c r="P206" s="116"/>
      <c r="Q206" s="116"/>
      <c r="R206" s="116"/>
      <c r="S206" s="117"/>
      <c r="T206" s="116"/>
      <c r="U206" s="116"/>
      <c r="V206" s="113"/>
      <c r="W206" s="113"/>
      <c r="X206" s="116"/>
      <c r="Y206" s="209"/>
      <c r="Z206" s="209"/>
      <c r="AA206" s="209"/>
      <c r="AB206" s="209"/>
      <c r="AC206" s="209"/>
      <c r="AD206" s="209"/>
      <c r="AE206" s="209"/>
      <c r="AF206" s="209"/>
      <c r="AG206" s="210"/>
      <c r="AH206" s="105"/>
      <c r="AI206" s="202"/>
      <c r="AJ206" s="63"/>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row>
    <row r="207">
      <c r="A207" s="91" t="str">
        <f>VLOOKUP($F207,UpdateHashtag!$V$3:$Y$32,COLUMN(B$9),0)</f>
        <v>#N/A</v>
      </c>
      <c r="B207" s="91" t="str">
        <f>VLOOKUP($F207,UpdateHashtag!$V$3:$Y$32,COLUMN(#REF!),0)</f>
        <v>#REF!</v>
      </c>
      <c r="C207" s="91" t="str">
        <f>VLOOKUP($F207,UpdateHashtag!$V$3:$Y$32,COLUMN(#REF!),0)</f>
        <v>#REF!</v>
      </c>
      <c r="D207" s="110" t="str">
        <f t="shared" si="2"/>
        <v>#N/A</v>
      </c>
      <c r="E207" s="11"/>
      <c r="F207" s="94" t="str">
        <f>VLOOKUP(J207,UpdateBBM!$C$2:E1009,3,0)</f>
        <v>#N/A</v>
      </c>
      <c r="G207" s="78">
        <v>194.0</v>
      </c>
      <c r="H207" s="111"/>
      <c r="I207" s="111"/>
      <c r="J207" s="112"/>
      <c r="K207" s="111"/>
      <c r="L207" s="113"/>
      <c r="M207" s="114"/>
      <c r="N207" s="115"/>
      <c r="O207" s="115"/>
      <c r="P207" s="116"/>
      <c r="Q207" s="116"/>
      <c r="R207" s="116"/>
      <c r="S207" s="117"/>
      <c r="T207" s="116"/>
      <c r="U207" s="116"/>
      <c r="V207" s="113"/>
      <c r="W207" s="113"/>
      <c r="X207" s="116"/>
      <c r="Y207" s="209"/>
      <c r="Z207" s="209"/>
      <c r="AA207" s="209"/>
      <c r="AB207" s="209"/>
      <c r="AC207" s="209"/>
      <c r="AD207" s="209"/>
      <c r="AE207" s="209"/>
      <c r="AF207" s="209"/>
      <c r="AG207" s="210"/>
      <c r="AH207" s="105"/>
      <c r="AI207" s="202"/>
      <c r="AJ207" s="63"/>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c r="BL207" s="105"/>
      <c r="BM207" s="105"/>
      <c r="BN207" s="105"/>
      <c r="BO207" s="105"/>
      <c r="BP207" s="105"/>
      <c r="BQ207" s="105"/>
      <c r="BR207" s="105"/>
      <c r="BS207" s="105"/>
      <c r="BT207" s="105"/>
      <c r="BU207" s="105"/>
      <c r="BV207" s="105"/>
    </row>
    <row r="208">
      <c r="A208" s="91" t="str">
        <f>VLOOKUP($F208,UpdateHashtag!$V$3:$Y$32,COLUMN(B$9),0)</f>
        <v>#N/A</v>
      </c>
      <c r="B208" s="91" t="str">
        <f>VLOOKUP($F208,UpdateHashtag!$V$3:$Y$32,COLUMN(#REF!),0)</f>
        <v>#REF!</v>
      </c>
      <c r="C208" s="91" t="str">
        <f>VLOOKUP($F208,UpdateHashtag!$V$3:$Y$32,COLUMN(#REF!),0)</f>
        <v>#REF!</v>
      </c>
      <c r="D208" s="110" t="str">
        <f t="shared" si="2"/>
        <v>#N/A</v>
      </c>
      <c r="E208" s="11"/>
      <c r="F208" s="94" t="str">
        <f>VLOOKUP(J208,UpdateBBM!$C$2:E1009,3,0)</f>
        <v>#N/A</v>
      </c>
      <c r="G208" s="78">
        <v>195.0</v>
      </c>
      <c r="H208" s="111"/>
      <c r="I208" s="111"/>
      <c r="J208" s="112"/>
      <c r="K208" s="111"/>
      <c r="L208" s="113"/>
      <c r="M208" s="114"/>
      <c r="N208" s="115"/>
      <c r="O208" s="115"/>
      <c r="P208" s="116"/>
      <c r="Q208" s="116"/>
      <c r="R208" s="116"/>
      <c r="S208" s="117"/>
      <c r="T208" s="116"/>
      <c r="U208" s="116"/>
      <c r="V208" s="113"/>
      <c r="W208" s="113"/>
      <c r="X208" s="116"/>
      <c r="Y208" s="209"/>
      <c r="Z208" s="209"/>
      <c r="AA208" s="209"/>
      <c r="AB208" s="209"/>
      <c r="AC208" s="209"/>
      <c r="AD208" s="209"/>
      <c r="AE208" s="209"/>
      <c r="AF208" s="209"/>
      <c r="AG208" s="210"/>
      <c r="AH208" s="105"/>
      <c r="AI208" s="202"/>
      <c r="AJ208" s="63"/>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c r="BL208" s="105"/>
      <c r="BM208" s="105"/>
      <c r="BN208" s="105"/>
      <c r="BO208" s="105"/>
      <c r="BP208" s="105"/>
      <c r="BQ208" s="105"/>
      <c r="BR208" s="105"/>
      <c r="BS208" s="105"/>
      <c r="BT208" s="105"/>
      <c r="BU208" s="105"/>
      <c r="BV208" s="105"/>
    </row>
    <row r="209">
      <c r="A209" s="91" t="str">
        <f>VLOOKUP($F209,UpdateHashtag!$V$3:$Y$32,COLUMN(B$9),0)</f>
        <v>#N/A</v>
      </c>
      <c r="B209" s="91" t="str">
        <f>VLOOKUP($F209,UpdateHashtag!$V$3:$Y$32,COLUMN(#REF!),0)</f>
        <v>#REF!</v>
      </c>
      <c r="C209" s="91" t="str">
        <f>VLOOKUP($F209,UpdateHashtag!$V$3:$Y$32,COLUMN(#REF!),0)</f>
        <v>#REF!</v>
      </c>
      <c r="D209" s="110" t="str">
        <f t="shared" si="2"/>
        <v>#N/A</v>
      </c>
      <c r="E209" s="11"/>
      <c r="F209" s="94" t="str">
        <f>VLOOKUP(J209,UpdateBBM!$C$2:E1009,3,0)</f>
        <v>#N/A</v>
      </c>
      <c r="G209" s="78">
        <v>196.0</v>
      </c>
      <c r="H209" s="111"/>
      <c r="I209" s="111"/>
      <c r="J209" s="112"/>
      <c r="K209" s="111"/>
      <c r="L209" s="113"/>
      <c r="M209" s="114"/>
      <c r="N209" s="115"/>
      <c r="O209" s="115"/>
      <c r="P209" s="116"/>
      <c r="Q209" s="116"/>
      <c r="R209" s="116"/>
      <c r="S209" s="117"/>
      <c r="T209" s="116"/>
      <c r="U209" s="116"/>
      <c r="V209" s="113"/>
      <c r="W209" s="113"/>
      <c r="X209" s="116"/>
      <c r="Y209" s="209"/>
      <c r="Z209" s="209"/>
      <c r="AA209" s="209"/>
      <c r="AB209" s="209"/>
      <c r="AC209" s="209"/>
      <c r="AD209" s="209"/>
      <c r="AE209" s="209"/>
      <c r="AF209" s="209"/>
      <c r="AG209" s="210"/>
      <c r="AH209" s="105"/>
      <c r="AI209" s="202"/>
      <c r="AJ209" s="63"/>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c r="BI209" s="105"/>
      <c r="BJ209" s="105"/>
      <c r="BK209" s="105"/>
      <c r="BL209" s="105"/>
      <c r="BM209" s="105"/>
      <c r="BN209" s="105"/>
      <c r="BO209" s="105"/>
      <c r="BP209" s="105"/>
      <c r="BQ209" s="105"/>
      <c r="BR209" s="105"/>
      <c r="BS209" s="105"/>
      <c r="BT209" s="105"/>
      <c r="BU209" s="105"/>
      <c r="BV209" s="105"/>
    </row>
    <row r="210">
      <c r="A210" s="91" t="str">
        <f>VLOOKUP($F210,UpdateHashtag!$V$3:$Y$32,COLUMN(B$9),0)</f>
        <v>#N/A</v>
      </c>
      <c r="B210" s="91" t="str">
        <f>VLOOKUP($F210,UpdateHashtag!$V$3:$Y$32,COLUMN(#REF!),0)</f>
        <v>#REF!</v>
      </c>
      <c r="C210" s="91" t="str">
        <f>VLOOKUP($F210,UpdateHashtag!$V$3:$Y$32,COLUMN(#REF!),0)</f>
        <v>#REF!</v>
      </c>
      <c r="D210" s="110" t="str">
        <f t="shared" si="2"/>
        <v>#N/A</v>
      </c>
      <c r="E210" s="11"/>
      <c r="F210" s="94" t="str">
        <f>VLOOKUP(J210,UpdateBBM!$C$2:E1009,3,0)</f>
        <v>#N/A</v>
      </c>
      <c r="G210" s="78">
        <v>197.0</v>
      </c>
      <c r="H210" s="111"/>
      <c r="I210" s="111"/>
      <c r="J210" s="112"/>
      <c r="K210" s="111"/>
      <c r="L210" s="113"/>
      <c r="M210" s="114"/>
      <c r="N210" s="115"/>
      <c r="O210" s="115"/>
      <c r="P210" s="116"/>
      <c r="Q210" s="116"/>
      <c r="R210" s="116"/>
      <c r="S210" s="117"/>
      <c r="T210" s="116"/>
      <c r="U210" s="116"/>
      <c r="V210" s="113"/>
      <c r="W210" s="113"/>
      <c r="X210" s="116"/>
      <c r="Y210" s="209"/>
      <c r="Z210" s="209"/>
      <c r="AA210" s="209"/>
      <c r="AB210" s="209"/>
      <c r="AC210" s="209"/>
      <c r="AD210" s="209"/>
      <c r="AE210" s="209"/>
      <c r="AF210" s="209"/>
      <c r="AG210" s="210"/>
      <c r="AH210" s="105"/>
      <c r="AI210" s="202"/>
      <c r="AJ210" s="63"/>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c r="BI210" s="105"/>
      <c r="BJ210" s="105"/>
      <c r="BK210" s="105"/>
      <c r="BL210" s="105"/>
      <c r="BM210" s="105"/>
      <c r="BN210" s="105"/>
      <c r="BO210" s="105"/>
      <c r="BP210" s="105"/>
      <c r="BQ210" s="105"/>
      <c r="BR210" s="105"/>
      <c r="BS210" s="105"/>
      <c r="BT210" s="105"/>
      <c r="BU210" s="105"/>
      <c r="BV210" s="105"/>
    </row>
    <row r="211">
      <c r="A211" s="91" t="str">
        <f>VLOOKUP($F211,UpdateHashtag!$V$3:$Y$32,COLUMN(B$9),0)</f>
        <v>#N/A</v>
      </c>
      <c r="B211" s="91" t="str">
        <f>VLOOKUP($F211,UpdateHashtag!$V$3:$Y$32,COLUMN(#REF!),0)</f>
        <v>#REF!</v>
      </c>
      <c r="C211" s="91" t="str">
        <f>VLOOKUP($F211,UpdateHashtag!$V$3:$Y$32,COLUMN(#REF!),0)</f>
        <v>#REF!</v>
      </c>
      <c r="D211" s="110" t="str">
        <f t="shared" si="2"/>
        <v>#N/A</v>
      </c>
      <c r="E211" s="11"/>
      <c r="F211" s="94" t="str">
        <f>VLOOKUP(J211,UpdateBBM!$C$2:E1009,3,0)</f>
        <v>#N/A</v>
      </c>
      <c r="G211" s="78">
        <v>198.0</v>
      </c>
      <c r="H211" s="111"/>
      <c r="I211" s="111"/>
      <c r="J211" s="112"/>
      <c r="K211" s="111"/>
      <c r="L211" s="113"/>
      <c r="M211" s="114"/>
      <c r="N211" s="115"/>
      <c r="O211" s="115"/>
      <c r="P211" s="116"/>
      <c r="Q211" s="116"/>
      <c r="R211" s="116"/>
      <c r="S211" s="117"/>
      <c r="T211" s="116"/>
      <c r="U211" s="116"/>
      <c r="V211" s="113"/>
      <c r="W211" s="113"/>
      <c r="X211" s="116"/>
      <c r="Y211" s="209"/>
      <c r="Z211" s="209"/>
      <c r="AA211" s="209"/>
      <c r="AB211" s="209"/>
      <c r="AC211" s="209"/>
      <c r="AD211" s="209"/>
      <c r="AE211" s="209"/>
      <c r="AF211" s="209"/>
      <c r="AG211" s="210"/>
      <c r="AH211" s="105"/>
      <c r="AI211" s="202"/>
      <c r="AJ211" s="63"/>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c r="BI211" s="105"/>
      <c r="BJ211" s="105"/>
      <c r="BK211" s="105"/>
      <c r="BL211" s="105"/>
      <c r="BM211" s="105"/>
      <c r="BN211" s="105"/>
      <c r="BO211" s="105"/>
      <c r="BP211" s="105"/>
      <c r="BQ211" s="105"/>
      <c r="BR211" s="105"/>
      <c r="BS211" s="105"/>
      <c r="BT211" s="105"/>
      <c r="BU211" s="105"/>
      <c r="BV211" s="105"/>
    </row>
    <row r="212">
      <c r="A212" s="91" t="str">
        <f>VLOOKUP($F212,UpdateHashtag!$V$3:$Y$32,COLUMN(B$9),0)</f>
        <v>#N/A</v>
      </c>
      <c r="B212" s="91" t="str">
        <f>VLOOKUP($F212,UpdateHashtag!$V$3:$Y$32,COLUMN(#REF!),0)</f>
        <v>#REF!</v>
      </c>
      <c r="C212" s="91" t="str">
        <f>VLOOKUP($F212,UpdateHashtag!$V$3:$Y$32,COLUMN(#REF!),0)</f>
        <v>#REF!</v>
      </c>
      <c r="D212" s="110" t="str">
        <f t="shared" si="2"/>
        <v>#N/A</v>
      </c>
      <c r="E212" s="11"/>
      <c r="F212" s="94" t="str">
        <f>VLOOKUP(J212,UpdateBBM!$C$2:E1009,3,0)</f>
        <v>#N/A</v>
      </c>
      <c r="G212" s="78">
        <v>199.0</v>
      </c>
      <c r="H212" s="111"/>
      <c r="I212" s="111"/>
      <c r="J212" s="112"/>
      <c r="K212" s="111"/>
      <c r="L212" s="113"/>
      <c r="M212" s="114"/>
      <c r="N212" s="115"/>
      <c r="O212" s="115"/>
      <c r="P212" s="116"/>
      <c r="Q212" s="116"/>
      <c r="R212" s="116"/>
      <c r="S212" s="117"/>
      <c r="T212" s="116"/>
      <c r="U212" s="116"/>
      <c r="V212" s="113"/>
      <c r="W212" s="113"/>
      <c r="X212" s="116"/>
      <c r="Y212" s="209"/>
      <c r="Z212" s="209"/>
      <c r="AA212" s="209"/>
      <c r="AB212" s="209"/>
      <c r="AC212" s="209"/>
      <c r="AD212" s="209"/>
      <c r="AE212" s="209"/>
      <c r="AF212" s="209"/>
      <c r="AG212" s="210"/>
      <c r="AH212" s="105"/>
      <c r="AI212" s="202"/>
      <c r="AJ212" s="63"/>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105"/>
      <c r="BT212" s="105"/>
      <c r="BU212" s="105"/>
      <c r="BV212" s="105"/>
    </row>
    <row r="213">
      <c r="A213" s="91" t="str">
        <f>VLOOKUP($F213,UpdateHashtag!$V$3:$Y$32,COLUMN(B$9),0)</f>
        <v>#N/A</v>
      </c>
      <c r="B213" s="91" t="str">
        <f>VLOOKUP($F213,UpdateHashtag!$V$3:$Y$32,COLUMN(#REF!),0)</f>
        <v>#REF!</v>
      </c>
      <c r="C213" s="91" t="str">
        <f>VLOOKUP($F213,UpdateHashtag!$V$3:$Y$32,COLUMN(#REF!),0)</f>
        <v>#REF!</v>
      </c>
      <c r="D213" s="110" t="str">
        <f t="shared" si="2"/>
        <v>#N/A</v>
      </c>
      <c r="E213" s="11"/>
      <c r="F213" s="94" t="str">
        <f>VLOOKUP(J213,UpdateBBM!$C$2:E1009,3,0)</f>
        <v>#N/A</v>
      </c>
      <c r="G213" s="78">
        <v>200.0</v>
      </c>
      <c r="H213" s="111"/>
      <c r="I213" s="111"/>
      <c r="J213" s="112"/>
      <c r="K213" s="111"/>
      <c r="L213" s="113"/>
      <c r="M213" s="114"/>
      <c r="N213" s="115"/>
      <c r="O213" s="115"/>
      <c r="P213" s="116"/>
      <c r="Q213" s="116"/>
      <c r="R213" s="116"/>
      <c r="S213" s="117"/>
      <c r="T213" s="116"/>
      <c r="U213" s="116"/>
      <c r="V213" s="113"/>
      <c r="W213" s="113"/>
      <c r="X213" s="116"/>
      <c r="Y213" s="209"/>
      <c r="Z213" s="209"/>
      <c r="AA213" s="209"/>
      <c r="AB213" s="209"/>
      <c r="AC213" s="209"/>
      <c r="AD213" s="209"/>
      <c r="AE213" s="209"/>
      <c r="AF213" s="209"/>
      <c r="AG213" s="210"/>
      <c r="AH213" s="105"/>
      <c r="AI213" s="202"/>
      <c r="AJ213" s="63"/>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c r="BI213" s="105"/>
      <c r="BJ213" s="105"/>
      <c r="BK213" s="105"/>
      <c r="BL213" s="105"/>
      <c r="BM213" s="105"/>
      <c r="BN213" s="105"/>
      <c r="BO213" s="105"/>
      <c r="BP213" s="105"/>
      <c r="BQ213" s="105"/>
      <c r="BR213" s="105"/>
      <c r="BS213" s="105"/>
      <c r="BT213" s="105"/>
      <c r="BU213" s="105"/>
      <c r="BV213" s="105"/>
    </row>
    <row r="214">
      <c r="A214" s="91" t="str">
        <f>VLOOKUP($F214,UpdateHashtag!$V$3:$Y$32,COLUMN(B$9),0)</f>
        <v>#N/A</v>
      </c>
      <c r="B214" s="91" t="str">
        <f>VLOOKUP($F214,UpdateHashtag!$V$3:$Y$32,COLUMN(#REF!),0)</f>
        <v>#REF!</v>
      </c>
      <c r="C214" s="91" t="str">
        <f>VLOOKUP($F214,UpdateHashtag!$V$3:$Y$32,COLUMN(#REF!),0)</f>
        <v>#REF!</v>
      </c>
      <c r="D214" s="110" t="str">
        <f t="shared" si="2"/>
        <v>#N/A</v>
      </c>
      <c r="E214" s="11"/>
      <c r="F214" s="94" t="str">
        <f>VLOOKUP(J214,UpdateBBM!$C$2:E1009,3,0)</f>
        <v>#N/A</v>
      </c>
      <c r="G214" s="78"/>
      <c r="H214" s="111"/>
      <c r="I214" s="111"/>
      <c r="J214" s="112"/>
      <c r="K214" s="111"/>
      <c r="L214" s="113"/>
      <c r="M214" s="114"/>
      <c r="N214" s="115"/>
      <c r="O214" s="115"/>
      <c r="P214" s="116"/>
      <c r="Q214" s="116"/>
      <c r="R214" s="116"/>
      <c r="S214" s="117"/>
      <c r="T214" s="116"/>
      <c r="U214" s="116"/>
      <c r="V214" s="113"/>
      <c r="W214" s="113"/>
      <c r="X214" s="116"/>
      <c r="Y214" s="209"/>
      <c r="Z214" s="209"/>
      <c r="AA214" s="209"/>
      <c r="AB214" s="209"/>
      <c r="AC214" s="209"/>
      <c r="AD214" s="209"/>
      <c r="AE214" s="209"/>
      <c r="AF214" s="209"/>
      <c r="AG214" s="210"/>
      <c r="AH214" s="105"/>
      <c r="AI214" s="202"/>
      <c r="AJ214" s="63"/>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c r="BI214" s="105"/>
      <c r="BJ214" s="105"/>
      <c r="BK214" s="105"/>
      <c r="BL214" s="105"/>
      <c r="BM214" s="105"/>
      <c r="BN214" s="105"/>
      <c r="BO214" s="105"/>
      <c r="BP214" s="105"/>
      <c r="BQ214" s="105"/>
      <c r="BR214" s="105"/>
      <c r="BS214" s="105"/>
      <c r="BT214" s="105"/>
      <c r="BU214" s="105"/>
      <c r="BV214" s="105"/>
    </row>
    <row r="215">
      <c r="A215" s="91" t="str">
        <f>VLOOKUP($F215,UpdateHashtag!$V$3:$Y$32,COLUMN(B$9),0)</f>
        <v>#N/A</v>
      </c>
      <c r="B215" s="91" t="str">
        <f>VLOOKUP($F215,UpdateHashtag!$V$3:$Y$32,COLUMN(#REF!),0)</f>
        <v>#REF!</v>
      </c>
      <c r="C215" s="91" t="str">
        <f>VLOOKUP($F215,UpdateHashtag!$V$3:$Y$32,COLUMN(#REF!),0)</f>
        <v>#REF!</v>
      </c>
      <c r="D215" s="110" t="str">
        <f t="shared" si="2"/>
        <v>#N/A</v>
      </c>
      <c r="E215" s="11"/>
      <c r="F215" s="94" t="str">
        <f>VLOOKUP(J215,UpdateBBM!$C$2:E1009,3,0)</f>
        <v>#N/A</v>
      </c>
      <c r="G215" s="35">
        <v>201.0</v>
      </c>
      <c r="H215" s="111"/>
      <c r="I215" s="111"/>
      <c r="J215" s="112"/>
      <c r="K215" s="111"/>
      <c r="L215" s="113"/>
      <c r="M215" s="114"/>
      <c r="N215" s="115"/>
      <c r="O215" s="115"/>
      <c r="P215" s="116"/>
      <c r="Q215" s="116"/>
      <c r="R215" s="116"/>
      <c r="S215" s="117"/>
      <c r="T215" s="116"/>
      <c r="U215" s="116"/>
      <c r="V215" s="113"/>
      <c r="W215" s="113"/>
      <c r="X215" s="116"/>
      <c r="Y215" s="209"/>
      <c r="Z215" s="209"/>
      <c r="AA215" s="209"/>
      <c r="AB215" s="209"/>
      <c r="AC215" s="209"/>
      <c r="AD215" s="209"/>
      <c r="AE215" s="209"/>
      <c r="AF215" s="209"/>
      <c r="AG215" s="210"/>
      <c r="AH215" s="105"/>
      <c r="AI215" s="202"/>
      <c r="AJ215" s="63"/>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c r="BI215" s="105"/>
      <c r="BJ215" s="105"/>
      <c r="BK215" s="105"/>
      <c r="BL215" s="105"/>
      <c r="BM215" s="105"/>
      <c r="BN215" s="105"/>
      <c r="BO215" s="105"/>
      <c r="BP215" s="105"/>
      <c r="BQ215" s="105"/>
      <c r="BR215" s="105"/>
      <c r="BS215" s="105"/>
      <c r="BT215" s="105"/>
      <c r="BU215" s="105"/>
      <c r="BV215" s="105"/>
    </row>
    <row r="216">
      <c r="A216" s="91" t="str">
        <f>VLOOKUP($F216,UpdateHashtag!$V$3:$Y$32,COLUMN(B$9),0)</f>
        <v>#N/A</v>
      </c>
      <c r="B216" s="91" t="str">
        <f>VLOOKUP($F216,UpdateHashtag!$V$3:$Y$32,COLUMN(#REF!),0)</f>
        <v>#REF!</v>
      </c>
      <c r="C216" s="91" t="str">
        <f>VLOOKUP($F216,UpdateHashtag!$V$3:$Y$32,COLUMN(#REF!),0)</f>
        <v>#REF!</v>
      </c>
      <c r="D216" s="110" t="str">
        <f t="shared" si="2"/>
        <v>#N/A</v>
      </c>
      <c r="E216" s="11"/>
      <c r="F216" s="94" t="str">
        <f>VLOOKUP(J216,UpdateBBM!$C$2:E1009,3,0)</f>
        <v>#N/A</v>
      </c>
      <c r="G216" s="35">
        <v>202.0</v>
      </c>
      <c r="H216" s="111"/>
      <c r="I216" s="111"/>
      <c r="J216" s="112"/>
      <c r="K216" s="111"/>
      <c r="L216" s="113"/>
      <c r="M216" s="114"/>
      <c r="N216" s="115"/>
      <c r="O216" s="115"/>
      <c r="P216" s="116"/>
      <c r="Q216" s="116"/>
      <c r="R216" s="116"/>
      <c r="S216" s="117"/>
      <c r="T216" s="116"/>
      <c r="U216" s="116"/>
      <c r="V216" s="113"/>
      <c r="W216" s="113"/>
      <c r="X216" s="116"/>
      <c r="Y216" s="209"/>
      <c r="Z216" s="209"/>
      <c r="AA216" s="209"/>
      <c r="AB216" s="209"/>
      <c r="AC216" s="209"/>
      <c r="AD216" s="209"/>
      <c r="AE216" s="209"/>
      <c r="AF216" s="209"/>
      <c r="AG216" s="210"/>
      <c r="AH216" s="105"/>
      <c r="AI216" s="202"/>
      <c r="AJ216" s="63"/>
      <c r="AK216" s="105"/>
      <c r="AL216" s="105"/>
      <c r="AM216" s="105"/>
      <c r="AN216" s="105"/>
      <c r="AO216" s="105"/>
      <c r="AP216" s="105"/>
      <c r="AQ216" s="105"/>
      <c r="AR216" s="105"/>
      <c r="AS216" s="105"/>
      <c r="AT216" s="105"/>
      <c r="AU216" s="105"/>
      <c r="AV216" s="105"/>
      <c r="AW216" s="105"/>
      <c r="AX216" s="105"/>
      <c r="AY216" s="105"/>
      <c r="AZ216" s="105"/>
      <c r="BA216" s="105"/>
      <c r="BB216" s="105"/>
      <c r="BC216" s="105"/>
      <c r="BD216" s="105"/>
      <c r="BE216" s="105"/>
      <c r="BF216" s="105"/>
      <c r="BG216" s="105"/>
      <c r="BH216" s="105"/>
      <c r="BI216" s="105"/>
      <c r="BJ216" s="105"/>
      <c r="BK216" s="105"/>
      <c r="BL216" s="105"/>
      <c r="BM216" s="105"/>
      <c r="BN216" s="105"/>
      <c r="BO216" s="105"/>
      <c r="BP216" s="105"/>
      <c r="BQ216" s="105"/>
      <c r="BR216" s="105"/>
      <c r="BS216" s="105"/>
      <c r="BT216" s="105"/>
      <c r="BU216" s="105"/>
      <c r="BV216" s="105"/>
    </row>
    <row r="217">
      <c r="A217" s="91" t="str">
        <f>VLOOKUP($F217,UpdateHashtag!$V$3:$Y$32,COLUMN(B$9),0)</f>
        <v>#N/A</v>
      </c>
      <c r="B217" s="91" t="str">
        <f>VLOOKUP($F217,UpdateHashtag!$V$3:$Y$32,COLUMN(#REF!),0)</f>
        <v>#REF!</v>
      </c>
      <c r="C217" s="91" t="str">
        <f>VLOOKUP($F217,UpdateHashtag!$V$3:$Y$32,COLUMN(#REF!),0)</f>
        <v>#REF!</v>
      </c>
      <c r="D217" s="110" t="str">
        <f t="shared" si="2"/>
        <v>#N/A</v>
      </c>
      <c r="E217" s="11"/>
      <c r="F217" s="94" t="str">
        <f>VLOOKUP(J217,UpdateBBM!$C$2:E1009,3,0)</f>
        <v>#N/A</v>
      </c>
      <c r="G217" s="35">
        <v>203.0</v>
      </c>
      <c r="H217" s="111"/>
      <c r="I217" s="111"/>
      <c r="J217" s="112"/>
      <c r="K217" s="111"/>
      <c r="L217" s="113"/>
      <c r="M217" s="114"/>
      <c r="N217" s="115"/>
      <c r="O217" s="115"/>
      <c r="P217" s="116"/>
      <c r="Q217" s="116"/>
      <c r="R217" s="116"/>
      <c r="S217" s="117"/>
      <c r="T217" s="116"/>
      <c r="U217" s="116"/>
      <c r="V217" s="113"/>
      <c r="W217" s="113"/>
      <c r="X217" s="116"/>
      <c r="Y217" s="209"/>
      <c r="Z217" s="209"/>
      <c r="AA217" s="209"/>
      <c r="AB217" s="209"/>
      <c r="AC217" s="209"/>
      <c r="AD217" s="209"/>
      <c r="AE217" s="209"/>
      <c r="AF217" s="209"/>
      <c r="AG217" s="210"/>
      <c r="AH217" s="105"/>
      <c r="AI217" s="202"/>
      <c r="AJ217" s="63"/>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c r="BI217" s="105"/>
      <c r="BJ217" s="105"/>
      <c r="BK217" s="105"/>
      <c r="BL217" s="105"/>
      <c r="BM217" s="105"/>
      <c r="BN217" s="105"/>
      <c r="BO217" s="105"/>
      <c r="BP217" s="105"/>
      <c r="BQ217" s="105"/>
      <c r="BR217" s="105"/>
      <c r="BS217" s="105"/>
      <c r="BT217" s="105"/>
      <c r="BU217" s="105"/>
      <c r="BV217" s="105"/>
    </row>
    <row r="218">
      <c r="A218" s="91" t="str">
        <f>VLOOKUP($F218,UpdateHashtag!$V$3:$Y$32,COLUMN(B$9),0)</f>
        <v>#N/A</v>
      </c>
      <c r="B218" s="91" t="str">
        <f>VLOOKUP($F218,UpdateHashtag!$V$3:$Y$32,COLUMN(#REF!),0)</f>
        <v>#REF!</v>
      </c>
      <c r="C218" s="91" t="str">
        <f>VLOOKUP($F218,UpdateHashtag!$V$3:$Y$32,COLUMN(#REF!),0)</f>
        <v>#REF!</v>
      </c>
      <c r="D218" s="110" t="str">
        <f t="shared" si="2"/>
        <v>#N/A</v>
      </c>
      <c r="E218" s="11"/>
      <c r="F218" s="94" t="str">
        <f>VLOOKUP(J218,UpdateBBM!$C$2:E1009,3,0)</f>
        <v>#N/A</v>
      </c>
      <c r="G218" s="35">
        <v>204.0</v>
      </c>
      <c r="H218" s="111"/>
      <c r="I218" s="111"/>
      <c r="J218" s="112"/>
      <c r="K218" s="111"/>
      <c r="L218" s="113"/>
      <c r="M218" s="114"/>
      <c r="N218" s="115"/>
      <c r="O218" s="115"/>
      <c r="P218" s="116"/>
      <c r="Q218" s="116"/>
      <c r="R218" s="116"/>
      <c r="S218" s="117"/>
      <c r="T218" s="116"/>
      <c r="U218" s="116"/>
      <c r="V218" s="113"/>
      <c r="W218" s="113"/>
      <c r="X218" s="116"/>
      <c r="Y218" s="209"/>
      <c r="Z218" s="209"/>
      <c r="AA218" s="209"/>
      <c r="AB218" s="209"/>
      <c r="AC218" s="209"/>
      <c r="AD218" s="209"/>
      <c r="AE218" s="209"/>
      <c r="AF218" s="209"/>
      <c r="AG218" s="210"/>
      <c r="AH218" s="105"/>
      <c r="AI218" s="202"/>
      <c r="AJ218" s="63"/>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105"/>
      <c r="BM218" s="105"/>
      <c r="BN218" s="105"/>
      <c r="BO218" s="105"/>
      <c r="BP218" s="105"/>
      <c r="BQ218" s="105"/>
      <c r="BR218" s="105"/>
      <c r="BS218" s="105"/>
      <c r="BT218" s="105"/>
      <c r="BU218" s="105"/>
      <c r="BV218" s="105"/>
    </row>
    <row r="219">
      <c r="A219" s="91" t="str">
        <f>VLOOKUP($F219,UpdateHashtag!$V$3:$Y$32,COLUMN(B$9),0)</f>
        <v>#N/A</v>
      </c>
      <c r="B219" s="91" t="str">
        <f>VLOOKUP($F219,UpdateHashtag!$V$3:$Y$32,COLUMN(#REF!),0)</f>
        <v>#REF!</v>
      </c>
      <c r="C219" s="91" t="str">
        <f>VLOOKUP($F219,UpdateHashtag!$V$3:$Y$32,COLUMN(#REF!),0)</f>
        <v>#REF!</v>
      </c>
      <c r="D219" s="110" t="str">
        <f t="shared" si="2"/>
        <v>#N/A</v>
      </c>
      <c r="E219" s="11"/>
      <c r="F219" s="94" t="str">
        <f>VLOOKUP(J219,UpdateBBM!$C$2:E1009,3,0)</f>
        <v>#N/A</v>
      </c>
      <c r="G219" s="35">
        <v>205.0</v>
      </c>
      <c r="H219" s="111"/>
      <c r="I219" s="111"/>
      <c r="J219" s="112"/>
      <c r="K219" s="111"/>
      <c r="L219" s="113"/>
      <c r="M219" s="114"/>
      <c r="N219" s="115"/>
      <c r="O219" s="115"/>
      <c r="P219" s="116"/>
      <c r="Q219" s="116"/>
      <c r="R219" s="116"/>
      <c r="S219" s="117"/>
      <c r="T219" s="116"/>
      <c r="U219" s="116"/>
      <c r="V219" s="113"/>
      <c r="W219" s="113"/>
      <c r="X219" s="116"/>
      <c r="Y219" s="209"/>
      <c r="Z219" s="209"/>
      <c r="AA219" s="209"/>
      <c r="AB219" s="209"/>
      <c r="AC219" s="209"/>
      <c r="AD219" s="209"/>
      <c r="AE219" s="209"/>
      <c r="AF219" s="209"/>
      <c r="AG219" s="210"/>
      <c r="AH219" s="105"/>
      <c r="AI219" s="202"/>
      <c r="AJ219" s="63"/>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c r="BI219" s="105"/>
      <c r="BJ219" s="105"/>
      <c r="BK219" s="105"/>
      <c r="BL219" s="105"/>
      <c r="BM219" s="105"/>
      <c r="BN219" s="105"/>
      <c r="BO219" s="105"/>
      <c r="BP219" s="105"/>
      <c r="BQ219" s="105"/>
      <c r="BR219" s="105"/>
      <c r="BS219" s="105"/>
      <c r="BT219" s="105"/>
      <c r="BU219" s="105"/>
      <c r="BV219" s="105"/>
    </row>
    <row r="220">
      <c r="A220" s="91" t="str">
        <f>VLOOKUP($F220,UpdateHashtag!$V$3:$Y$32,COLUMN(B$9),0)</f>
        <v>#N/A</v>
      </c>
      <c r="B220" s="91" t="str">
        <f>VLOOKUP($F220,UpdateHashtag!$V$3:$Y$32,COLUMN(#REF!),0)</f>
        <v>#REF!</v>
      </c>
      <c r="C220" s="91" t="str">
        <f>VLOOKUP($F220,UpdateHashtag!$V$3:$Y$32,COLUMN(#REF!),0)</f>
        <v>#REF!</v>
      </c>
      <c r="D220" s="110" t="str">
        <f t="shared" si="2"/>
        <v>#N/A</v>
      </c>
      <c r="E220" s="11"/>
      <c r="F220" s="94" t="str">
        <f>VLOOKUP(J220,UpdateBBM!$C$2:E1009,3,0)</f>
        <v>#N/A</v>
      </c>
      <c r="G220" s="35">
        <v>206.0</v>
      </c>
      <c r="H220" s="111"/>
      <c r="I220" s="111"/>
      <c r="J220" s="112"/>
      <c r="K220" s="111"/>
      <c r="L220" s="113"/>
      <c r="M220" s="114"/>
      <c r="N220" s="115"/>
      <c r="O220" s="115"/>
      <c r="P220" s="116"/>
      <c r="Q220" s="116"/>
      <c r="R220" s="116"/>
      <c r="S220" s="117"/>
      <c r="T220" s="116"/>
      <c r="U220" s="116"/>
      <c r="V220" s="113"/>
      <c r="W220" s="113"/>
      <c r="X220" s="116"/>
      <c r="Y220" s="209"/>
      <c r="Z220" s="209"/>
      <c r="AA220" s="209"/>
      <c r="AB220" s="209"/>
      <c r="AC220" s="209"/>
      <c r="AD220" s="209"/>
      <c r="AE220" s="209"/>
      <c r="AF220" s="209"/>
      <c r="AG220" s="210"/>
      <c r="AH220" s="105"/>
      <c r="AI220" s="202"/>
      <c r="AJ220" s="63"/>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c r="BI220" s="105"/>
      <c r="BJ220" s="105"/>
      <c r="BK220" s="105"/>
      <c r="BL220" s="105"/>
      <c r="BM220" s="105"/>
      <c r="BN220" s="105"/>
      <c r="BO220" s="105"/>
      <c r="BP220" s="105"/>
      <c r="BQ220" s="105"/>
      <c r="BR220" s="105"/>
      <c r="BS220" s="105"/>
      <c r="BT220" s="105"/>
      <c r="BU220" s="105"/>
      <c r="BV220" s="105"/>
    </row>
    <row r="221">
      <c r="A221" s="91" t="str">
        <f>VLOOKUP($F221,UpdateHashtag!$V$3:$Y$32,COLUMN(B$9),0)</f>
        <v>#N/A</v>
      </c>
      <c r="B221" s="91" t="str">
        <f>VLOOKUP($F221,UpdateHashtag!$V$3:$Y$32,COLUMN(#REF!),0)</f>
        <v>#REF!</v>
      </c>
      <c r="C221" s="91" t="str">
        <f>VLOOKUP($F221,UpdateHashtag!$V$3:$Y$32,COLUMN(#REF!),0)</f>
        <v>#REF!</v>
      </c>
      <c r="D221" s="110" t="str">
        <f t="shared" si="2"/>
        <v>#N/A</v>
      </c>
      <c r="E221" s="11"/>
      <c r="F221" s="94" t="str">
        <f>VLOOKUP(J221,UpdateBBM!$C$2:E1009,3,0)</f>
        <v>#N/A</v>
      </c>
      <c r="G221" s="35">
        <v>207.0</v>
      </c>
      <c r="H221" s="111"/>
      <c r="I221" s="111"/>
      <c r="J221" s="112"/>
      <c r="K221" s="111"/>
      <c r="L221" s="113"/>
      <c r="M221" s="114"/>
      <c r="N221" s="115"/>
      <c r="O221" s="115"/>
      <c r="P221" s="116"/>
      <c r="Q221" s="116"/>
      <c r="R221" s="116"/>
      <c r="S221" s="117"/>
      <c r="T221" s="116"/>
      <c r="U221" s="116"/>
      <c r="V221" s="113"/>
      <c r="W221" s="113"/>
      <c r="X221" s="116"/>
      <c r="Y221" s="209"/>
      <c r="Z221" s="209"/>
      <c r="AA221" s="209"/>
      <c r="AB221" s="209"/>
      <c r="AC221" s="209"/>
      <c r="AD221" s="209"/>
      <c r="AE221" s="209"/>
      <c r="AF221" s="209"/>
      <c r="AG221" s="210"/>
      <c r="AH221" s="105"/>
      <c r="AI221" s="202"/>
      <c r="AJ221" s="63"/>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c r="BI221" s="105"/>
      <c r="BJ221" s="105"/>
      <c r="BK221" s="105"/>
      <c r="BL221" s="105"/>
      <c r="BM221" s="105"/>
      <c r="BN221" s="105"/>
      <c r="BO221" s="105"/>
      <c r="BP221" s="105"/>
      <c r="BQ221" s="105"/>
      <c r="BR221" s="105"/>
      <c r="BS221" s="105"/>
      <c r="BT221" s="105"/>
      <c r="BU221" s="105"/>
      <c r="BV221" s="105"/>
    </row>
    <row r="222">
      <c r="A222" s="91" t="str">
        <f>VLOOKUP($F222,UpdateHashtag!$V$3:$Y$32,COLUMN(B$9),0)</f>
        <v>#N/A</v>
      </c>
      <c r="B222" s="91" t="str">
        <f>VLOOKUP($F222,UpdateHashtag!$V$3:$Y$32,COLUMN(#REF!),0)</f>
        <v>#REF!</v>
      </c>
      <c r="C222" s="91" t="str">
        <f>VLOOKUP($F222,UpdateHashtag!$V$3:$Y$32,COLUMN(#REF!),0)</f>
        <v>#REF!</v>
      </c>
      <c r="D222" s="110" t="str">
        <f t="shared" si="2"/>
        <v>#N/A</v>
      </c>
      <c r="E222" s="11"/>
      <c r="F222" s="94" t="str">
        <f>VLOOKUP(J222,UpdateBBM!$C$2:E1009,3,0)</f>
        <v>#N/A</v>
      </c>
      <c r="G222" s="35">
        <v>208.0</v>
      </c>
      <c r="H222" s="111"/>
      <c r="I222" s="111"/>
      <c r="J222" s="112"/>
      <c r="K222" s="111"/>
      <c r="L222" s="113"/>
      <c r="M222" s="114"/>
      <c r="N222" s="115"/>
      <c r="O222" s="115"/>
      <c r="P222" s="116"/>
      <c r="Q222" s="116"/>
      <c r="R222" s="116"/>
      <c r="S222" s="117"/>
      <c r="T222" s="116"/>
      <c r="U222" s="116"/>
      <c r="V222" s="113"/>
      <c r="W222" s="113"/>
      <c r="X222" s="116"/>
      <c r="Y222" s="209"/>
      <c r="Z222" s="209"/>
      <c r="AA222" s="209"/>
      <c r="AB222" s="209"/>
      <c r="AC222" s="209"/>
      <c r="AD222" s="209"/>
      <c r="AE222" s="209"/>
      <c r="AF222" s="209"/>
      <c r="AG222" s="210"/>
      <c r="AH222" s="105"/>
      <c r="AI222" s="202"/>
      <c r="AJ222" s="63"/>
      <c r="AK222" s="105"/>
      <c r="AL222" s="105"/>
      <c r="AM222" s="105"/>
      <c r="AN222" s="105"/>
      <c r="AO222" s="105"/>
      <c r="AP222" s="105"/>
      <c r="AQ222" s="105"/>
      <c r="AR222" s="105"/>
      <c r="AS222" s="105"/>
      <c r="AT222" s="105"/>
      <c r="AU222" s="105"/>
      <c r="AV222" s="105"/>
      <c r="AW222" s="105"/>
      <c r="AX222" s="105"/>
      <c r="AY222" s="105"/>
      <c r="AZ222" s="105"/>
      <c r="BA222" s="105"/>
      <c r="BB222" s="105"/>
      <c r="BC222" s="105"/>
      <c r="BD222" s="105"/>
      <c r="BE222" s="105"/>
      <c r="BF222" s="105"/>
      <c r="BG222" s="105"/>
      <c r="BH222" s="105"/>
      <c r="BI222" s="105"/>
      <c r="BJ222" s="105"/>
      <c r="BK222" s="105"/>
      <c r="BL222" s="105"/>
      <c r="BM222" s="105"/>
      <c r="BN222" s="105"/>
      <c r="BO222" s="105"/>
      <c r="BP222" s="105"/>
      <c r="BQ222" s="105"/>
      <c r="BR222" s="105"/>
      <c r="BS222" s="105"/>
      <c r="BT222" s="105"/>
      <c r="BU222" s="105"/>
      <c r="BV222" s="105"/>
    </row>
    <row r="223">
      <c r="A223" s="91" t="str">
        <f>VLOOKUP($F223,UpdateHashtag!$V$3:$Y$32,COLUMN(B$9),0)</f>
        <v>#N/A</v>
      </c>
      <c r="B223" s="91" t="str">
        <f>VLOOKUP($F223,UpdateHashtag!$V$3:$Y$32,COLUMN(#REF!),0)</f>
        <v>#REF!</v>
      </c>
      <c r="C223" s="91" t="str">
        <f>VLOOKUP($F223,UpdateHashtag!$V$3:$Y$32,COLUMN(#REF!),0)</f>
        <v>#REF!</v>
      </c>
      <c r="D223" s="110" t="str">
        <f t="shared" si="2"/>
        <v>#N/A</v>
      </c>
      <c r="E223" s="11"/>
      <c r="F223" s="94" t="str">
        <f>VLOOKUP(J223,UpdateBBM!$C$2:E1009,3,0)</f>
        <v>#N/A</v>
      </c>
      <c r="G223" s="35">
        <v>209.0</v>
      </c>
      <c r="H223" s="111"/>
      <c r="I223" s="111"/>
      <c r="J223" s="112"/>
      <c r="K223" s="111"/>
      <c r="L223" s="113"/>
      <c r="M223" s="114"/>
      <c r="N223" s="115"/>
      <c r="O223" s="115"/>
      <c r="P223" s="116"/>
      <c r="Q223" s="116"/>
      <c r="R223" s="116"/>
      <c r="S223" s="117"/>
      <c r="T223" s="116"/>
      <c r="U223" s="116"/>
      <c r="V223" s="113"/>
      <c r="W223" s="113"/>
      <c r="X223" s="116"/>
      <c r="Y223" s="209"/>
      <c r="Z223" s="209"/>
      <c r="AA223" s="209"/>
      <c r="AB223" s="209"/>
      <c r="AC223" s="209"/>
      <c r="AD223" s="209"/>
      <c r="AE223" s="209"/>
      <c r="AF223" s="209"/>
      <c r="AG223" s="210"/>
      <c r="AH223" s="105"/>
      <c r="AI223" s="202"/>
      <c r="AJ223" s="63"/>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c r="BI223" s="105"/>
      <c r="BJ223" s="105"/>
      <c r="BK223" s="105"/>
      <c r="BL223" s="105"/>
      <c r="BM223" s="105"/>
      <c r="BN223" s="105"/>
      <c r="BO223" s="105"/>
      <c r="BP223" s="105"/>
      <c r="BQ223" s="105"/>
      <c r="BR223" s="105"/>
      <c r="BS223" s="105"/>
      <c r="BT223" s="105"/>
      <c r="BU223" s="105"/>
      <c r="BV223" s="105"/>
    </row>
    <row r="224">
      <c r="A224" s="91" t="str">
        <f>VLOOKUP($F224,UpdateHashtag!$V$3:$Y$32,COLUMN(B$9),0)</f>
        <v>#N/A</v>
      </c>
      <c r="B224" s="91" t="str">
        <f>VLOOKUP($F224,UpdateHashtag!$V$3:$Y$32,COLUMN(#REF!),0)</f>
        <v>#REF!</v>
      </c>
      <c r="C224" s="91" t="str">
        <f>VLOOKUP($F224,UpdateHashtag!$V$3:$Y$32,COLUMN(#REF!),0)</f>
        <v>#REF!</v>
      </c>
      <c r="D224" s="110" t="str">
        <f t="shared" si="2"/>
        <v>#N/A</v>
      </c>
      <c r="E224" s="11"/>
      <c r="F224" s="94" t="str">
        <f>VLOOKUP(J224,UpdateBBM!$C$2:E1009,3,0)</f>
        <v>#N/A</v>
      </c>
      <c r="G224" s="35">
        <v>210.0</v>
      </c>
      <c r="H224" s="111"/>
      <c r="I224" s="111"/>
      <c r="J224" s="112"/>
      <c r="K224" s="111"/>
      <c r="L224" s="113"/>
      <c r="M224" s="114"/>
      <c r="N224" s="115"/>
      <c r="O224" s="115"/>
      <c r="P224" s="116"/>
      <c r="Q224" s="116"/>
      <c r="R224" s="116"/>
      <c r="S224" s="117"/>
      <c r="T224" s="116"/>
      <c r="U224" s="116"/>
      <c r="V224" s="113"/>
      <c r="W224" s="113"/>
      <c r="X224" s="116"/>
      <c r="Y224" s="209"/>
      <c r="Z224" s="209"/>
      <c r="AA224" s="209"/>
      <c r="AB224" s="209"/>
      <c r="AC224" s="209"/>
      <c r="AD224" s="209"/>
      <c r="AE224" s="209"/>
      <c r="AF224" s="209"/>
      <c r="AG224" s="210"/>
      <c r="AH224" s="105"/>
      <c r="AI224" s="202"/>
      <c r="AJ224" s="63"/>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c r="BI224" s="105"/>
      <c r="BJ224" s="105"/>
      <c r="BK224" s="105"/>
      <c r="BL224" s="105"/>
      <c r="BM224" s="105"/>
      <c r="BN224" s="105"/>
      <c r="BO224" s="105"/>
      <c r="BP224" s="105"/>
      <c r="BQ224" s="105"/>
      <c r="BR224" s="105"/>
      <c r="BS224" s="105"/>
      <c r="BT224" s="105"/>
      <c r="BU224" s="105"/>
      <c r="BV224" s="105"/>
    </row>
    <row r="225">
      <c r="A225" s="91" t="str">
        <f>VLOOKUP($F225,UpdateHashtag!$V$3:$Y$32,COLUMN(B$9),0)</f>
        <v>#N/A</v>
      </c>
      <c r="B225" s="91" t="str">
        <f>VLOOKUP($F225,UpdateHashtag!$V$3:$Y$32,COLUMN(#REF!),0)</f>
        <v>#REF!</v>
      </c>
      <c r="C225" s="91" t="str">
        <f>VLOOKUP($F225,UpdateHashtag!$V$3:$Y$32,COLUMN(#REF!),0)</f>
        <v>#REF!</v>
      </c>
      <c r="D225" s="110" t="str">
        <f t="shared" si="2"/>
        <v>#N/A</v>
      </c>
      <c r="E225" s="11"/>
      <c r="F225" s="94" t="str">
        <f>VLOOKUP(J225,UpdateBBM!$C$2:E1009,3,0)</f>
        <v>#N/A</v>
      </c>
      <c r="G225" s="35">
        <v>211.0</v>
      </c>
      <c r="H225" s="111"/>
      <c r="I225" s="111"/>
      <c r="J225" s="112"/>
      <c r="K225" s="111"/>
      <c r="L225" s="113"/>
      <c r="M225" s="114"/>
      <c r="N225" s="115"/>
      <c r="O225" s="115"/>
      <c r="P225" s="116"/>
      <c r="Q225" s="116"/>
      <c r="R225" s="116"/>
      <c r="S225" s="117"/>
      <c r="T225" s="116"/>
      <c r="U225" s="116"/>
      <c r="V225" s="113"/>
      <c r="W225" s="113"/>
      <c r="X225" s="116"/>
      <c r="Y225" s="209"/>
      <c r="Z225" s="209"/>
      <c r="AA225" s="209"/>
      <c r="AB225" s="209"/>
      <c r="AC225" s="209"/>
      <c r="AD225" s="209"/>
      <c r="AE225" s="209"/>
      <c r="AF225" s="209"/>
      <c r="AG225" s="210"/>
      <c r="AH225" s="105"/>
      <c r="AI225" s="202"/>
      <c r="AJ225" s="63"/>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c r="BI225" s="105"/>
      <c r="BJ225" s="105"/>
      <c r="BK225" s="105"/>
      <c r="BL225" s="105"/>
      <c r="BM225" s="105"/>
      <c r="BN225" s="105"/>
      <c r="BO225" s="105"/>
      <c r="BP225" s="105"/>
      <c r="BQ225" s="105"/>
      <c r="BR225" s="105"/>
      <c r="BS225" s="105"/>
      <c r="BT225" s="105"/>
      <c r="BU225" s="105"/>
      <c r="BV225" s="105"/>
    </row>
    <row r="226">
      <c r="A226" s="91" t="str">
        <f>VLOOKUP($F226,UpdateHashtag!$V$3:$Y$32,COLUMN(B$9),0)</f>
        <v>#N/A</v>
      </c>
      <c r="B226" s="91" t="str">
        <f>VLOOKUP($F226,UpdateHashtag!$V$3:$Y$32,COLUMN(#REF!),0)</f>
        <v>#REF!</v>
      </c>
      <c r="C226" s="91" t="str">
        <f>VLOOKUP($F226,UpdateHashtag!$V$3:$Y$32,COLUMN(#REF!),0)</f>
        <v>#REF!</v>
      </c>
      <c r="D226" s="110" t="str">
        <f t="shared" si="2"/>
        <v>#N/A</v>
      </c>
      <c r="E226" s="11"/>
      <c r="F226" s="94" t="str">
        <f>VLOOKUP(J226,UpdateBBM!$C$2:E1009,3,0)</f>
        <v>#N/A</v>
      </c>
      <c r="G226" s="35">
        <v>212.0</v>
      </c>
      <c r="H226" s="111"/>
      <c r="I226" s="111"/>
      <c r="J226" s="112"/>
      <c r="K226" s="111"/>
      <c r="L226" s="113"/>
      <c r="M226" s="114"/>
      <c r="N226" s="115"/>
      <c r="O226" s="115"/>
      <c r="P226" s="116"/>
      <c r="Q226" s="116"/>
      <c r="R226" s="116"/>
      <c r="S226" s="117"/>
      <c r="T226" s="116"/>
      <c r="U226" s="116"/>
      <c r="V226" s="113"/>
      <c r="W226" s="113"/>
      <c r="X226" s="116"/>
      <c r="Y226" s="209"/>
      <c r="Z226" s="209"/>
      <c r="AA226" s="209"/>
      <c r="AB226" s="209"/>
      <c r="AC226" s="209"/>
      <c r="AD226" s="209"/>
      <c r="AE226" s="209"/>
      <c r="AF226" s="209"/>
      <c r="AG226" s="210"/>
      <c r="AH226" s="105"/>
      <c r="AI226" s="202"/>
      <c r="AJ226" s="63"/>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c r="BI226" s="105"/>
      <c r="BJ226" s="105"/>
      <c r="BK226" s="105"/>
      <c r="BL226" s="105"/>
      <c r="BM226" s="105"/>
      <c r="BN226" s="105"/>
      <c r="BO226" s="105"/>
      <c r="BP226" s="105"/>
      <c r="BQ226" s="105"/>
      <c r="BR226" s="105"/>
      <c r="BS226" s="105"/>
      <c r="BT226" s="105"/>
      <c r="BU226" s="105"/>
      <c r="BV226" s="105"/>
    </row>
    <row r="227">
      <c r="A227" s="91" t="str">
        <f>VLOOKUP($F227,UpdateHashtag!$V$3:$Y$32,COLUMN(B$9),0)</f>
        <v>#N/A</v>
      </c>
      <c r="B227" s="91" t="str">
        <f>VLOOKUP($F227,UpdateHashtag!$V$3:$Y$32,COLUMN(#REF!),0)</f>
        <v>#REF!</v>
      </c>
      <c r="C227" s="91" t="str">
        <f>VLOOKUP($F227,UpdateHashtag!$V$3:$Y$32,COLUMN(#REF!),0)</f>
        <v>#REF!</v>
      </c>
      <c r="D227" s="110" t="str">
        <f t="shared" si="2"/>
        <v>#N/A</v>
      </c>
      <c r="E227" s="11"/>
      <c r="F227" s="94" t="str">
        <f>VLOOKUP(J227,UpdateBBM!$C$2:E1009,3,0)</f>
        <v>#N/A</v>
      </c>
      <c r="G227" s="35">
        <v>213.0</v>
      </c>
      <c r="H227" s="111"/>
      <c r="I227" s="111"/>
      <c r="J227" s="112"/>
      <c r="K227" s="111"/>
      <c r="L227" s="113"/>
      <c r="M227" s="114"/>
      <c r="N227" s="115"/>
      <c r="O227" s="115"/>
      <c r="P227" s="116"/>
      <c r="Q227" s="116"/>
      <c r="R227" s="116"/>
      <c r="S227" s="117"/>
      <c r="T227" s="116"/>
      <c r="U227" s="116"/>
      <c r="V227" s="113"/>
      <c r="W227" s="113"/>
      <c r="X227" s="116"/>
      <c r="Y227" s="209"/>
      <c r="Z227" s="209"/>
      <c r="AA227" s="209"/>
      <c r="AB227" s="209"/>
      <c r="AC227" s="209"/>
      <c r="AD227" s="209"/>
      <c r="AE227" s="209"/>
      <c r="AF227" s="209"/>
      <c r="AG227" s="210"/>
      <c r="AH227" s="105"/>
      <c r="AI227" s="202"/>
      <c r="AJ227" s="63"/>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c r="BI227" s="105"/>
      <c r="BJ227" s="105"/>
      <c r="BK227" s="105"/>
      <c r="BL227" s="105"/>
      <c r="BM227" s="105"/>
      <c r="BN227" s="105"/>
      <c r="BO227" s="105"/>
      <c r="BP227" s="105"/>
      <c r="BQ227" s="105"/>
      <c r="BR227" s="105"/>
      <c r="BS227" s="105"/>
      <c r="BT227" s="105"/>
      <c r="BU227" s="105"/>
      <c r="BV227" s="105"/>
    </row>
    <row r="228">
      <c r="A228" s="91" t="str">
        <f>VLOOKUP($F228,UpdateHashtag!$V$3:$Y$32,COLUMN(B$9),0)</f>
        <v>#N/A</v>
      </c>
      <c r="B228" s="91" t="str">
        <f>VLOOKUP($F228,UpdateHashtag!$V$3:$Y$32,COLUMN(#REF!),0)</f>
        <v>#REF!</v>
      </c>
      <c r="C228" s="91" t="str">
        <f>VLOOKUP($F228,UpdateHashtag!$V$3:$Y$32,COLUMN(#REF!),0)</f>
        <v>#REF!</v>
      </c>
      <c r="D228" s="110" t="str">
        <f t="shared" si="2"/>
        <v>#N/A</v>
      </c>
      <c r="E228" s="11"/>
      <c r="F228" s="94" t="str">
        <f>VLOOKUP(J228,UpdateBBM!$C$2:E1009,3,0)</f>
        <v>#N/A</v>
      </c>
      <c r="G228" s="35">
        <v>214.0</v>
      </c>
      <c r="H228" s="111"/>
      <c r="I228" s="111"/>
      <c r="J228" s="112"/>
      <c r="K228" s="111"/>
      <c r="L228" s="113"/>
      <c r="M228" s="114"/>
      <c r="N228" s="115"/>
      <c r="O228" s="115"/>
      <c r="P228" s="116"/>
      <c r="Q228" s="116"/>
      <c r="R228" s="116"/>
      <c r="S228" s="117"/>
      <c r="T228" s="116"/>
      <c r="U228" s="116"/>
      <c r="V228" s="113"/>
      <c r="W228" s="113"/>
      <c r="X228" s="116"/>
      <c r="Y228" s="209"/>
      <c r="Z228" s="209"/>
      <c r="AA228" s="209"/>
      <c r="AB228" s="209"/>
      <c r="AC228" s="209"/>
      <c r="AD228" s="209"/>
      <c r="AE228" s="209"/>
      <c r="AF228" s="209"/>
      <c r="AG228" s="210"/>
      <c r="AH228" s="105"/>
      <c r="AI228" s="202"/>
      <c r="AJ228" s="63"/>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c r="BI228" s="105"/>
      <c r="BJ228" s="105"/>
      <c r="BK228" s="105"/>
      <c r="BL228" s="105"/>
      <c r="BM228" s="105"/>
      <c r="BN228" s="105"/>
      <c r="BO228" s="105"/>
      <c r="BP228" s="105"/>
      <c r="BQ228" s="105"/>
      <c r="BR228" s="105"/>
      <c r="BS228" s="105"/>
      <c r="BT228" s="105"/>
      <c r="BU228" s="105"/>
      <c r="BV228" s="105"/>
    </row>
    <row r="229">
      <c r="A229" s="91" t="str">
        <f>VLOOKUP($F229,UpdateHashtag!$V$3:$Y$32,COLUMN(B$9),0)</f>
        <v>#N/A</v>
      </c>
      <c r="B229" s="91" t="str">
        <f>VLOOKUP($F229,UpdateHashtag!$V$3:$Y$32,COLUMN(#REF!),0)</f>
        <v>#REF!</v>
      </c>
      <c r="C229" s="91" t="str">
        <f>VLOOKUP($F229,UpdateHashtag!$V$3:$Y$32,COLUMN(#REF!),0)</f>
        <v>#REF!</v>
      </c>
      <c r="D229" s="110" t="str">
        <f t="shared" si="2"/>
        <v>#N/A</v>
      </c>
      <c r="E229" s="11"/>
      <c r="F229" s="94" t="str">
        <f>VLOOKUP(J229,UpdateBBM!$C$2:E1009,3,0)</f>
        <v>#N/A</v>
      </c>
      <c r="G229" s="35">
        <v>215.0</v>
      </c>
      <c r="H229" s="111"/>
      <c r="I229" s="111"/>
      <c r="J229" s="112"/>
      <c r="K229" s="111"/>
      <c r="L229" s="113"/>
      <c r="M229" s="114"/>
      <c r="N229" s="115"/>
      <c r="O229" s="115"/>
      <c r="P229" s="116"/>
      <c r="Q229" s="116"/>
      <c r="R229" s="116"/>
      <c r="S229" s="117"/>
      <c r="T229" s="116"/>
      <c r="U229" s="116"/>
      <c r="V229" s="113"/>
      <c r="W229" s="113"/>
      <c r="X229" s="116"/>
      <c r="Y229" s="209"/>
      <c r="Z229" s="209"/>
      <c r="AA229" s="209"/>
      <c r="AB229" s="209"/>
      <c r="AC229" s="209"/>
      <c r="AD229" s="209"/>
      <c r="AE229" s="209"/>
      <c r="AF229" s="209"/>
      <c r="AG229" s="210"/>
      <c r="AH229" s="105"/>
      <c r="AI229" s="202"/>
      <c r="AJ229" s="63"/>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c r="BI229" s="105"/>
      <c r="BJ229" s="105"/>
      <c r="BK229" s="105"/>
      <c r="BL229" s="105"/>
      <c r="BM229" s="105"/>
      <c r="BN229" s="105"/>
      <c r="BO229" s="105"/>
      <c r="BP229" s="105"/>
      <c r="BQ229" s="105"/>
      <c r="BR229" s="105"/>
      <c r="BS229" s="105"/>
      <c r="BT229" s="105"/>
      <c r="BU229" s="105"/>
      <c r="BV229" s="105"/>
    </row>
    <row r="230">
      <c r="A230" s="91" t="str">
        <f>VLOOKUP($F230,UpdateHashtag!$V$3:$Y$32,COLUMN(B$9),0)</f>
        <v>#N/A</v>
      </c>
      <c r="B230" s="91" t="str">
        <f>VLOOKUP($F230,UpdateHashtag!$V$3:$Y$32,COLUMN(#REF!),0)</f>
        <v>#REF!</v>
      </c>
      <c r="C230" s="91" t="str">
        <f>VLOOKUP($F230,UpdateHashtag!$V$3:$Y$32,COLUMN(#REF!),0)</f>
        <v>#REF!</v>
      </c>
      <c r="D230" s="110" t="str">
        <f t="shared" si="2"/>
        <v>#N/A</v>
      </c>
      <c r="E230" s="11"/>
      <c r="F230" s="94" t="str">
        <f>VLOOKUP(J230,UpdateBBM!$C$2:E1009,3,0)</f>
        <v>#N/A</v>
      </c>
      <c r="G230" s="35">
        <v>216.0</v>
      </c>
      <c r="H230" s="111"/>
      <c r="I230" s="111"/>
      <c r="J230" s="112"/>
      <c r="K230" s="111"/>
      <c r="L230" s="113"/>
      <c r="M230" s="114"/>
      <c r="N230" s="115"/>
      <c r="O230" s="115"/>
      <c r="P230" s="116"/>
      <c r="Q230" s="116"/>
      <c r="R230" s="116"/>
      <c r="S230" s="117"/>
      <c r="T230" s="116"/>
      <c r="U230" s="116"/>
      <c r="V230" s="113"/>
      <c r="W230" s="113"/>
      <c r="X230" s="116"/>
      <c r="Y230" s="209"/>
      <c r="Z230" s="209"/>
      <c r="AA230" s="209"/>
      <c r="AB230" s="209"/>
      <c r="AC230" s="209"/>
      <c r="AD230" s="209"/>
      <c r="AE230" s="209"/>
      <c r="AF230" s="209"/>
      <c r="AG230" s="210"/>
      <c r="AH230" s="105"/>
      <c r="AI230" s="202"/>
      <c r="AJ230" s="63"/>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c r="BI230" s="105"/>
      <c r="BJ230" s="105"/>
      <c r="BK230" s="105"/>
      <c r="BL230" s="105"/>
      <c r="BM230" s="105"/>
      <c r="BN230" s="105"/>
      <c r="BO230" s="105"/>
      <c r="BP230" s="105"/>
      <c r="BQ230" s="105"/>
      <c r="BR230" s="105"/>
      <c r="BS230" s="105"/>
      <c r="BT230" s="105"/>
      <c r="BU230" s="105"/>
      <c r="BV230" s="105"/>
    </row>
    <row r="231">
      <c r="A231" s="91" t="str">
        <f>VLOOKUP($F231,UpdateHashtag!$V$3:$Y$32,COLUMN(B$9),0)</f>
        <v>#N/A</v>
      </c>
      <c r="B231" s="91" t="str">
        <f>VLOOKUP($F231,UpdateHashtag!$V$3:$Y$32,COLUMN(#REF!),0)</f>
        <v>#REF!</v>
      </c>
      <c r="C231" s="91" t="str">
        <f>VLOOKUP($F231,UpdateHashtag!$V$3:$Y$32,COLUMN(#REF!),0)</f>
        <v>#REF!</v>
      </c>
      <c r="D231" s="110" t="str">
        <f t="shared" si="2"/>
        <v>#N/A</v>
      </c>
      <c r="E231" s="11"/>
      <c r="F231" s="94" t="str">
        <f>VLOOKUP(J231,UpdateBBM!$C$2:E1009,3,0)</f>
        <v>#N/A</v>
      </c>
      <c r="G231" s="35">
        <v>217.0</v>
      </c>
      <c r="H231" s="111"/>
      <c r="I231" s="111"/>
      <c r="J231" s="112"/>
      <c r="K231" s="111"/>
      <c r="L231" s="113"/>
      <c r="M231" s="114"/>
      <c r="N231" s="115"/>
      <c r="O231" s="115"/>
      <c r="P231" s="116"/>
      <c r="Q231" s="116"/>
      <c r="R231" s="116"/>
      <c r="S231" s="117"/>
      <c r="T231" s="116"/>
      <c r="U231" s="116"/>
      <c r="V231" s="113"/>
      <c r="W231" s="113"/>
      <c r="X231" s="116"/>
      <c r="Y231" s="209"/>
      <c r="Z231" s="209"/>
      <c r="AA231" s="209"/>
      <c r="AB231" s="209"/>
      <c r="AC231" s="209"/>
      <c r="AD231" s="209"/>
      <c r="AE231" s="209"/>
      <c r="AF231" s="209"/>
      <c r="AG231" s="210"/>
      <c r="AH231" s="105"/>
      <c r="AI231" s="202"/>
      <c r="AJ231" s="63"/>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c r="BL231" s="105"/>
      <c r="BM231" s="105"/>
      <c r="BN231" s="105"/>
      <c r="BO231" s="105"/>
      <c r="BP231" s="105"/>
      <c r="BQ231" s="105"/>
      <c r="BR231" s="105"/>
      <c r="BS231" s="105"/>
      <c r="BT231" s="105"/>
      <c r="BU231" s="105"/>
      <c r="BV231" s="105"/>
    </row>
    <row r="232">
      <c r="A232" s="91" t="str">
        <f>VLOOKUP($F232,UpdateHashtag!$V$3:$Y$32,COLUMN(B$9),0)</f>
        <v>#N/A</v>
      </c>
      <c r="B232" s="91" t="str">
        <f>VLOOKUP($F232,UpdateHashtag!$V$3:$Y$32,COLUMN(#REF!),0)</f>
        <v>#REF!</v>
      </c>
      <c r="C232" s="91" t="str">
        <f>VLOOKUP($F232,UpdateHashtag!$V$3:$Y$32,COLUMN(#REF!),0)</f>
        <v>#REF!</v>
      </c>
      <c r="D232" s="110" t="str">
        <f t="shared" si="2"/>
        <v>#N/A</v>
      </c>
      <c r="E232" s="11"/>
      <c r="F232" s="94" t="str">
        <f>VLOOKUP(J232,UpdateBBM!$C$2:E1009,3,0)</f>
        <v>#N/A</v>
      </c>
      <c r="G232" s="35">
        <v>218.0</v>
      </c>
      <c r="H232" s="111"/>
      <c r="I232" s="111"/>
      <c r="J232" s="112"/>
      <c r="K232" s="111"/>
      <c r="L232" s="113"/>
      <c r="M232" s="114"/>
      <c r="N232" s="115"/>
      <c r="O232" s="115"/>
      <c r="P232" s="116"/>
      <c r="Q232" s="116"/>
      <c r="R232" s="116"/>
      <c r="S232" s="117"/>
      <c r="T232" s="116"/>
      <c r="U232" s="116"/>
      <c r="V232" s="113"/>
      <c r="W232" s="113"/>
      <c r="X232" s="116"/>
      <c r="Y232" s="209"/>
      <c r="Z232" s="209"/>
      <c r="AA232" s="209"/>
      <c r="AB232" s="209"/>
      <c r="AC232" s="209"/>
      <c r="AD232" s="209"/>
      <c r="AE232" s="209"/>
      <c r="AF232" s="209"/>
      <c r="AG232" s="210"/>
      <c r="AH232" s="105"/>
      <c r="AI232" s="202"/>
      <c r="AJ232" s="63"/>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c r="BI232" s="105"/>
      <c r="BJ232" s="105"/>
      <c r="BK232" s="105"/>
      <c r="BL232" s="105"/>
      <c r="BM232" s="105"/>
      <c r="BN232" s="105"/>
      <c r="BO232" s="105"/>
      <c r="BP232" s="105"/>
      <c r="BQ232" s="105"/>
      <c r="BR232" s="105"/>
      <c r="BS232" s="105"/>
      <c r="BT232" s="105"/>
      <c r="BU232" s="105"/>
      <c r="BV232" s="105"/>
    </row>
    <row r="233">
      <c r="A233" s="91" t="str">
        <f>VLOOKUP($F233,UpdateHashtag!$V$3:$Y$32,COLUMN(B$9),0)</f>
        <v>#N/A</v>
      </c>
      <c r="B233" s="91" t="str">
        <f>VLOOKUP($F233,UpdateHashtag!$V$3:$Y$32,COLUMN(#REF!),0)</f>
        <v>#REF!</v>
      </c>
      <c r="C233" s="91" t="str">
        <f>VLOOKUP($F233,UpdateHashtag!$V$3:$Y$32,COLUMN(#REF!),0)</f>
        <v>#REF!</v>
      </c>
      <c r="D233" s="110" t="str">
        <f t="shared" si="2"/>
        <v>#N/A</v>
      </c>
      <c r="E233" s="11"/>
      <c r="F233" s="94" t="str">
        <f>VLOOKUP(J233,UpdateBBM!$C$2:E1009,3,0)</f>
        <v>#N/A</v>
      </c>
      <c r="G233" s="35">
        <v>219.0</v>
      </c>
      <c r="H233" s="111"/>
      <c r="I233" s="111"/>
      <c r="J233" s="112"/>
      <c r="K233" s="111"/>
      <c r="L233" s="113"/>
      <c r="M233" s="114"/>
      <c r="N233" s="115"/>
      <c r="O233" s="115"/>
      <c r="P233" s="116"/>
      <c r="Q233" s="116"/>
      <c r="R233" s="116"/>
      <c r="S233" s="117"/>
      <c r="T233" s="116"/>
      <c r="U233" s="116"/>
      <c r="V233" s="113"/>
      <c r="W233" s="113"/>
      <c r="X233" s="116"/>
      <c r="Y233" s="209"/>
      <c r="Z233" s="209"/>
      <c r="AA233" s="209"/>
      <c r="AB233" s="209"/>
      <c r="AC233" s="209"/>
      <c r="AD233" s="209"/>
      <c r="AE233" s="209"/>
      <c r="AF233" s="209"/>
      <c r="AG233" s="210"/>
      <c r="AH233" s="105"/>
      <c r="AI233" s="202"/>
      <c r="AJ233" s="63"/>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c r="BI233" s="105"/>
      <c r="BJ233" s="105"/>
      <c r="BK233" s="105"/>
      <c r="BL233" s="105"/>
      <c r="BM233" s="105"/>
      <c r="BN233" s="105"/>
      <c r="BO233" s="105"/>
      <c r="BP233" s="105"/>
      <c r="BQ233" s="105"/>
      <c r="BR233" s="105"/>
      <c r="BS233" s="105"/>
      <c r="BT233" s="105"/>
      <c r="BU233" s="105"/>
      <c r="BV233" s="105"/>
    </row>
    <row r="234">
      <c r="A234" s="91" t="str">
        <f>VLOOKUP($F234,UpdateHashtag!$V$3:$Y$32,COLUMN(B$9),0)</f>
        <v>#N/A</v>
      </c>
      <c r="B234" s="91" t="str">
        <f>VLOOKUP($F234,UpdateHashtag!$V$3:$Y$32,COLUMN(#REF!),0)</f>
        <v>#REF!</v>
      </c>
      <c r="C234" s="91" t="str">
        <f>VLOOKUP($F234,UpdateHashtag!$V$3:$Y$32,COLUMN(#REF!),0)</f>
        <v>#REF!</v>
      </c>
      <c r="D234" s="110" t="str">
        <f t="shared" si="2"/>
        <v>#N/A</v>
      </c>
      <c r="E234" s="11"/>
      <c r="F234" s="94" t="str">
        <f>VLOOKUP(J234,UpdateBBM!$C$2:E1009,3,0)</f>
        <v>#N/A</v>
      </c>
      <c r="G234" s="35">
        <v>220.0</v>
      </c>
      <c r="H234" s="111"/>
      <c r="I234" s="111"/>
      <c r="J234" s="112"/>
      <c r="K234" s="111"/>
      <c r="L234" s="113"/>
      <c r="M234" s="114"/>
      <c r="N234" s="115"/>
      <c r="O234" s="115"/>
      <c r="P234" s="116"/>
      <c r="Q234" s="116"/>
      <c r="R234" s="116"/>
      <c r="S234" s="117"/>
      <c r="T234" s="116"/>
      <c r="U234" s="116"/>
      <c r="V234" s="113"/>
      <c r="W234" s="113"/>
      <c r="X234" s="116"/>
      <c r="Y234" s="209"/>
      <c r="Z234" s="209"/>
      <c r="AA234" s="209"/>
      <c r="AB234" s="209"/>
      <c r="AC234" s="209"/>
      <c r="AD234" s="209"/>
      <c r="AE234" s="209"/>
      <c r="AF234" s="209"/>
      <c r="AG234" s="210"/>
      <c r="AH234" s="105"/>
      <c r="AI234" s="202"/>
      <c r="AJ234" s="63"/>
      <c r="AK234" s="105"/>
      <c r="AL234" s="105"/>
      <c r="AM234" s="105"/>
      <c r="AN234" s="105"/>
      <c r="AO234" s="105"/>
      <c r="AP234" s="105"/>
      <c r="AQ234" s="105"/>
      <c r="AR234" s="105"/>
      <c r="AS234" s="105"/>
      <c r="AT234" s="105"/>
      <c r="AU234" s="105"/>
      <c r="AV234" s="105"/>
      <c r="AW234" s="105"/>
      <c r="AX234" s="105"/>
      <c r="AY234" s="105"/>
      <c r="AZ234" s="105"/>
      <c r="BA234" s="105"/>
      <c r="BB234" s="105"/>
      <c r="BC234" s="105"/>
      <c r="BD234" s="105"/>
      <c r="BE234" s="105"/>
      <c r="BF234" s="105"/>
      <c r="BG234" s="105"/>
      <c r="BH234" s="105"/>
      <c r="BI234" s="105"/>
      <c r="BJ234" s="105"/>
      <c r="BK234" s="105"/>
      <c r="BL234" s="105"/>
      <c r="BM234" s="105"/>
      <c r="BN234" s="105"/>
      <c r="BO234" s="105"/>
      <c r="BP234" s="105"/>
      <c r="BQ234" s="105"/>
      <c r="BR234" s="105"/>
      <c r="BS234" s="105"/>
      <c r="BT234" s="105"/>
      <c r="BU234" s="105"/>
      <c r="BV234" s="105"/>
    </row>
    <row r="235">
      <c r="A235" s="91" t="str">
        <f>VLOOKUP($F235,UpdateHashtag!$V$3:$Y$32,COLUMN(B$9),0)</f>
        <v>#N/A</v>
      </c>
      <c r="B235" s="91" t="str">
        <f>VLOOKUP($F235,UpdateHashtag!$V$3:$Y$32,COLUMN(#REF!),0)</f>
        <v>#REF!</v>
      </c>
      <c r="C235" s="91" t="str">
        <f>VLOOKUP($F235,UpdateHashtag!$V$3:$Y$32,COLUMN(#REF!),0)</f>
        <v>#REF!</v>
      </c>
      <c r="D235" s="110" t="str">
        <f t="shared" si="2"/>
        <v>#N/A</v>
      </c>
      <c r="E235" s="11"/>
      <c r="F235" s="94" t="str">
        <f>VLOOKUP(J235,UpdateBBM!$C$2:E1009,3,0)</f>
        <v>#N/A</v>
      </c>
      <c r="G235" s="35">
        <v>221.0</v>
      </c>
      <c r="H235" s="111"/>
      <c r="I235" s="111"/>
      <c r="J235" s="112"/>
      <c r="K235" s="111"/>
      <c r="L235" s="113"/>
      <c r="M235" s="114"/>
      <c r="N235" s="115"/>
      <c r="O235" s="115"/>
      <c r="P235" s="116"/>
      <c r="Q235" s="116"/>
      <c r="R235" s="116"/>
      <c r="S235" s="117"/>
      <c r="T235" s="116"/>
      <c r="U235" s="116"/>
      <c r="V235" s="113"/>
      <c r="W235" s="113"/>
      <c r="X235" s="116"/>
      <c r="Y235" s="209"/>
      <c r="Z235" s="209"/>
      <c r="AA235" s="209"/>
      <c r="AB235" s="209"/>
      <c r="AC235" s="209"/>
      <c r="AD235" s="209"/>
      <c r="AE235" s="209"/>
      <c r="AF235" s="209"/>
      <c r="AG235" s="210"/>
      <c r="AH235" s="105"/>
      <c r="AI235" s="202"/>
      <c r="AJ235" s="63"/>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c r="BI235" s="105"/>
      <c r="BJ235" s="105"/>
      <c r="BK235" s="105"/>
      <c r="BL235" s="105"/>
      <c r="BM235" s="105"/>
      <c r="BN235" s="105"/>
      <c r="BO235" s="105"/>
      <c r="BP235" s="105"/>
      <c r="BQ235" s="105"/>
      <c r="BR235" s="105"/>
      <c r="BS235" s="105"/>
      <c r="BT235" s="105"/>
      <c r="BU235" s="105"/>
      <c r="BV235" s="105"/>
    </row>
    <row r="236">
      <c r="A236" s="91" t="str">
        <f>VLOOKUP($F236,UpdateHashtag!$V$3:$Y$32,COLUMN(B$9),0)</f>
        <v>#N/A</v>
      </c>
      <c r="B236" s="91" t="str">
        <f>VLOOKUP($F236,UpdateHashtag!$V$3:$Y$32,COLUMN(#REF!),0)</f>
        <v>#REF!</v>
      </c>
      <c r="C236" s="91" t="str">
        <f>VLOOKUP($F236,UpdateHashtag!$V$3:$Y$32,COLUMN(#REF!),0)</f>
        <v>#REF!</v>
      </c>
      <c r="D236" s="110" t="str">
        <f t="shared" si="2"/>
        <v>#N/A</v>
      </c>
      <c r="E236" s="11"/>
      <c r="F236" s="94" t="str">
        <f>VLOOKUP(J236,UpdateBBM!$C$2:E1009,3,0)</f>
        <v>#N/A</v>
      </c>
      <c r="G236" s="35">
        <v>222.0</v>
      </c>
      <c r="H236" s="111"/>
      <c r="I236" s="111"/>
      <c r="J236" s="112"/>
      <c r="K236" s="111"/>
      <c r="L236" s="113"/>
      <c r="M236" s="114"/>
      <c r="N236" s="115"/>
      <c r="O236" s="115"/>
      <c r="P236" s="116"/>
      <c r="Q236" s="116"/>
      <c r="R236" s="116"/>
      <c r="S236" s="117"/>
      <c r="T236" s="116"/>
      <c r="U236" s="116"/>
      <c r="V236" s="113"/>
      <c r="W236" s="113"/>
      <c r="X236" s="116"/>
      <c r="Y236" s="209"/>
      <c r="Z236" s="209"/>
      <c r="AA236" s="209"/>
      <c r="AB236" s="209"/>
      <c r="AC236" s="209"/>
      <c r="AD236" s="209"/>
      <c r="AE236" s="209"/>
      <c r="AF236" s="209"/>
      <c r="AG236" s="210"/>
      <c r="AH236" s="105"/>
      <c r="AI236" s="202"/>
      <c r="AJ236" s="63"/>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c r="BI236" s="105"/>
      <c r="BJ236" s="105"/>
      <c r="BK236" s="105"/>
      <c r="BL236" s="105"/>
      <c r="BM236" s="105"/>
      <c r="BN236" s="105"/>
      <c r="BO236" s="105"/>
      <c r="BP236" s="105"/>
      <c r="BQ236" s="105"/>
      <c r="BR236" s="105"/>
      <c r="BS236" s="105"/>
      <c r="BT236" s="105"/>
      <c r="BU236" s="105"/>
      <c r="BV236" s="105"/>
    </row>
    <row r="237">
      <c r="A237" s="91" t="str">
        <f>VLOOKUP($F237,UpdateHashtag!$V$3:$Y$32,COLUMN(B$9),0)</f>
        <v>#N/A</v>
      </c>
      <c r="B237" s="91" t="str">
        <f>VLOOKUP($F237,UpdateHashtag!$V$3:$Y$32,COLUMN(#REF!),0)</f>
        <v>#REF!</v>
      </c>
      <c r="C237" s="91" t="str">
        <f>VLOOKUP($F237,UpdateHashtag!$V$3:$Y$32,COLUMN(#REF!),0)</f>
        <v>#REF!</v>
      </c>
      <c r="D237" s="110" t="str">
        <f t="shared" si="2"/>
        <v>#N/A</v>
      </c>
      <c r="E237" s="11"/>
      <c r="F237" s="94" t="str">
        <f>VLOOKUP(J237,UpdateBBM!$C$2:E1009,3,0)</f>
        <v>#N/A</v>
      </c>
      <c r="G237" s="35">
        <v>223.0</v>
      </c>
      <c r="H237" s="111"/>
      <c r="I237" s="111"/>
      <c r="J237" s="112"/>
      <c r="K237" s="111"/>
      <c r="L237" s="113"/>
      <c r="M237" s="114"/>
      <c r="N237" s="115"/>
      <c r="O237" s="115"/>
      <c r="P237" s="116"/>
      <c r="Q237" s="116"/>
      <c r="R237" s="116"/>
      <c r="S237" s="117"/>
      <c r="T237" s="116"/>
      <c r="U237" s="116"/>
      <c r="V237" s="113"/>
      <c r="W237" s="113"/>
      <c r="X237" s="116"/>
      <c r="Y237" s="209"/>
      <c r="Z237" s="209"/>
      <c r="AA237" s="209"/>
      <c r="AB237" s="209"/>
      <c r="AC237" s="209"/>
      <c r="AD237" s="209"/>
      <c r="AE237" s="209"/>
      <c r="AF237" s="209"/>
      <c r="AG237" s="210"/>
      <c r="AH237" s="105"/>
      <c r="AI237" s="202"/>
      <c r="AJ237" s="63"/>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c r="BL237" s="105"/>
      <c r="BM237" s="105"/>
      <c r="BN237" s="105"/>
      <c r="BO237" s="105"/>
      <c r="BP237" s="105"/>
      <c r="BQ237" s="105"/>
      <c r="BR237" s="105"/>
      <c r="BS237" s="105"/>
      <c r="BT237" s="105"/>
      <c r="BU237" s="105"/>
      <c r="BV237" s="105"/>
    </row>
    <row r="238">
      <c r="A238" s="91" t="str">
        <f>VLOOKUP($F238,UpdateHashtag!$V$3:$Y$32,COLUMN(B$9),0)</f>
        <v>#N/A</v>
      </c>
      <c r="B238" s="91" t="str">
        <f>VLOOKUP($F238,UpdateHashtag!$V$3:$Y$32,COLUMN(#REF!),0)</f>
        <v>#REF!</v>
      </c>
      <c r="C238" s="91" t="str">
        <f>VLOOKUP($F238,UpdateHashtag!$V$3:$Y$32,COLUMN(#REF!),0)</f>
        <v>#REF!</v>
      </c>
      <c r="D238" s="110" t="str">
        <f t="shared" si="2"/>
        <v>#N/A</v>
      </c>
      <c r="E238" s="11"/>
      <c r="F238" s="94" t="str">
        <f>VLOOKUP(J238,UpdateBBM!$C$2:E1009,3,0)</f>
        <v>#N/A</v>
      </c>
      <c r="G238" s="35">
        <v>224.0</v>
      </c>
      <c r="H238" s="111"/>
      <c r="I238" s="111"/>
      <c r="J238" s="112"/>
      <c r="K238" s="111"/>
      <c r="L238" s="113"/>
      <c r="M238" s="114"/>
      <c r="N238" s="115"/>
      <c r="O238" s="115"/>
      <c r="P238" s="116"/>
      <c r="Q238" s="116"/>
      <c r="R238" s="116"/>
      <c r="S238" s="117"/>
      <c r="T238" s="116"/>
      <c r="U238" s="116"/>
      <c r="V238" s="113"/>
      <c r="W238" s="113"/>
      <c r="X238" s="116"/>
      <c r="Y238" s="209"/>
      <c r="Z238" s="209"/>
      <c r="AA238" s="209"/>
      <c r="AB238" s="209"/>
      <c r="AC238" s="209"/>
      <c r="AD238" s="209"/>
      <c r="AE238" s="209"/>
      <c r="AF238" s="209"/>
      <c r="AG238" s="210"/>
      <c r="AH238" s="105"/>
      <c r="AI238" s="202"/>
      <c r="AJ238" s="63"/>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5"/>
      <c r="BS238" s="105"/>
      <c r="BT238" s="105"/>
      <c r="BU238" s="105"/>
      <c r="BV238" s="105"/>
    </row>
    <row r="239">
      <c r="A239" s="91" t="str">
        <f>VLOOKUP($F239,UpdateHashtag!$V$3:$Y$32,COLUMN(B$9),0)</f>
        <v>#N/A</v>
      </c>
      <c r="B239" s="91" t="str">
        <f>VLOOKUP($F239,UpdateHashtag!$V$3:$Y$32,COLUMN(#REF!),0)</f>
        <v>#REF!</v>
      </c>
      <c r="C239" s="91" t="str">
        <f>VLOOKUP($F239,UpdateHashtag!$V$3:$Y$32,COLUMN(#REF!),0)</f>
        <v>#REF!</v>
      </c>
      <c r="D239" s="110" t="str">
        <f t="shared" si="2"/>
        <v>#N/A</v>
      </c>
      <c r="E239" s="11"/>
      <c r="F239" s="94" t="str">
        <f>VLOOKUP(J239,UpdateBBM!$C$2:E1009,3,0)</f>
        <v>#N/A</v>
      </c>
      <c r="G239" s="35">
        <v>225.0</v>
      </c>
      <c r="H239" s="111"/>
      <c r="I239" s="111"/>
      <c r="J239" s="112"/>
      <c r="K239" s="111"/>
      <c r="L239" s="113"/>
      <c r="M239" s="114"/>
      <c r="N239" s="115"/>
      <c r="O239" s="115"/>
      <c r="P239" s="116"/>
      <c r="Q239" s="116"/>
      <c r="R239" s="116"/>
      <c r="S239" s="117"/>
      <c r="T239" s="116"/>
      <c r="U239" s="116"/>
      <c r="V239" s="113"/>
      <c r="W239" s="113"/>
      <c r="X239" s="116"/>
      <c r="Y239" s="209"/>
      <c r="Z239" s="209"/>
      <c r="AA239" s="209"/>
      <c r="AB239" s="209"/>
      <c r="AC239" s="209"/>
      <c r="AD239" s="209"/>
      <c r="AE239" s="209"/>
      <c r="AF239" s="209"/>
      <c r="AG239" s="210"/>
      <c r="AH239" s="105"/>
      <c r="AI239" s="202"/>
      <c r="AJ239" s="63"/>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5"/>
      <c r="BS239" s="105"/>
      <c r="BT239" s="105"/>
      <c r="BU239" s="105"/>
      <c r="BV239" s="105"/>
    </row>
    <row r="240">
      <c r="A240" s="91" t="str">
        <f>VLOOKUP($F240,UpdateHashtag!$V$3:$Y$32,COLUMN(B$9),0)</f>
        <v>#N/A</v>
      </c>
      <c r="B240" s="91" t="str">
        <f>VLOOKUP($F240,UpdateHashtag!$V$3:$Y$32,COLUMN(#REF!),0)</f>
        <v>#REF!</v>
      </c>
      <c r="C240" s="91" t="str">
        <f>VLOOKUP($F240,UpdateHashtag!$V$3:$Y$32,COLUMN(#REF!),0)</f>
        <v>#REF!</v>
      </c>
      <c r="D240" s="110" t="str">
        <f t="shared" si="2"/>
        <v>#N/A</v>
      </c>
      <c r="E240" s="11"/>
      <c r="F240" s="94" t="str">
        <f>VLOOKUP(J240,UpdateBBM!$C$2:E1009,3,0)</f>
        <v>#N/A</v>
      </c>
      <c r="G240" s="35">
        <v>226.0</v>
      </c>
      <c r="H240" s="111"/>
      <c r="I240" s="111"/>
      <c r="J240" s="112"/>
      <c r="K240" s="111"/>
      <c r="L240" s="113"/>
      <c r="M240" s="114"/>
      <c r="N240" s="115"/>
      <c r="O240" s="115"/>
      <c r="P240" s="116"/>
      <c r="Q240" s="116"/>
      <c r="R240" s="116"/>
      <c r="S240" s="117"/>
      <c r="T240" s="116"/>
      <c r="U240" s="116"/>
      <c r="V240" s="113"/>
      <c r="W240" s="113"/>
      <c r="X240" s="116"/>
      <c r="Y240" s="209"/>
      <c r="Z240" s="209"/>
      <c r="AA240" s="209"/>
      <c r="AB240" s="209"/>
      <c r="AC240" s="209"/>
      <c r="AD240" s="209"/>
      <c r="AE240" s="209"/>
      <c r="AF240" s="209"/>
      <c r="AG240" s="210"/>
      <c r="AH240" s="105"/>
      <c r="AI240" s="202"/>
      <c r="AJ240" s="63"/>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c r="BL240" s="105"/>
      <c r="BM240" s="105"/>
      <c r="BN240" s="105"/>
      <c r="BO240" s="105"/>
      <c r="BP240" s="105"/>
      <c r="BQ240" s="105"/>
      <c r="BR240" s="105"/>
      <c r="BS240" s="105"/>
      <c r="BT240" s="105"/>
      <c r="BU240" s="105"/>
      <c r="BV240" s="105"/>
    </row>
    <row r="241">
      <c r="A241" s="91" t="str">
        <f>VLOOKUP($F241,UpdateHashtag!$V$3:$Y$32,COLUMN(B$9),0)</f>
        <v>#N/A</v>
      </c>
      <c r="B241" s="91" t="str">
        <f>VLOOKUP($F241,UpdateHashtag!$V$3:$Y$32,COLUMN(#REF!),0)</f>
        <v>#REF!</v>
      </c>
      <c r="C241" s="91" t="str">
        <f>VLOOKUP($F241,UpdateHashtag!$V$3:$Y$32,COLUMN(#REF!),0)</f>
        <v>#REF!</v>
      </c>
      <c r="D241" s="110" t="str">
        <f t="shared" si="2"/>
        <v>#N/A</v>
      </c>
      <c r="E241" s="11"/>
      <c r="F241" s="94" t="str">
        <f>VLOOKUP(J241,UpdateBBM!$C$2:E1009,3,0)</f>
        <v>#N/A</v>
      </c>
      <c r="G241" s="35">
        <v>227.0</v>
      </c>
      <c r="H241" s="111"/>
      <c r="I241" s="111"/>
      <c r="J241" s="112"/>
      <c r="K241" s="111"/>
      <c r="L241" s="113"/>
      <c r="M241" s="114"/>
      <c r="N241" s="115"/>
      <c r="O241" s="115"/>
      <c r="P241" s="116"/>
      <c r="Q241" s="116"/>
      <c r="R241" s="116"/>
      <c r="S241" s="117"/>
      <c r="T241" s="116"/>
      <c r="U241" s="116"/>
      <c r="V241" s="113"/>
      <c r="W241" s="113"/>
      <c r="X241" s="116"/>
      <c r="Y241" s="209"/>
      <c r="Z241" s="209"/>
      <c r="AA241" s="209"/>
      <c r="AB241" s="209"/>
      <c r="AC241" s="209"/>
      <c r="AD241" s="209"/>
      <c r="AE241" s="209"/>
      <c r="AF241" s="209"/>
      <c r="AG241" s="210"/>
      <c r="AH241" s="105"/>
      <c r="AI241" s="202"/>
      <c r="AJ241" s="63"/>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c r="BL241" s="105"/>
      <c r="BM241" s="105"/>
      <c r="BN241" s="105"/>
      <c r="BO241" s="105"/>
      <c r="BP241" s="105"/>
      <c r="BQ241" s="105"/>
      <c r="BR241" s="105"/>
      <c r="BS241" s="105"/>
      <c r="BT241" s="105"/>
      <c r="BU241" s="105"/>
      <c r="BV241" s="105"/>
    </row>
    <row r="242">
      <c r="A242" s="91" t="str">
        <f>VLOOKUP($F242,UpdateHashtag!$V$3:$Y$32,COLUMN(B$9),0)</f>
        <v>#N/A</v>
      </c>
      <c r="B242" s="91" t="str">
        <f>VLOOKUP($F242,UpdateHashtag!$V$3:$Y$32,COLUMN(#REF!),0)</f>
        <v>#REF!</v>
      </c>
      <c r="C242" s="91" t="str">
        <f>VLOOKUP($F242,UpdateHashtag!$V$3:$Y$32,COLUMN(#REF!),0)</f>
        <v>#REF!</v>
      </c>
      <c r="D242" s="110" t="str">
        <f t="shared" si="2"/>
        <v>#N/A</v>
      </c>
      <c r="E242" s="11"/>
      <c r="F242" s="94" t="str">
        <f>VLOOKUP(J242,UpdateBBM!$C$2:E1009,3,0)</f>
        <v>#N/A</v>
      </c>
      <c r="G242" s="35">
        <v>228.0</v>
      </c>
      <c r="H242" s="111"/>
      <c r="I242" s="111"/>
      <c r="J242" s="112"/>
      <c r="K242" s="111"/>
      <c r="L242" s="113"/>
      <c r="M242" s="114"/>
      <c r="N242" s="115"/>
      <c r="O242" s="115"/>
      <c r="P242" s="116"/>
      <c r="Q242" s="116"/>
      <c r="R242" s="116"/>
      <c r="S242" s="117"/>
      <c r="T242" s="116"/>
      <c r="U242" s="116"/>
      <c r="V242" s="113"/>
      <c r="W242" s="113"/>
      <c r="X242" s="116"/>
      <c r="Y242" s="209"/>
      <c r="Z242" s="209"/>
      <c r="AA242" s="209"/>
      <c r="AB242" s="209"/>
      <c r="AC242" s="209"/>
      <c r="AD242" s="209"/>
      <c r="AE242" s="209"/>
      <c r="AF242" s="209"/>
      <c r="AG242" s="210"/>
      <c r="AH242" s="105"/>
      <c r="AI242" s="202"/>
      <c r="AJ242" s="63"/>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5"/>
    </row>
    <row r="243">
      <c r="A243" s="91" t="str">
        <f>VLOOKUP($F243,UpdateHashtag!$V$3:$Y$32,COLUMN(B$9),0)</f>
        <v>#N/A</v>
      </c>
      <c r="B243" s="91" t="str">
        <f>VLOOKUP($F243,UpdateHashtag!$V$3:$Y$32,COLUMN(#REF!),0)</f>
        <v>#REF!</v>
      </c>
      <c r="C243" s="91" t="str">
        <f>VLOOKUP($F243,UpdateHashtag!$V$3:$Y$32,COLUMN(#REF!),0)</f>
        <v>#REF!</v>
      </c>
      <c r="D243" s="110" t="str">
        <f t="shared" si="2"/>
        <v>#N/A</v>
      </c>
      <c r="E243" s="11"/>
      <c r="F243" s="94" t="str">
        <f>VLOOKUP(J243,UpdateBBM!$C$2:E1009,3,0)</f>
        <v>#N/A</v>
      </c>
      <c r="G243" s="35">
        <v>229.0</v>
      </c>
      <c r="H243" s="111"/>
      <c r="I243" s="111"/>
      <c r="J243" s="112"/>
      <c r="K243" s="111"/>
      <c r="L243" s="113"/>
      <c r="M243" s="114"/>
      <c r="N243" s="115"/>
      <c r="O243" s="115"/>
      <c r="P243" s="116"/>
      <c r="Q243" s="116"/>
      <c r="R243" s="116"/>
      <c r="S243" s="117"/>
      <c r="T243" s="116"/>
      <c r="U243" s="116"/>
      <c r="V243" s="113"/>
      <c r="W243" s="113"/>
      <c r="X243" s="116"/>
      <c r="Y243" s="209"/>
      <c r="Z243" s="209"/>
      <c r="AA243" s="209"/>
      <c r="AB243" s="209"/>
      <c r="AC243" s="209"/>
      <c r="AD243" s="209"/>
      <c r="AE243" s="209"/>
      <c r="AF243" s="209"/>
      <c r="AG243" s="210"/>
      <c r="AH243" s="105"/>
      <c r="AI243" s="202"/>
      <c r="AJ243" s="63"/>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5"/>
    </row>
    <row r="244">
      <c r="A244" s="91" t="str">
        <f>VLOOKUP($F244,UpdateHashtag!$V$3:$Y$32,COLUMN(B$9),0)</f>
        <v>#N/A</v>
      </c>
      <c r="B244" s="91" t="str">
        <f>VLOOKUP($F244,UpdateHashtag!$V$3:$Y$32,COLUMN(#REF!),0)</f>
        <v>#REF!</v>
      </c>
      <c r="C244" s="91" t="str">
        <f>VLOOKUP($F244,UpdateHashtag!$V$3:$Y$32,COLUMN(#REF!),0)</f>
        <v>#REF!</v>
      </c>
      <c r="D244" s="110" t="str">
        <f t="shared" si="2"/>
        <v>#N/A</v>
      </c>
      <c r="E244" s="11"/>
      <c r="F244" s="94" t="str">
        <f>VLOOKUP(J244,UpdateBBM!$C$2:E1009,3,0)</f>
        <v>#N/A</v>
      </c>
      <c r="G244" s="35">
        <v>230.0</v>
      </c>
      <c r="H244" s="111"/>
      <c r="I244" s="111"/>
      <c r="J244" s="112"/>
      <c r="K244" s="111"/>
      <c r="L244" s="113"/>
      <c r="M244" s="114"/>
      <c r="N244" s="115"/>
      <c r="O244" s="115"/>
      <c r="P244" s="116"/>
      <c r="Q244" s="116"/>
      <c r="R244" s="116"/>
      <c r="S244" s="117"/>
      <c r="T244" s="116"/>
      <c r="U244" s="116"/>
      <c r="V244" s="113"/>
      <c r="W244" s="113"/>
      <c r="X244" s="116"/>
      <c r="Y244" s="209"/>
      <c r="Z244" s="209"/>
      <c r="AA244" s="209"/>
      <c r="AB244" s="209"/>
      <c r="AC244" s="209"/>
      <c r="AD244" s="209"/>
      <c r="AE244" s="209"/>
      <c r="AF244" s="209"/>
      <c r="AG244" s="210"/>
      <c r="AH244" s="105"/>
      <c r="AI244" s="202"/>
      <c r="AJ244" s="63"/>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5"/>
    </row>
    <row r="245">
      <c r="A245" s="91" t="str">
        <f>VLOOKUP($F245,UpdateHashtag!$V$3:$Y$32,COLUMN(B$9),0)</f>
        <v>#N/A</v>
      </c>
      <c r="B245" s="91" t="str">
        <f>VLOOKUP($F245,UpdateHashtag!$V$3:$Y$32,COLUMN(#REF!),0)</f>
        <v>#REF!</v>
      </c>
      <c r="C245" s="91" t="str">
        <f>VLOOKUP($F245,UpdateHashtag!$V$3:$Y$32,COLUMN(#REF!),0)</f>
        <v>#REF!</v>
      </c>
      <c r="D245" s="110" t="str">
        <f t="shared" si="2"/>
        <v>#N/A</v>
      </c>
      <c r="E245" s="11"/>
      <c r="F245" s="94" t="str">
        <f>VLOOKUP(J245,UpdateBBM!$C$2:E1009,3,0)</f>
        <v>#N/A</v>
      </c>
      <c r="G245" s="35">
        <v>231.0</v>
      </c>
      <c r="H245" s="111"/>
      <c r="I245" s="111"/>
      <c r="J245" s="112"/>
      <c r="K245" s="111"/>
      <c r="L245" s="113"/>
      <c r="M245" s="114"/>
      <c r="N245" s="115"/>
      <c r="O245" s="115"/>
      <c r="P245" s="116"/>
      <c r="Q245" s="116"/>
      <c r="R245" s="116"/>
      <c r="S245" s="117"/>
      <c r="T245" s="116"/>
      <c r="U245" s="116"/>
      <c r="V245" s="113"/>
      <c r="W245" s="113"/>
      <c r="X245" s="116"/>
      <c r="Y245" s="209"/>
      <c r="Z245" s="209"/>
      <c r="AA245" s="209"/>
      <c r="AB245" s="209"/>
      <c r="AC245" s="209"/>
      <c r="AD245" s="209"/>
      <c r="AE245" s="209"/>
      <c r="AF245" s="209"/>
      <c r="AG245" s="210"/>
      <c r="AH245" s="105"/>
      <c r="AI245" s="202"/>
      <c r="AJ245" s="63"/>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5"/>
    </row>
    <row r="246">
      <c r="A246" s="91" t="str">
        <f>VLOOKUP($F246,UpdateHashtag!$V$3:$Y$32,COLUMN(B$9),0)</f>
        <v>#N/A</v>
      </c>
      <c r="B246" s="91" t="str">
        <f>VLOOKUP($F246,UpdateHashtag!$V$3:$Y$32,COLUMN(#REF!),0)</f>
        <v>#REF!</v>
      </c>
      <c r="C246" s="91" t="str">
        <f>VLOOKUP($F246,UpdateHashtag!$V$3:$Y$32,COLUMN(#REF!),0)</f>
        <v>#REF!</v>
      </c>
      <c r="D246" s="110" t="str">
        <f t="shared" si="2"/>
        <v>#N/A</v>
      </c>
      <c r="E246" s="11"/>
      <c r="F246" s="94" t="str">
        <f>VLOOKUP(J246,UpdateBBM!$C$2:E1009,3,0)</f>
        <v>#N/A</v>
      </c>
      <c r="G246" s="35">
        <v>232.0</v>
      </c>
      <c r="H246" s="111"/>
      <c r="I246" s="111"/>
      <c r="J246" s="112"/>
      <c r="K246" s="111"/>
      <c r="L246" s="113"/>
      <c r="M246" s="114"/>
      <c r="N246" s="115"/>
      <c r="O246" s="115"/>
      <c r="P246" s="116"/>
      <c r="Q246" s="116"/>
      <c r="R246" s="116"/>
      <c r="S246" s="117"/>
      <c r="T246" s="116"/>
      <c r="U246" s="116"/>
      <c r="V246" s="113"/>
      <c r="W246" s="113"/>
      <c r="X246" s="116"/>
      <c r="Y246" s="209"/>
      <c r="Z246" s="209"/>
      <c r="AA246" s="209"/>
      <c r="AB246" s="209"/>
      <c r="AC246" s="209"/>
      <c r="AD246" s="209"/>
      <c r="AE246" s="209"/>
      <c r="AF246" s="209"/>
      <c r="AG246" s="210"/>
      <c r="AH246" s="105"/>
      <c r="AI246" s="202"/>
      <c r="AJ246" s="63"/>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5"/>
    </row>
    <row r="247">
      <c r="A247" s="91" t="str">
        <f>VLOOKUP($F247,UpdateHashtag!$V$3:$Y$32,COLUMN(B$9),0)</f>
        <v>#N/A</v>
      </c>
      <c r="B247" s="91" t="str">
        <f>VLOOKUP($F247,UpdateHashtag!$V$3:$Y$32,COLUMN(#REF!),0)</f>
        <v>#REF!</v>
      </c>
      <c r="C247" s="91" t="str">
        <f>VLOOKUP($F247,UpdateHashtag!$V$3:$Y$32,COLUMN(#REF!),0)</f>
        <v>#REF!</v>
      </c>
      <c r="D247" s="110" t="str">
        <f t="shared" si="2"/>
        <v>#N/A</v>
      </c>
      <c r="E247" s="11"/>
      <c r="F247" s="94" t="str">
        <f>VLOOKUP(J247,UpdateBBM!$C$2:E1009,3,0)</f>
        <v>#N/A</v>
      </c>
      <c r="G247" s="35">
        <v>233.0</v>
      </c>
      <c r="H247" s="111"/>
      <c r="I247" s="111"/>
      <c r="J247" s="112"/>
      <c r="K247" s="111"/>
      <c r="L247" s="113"/>
      <c r="M247" s="114"/>
      <c r="N247" s="115"/>
      <c r="O247" s="115"/>
      <c r="P247" s="116"/>
      <c r="Q247" s="116"/>
      <c r="R247" s="116"/>
      <c r="S247" s="117"/>
      <c r="T247" s="116"/>
      <c r="U247" s="116"/>
      <c r="V247" s="113"/>
      <c r="W247" s="113"/>
      <c r="X247" s="116"/>
      <c r="Y247" s="209"/>
      <c r="Z247" s="209"/>
      <c r="AA247" s="209"/>
      <c r="AB247" s="209"/>
      <c r="AC247" s="209"/>
      <c r="AD247" s="209"/>
      <c r="AE247" s="209"/>
      <c r="AF247" s="209"/>
      <c r="AG247" s="210"/>
      <c r="AH247" s="105"/>
      <c r="AI247" s="202"/>
      <c r="AJ247" s="63"/>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5"/>
      <c r="BR247" s="105"/>
      <c r="BS247" s="105"/>
      <c r="BT247" s="105"/>
      <c r="BU247" s="105"/>
      <c r="BV247" s="105"/>
    </row>
    <row r="248">
      <c r="A248" s="91" t="str">
        <f>VLOOKUP($F248,UpdateHashtag!$V$3:$Y$32,COLUMN(B$9),0)</f>
        <v>#N/A</v>
      </c>
      <c r="B248" s="91" t="str">
        <f>VLOOKUP($F248,UpdateHashtag!$V$3:$Y$32,COLUMN(#REF!),0)</f>
        <v>#REF!</v>
      </c>
      <c r="C248" s="91" t="str">
        <f>VLOOKUP($F248,UpdateHashtag!$V$3:$Y$32,COLUMN(#REF!),0)</f>
        <v>#REF!</v>
      </c>
      <c r="D248" s="110" t="str">
        <f t="shared" si="2"/>
        <v>#N/A</v>
      </c>
      <c r="E248" s="11"/>
      <c r="F248" s="94" t="str">
        <f>VLOOKUP(J248,UpdateBBM!$C$2:E1009,3,0)</f>
        <v>#N/A</v>
      </c>
      <c r="G248" s="35">
        <v>234.0</v>
      </c>
      <c r="H248" s="111"/>
      <c r="I248" s="111"/>
      <c r="J248" s="112"/>
      <c r="K248" s="111"/>
      <c r="L248" s="113"/>
      <c r="M248" s="114"/>
      <c r="N248" s="115"/>
      <c r="O248" s="115"/>
      <c r="P248" s="116"/>
      <c r="Q248" s="116"/>
      <c r="R248" s="116"/>
      <c r="S248" s="117"/>
      <c r="T248" s="116"/>
      <c r="U248" s="116"/>
      <c r="V248" s="113"/>
      <c r="W248" s="113"/>
      <c r="X248" s="116"/>
      <c r="Y248" s="209"/>
      <c r="Z248" s="209"/>
      <c r="AA248" s="209"/>
      <c r="AB248" s="209"/>
      <c r="AC248" s="209"/>
      <c r="AD248" s="209"/>
      <c r="AE248" s="209"/>
      <c r="AF248" s="209"/>
      <c r="AG248" s="210"/>
      <c r="AH248" s="105"/>
      <c r="AI248" s="202"/>
      <c r="AJ248" s="63"/>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c r="BL248" s="105"/>
      <c r="BM248" s="105"/>
      <c r="BN248" s="105"/>
      <c r="BO248" s="105"/>
      <c r="BP248" s="105"/>
      <c r="BQ248" s="105"/>
      <c r="BR248" s="105"/>
      <c r="BS248" s="105"/>
      <c r="BT248" s="105"/>
      <c r="BU248" s="105"/>
      <c r="BV248" s="105"/>
    </row>
    <row r="249">
      <c r="A249" s="91" t="str">
        <f>VLOOKUP($F249,UpdateHashtag!$V$3:$Y$32,COLUMN(B$9),0)</f>
        <v>#N/A</v>
      </c>
      <c r="B249" s="91" t="str">
        <f>VLOOKUP($F249,UpdateHashtag!$V$3:$Y$32,COLUMN(#REF!),0)</f>
        <v>#REF!</v>
      </c>
      <c r="C249" s="91" t="str">
        <f>VLOOKUP($F249,UpdateHashtag!$V$3:$Y$32,COLUMN(#REF!),0)</f>
        <v>#REF!</v>
      </c>
      <c r="D249" s="110" t="str">
        <f t="shared" si="2"/>
        <v>#N/A</v>
      </c>
      <c r="E249" s="11"/>
      <c r="F249" s="94" t="str">
        <f>VLOOKUP(J249,UpdateBBM!$C$2:E1009,3,0)</f>
        <v>#N/A</v>
      </c>
      <c r="G249" s="35">
        <v>235.0</v>
      </c>
      <c r="H249" s="111"/>
      <c r="I249" s="111"/>
      <c r="J249" s="112"/>
      <c r="K249" s="111"/>
      <c r="L249" s="113"/>
      <c r="M249" s="114"/>
      <c r="N249" s="115"/>
      <c r="O249" s="115"/>
      <c r="P249" s="116"/>
      <c r="Q249" s="116"/>
      <c r="R249" s="116"/>
      <c r="S249" s="117"/>
      <c r="T249" s="116"/>
      <c r="U249" s="116"/>
      <c r="V249" s="113"/>
      <c r="W249" s="113"/>
      <c r="X249" s="116"/>
      <c r="Y249" s="209"/>
      <c r="Z249" s="209"/>
      <c r="AA249" s="209"/>
      <c r="AB249" s="209"/>
      <c r="AC249" s="209"/>
      <c r="AD249" s="209"/>
      <c r="AE249" s="209"/>
      <c r="AF249" s="209"/>
      <c r="AG249" s="210"/>
      <c r="AH249" s="105"/>
      <c r="AI249" s="202"/>
      <c r="AJ249" s="63"/>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5"/>
      <c r="BR249" s="105"/>
      <c r="BS249" s="105"/>
      <c r="BT249" s="105"/>
      <c r="BU249" s="105"/>
      <c r="BV249" s="105"/>
    </row>
    <row r="250">
      <c r="A250" s="91" t="str">
        <f>VLOOKUP($F250,UpdateHashtag!$V$3:$Y$32,COLUMN(B$9),0)</f>
        <v>#N/A</v>
      </c>
      <c r="B250" s="91" t="str">
        <f>VLOOKUP($F250,UpdateHashtag!$V$3:$Y$32,COLUMN(#REF!),0)</f>
        <v>#REF!</v>
      </c>
      <c r="C250" s="91" t="str">
        <f>VLOOKUP($F250,UpdateHashtag!$V$3:$Y$32,COLUMN(#REF!),0)</f>
        <v>#REF!</v>
      </c>
      <c r="D250" s="110" t="str">
        <f t="shared" si="2"/>
        <v>#N/A</v>
      </c>
      <c r="E250" s="11"/>
      <c r="F250" s="94" t="str">
        <f>VLOOKUP(J250,UpdateBBM!$C$2:E1009,3,0)</f>
        <v>#N/A</v>
      </c>
      <c r="G250" s="35">
        <v>236.0</v>
      </c>
      <c r="H250" s="111"/>
      <c r="I250" s="111"/>
      <c r="J250" s="112"/>
      <c r="K250" s="111"/>
      <c r="L250" s="113"/>
      <c r="M250" s="114"/>
      <c r="N250" s="115"/>
      <c r="O250" s="115"/>
      <c r="P250" s="116"/>
      <c r="Q250" s="116"/>
      <c r="R250" s="116"/>
      <c r="S250" s="117"/>
      <c r="T250" s="116"/>
      <c r="U250" s="116"/>
      <c r="V250" s="113"/>
      <c r="W250" s="113"/>
      <c r="X250" s="116"/>
      <c r="Y250" s="209"/>
      <c r="Z250" s="209"/>
      <c r="AA250" s="209"/>
      <c r="AB250" s="209"/>
      <c r="AC250" s="209"/>
      <c r="AD250" s="209"/>
      <c r="AE250" s="209"/>
      <c r="AF250" s="209"/>
      <c r="AG250" s="210"/>
      <c r="AH250" s="105"/>
      <c r="AI250" s="202"/>
      <c r="AJ250" s="63"/>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c r="BL250" s="105"/>
      <c r="BM250" s="105"/>
      <c r="BN250" s="105"/>
      <c r="BO250" s="105"/>
      <c r="BP250" s="105"/>
      <c r="BQ250" s="105"/>
      <c r="BR250" s="105"/>
      <c r="BS250" s="105"/>
      <c r="BT250" s="105"/>
      <c r="BU250" s="105"/>
      <c r="BV250" s="105"/>
    </row>
    <row r="251">
      <c r="A251" s="91" t="str">
        <f>VLOOKUP($F251,UpdateHashtag!$V$3:$Y$32,COLUMN(B$9),0)</f>
        <v>#N/A</v>
      </c>
      <c r="B251" s="91" t="str">
        <f>VLOOKUP($F251,UpdateHashtag!$V$3:$Y$32,COLUMN(#REF!),0)</f>
        <v>#REF!</v>
      </c>
      <c r="C251" s="91" t="str">
        <f>VLOOKUP($F251,UpdateHashtag!$V$3:$Y$32,COLUMN(#REF!),0)</f>
        <v>#REF!</v>
      </c>
      <c r="D251" s="110" t="str">
        <f t="shared" si="2"/>
        <v>#N/A</v>
      </c>
      <c r="E251" s="11"/>
      <c r="F251" s="94" t="str">
        <f>VLOOKUP(J251,UpdateBBM!$C$2:E1009,3,0)</f>
        <v>#N/A</v>
      </c>
      <c r="G251" s="35">
        <v>237.0</v>
      </c>
      <c r="H251" s="111"/>
      <c r="I251" s="111"/>
      <c r="J251" s="112"/>
      <c r="K251" s="111"/>
      <c r="L251" s="113"/>
      <c r="M251" s="114"/>
      <c r="N251" s="115"/>
      <c r="O251" s="115"/>
      <c r="P251" s="116"/>
      <c r="Q251" s="116"/>
      <c r="R251" s="116"/>
      <c r="S251" s="117"/>
      <c r="T251" s="116"/>
      <c r="U251" s="116"/>
      <c r="V251" s="113"/>
      <c r="W251" s="113"/>
      <c r="X251" s="116"/>
      <c r="Y251" s="209"/>
      <c r="Z251" s="209"/>
      <c r="AA251" s="209"/>
      <c r="AB251" s="209"/>
      <c r="AC251" s="209"/>
      <c r="AD251" s="209"/>
      <c r="AE251" s="209"/>
      <c r="AF251" s="209"/>
      <c r="AG251" s="210"/>
      <c r="AH251" s="105"/>
      <c r="AI251" s="202"/>
      <c r="AJ251" s="63"/>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5"/>
      <c r="BR251" s="105"/>
      <c r="BS251" s="105"/>
      <c r="BT251" s="105"/>
      <c r="BU251" s="105"/>
      <c r="BV251" s="105"/>
    </row>
    <row r="252">
      <c r="A252" s="91" t="str">
        <f>VLOOKUP($F252,UpdateHashtag!$V$3:$Y$32,COLUMN(B$9),0)</f>
        <v>#N/A</v>
      </c>
      <c r="B252" s="91" t="str">
        <f>VLOOKUP($F252,UpdateHashtag!$V$3:$Y$32,COLUMN(#REF!),0)</f>
        <v>#REF!</v>
      </c>
      <c r="C252" s="91" t="str">
        <f>VLOOKUP($F252,UpdateHashtag!$V$3:$Y$32,COLUMN(#REF!),0)</f>
        <v>#REF!</v>
      </c>
      <c r="D252" s="110" t="str">
        <f t="shared" si="2"/>
        <v>#N/A</v>
      </c>
      <c r="E252" s="11"/>
      <c r="F252" s="94" t="str">
        <f>VLOOKUP(J252,UpdateBBM!$C$2:E1009,3,0)</f>
        <v>#N/A</v>
      </c>
      <c r="G252" s="35">
        <v>238.0</v>
      </c>
      <c r="H252" s="111"/>
      <c r="I252" s="111"/>
      <c r="J252" s="112"/>
      <c r="K252" s="111"/>
      <c r="L252" s="113"/>
      <c r="M252" s="114"/>
      <c r="N252" s="115"/>
      <c r="O252" s="115"/>
      <c r="P252" s="116"/>
      <c r="Q252" s="116"/>
      <c r="R252" s="116"/>
      <c r="S252" s="117"/>
      <c r="T252" s="116"/>
      <c r="U252" s="116"/>
      <c r="V252" s="113"/>
      <c r="W252" s="113"/>
      <c r="X252" s="116"/>
      <c r="Y252" s="209"/>
      <c r="Z252" s="209"/>
      <c r="AA252" s="209"/>
      <c r="AB252" s="209"/>
      <c r="AC252" s="209"/>
      <c r="AD252" s="209"/>
      <c r="AE252" s="209"/>
      <c r="AF252" s="209"/>
      <c r="AG252" s="210"/>
      <c r="AH252" s="105"/>
      <c r="AI252" s="202"/>
      <c r="AJ252" s="63"/>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c r="BL252" s="105"/>
      <c r="BM252" s="105"/>
      <c r="BN252" s="105"/>
      <c r="BO252" s="105"/>
      <c r="BP252" s="105"/>
      <c r="BQ252" s="105"/>
      <c r="BR252" s="105"/>
      <c r="BS252" s="105"/>
      <c r="BT252" s="105"/>
      <c r="BU252" s="105"/>
      <c r="BV252" s="105"/>
    </row>
    <row r="253">
      <c r="A253" s="91" t="str">
        <f>VLOOKUP($F253,UpdateHashtag!$V$3:$Y$32,COLUMN(B$9),0)</f>
        <v>#N/A</v>
      </c>
      <c r="B253" s="91" t="str">
        <f>VLOOKUP($F253,UpdateHashtag!$V$3:$Y$32,COLUMN(#REF!),0)</f>
        <v>#REF!</v>
      </c>
      <c r="C253" s="91" t="str">
        <f>VLOOKUP($F253,UpdateHashtag!$V$3:$Y$32,COLUMN(#REF!),0)</f>
        <v>#REF!</v>
      </c>
      <c r="D253" s="110" t="str">
        <f t="shared" si="2"/>
        <v>#N/A</v>
      </c>
      <c r="E253" s="11"/>
      <c r="F253" s="94" t="str">
        <f>VLOOKUP(J253,UpdateBBM!$C$2:E1009,3,0)</f>
        <v>#N/A</v>
      </c>
      <c r="G253" s="35">
        <v>239.0</v>
      </c>
      <c r="H253" s="111"/>
      <c r="I253" s="111"/>
      <c r="J253" s="112"/>
      <c r="K253" s="111"/>
      <c r="L253" s="113"/>
      <c r="M253" s="114"/>
      <c r="N253" s="115"/>
      <c r="O253" s="115"/>
      <c r="P253" s="116"/>
      <c r="Q253" s="116"/>
      <c r="R253" s="116"/>
      <c r="S253" s="117"/>
      <c r="T253" s="116"/>
      <c r="U253" s="116"/>
      <c r="V253" s="113"/>
      <c r="W253" s="113"/>
      <c r="X253" s="116"/>
      <c r="Y253" s="209"/>
      <c r="Z253" s="209"/>
      <c r="AA253" s="209"/>
      <c r="AB253" s="209"/>
      <c r="AC253" s="209"/>
      <c r="AD253" s="209"/>
      <c r="AE253" s="209"/>
      <c r="AF253" s="209"/>
      <c r="AG253" s="210"/>
      <c r="AH253" s="105"/>
      <c r="AI253" s="202"/>
      <c r="AJ253" s="63"/>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5"/>
      <c r="BR253" s="105"/>
      <c r="BS253" s="105"/>
      <c r="BT253" s="105"/>
      <c r="BU253" s="105"/>
      <c r="BV253" s="105"/>
    </row>
    <row r="254">
      <c r="A254" s="91" t="str">
        <f>VLOOKUP($F254,UpdateHashtag!$V$3:$Y$32,COLUMN(B$9),0)</f>
        <v>#N/A</v>
      </c>
      <c r="B254" s="91" t="str">
        <f>VLOOKUP($F254,UpdateHashtag!$V$3:$Y$32,COLUMN(#REF!),0)</f>
        <v>#REF!</v>
      </c>
      <c r="C254" s="91" t="str">
        <f>VLOOKUP($F254,UpdateHashtag!$V$3:$Y$32,COLUMN(#REF!),0)</f>
        <v>#REF!</v>
      </c>
      <c r="D254" s="110" t="str">
        <f t="shared" si="2"/>
        <v>#N/A</v>
      </c>
      <c r="E254" s="11"/>
      <c r="F254" s="94" t="str">
        <f>VLOOKUP(J254,UpdateBBM!$C$2:E1009,3,0)</f>
        <v>#N/A</v>
      </c>
      <c r="G254" s="35">
        <v>240.0</v>
      </c>
      <c r="H254" s="111"/>
      <c r="I254" s="111"/>
      <c r="J254" s="112"/>
      <c r="K254" s="111"/>
      <c r="L254" s="113"/>
      <c r="M254" s="114"/>
      <c r="N254" s="115"/>
      <c r="O254" s="115"/>
      <c r="P254" s="116"/>
      <c r="Q254" s="116"/>
      <c r="R254" s="116"/>
      <c r="S254" s="117"/>
      <c r="T254" s="116"/>
      <c r="U254" s="116"/>
      <c r="V254" s="113"/>
      <c r="W254" s="113"/>
      <c r="X254" s="116"/>
      <c r="Y254" s="209"/>
      <c r="Z254" s="209"/>
      <c r="AA254" s="209"/>
      <c r="AB254" s="209"/>
      <c r="AC254" s="209"/>
      <c r="AD254" s="209"/>
      <c r="AE254" s="209"/>
      <c r="AF254" s="209"/>
      <c r="AG254" s="210"/>
      <c r="AH254" s="105"/>
      <c r="AI254" s="202"/>
      <c r="AJ254" s="63"/>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c r="BL254" s="105"/>
      <c r="BM254" s="105"/>
      <c r="BN254" s="105"/>
      <c r="BO254" s="105"/>
      <c r="BP254" s="105"/>
      <c r="BQ254" s="105"/>
      <c r="BR254" s="105"/>
      <c r="BS254" s="105"/>
      <c r="BT254" s="105"/>
      <c r="BU254" s="105"/>
      <c r="BV254" s="105"/>
    </row>
    <row r="255">
      <c r="A255" s="91" t="str">
        <f>VLOOKUP($F255,UpdateHashtag!$V$3:$Y$32,COLUMN(B$9),0)</f>
        <v>#N/A</v>
      </c>
      <c r="B255" s="91" t="str">
        <f>VLOOKUP($F255,UpdateHashtag!$V$3:$Y$32,COLUMN(#REF!),0)</f>
        <v>#REF!</v>
      </c>
      <c r="C255" s="91" t="str">
        <f>VLOOKUP($F255,UpdateHashtag!$V$3:$Y$32,COLUMN(#REF!),0)</f>
        <v>#REF!</v>
      </c>
      <c r="D255" s="110" t="str">
        <f t="shared" si="2"/>
        <v>#N/A</v>
      </c>
      <c r="E255" s="11"/>
      <c r="F255" s="94" t="str">
        <f>VLOOKUP(J255,UpdateBBM!$C$2:E1009,3,0)</f>
        <v>#N/A</v>
      </c>
      <c r="G255" s="35">
        <v>241.0</v>
      </c>
      <c r="H255" s="111"/>
      <c r="I255" s="111"/>
      <c r="J255" s="112"/>
      <c r="K255" s="111"/>
      <c r="L255" s="113"/>
      <c r="M255" s="114"/>
      <c r="N255" s="115"/>
      <c r="O255" s="115"/>
      <c r="P255" s="116"/>
      <c r="Q255" s="116"/>
      <c r="R255" s="116"/>
      <c r="S255" s="117"/>
      <c r="T255" s="116"/>
      <c r="U255" s="116"/>
      <c r="V255" s="113"/>
      <c r="W255" s="113"/>
      <c r="X255" s="116"/>
      <c r="Y255" s="209"/>
      <c r="Z255" s="209"/>
      <c r="AA255" s="209"/>
      <c r="AB255" s="209"/>
      <c r="AC255" s="209"/>
      <c r="AD255" s="209"/>
      <c r="AE255" s="209"/>
      <c r="AF255" s="209"/>
      <c r="AG255" s="210"/>
      <c r="AH255" s="105"/>
      <c r="AI255" s="202"/>
      <c r="AJ255" s="63"/>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5"/>
      <c r="BR255" s="105"/>
      <c r="BS255" s="105"/>
      <c r="BT255" s="105"/>
      <c r="BU255" s="105"/>
      <c r="BV255" s="105"/>
    </row>
    <row r="256">
      <c r="A256" s="91" t="str">
        <f>VLOOKUP($F256,UpdateHashtag!$V$3:$Y$32,COLUMN(B$9),0)</f>
        <v>#N/A</v>
      </c>
      <c r="B256" s="91" t="str">
        <f>VLOOKUP($F256,UpdateHashtag!$V$3:$Y$32,COLUMN(#REF!),0)</f>
        <v>#REF!</v>
      </c>
      <c r="C256" s="91" t="str">
        <f>VLOOKUP($F256,UpdateHashtag!$V$3:$Y$32,COLUMN(#REF!),0)</f>
        <v>#REF!</v>
      </c>
      <c r="D256" s="110" t="str">
        <f t="shared" si="2"/>
        <v>#N/A</v>
      </c>
      <c r="E256" s="11"/>
      <c r="F256" s="94" t="str">
        <f>VLOOKUP(J256,UpdateBBM!$C$2:E1009,3,0)</f>
        <v>#N/A</v>
      </c>
      <c r="G256" s="35">
        <v>242.0</v>
      </c>
      <c r="H256" s="111"/>
      <c r="I256" s="111"/>
      <c r="J256" s="112"/>
      <c r="K256" s="111"/>
      <c r="L256" s="113"/>
      <c r="M256" s="114"/>
      <c r="N256" s="115"/>
      <c r="O256" s="115"/>
      <c r="P256" s="116"/>
      <c r="Q256" s="116"/>
      <c r="R256" s="116"/>
      <c r="S256" s="117"/>
      <c r="T256" s="116"/>
      <c r="U256" s="116"/>
      <c r="V256" s="113"/>
      <c r="W256" s="113"/>
      <c r="X256" s="116"/>
      <c r="Y256" s="209"/>
      <c r="Z256" s="209"/>
      <c r="AA256" s="209"/>
      <c r="AB256" s="209"/>
      <c r="AC256" s="209"/>
      <c r="AD256" s="209"/>
      <c r="AE256" s="209"/>
      <c r="AF256" s="209"/>
      <c r="AG256" s="210"/>
      <c r="AH256" s="105"/>
      <c r="AI256" s="202"/>
      <c r="AJ256" s="63"/>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c r="BL256" s="105"/>
      <c r="BM256" s="105"/>
      <c r="BN256" s="105"/>
      <c r="BO256" s="105"/>
      <c r="BP256" s="105"/>
      <c r="BQ256" s="105"/>
      <c r="BR256" s="105"/>
      <c r="BS256" s="105"/>
      <c r="BT256" s="105"/>
      <c r="BU256" s="105"/>
      <c r="BV256" s="105"/>
    </row>
    <row r="257">
      <c r="A257" s="91" t="str">
        <f>VLOOKUP($F257,UpdateHashtag!$V$3:$Y$32,COLUMN(B$9),0)</f>
        <v>#N/A</v>
      </c>
      <c r="B257" s="91" t="str">
        <f>VLOOKUP($F257,UpdateHashtag!$V$3:$Y$32,COLUMN(#REF!),0)</f>
        <v>#REF!</v>
      </c>
      <c r="C257" s="91" t="str">
        <f>VLOOKUP($F257,UpdateHashtag!$V$3:$Y$32,COLUMN(#REF!),0)</f>
        <v>#REF!</v>
      </c>
      <c r="D257" s="110" t="str">
        <f t="shared" si="2"/>
        <v>#N/A</v>
      </c>
      <c r="E257" s="11"/>
      <c r="F257" s="94" t="str">
        <f>VLOOKUP(J257,UpdateBBM!$C$2:E1009,3,0)</f>
        <v>#N/A</v>
      </c>
      <c r="G257" s="35">
        <v>243.0</v>
      </c>
      <c r="H257" s="111"/>
      <c r="I257" s="111"/>
      <c r="J257" s="112"/>
      <c r="K257" s="111"/>
      <c r="L257" s="113"/>
      <c r="M257" s="114"/>
      <c r="N257" s="115"/>
      <c r="O257" s="115"/>
      <c r="P257" s="116"/>
      <c r="Q257" s="116"/>
      <c r="R257" s="116"/>
      <c r="S257" s="117"/>
      <c r="T257" s="116"/>
      <c r="U257" s="116"/>
      <c r="V257" s="113"/>
      <c r="W257" s="113"/>
      <c r="X257" s="116"/>
      <c r="Y257" s="209"/>
      <c r="Z257" s="209"/>
      <c r="AA257" s="209"/>
      <c r="AB257" s="209"/>
      <c r="AC257" s="209"/>
      <c r="AD257" s="209"/>
      <c r="AE257" s="209"/>
      <c r="AF257" s="209"/>
      <c r="AG257" s="210"/>
      <c r="AH257" s="105"/>
      <c r="AI257" s="202"/>
      <c r="AJ257" s="63"/>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5"/>
      <c r="BR257" s="105"/>
      <c r="BS257" s="105"/>
      <c r="BT257" s="105"/>
      <c r="BU257" s="105"/>
      <c r="BV257" s="105"/>
    </row>
    <row r="258">
      <c r="A258" s="91" t="str">
        <f>VLOOKUP($F258,UpdateHashtag!$V$3:$Y$32,COLUMN(B$9),0)</f>
        <v>#N/A</v>
      </c>
      <c r="B258" s="91" t="str">
        <f>VLOOKUP($F258,UpdateHashtag!$V$3:$Y$32,COLUMN(#REF!),0)</f>
        <v>#REF!</v>
      </c>
      <c r="C258" s="91" t="str">
        <f>VLOOKUP($F258,UpdateHashtag!$V$3:$Y$32,COLUMN(#REF!),0)</f>
        <v>#REF!</v>
      </c>
      <c r="D258" s="110" t="str">
        <f t="shared" si="2"/>
        <v>#N/A</v>
      </c>
      <c r="E258" s="11"/>
      <c r="F258" s="94" t="str">
        <f>VLOOKUP(J258,UpdateBBM!$C$2:E1009,3,0)</f>
        <v>#N/A</v>
      </c>
      <c r="G258" s="35">
        <v>244.0</v>
      </c>
      <c r="H258" s="111"/>
      <c r="I258" s="111"/>
      <c r="J258" s="112"/>
      <c r="K258" s="111"/>
      <c r="L258" s="113"/>
      <c r="M258" s="114"/>
      <c r="N258" s="115"/>
      <c r="O258" s="115"/>
      <c r="P258" s="116"/>
      <c r="Q258" s="116"/>
      <c r="R258" s="116"/>
      <c r="S258" s="117"/>
      <c r="T258" s="116"/>
      <c r="U258" s="116"/>
      <c r="V258" s="113"/>
      <c r="W258" s="113"/>
      <c r="X258" s="116"/>
      <c r="Y258" s="209"/>
      <c r="Z258" s="209"/>
      <c r="AA258" s="209"/>
      <c r="AB258" s="209"/>
      <c r="AC258" s="209"/>
      <c r="AD258" s="209"/>
      <c r="AE258" s="209"/>
      <c r="AF258" s="209"/>
      <c r="AG258" s="210"/>
      <c r="AH258" s="105"/>
      <c r="AI258" s="202"/>
      <c r="AJ258" s="63"/>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c r="BL258" s="105"/>
      <c r="BM258" s="105"/>
      <c r="BN258" s="105"/>
      <c r="BO258" s="105"/>
      <c r="BP258" s="105"/>
      <c r="BQ258" s="105"/>
      <c r="BR258" s="105"/>
      <c r="BS258" s="105"/>
      <c r="BT258" s="105"/>
      <c r="BU258" s="105"/>
      <c r="BV258" s="105"/>
    </row>
    <row r="259">
      <c r="A259" s="91" t="str">
        <f>VLOOKUP($F259,UpdateHashtag!$V$3:$Y$32,COLUMN(B$9),0)</f>
        <v>#N/A</v>
      </c>
      <c r="B259" s="91" t="str">
        <f>VLOOKUP($F259,UpdateHashtag!$V$3:$Y$32,COLUMN(#REF!),0)</f>
        <v>#REF!</v>
      </c>
      <c r="C259" s="91" t="str">
        <f>VLOOKUP($F259,UpdateHashtag!$V$3:$Y$32,COLUMN(#REF!),0)</f>
        <v>#REF!</v>
      </c>
      <c r="D259" s="110" t="str">
        <f t="shared" si="2"/>
        <v>#N/A</v>
      </c>
      <c r="E259" s="11"/>
      <c r="F259" s="94" t="str">
        <f>VLOOKUP(J259,UpdateBBM!$C$2:E1009,3,0)</f>
        <v>#N/A</v>
      </c>
      <c r="G259" s="35">
        <v>245.0</v>
      </c>
      <c r="H259" s="111"/>
      <c r="I259" s="111"/>
      <c r="J259" s="112"/>
      <c r="K259" s="111"/>
      <c r="L259" s="113"/>
      <c r="M259" s="114"/>
      <c r="N259" s="115"/>
      <c r="O259" s="115"/>
      <c r="P259" s="116"/>
      <c r="Q259" s="116"/>
      <c r="R259" s="116"/>
      <c r="S259" s="117"/>
      <c r="T259" s="116"/>
      <c r="U259" s="116"/>
      <c r="V259" s="113"/>
      <c r="W259" s="113"/>
      <c r="X259" s="116"/>
      <c r="Y259" s="209"/>
      <c r="Z259" s="209"/>
      <c r="AA259" s="209"/>
      <c r="AB259" s="209"/>
      <c r="AC259" s="209"/>
      <c r="AD259" s="209"/>
      <c r="AE259" s="209"/>
      <c r="AF259" s="209"/>
      <c r="AG259" s="210"/>
      <c r="AH259" s="105"/>
      <c r="AI259" s="202"/>
      <c r="AJ259" s="63"/>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c r="BL259" s="105"/>
      <c r="BM259" s="105"/>
      <c r="BN259" s="105"/>
      <c r="BO259" s="105"/>
      <c r="BP259" s="105"/>
      <c r="BQ259" s="105"/>
      <c r="BR259" s="105"/>
      <c r="BS259" s="105"/>
      <c r="BT259" s="105"/>
      <c r="BU259" s="105"/>
      <c r="BV259" s="105"/>
    </row>
    <row r="260">
      <c r="A260" s="91" t="str">
        <f>VLOOKUP($F260,UpdateHashtag!$V$3:$Y$32,COLUMN(B$9),0)</f>
        <v>#N/A</v>
      </c>
      <c r="B260" s="91" t="str">
        <f>VLOOKUP($F260,UpdateHashtag!$V$3:$Y$32,COLUMN(#REF!),0)</f>
        <v>#REF!</v>
      </c>
      <c r="C260" s="91" t="str">
        <f>VLOOKUP($F260,UpdateHashtag!$V$3:$Y$32,COLUMN(#REF!),0)</f>
        <v>#REF!</v>
      </c>
      <c r="D260" s="110" t="str">
        <f t="shared" si="2"/>
        <v>#N/A</v>
      </c>
      <c r="E260" s="11"/>
      <c r="F260" s="94" t="str">
        <f>VLOOKUP(J260,UpdateBBM!$C$2:E1009,3,0)</f>
        <v>#N/A</v>
      </c>
      <c r="G260" s="35">
        <v>246.0</v>
      </c>
      <c r="H260" s="111"/>
      <c r="I260" s="111"/>
      <c r="J260" s="112"/>
      <c r="K260" s="111"/>
      <c r="L260" s="113"/>
      <c r="M260" s="114"/>
      <c r="N260" s="115"/>
      <c r="O260" s="115"/>
      <c r="P260" s="116"/>
      <c r="Q260" s="116"/>
      <c r="R260" s="116"/>
      <c r="S260" s="117"/>
      <c r="T260" s="116"/>
      <c r="U260" s="116"/>
      <c r="V260" s="113"/>
      <c r="W260" s="113"/>
      <c r="X260" s="116"/>
      <c r="Y260" s="209"/>
      <c r="Z260" s="209"/>
      <c r="AA260" s="209"/>
      <c r="AB260" s="209"/>
      <c r="AC260" s="209"/>
      <c r="AD260" s="209"/>
      <c r="AE260" s="209"/>
      <c r="AF260" s="209"/>
      <c r="AG260" s="210"/>
      <c r="AH260" s="105"/>
      <c r="AI260" s="202"/>
      <c r="AJ260" s="63"/>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c r="BL260" s="105"/>
      <c r="BM260" s="105"/>
      <c r="BN260" s="105"/>
      <c r="BO260" s="105"/>
      <c r="BP260" s="105"/>
      <c r="BQ260" s="105"/>
      <c r="BR260" s="105"/>
      <c r="BS260" s="105"/>
      <c r="BT260" s="105"/>
      <c r="BU260" s="105"/>
      <c r="BV260" s="105"/>
    </row>
    <row r="261">
      <c r="A261" s="91" t="str">
        <f>VLOOKUP($F261,UpdateHashtag!$V$3:$Y$32,COLUMN(B$9),0)</f>
        <v>#N/A</v>
      </c>
      <c r="B261" s="91" t="str">
        <f>VLOOKUP($F261,UpdateHashtag!$V$3:$Y$32,COLUMN(#REF!),0)</f>
        <v>#REF!</v>
      </c>
      <c r="C261" s="91" t="str">
        <f>VLOOKUP($F261,UpdateHashtag!$V$3:$Y$32,COLUMN(#REF!),0)</f>
        <v>#REF!</v>
      </c>
      <c r="D261" s="110" t="str">
        <f t="shared" si="2"/>
        <v>#N/A</v>
      </c>
      <c r="E261" s="11"/>
      <c r="F261" s="94" t="str">
        <f>VLOOKUP(J261,UpdateBBM!$C$2:E1009,3,0)</f>
        <v>#N/A</v>
      </c>
      <c r="G261" s="35">
        <v>247.0</v>
      </c>
      <c r="H261" s="111"/>
      <c r="I261" s="111"/>
      <c r="J261" s="112"/>
      <c r="K261" s="111"/>
      <c r="L261" s="113"/>
      <c r="M261" s="114"/>
      <c r="N261" s="115"/>
      <c r="O261" s="115"/>
      <c r="P261" s="116"/>
      <c r="Q261" s="116"/>
      <c r="R261" s="116"/>
      <c r="S261" s="117"/>
      <c r="T261" s="116"/>
      <c r="U261" s="116"/>
      <c r="V261" s="113"/>
      <c r="W261" s="113"/>
      <c r="X261" s="116"/>
      <c r="Y261" s="209"/>
      <c r="Z261" s="209"/>
      <c r="AA261" s="209"/>
      <c r="AB261" s="209"/>
      <c r="AC261" s="209"/>
      <c r="AD261" s="209"/>
      <c r="AE261" s="209"/>
      <c r="AF261" s="209"/>
      <c r="AG261" s="210"/>
      <c r="AH261" s="105"/>
      <c r="AI261" s="202"/>
      <c r="AJ261" s="63"/>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c r="BL261" s="105"/>
      <c r="BM261" s="105"/>
      <c r="BN261" s="105"/>
      <c r="BO261" s="105"/>
      <c r="BP261" s="105"/>
      <c r="BQ261" s="105"/>
      <c r="BR261" s="105"/>
      <c r="BS261" s="105"/>
      <c r="BT261" s="105"/>
      <c r="BU261" s="105"/>
      <c r="BV261" s="105"/>
    </row>
    <row r="262">
      <c r="A262" s="91" t="str">
        <f>VLOOKUP($F262,UpdateHashtag!$V$3:$Y$32,COLUMN(B$9),0)</f>
        <v>#N/A</v>
      </c>
      <c r="B262" s="91" t="str">
        <f>VLOOKUP($F262,UpdateHashtag!$V$3:$Y$32,COLUMN(#REF!),0)</f>
        <v>#REF!</v>
      </c>
      <c r="C262" s="91" t="str">
        <f>VLOOKUP($F262,UpdateHashtag!$V$3:$Y$32,COLUMN(#REF!),0)</f>
        <v>#REF!</v>
      </c>
      <c r="D262" s="110" t="str">
        <f t="shared" si="2"/>
        <v>#N/A</v>
      </c>
      <c r="E262" s="11"/>
      <c r="F262" s="94" t="str">
        <f>VLOOKUP(J262,UpdateBBM!$C$2:E1009,3,0)</f>
        <v>#N/A</v>
      </c>
      <c r="G262" s="35">
        <v>248.0</v>
      </c>
      <c r="H262" s="111"/>
      <c r="I262" s="111"/>
      <c r="J262" s="112"/>
      <c r="K262" s="111"/>
      <c r="L262" s="113"/>
      <c r="M262" s="114"/>
      <c r="N262" s="115"/>
      <c r="O262" s="115"/>
      <c r="P262" s="116"/>
      <c r="Q262" s="116"/>
      <c r="R262" s="116"/>
      <c r="S262" s="117"/>
      <c r="T262" s="116"/>
      <c r="U262" s="116"/>
      <c r="V262" s="113"/>
      <c r="W262" s="113"/>
      <c r="X262" s="116"/>
      <c r="Y262" s="209"/>
      <c r="Z262" s="209"/>
      <c r="AA262" s="209"/>
      <c r="AB262" s="209"/>
      <c r="AC262" s="209"/>
      <c r="AD262" s="209"/>
      <c r="AE262" s="209"/>
      <c r="AF262" s="209"/>
      <c r="AG262" s="210"/>
      <c r="AH262" s="105"/>
      <c r="AI262" s="202"/>
      <c r="AJ262" s="63"/>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c r="BL262" s="105"/>
      <c r="BM262" s="105"/>
      <c r="BN262" s="105"/>
      <c r="BO262" s="105"/>
      <c r="BP262" s="105"/>
      <c r="BQ262" s="105"/>
      <c r="BR262" s="105"/>
      <c r="BS262" s="105"/>
      <c r="BT262" s="105"/>
      <c r="BU262" s="105"/>
      <c r="BV262" s="105"/>
    </row>
    <row r="263">
      <c r="A263" s="91" t="str">
        <f>VLOOKUP($F263,UpdateHashtag!$V$3:$Y$32,COLUMN(B$9),0)</f>
        <v>#N/A</v>
      </c>
      <c r="B263" s="91" t="str">
        <f>VLOOKUP($F263,UpdateHashtag!$V$3:$Y$32,COLUMN(#REF!),0)</f>
        <v>#REF!</v>
      </c>
      <c r="C263" s="91" t="str">
        <f>VLOOKUP($F263,UpdateHashtag!$V$3:$Y$32,COLUMN(#REF!),0)</f>
        <v>#REF!</v>
      </c>
      <c r="D263" s="110" t="str">
        <f t="shared" si="2"/>
        <v>#N/A</v>
      </c>
      <c r="E263" s="11"/>
      <c r="F263" s="94" t="str">
        <f>VLOOKUP(J263,UpdateBBM!$C$2:E1009,3,0)</f>
        <v>#N/A</v>
      </c>
      <c r="G263" s="35">
        <v>249.0</v>
      </c>
      <c r="H263" s="111"/>
      <c r="I263" s="111"/>
      <c r="J263" s="112"/>
      <c r="K263" s="111"/>
      <c r="L263" s="113"/>
      <c r="M263" s="114"/>
      <c r="N263" s="115"/>
      <c r="O263" s="115"/>
      <c r="P263" s="116"/>
      <c r="Q263" s="116"/>
      <c r="R263" s="116"/>
      <c r="S263" s="117"/>
      <c r="T263" s="116"/>
      <c r="U263" s="116"/>
      <c r="V263" s="113"/>
      <c r="W263" s="113"/>
      <c r="X263" s="116"/>
      <c r="Y263" s="209"/>
      <c r="Z263" s="209"/>
      <c r="AA263" s="209"/>
      <c r="AB263" s="209"/>
      <c r="AC263" s="209"/>
      <c r="AD263" s="209"/>
      <c r="AE263" s="209"/>
      <c r="AF263" s="209"/>
      <c r="AG263" s="210"/>
      <c r="AH263" s="105"/>
      <c r="AI263" s="202"/>
      <c r="AJ263" s="63"/>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c r="BL263" s="105"/>
      <c r="BM263" s="105"/>
      <c r="BN263" s="105"/>
      <c r="BO263" s="105"/>
      <c r="BP263" s="105"/>
      <c r="BQ263" s="105"/>
      <c r="BR263" s="105"/>
      <c r="BS263" s="105"/>
      <c r="BT263" s="105"/>
      <c r="BU263" s="105"/>
      <c r="BV263" s="105"/>
    </row>
    <row r="264">
      <c r="A264" s="91" t="str">
        <f>VLOOKUP($F264,UpdateHashtag!$V$3:$Y$32,COLUMN(B$9),0)</f>
        <v>#N/A</v>
      </c>
      <c r="B264" s="91" t="str">
        <f>VLOOKUP($F264,UpdateHashtag!$V$3:$Y$32,COLUMN(#REF!),0)</f>
        <v>#REF!</v>
      </c>
      <c r="C264" s="91" t="str">
        <f>VLOOKUP($F264,UpdateHashtag!$V$3:$Y$32,COLUMN(#REF!),0)</f>
        <v>#REF!</v>
      </c>
      <c r="D264" s="110" t="str">
        <f t="shared" si="2"/>
        <v>#N/A</v>
      </c>
      <c r="E264" s="11"/>
      <c r="F264" s="94" t="str">
        <f>VLOOKUP(J264,UpdateBBM!$C$2:E1009,3,0)</f>
        <v>#N/A</v>
      </c>
      <c r="G264" s="35">
        <v>250.0</v>
      </c>
      <c r="H264" s="111"/>
      <c r="I264" s="111"/>
      <c r="J264" s="112"/>
      <c r="K264" s="111"/>
      <c r="L264" s="113"/>
      <c r="M264" s="114"/>
      <c r="N264" s="115"/>
      <c r="O264" s="115"/>
      <c r="P264" s="116"/>
      <c r="Q264" s="116"/>
      <c r="R264" s="116"/>
      <c r="S264" s="117"/>
      <c r="T264" s="116"/>
      <c r="U264" s="116"/>
      <c r="V264" s="113"/>
      <c r="W264" s="113"/>
      <c r="X264" s="116"/>
      <c r="Y264" s="209"/>
      <c r="Z264" s="209"/>
      <c r="AA264" s="209"/>
      <c r="AB264" s="209"/>
      <c r="AC264" s="209"/>
      <c r="AD264" s="209"/>
      <c r="AE264" s="209"/>
      <c r="AF264" s="209"/>
      <c r="AG264" s="210"/>
      <c r="AH264" s="105"/>
      <c r="AI264" s="202"/>
      <c r="AJ264" s="63"/>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c r="BL264" s="105"/>
      <c r="BM264" s="105"/>
      <c r="BN264" s="105"/>
      <c r="BO264" s="105"/>
      <c r="BP264" s="105"/>
      <c r="BQ264" s="105"/>
      <c r="BR264" s="105"/>
      <c r="BS264" s="105"/>
      <c r="BT264" s="105"/>
      <c r="BU264" s="105"/>
      <c r="BV264" s="105"/>
    </row>
    <row r="265">
      <c r="A265" s="91" t="str">
        <f>VLOOKUP($F265,UpdateHashtag!$V$3:$Y$32,COLUMN(B$9),0)</f>
        <v>#N/A</v>
      </c>
      <c r="B265" s="91" t="str">
        <f>VLOOKUP($F265,UpdateHashtag!$V$3:$Y$32,COLUMN(#REF!),0)</f>
        <v>#REF!</v>
      </c>
      <c r="C265" s="91" t="str">
        <f>VLOOKUP($F265,UpdateHashtag!$V$3:$Y$32,COLUMN(#REF!),0)</f>
        <v>#REF!</v>
      </c>
      <c r="D265" s="110" t="str">
        <f t="shared" si="2"/>
        <v>#N/A</v>
      </c>
      <c r="E265" s="11"/>
      <c r="F265" s="94" t="str">
        <f>VLOOKUP(J265,UpdateBBM!$C$2:E1009,3,0)</f>
        <v>#N/A</v>
      </c>
      <c r="G265" s="35">
        <v>251.0</v>
      </c>
      <c r="H265" s="111"/>
      <c r="I265" s="111"/>
      <c r="J265" s="112"/>
      <c r="K265" s="111"/>
      <c r="L265" s="113"/>
      <c r="M265" s="114"/>
      <c r="N265" s="115"/>
      <c r="O265" s="115"/>
      <c r="P265" s="116"/>
      <c r="Q265" s="116"/>
      <c r="R265" s="116"/>
      <c r="S265" s="117"/>
      <c r="T265" s="116"/>
      <c r="U265" s="116"/>
      <c r="V265" s="113"/>
      <c r="W265" s="113"/>
      <c r="X265" s="116"/>
      <c r="Y265" s="209"/>
      <c r="Z265" s="209"/>
      <c r="AA265" s="209"/>
      <c r="AB265" s="209"/>
      <c r="AC265" s="209"/>
      <c r="AD265" s="209"/>
      <c r="AE265" s="209"/>
      <c r="AF265" s="209"/>
      <c r="AG265" s="210"/>
      <c r="AH265" s="105"/>
      <c r="AI265" s="202"/>
      <c r="AJ265" s="63"/>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c r="BL265" s="105"/>
      <c r="BM265" s="105"/>
      <c r="BN265" s="105"/>
      <c r="BO265" s="105"/>
      <c r="BP265" s="105"/>
      <c r="BQ265" s="105"/>
      <c r="BR265" s="105"/>
      <c r="BS265" s="105"/>
      <c r="BT265" s="105"/>
      <c r="BU265" s="105"/>
      <c r="BV265" s="105"/>
    </row>
    <row r="266">
      <c r="A266" s="91" t="str">
        <f>VLOOKUP($F266,UpdateHashtag!$V$3:$Y$32,COLUMN(B$9),0)</f>
        <v>#N/A</v>
      </c>
      <c r="B266" s="91" t="str">
        <f>VLOOKUP($F266,UpdateHashtag!$V$3:$Y$32,COLUMN(#REF!),0)</f>
        <v>#REF!</v>
      </c>
      <c r="C266" s="91" t="str">
        <f>VLOOKUP($F266,UpdateHashtag!$V$3:$Y$32,COLUMN(#REF!),0)</f>
        <v>#REF!</v>
      </c>
      <c r="D266" s="110" t="str">
        <f t="shared" si="2"/>
        <v>#N/A</v>
      </c>
      <c r="E266" s="11"/>
      <c r="F266" s="94" t="str">
        <f>VLOOKUP(J266,UpdateBBM!$C$2:E1009,3,0)</f>
        <v>#N/A</v>
      </c>
      <c r="G266" s="35">
        <v>252.0</v>
      </c>
      <c r="H266" s="111"/>
      <c r="I266" s="111"/>
      <c r="J266" s="112"/>
      <c r="K266" s="111"/>
      <c r="L266" s="113"/>
      <c r="M266" s="114"/>
      <c r="N266" s="115"/>
      <c r="O266" s="115"/>
      <c r="P266" s="116"/>
      <c r="Q266" s="116"/>
      <c r="R266" s="116"/>
      <c r="S266" s="117"/>
      <c r="T266" s="116"/>
      <c r="U266" s="116"/>
      <c r="V266" s="113"/>
      <c r="W266" s="113"/>
      <c r="X266" s="116"/>
      <c r="Y266" s="209"/>
      <c r="Z266" s="209"/>
      <c r="AA266" s="209"/>
      <c r="AB266" s="209"/>
      <c r="AC266" s="209"/>
      <c r="AD266" s="209"/>
      <c r="AE266" s="209"/>
      <c r="AF266" s="209"/>
      <c r="AG266" s="210"/>
      <c r="AH266" s="105"/>
      <c r="AI266" s="202"/>
      <c r="AJ266" s="63"/>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c r="BL266" s="105"/>
      <c r="BM266" s="105"/>
      <c r="BN266" s="105"/>
      <c r="BO266" s="105"/>
      <c r="BP266" s="105"/>
      <c r="BQ266" s="105"/>
      <c r="BR266" s="105"/>
      <c r="BS266" s="105"/>
      <c r="BT266" s="105"/>
      <c r="BU266" s="105"/>
      <c r="BV266" s="105"/>
    </row>
    <row r="267">
      <c r="A267" s="91" t="str">
        <f>VLOOKUP($F267,UpdateHashtag!$V$3:$Y$32,COLUMN(B$9),0)</f>
        <v>#N/A</v>
      </c>
      <c r="B267" s="91" t="str">
        <f>VLOOKUP($F267,UpdateHashtag!$V$3:$Y$32,COLUMN(#REF!),0)</f>
        <v>#REF!</v>
      </c>
      <c r="C267" s="91" t="str">
        <f>VLOOKUP($F267,UpdateHashtag!$V$3:$Y$32,COLUMN(#REF!),0)</f>
        <v>#REF!</v>
      </c>
      <c r="D267" s="110" t="str">
        <f t="shared" si="2"/>
        <v>#N/A</v>
      </c>
      <c r="E267" s="11"/>
      <c r="F267" s="94" t="str">
        <f>VLOOKUP(J267,UpdateBBM!$C$2:E1009,3,0)</f>
        <v>#N/A</v>
      </c>
      <c r="G267" s="35">
        <v>253.0</v>
      </c>
      <c r="H267" s="111"/>
      <c r="I267" s="111"/>
      <c r="J267" s="112"/>
      <c r="K267" s="111"/>
      <c r="L267" s="113"/>
      <c r="M267" s="114"/>
      <c r="N267" s="115"/>
      <c r="O267" s="115"/>
      <c r="P267" s="116"/>
      <c r="Q267" s="116"/>
      <c r="R267" s="116"/>
      <c r="S267" s="117"/>
      <c r="T267" s="116"/>
      <c r="U267" s="116"/>
      <c r="V267" s="113"/>
      <c r="W267" s="113"/>
      <c r="X267" s="116"/>
      <c r="Y267" s="209"/>
      <c r="Z267" s="209"/>
      <c r="AA267" s="209"/>
      <c r="AB267" s="209"/>
      <c r="AC267" s="209"/>
      <c r="AD267" s="209"/>
      <c r="AE267" s="209"/>
      <c r="AF267" s="209"/>
      <c r="AG267" s="210"/>
      <c r="AH267" s="105"/>
      <c r="AI267" s="202"/>
      <c r="AJ267" s="63"/>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105"/>
      <c r="BM267" s="105"/>
      <c r="BN267" s="105"/>
      <c r="BO267" s="105"/>
      <c r="BP267" s="105"/>
      <c r="BQ267" s="105"/>
      <c r="BR267" s="105"/>
      <c r="BS267" s="105"/>
      <c r="BT267" s="105"/>
      <c r="BU267" s="105"/>
      <c r="BV267" s="105"/>
    </row>
    <row r="268">
      <c r="A268" s="91" t="str">
        <f>VLOOKUP($F268,UpdateHashtag!$V$3:$Y$32,COLUMN(B$9),0)</f>
        <v>#N/A</v>
      </c>
      <c r="B268" s="91" t="str">
        <f>VLOOKUP($F268,UpdateHashtag!$V$3:$Y$32,COLUMN(#REF!),0)</f>
        <v>#REF!</v>
      </c>
      <c r="C268" s="91" t="str">
        <f>VLOOKUP($F268,UpdateHashtag!$V$3:$Y$32,COLUMN(#REF!),0)</f>
        <v>#REF!</v>
      </c>
      <c r="D268" s="110" t="str">
        <f t="shared" si="2"/>
        <v>#N/A</v>
      </c>
      <c r="E268" s="11"/>
      <c r="F268" s="94" t="str">
        <f>VLOOKUP(J268,UpdateBBM!$C$2:E1009,3,0)</f>
        <v>#N/A</v>
      </c>
      <c r="G268" s="35">
        <v>254.0</v>
      </c>
      <c r="H268" s="111"/>
      <c r="I268" s="111"/>
      <c r="J268" s="112"/>
      <c r="K268" s="111"/>
      <c r="L268" s="113"/>
      <c r="M268" s="114"/>
      <c r="N268" s="115"/>
      <c r="O268" s="115"/>
      <c r="P268" s="116"/>
      <c r="Q268" s="116"/>
      <c r="R268" s="116"/>
      <c r="S268" s="117"/>
      <c r="T268" s="116"/>
      <c r="U268" s="116"/>
      <c r="V268" s="113"/>
      <c r="W268" s="113"/>
      <c r="X268" s="116"/>
      <c r="Y268" s="209"/>
      <c r="Z268" s="209"/>
      <c r="AA268" s="209"/>
      <c r="AB268" s="209"/>
      <c r="AC268" s="209"/>
      <c r="AD268" s="209"/>
      <c r="AE268" s="209"/>
      <c r="AF268" s="209"/>
      <c r="AG268" s="210"/>
      <c r="AH268" s="105"/>
      <c r="AI268" s="202"/>
      <c r="AJ268" s="63"/>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c r="BL268" s="105"/>
      <c r="BM268" s="105"/>
      <c r="BN268" s="105"/>
      <c r="BO268" s="105"/>
      <c r="BP268" s="105"/>
      <c r="BQ268" s="105"/>
      <c r="BR268" s="105"/>
      <c r="BS268" s="105"/>
      <c r="BT268" s="105"/>
      <c r="BU268" s="105"/>
      <c r="BV268" s="105"/>
    </row>
    <row r="269">
      <c r="A269" s="91" t="str">
        <f>VLOOKUP($F269,UpdateHashtag!$V$3:$Y$32,COLUMN(B$9),0)</f>
        <v>#N/A</v>
      </c>
      <c r="B269" s="91" t="str">
        <f>VLOOKUP($F269,UpdateHashtag!$V$3:$Y$32,COLUMN(#REF!),0)</f>
        <v>#REF!</v>
      </c>
      <c r="C269" s="91" t="str">
        <f>VLOOKUP($F269,UpdateHashtag!$V$3:$Y$32,COLUMN(#REF!),0)</f>
        <v>#REF!</v>
      </c>
      <c r="D269" s="110" t="str">
        <f t="shared" si="2"/>
        <v>#N/A</v>
      </c>
      <c r="E269" s="11"/>
      <c r="F269" s="94" t="str">
        <f>VLOOKUP(J269,UpdateBBM!$C$2:E1009,3,0)</f>
        <v>#N/A</v>
      </c>
      <c r="G269" s="35">
        <v>255.0</v>
      </c>
      <c r="H269" s="111"/>
      <c r="I269" s="111"/>
      <c r="J269" s="112"/>
      <c r="K269" s="111"/>
      <c r="L269" s="113"/>
      <c r="M269" s="114"/>
      <c r="N269" s="115"/>
      <c r="O269" s="115"/>
      <c r="P269" s="116"/>
      <c r="Q269" s="116"/>
      <c r="R269" s="116"/>
      <c r="S269" s="117"/>
      <c r="T269" s="116"/>
      <c r="U269" s="116"/>
      <c r="V269" s="113"/>
      <c r="W269" s="113"/>
      <c r="X269" s="116"/>
      <c r="Y269" s="209"/>
      <c r="Z269" s="209"/>
      <c r="AA269" s="209"/>
      <c r="AB269" s="209"/>
      <c r="AC269" s="209"/>
      <c r="AD269" s="209"/>
      <c r="AE269" s="209"/>
      <c r="AF269" s="209"/>
      <c r="AG269" s="210"/>
      <c r="AH269" s="105"/>
      <c r="AI269" s="202"/>
      <c r="AJ269" s="63"/>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105"/>
      <c r="BT269" s="105"/>
      <c r="BU269" s="105"/>
      <c r="BV269" s="105"/>
    </row>
    <row r="270">
      <c r="A270" s="91" t="str">
        <f>VLOOKUP($F270,UpdateHashtag!$V$3:$Y$32,COLUMN(B$9),0)</f>
        <v>#N/A</v>
      </c>
      <c r="B270" s="91" t="str">
        <f>VLOOKUP($F270,UpdateHashtag!$V$3:$Y$32,COLUMN(#REF!),0)</f>
        <v>#REF!</v>
      </c>
      <c r="C270" s="91" t="str">
        <f>VLOOKUP($F270,UpdateHashtag!$V$3:$Y$32,COLUMN(#REF!),0)</f>
        <v>#REF!</v>
      </c>
      <c r="D270" s="110" t="str">
        <f t="shared" si="2"/>
        <v>#N/A</v>
      </c>
      <c r="E270" s="11"/>
      <c r="F270" s="94" t="str">
        <f>VLOOKUP(J270,UpdateBBM!$C$2:E1009,3,0)</f>
        <v>#N/A</v>
      </c>
      <c r="G270" s="35">
        <v>256.0</v>
      </c>
      <c r="H270" s="111"/>
      <c r="I270" s="111"/>
      <c r="J270" s="112"/>
      <c r="K270" s="111"/>
      <c r="L270" s="113"/>
      <c r="M270" s="114"/>
      <c r="N270" s="115"/>
      <c r="O270" s="115"/>
      <c r="P270" s="116"/>
      <c r="Q270" s="116"/>
      <c r="R270" s="116"/>
      <c r="S270" s="117"/>
      <c r="T270" s="116"/>
      <c r="U270" s="116"/>
      <c r="V270" s="113"/>
      <c r="W270" s="113"/>
      <c r="X270" s="116"/>
      <c r="Y270" s="209"/>
      <c r="Z270" s="209"/>
      <c r="AA270" s="209"/>
      <c r="AB270" s="209"/>
      <c r="AC270" s="209"/>
      <c r="AD270" s="209"/>
      <c r="AE270" s="209"/>
      <c r="AF270" s="209"/>
      <c r="AG270" s="210"/>
      <c r="AH270" s="105"/>
      <c r="AI270" s="202"/>
      <c r="AJ270" s="63"/>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c r="BL270" s="105"/>
      <c r="BM270" s="105"/>
      <c r="BN270" s="105"/>
      <c r="BO270" s="105"/>
      <c r="BP270" s="105"/>
      <c r="BQ270" s="105"/>
      <c r="BR270" s="105"/>
      <c r="BS270" s="105"/>
      <c r="BT270" s="105"/>
      <c r="BU270" s="105"/>
      <c r="BV270" s="105"/>
    </row>
    <row r="271">
      <c r="A271" s="91" t="str">
        <f>VLOOKUP($F271,UpdateHashtag!$V$3:$Y$32,COLUMN(B$9),0)</f>
        <v>#N/A</v>
      </c>
      <c r="B271" s="91" t="str">
        <f>VLOOKUP($F271,UpdateHashtag!$V$3:$Y$32,COLUMN(#REF!),0)</f>
        <v>#REF!</v>
      </c>
      <c r="C271" s="91" t="str">
        <f>VLOOKUP($F271,UpdateHashtag!$V$3:$Y$32,COLUMN(#REF!),0)</f>
        <v>#REF!</v>
      </c>
      <c r="D271" s="110" t="str">
        <f t="shared" si="2"/>
        <v>#N/A</v>
      </c>
      <c r="E271" s="11"/>
      <c r="F271" s="94" t="str">
        <f>VLOOKUP(J271,UpdateBBM!$C$2:E1009,3,0)</f>
        <v>#N/A</v>
      </c>
      <c r="G271" s="35">
        <v>257.0</v>
      </c>
      <c r="H271" s="111"/>
      <c r="I271" s="111"/>
      <c r="J271" s="112"/>
      <c r="K271" s="111"/>
      <c r="L271" s="113"/>
      <c r="M271" s="114"/>
      <c r="N271" s="115"/>
      <c r="O271" s="115"/>
      <c r="P271" s="116"/>
      <c r="Q271" s="116"/>
      <c r="R271" s="116"/>
      <c r="S271" s="117"/>
      <c r="T271" s="116"/>
      <c r="U271" s="116"/>
      <c r="V271" s="113"/>
      <c r="W271" s="113"/>
      <c r="X271" s="116"/>
      <c r="Y271" s="209"/>
      <c r="Z271" s="209"/>
      <c r="AA271" s="209"/>
      <c r="AB271" s="209"/>
      <c r="AC271" s="209"/>
      <c r="AD271" s="209"/>
      <c r="AE271" s="209"/>
      <c r="AF271" s="209"/>
      <c r="AG271" s="210"/>
      <c r="AH271" s="105"/>
      <c r="AI271" s="202"/>
      <c r="AJ271" s="63"/>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c r="BL271" s="105"/>
      <c r="BM271" s="105"/>
      <c r="BN271" s="105"/>
      <c r="BO271" s="105"/>
      <c r="BP271" s="105"/>
      <c r="BQ271" s="105"/>
      <c r="BR271" s="105"/>
      <c r="BS271" s="105"/>
      <c r="BT271" s="105"/>
      <c r="BU271" s="105"/>
      <c r="BV271" s="105"/>
    </row>
    <row r="272">
      <c r="A272" s="91" t="str">
        <f>VLOOKUP($F272,UpdateHashtag!$V$3:$Y$32,COLUMN(B$9),0)</f>
        <v>#N/A</v>
      </c>
      <c r="B272" s="91" t="str">
        <f>VLOOKUP($F272,UpdateHashtag!$V$3:$Y$32,COLUMN(#REF!),0)</f>
        <v>#REF!</v>
      </c>
      <c r="C272" s="91" t="str">
        <f>VLOOKUP($F272,UpdateHashtag!$V$3:$Y$32,COLUMN(#REF!),0)</f>
        <v>#REF!</v>
      </c>
      <c r="D272" s="110" t="str">
        <f t="shared" si="2"/>
        <v>#N/A</v>
      </c>
      <c r="E272" s="11"/>
      <c r="F272" s="94" t="str">
        <f>VLOOKUP(J272,UpdateBBM!$C$2:E1009,3,0)</f>
        <v>#N/A</v>
      </c>
      <c r="G272" s="35">
        <v>258.0</v>
      </c>
      <c r="H272" s="111"/>
      <c r="I272" s="111"/>
      <c r="J272" s="112"/>
      <c r="K272" s="111"/>
      <c r="L272" s="113"/>
      <c r="M272" s="114"/>
      <c r="N272" s="115"/>
      <c r="O272" s="115"/>
      <c r="P272" s="116"/>
      <c r="Q272" s="116"/>
      <c r="R272" s="116"/>
      <c r="S272" s="117"/>
      <c r="T272" s="116"/>
      <c r="U272" s="116"/>
      <c r="V272" s="113"/>
      <c r="W272" s="113"/>
      <c r="X272" s="116"/>
      <c r="Y272" s="209"/>
      <c r="Z272" s="209"/>
      <c r="AA272" s="209"/>
      <c r="AB272" s="209"/>
      <c r="AC272" s="209"/>
      <c r="AD272" s="209"/>
      <c r="AE272" s="209"/>
      <c r="AF272" s="209"/>
      <c r="AG272" s="210"/>
      <c r="AH272" s="105"/>
      <c r="AI272" s="202"/>
      <c r="AJ272" s="63"/>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c r="BL272" s="105"/>
      <c r="BM272" s="105"/>
      <c r="BN272" s="105"/>
      <c r="BO272" s="105"/>
      <c r="BP272" s="105"/>
      <c r="BQ272" s="105"/>
      <c r="BR272" s="105"/>
      <c r="BS272" s="105"/>
      <c r="BT272" s="105"/>
      <c r="BU272" s="105"/>
      <c r="BV272" s="105"/>
    </row>
    <row r="273">
      <c r="A273" s="91" t="str">
        <f>VLOOKUP($F273,UpdateHashtag!$V$3:$Y$32,COLUMN(B$9),0)</f>
        <v>#N/A</v>
      </c>
      <c r="B273" s="91" t="str">
        <f>VLOOKUP($F273,UpdateHashtag!$V$3:$Y$32,COLUMN(#REF!),0)</f>
        <v>#REF!</v>
      </c>
      <c r="C273" s="91" t="str">
        <f>VLOOKUP($F273,UpdateHashtag!$V$3:$Y$32,COLUMN(#REF!),0)</f>
        <v>#REF!</v>
      </c>
      <c r="D273" s="110" t="str">
        <f t="shared" si="2"/>
        <v>#N/A</v>
      </c>
      <c r="E273" s="11"/>
      <c r="F273" s="94" t="str">
        <f>VLOOKUP(J273,UpdateBBM!$C$2:E1009,3,0)</f>
        <v>#N/A</v>
      </c>
      <c r="G273" s="35">
        <v>259.0</v>
      </c>
      <c r="H273" s="111"/>
      <c r="I273" s="111"/>
      <c r="J273" s="112"/>
      <c r="K273" s="111"/>
      <c r="L273" s="113"/>
      <c r="M273" s="114"/>
      <c r="N273" s="115"/>
      <c r="O273" s="115"/>
      <c r="P273" s="116"/>
      <c r="Q273" s="116"/>
      <c r="R273" s="116"/>
      <c r="S273" s="117"/>
      <c r="T273" s="116"/>
      <c r="U273" s="116"/>
      <c r="V273" s="113"/>
      <c r="W273" s="113"/>
      <c r="X273" s="116"/>
      <c r="Y273" s="209"/>
      <c r="Z273" s="209"/>
      <c r="AA273" s="209"/>
      <c r="AB273" s="209"/>
      <c r="AC273" s="209"/>
      <c r="AD273" s="209"/>
      <c r="AE273" s="209"/>
      <c r="AF273" s="209"/>
      <c r="AG273" s="210"/>
      <c r="AH273" s="105"/>
      <c r="AI273" s="202"/>
      <c r="AJ273" s="63"/>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c r="BI273" s="105"/>
      <c r="BJ273" s="105"/>
      <c r="BK273" s="105"/>
      <c r="BL273" s="105"/>
      <c r="BM273" s="105"/>
      <c r="BN273" s="105"/>
      <c r="BO273" s="105"/>
      <c r="BP273" s="105"/>
      <c r="BQ273" s="105"/>
      <c r="BR273" s="105"/>
      <c r="BS273" s="105"/>
      <c r="BT273" s="105"/>
      <c r="BU273" s="105"/>
      <c r="BV273" s="105"/>
    </row>
    <row r="274">
      <c r="A274" s="91" t="str">
        <f>VLOOKUP($F274,UpdateHashtag!$V$3:$Y$32,COLUMN(B$9),0)</f>
        <v>#N/A</v>
      </c>
      <c r="B274" s="91" t="str">
        <f>VLOOKUP($F274,UpdateHashtag!$V$3:$Y$32,COLUMN(#REF!),0)</f>
        <v>#REF!</v>
      </c>
      <c r="C274" s="91" t="str">
        <f>VLOOKUP($F274,UpdateHashtag!$V$3:$Y$32,COLUMN(#REF!),0)</f>
        <v>#REF!</v>
      </c>
      <c r="D274" s="110" t="str">
        <f t="shared" si="2"/>
        <v>#N/A</v>
      </c>
      <c r="E274" s="11"/>
      <c r="F274" s="94" t="str">
        <f>VLOOKUP(J274,UpdateBBM!$C$2:E1009,3,0)</f>
        <v>#N/A</v>
      </c>
      <c r="G274" s="35">
        <v>260.0</v>
      </c>
      <c r="H274" s="111"/>
      <c r="I274" s="111"/>
      <c r="J274" s="112"/>
      <c r="K274" s="111"/>
      <c r="L274" s="113"/>
      <c r="M274" s="114"/>
      <c r="N274" s="115"/>
      <c r="O274" s="115"/>
      <c r="P274" s="116"/>
      <c r="Q274" s="116"/>
      <c r="R274" s="116"/>
      <c r="S274" s="117"/>
      <c r="T274" s="116"/>
      <c r="U274" s="116"/>
      <c r="V274" s="113"/>
      <c r="W274" s="113"/>
      <c r="X274" s="116"/>
      <c r="Y274" s="209"/>
      <c r="Z274" s="209"/>
      <c r="AA274" s="209"/>
      <c r="AB274" s="209"/>
      <c r="AC274" s="209"/>
      <c r="AD274" s="209"/>
      <c r="AE274" s="209"/>
      <c r="AF274" s="209"/>
      <c r="AG274" s="210"/>
      <c r="AH274" s="105"/>
      <c r="AI274" s="202"/>
      <c r="AJ274" s="63"/>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c r="BI274" s="105"/>
      <c r="BJ274" s="105"/>
      <c r="BK274" s="105"/>
      <c r="BL274" s="105"/>
      <c r="BM274" s="105"/>
      <c r="BN274" s="105"/>
      <c r="BO274" s="105"/>
      <c r="BP274" s="105"/>
      <c r="BQ274" s="105"/>
      <c r="BR274" s="105"/>
      <c r="BS274" s="105"/>
      <c r="BT274" s="105"/>
      <c r="BU274" s="105"/>
      <c r="BV274" s="105"/>
    </row>
    <row r="275">
      <c r="A275" s="91" t="str">
        <f>VLOOKUP($F275,UpdateHashtag!$V$3:$Y$32,COLUMN(B$9),0)</f>
        <v>#N/A</v>
      </c>
      <c r="B275" s="91" t="str">
        <f>VLOOKUP($F275,UpdateHashtag!$V$3:$Y$32,COLUMN(#REF!),0)</f>
        <v>#REF!</v>
      </c>
      <c r="C275" s="91" t="str">
        <f>VLOOKUP($F275,UpdateHashtag!$V$3:$Y$32,COLUMN(#REF!),0)</f>
        <v>#REF!</v>
      </c>
      <c r="D275" s="110" t="str">
        <f t="shared" si="2"/>
        <v>#N/A</v>
      </c>
      <c r="E275" s="11"/>
      <c r="F275" s="94" t="str">
        <f>VLOOKUP(J275,UpdateBBM!$C$2:E1009,3,0)</f>
        <v>#N/A</v>
      </c>
      <c r="G275" s="35">
        <v>261.0</v>
      </c>
      <c r="H275" s="111"/>
      <c r="I275" s="111"/>
      <c r="J275" s="112"/>
      <c r="K275" s="111"/>
      <c r="L275" s="113"/>
      <c r="M275" s="114"/>
      <c r="N275" s="115"/>
      <c r="O275" s="115"/>
      <c r="P275" s="116"/>
      <c r="Q275" s="116"/>
      <c r="R275" s="116"/>
      <c r="S275" s="117"/>
      <c r="T275" s="116"/>
      <c r="U275" s="116"/>
      <c r="V275" s="113"/>
      <c r="W275" s="113"/>
      <c r="X275" s="116"/>
      <c r="Y275" s="209"/>
      <c r="Z275" s="209"/>
      <c r="AA275" s="209"/>
      <c r="AB275" s="209"/>
      <c r="AC275" s="209"/>
      <c r="AD275" s="209"/>
      <c r="AE275" s="209"/>
      <c r="AF275" s="209"/>
      <c r="AG275" s="210"/>
      <c r="AH275" s="105"/>
      <c r="AI275" s="202"/>
      <c r="AJ275" s="63"/>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c r="BL275" s="105"/>
      <c r="BM275" s="105"/>
      <c r="BN275" s="105"/>
      <c r="BO275" s="105"/>
      <c r="BP275" s="105"/>
      <c r="BQ275" s="105"/>
      <c r="BR275" s="105"/>
      <c r="BS275" s="105"/>
      <c r="BT275" s="105"/>
      <c r="BU275" s="105"/>
      <c r="BV275" s="105"/>
    </row>
    <row r="276">
      <c r="A276" s="91" t="str">
        <f>VLOOKUP($F276,UpdateHashtag!$V$3:$Y$32,COLUMN(B$9),0)</f>
        <v>#N/A</v>
      </c>
      <c r="B276" s="91" t="str">
        <f>VLOOKUP($F276,UpdateHashtag!$V$3:$Y$32,COLUMN(#REF!),0)</f>
        <v>#REF!</v>
      </c>
      <c r="C276" s="91" t="str">
        <f>VLOOKUP($F276,UpdateHashtag!$V$3:$Y$32,COLUMN(#REF!),0)</f>
        <v>#REF!</v>
      </c>
      <c r="D276" s="110" t="str">
        <f t="shared" si="2"/>
        <v>#N/A</v>
      </c>
      <c r="E276" s="11"/>
      <c r="F276" s="94" t="str">
        <f>VLOOKUP(J276,UpdateBBM!$C$2:E1009,3,0)</f>
        <v>#N/A</v>
      </c>
      <c r="G276" s="35">
        <v>262.0</v>
      </c>
      <c r="H276" s="111"/>
      <c r="I276" s="111"/>
      <c r="J276" s="112"/>
      <c r="K276" s="111"/>
      <c r="L276" s="113"/>
      <c r="M276" s="114"/>
      <c r="N276" s="115"/>
      <c r="O276" s="115"/>
      <c r="P276" s="116"/>
      <c r="Q276" s="116"/>
      <c r="R276" s="116"/>
      <c r="S276" s="117"/>
      <c r="T276" s="116"/>
      <c r="U276" s="116"/>
      <c r="V276" s="113"/>
      <c r="W276" s="113"/>
      <c r="X276" s="116"/>
      <c r="Y276" s="209"/>
      <c r="Z276" s="209"/>
      <c r="AA276" s="209"/>
      <c r="AB276" s="209"/>
      <c r="AC276" s="209"/>
      <c r="AD276" s="209"/>
      <c r="AE276" s="209"/>
      <c r="AF276" s="209"/>
      <c r="AG276" s="210"/>
      <c r="AH276" s="105"/>
      <c r="AI276" s="202"/>
      <c r="AJ276" s="63"/>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c r="BI276" s="105"/>
      <c r="BJ276" s="105"/>
      <c r="BK276" s="105"/>
      <c r="BL276" s="105"/>
      <c r="BM276" s="105"/>
      <c r="BN276" s="105"/>
      <c r="BO276" s="105"/>
      <c r="BP276" s="105"/>
      <c r="BQ276" s="105"/>
      <c r="BR276" s="105"/>
      <c r="BS276" s="105"/>
      <c r="BT276" s="105"/>
      <c r="BU276" s="105"/>
      <c r="BV276" s="105"/>
    </row>
    <row r="277">
      <c r="A277" s="91" t="str">
        <f>VLOOKUP($F277,UpdateHashtag!$V$3:$Y$32,COLUMN(B$9),0)</f>
        <v>#N/A</v>
      </c>
      <c r="B277" s="91" t="str">
        <f>VLOOKUP($F277,UpdateHashtag!$V$3:$Y$32,COLUMN(#REF!),0)</f>
        <v>#REF!</v>
      </c>
      <c r="C277" s="91" t="str">
        <f>VLOOKUP($F277,UpdateHashtag!$V$3:$Y$32,COLUMN(#REF!),0)</f>
        <v>#REF!</v>
      </c>
      <c r="D277" s="110" t="str">
        <f t="shared" si="2"/>
        <v>#N/A</v>
      </c>
      <c r="E277" s="11"/>
      <c r="F277" s="94" t="str">
        <f>VLOOKUP(J277,UpdateBBM!$C$2:E1009,3,0)</f>
        <v>#N/A</v>
      </c>
      <c r="G277" s="35">
        <v>263.0</v>
      </c>
      <c r="H277" s="111"/>
      <c r="I277" s="111"/>
      <c r="J277" s="112"/>
      <c r="K277" s="111"/>
      <c r="L277" s="113"/>
      <c r="M277" s="114"/>
      <c r="N277" s="115"/>
      <c r="O277" s="115"/>
      <c r="P277" s="116"/>
      <c r="Q277" s="116"/>
      <c r="R277" s="116"/>
      <c r="S277" s="117"/>
      <c r="T277" s="116"/>
      <c r="U277" s="116"/>
      <c r="V277" s="113"/>
      <c r="W277" s="113"/>
      <c r="X277" s="116"/>
      <c r="Y277" s="209"/>
      <c r="Z277" s="209"/>
      <c r="AA277" s="209"/>
      <c r="AB277" s="209"/>
      <c r="AC277" s="209"/>
      <c r="AD277" s="209"/>
      <c r="AE277" s="209"/>
      <c r="AF277" s="209"/>
      <c r="AG277" s="210"/>
      <c r="AH277" s="105"/>
      <c r="AI277" s="202"/>
      <c r="AJ277" s="63"/>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c r="BI277" s="105"/>
      <c r="BJ277" s="105"/>
      <c r="BK277" s="105"/>
      <c r="BL277" s="105"/>
      <c r="BM277" s="105"/>
      <c r="BN277" s="105"/>
      <c r="BO277" s="105"/>
      <c r="BP277" s="105"/>
      <c r="BQ277" s="105"/>
      <c r="BR277" s="105"/>
      <c r="BS277" s="105"/>
      <c r="BT277" s="105"/>
      <c r="BU277" s="105"/>
      <c r="BV277" s="105"/>
    </row>
    <row r="278">
      <c r="A278" s="91" t="str">
        <f>VLOOKUP($F278,UpdateHashtag!$V$3:$Y$32,COLUMN(B$9),0)</f>
        <v>#N/A</v>
      </c>
      <c r="B278" s="91" t="str">
        <f>VLOOKUP($F278,UpdateHashtag!$V$3:$Y$32,COLUMN(#REF!),0)</f>
        <v>#REF!</v>
      </c>
      <c r="C278" s="91" t="str">
        <f>VLOOKUP($F278,UpdateHashtag!$V$3:$Y$32,COLUMN(#REF!),0)</f>
        <v>#REF!</v>
      </c>
      <c r="D278" s="110" t="str">
        <f t="shared" si="2"/>
        <v>#N/A</v>
      </c>
      <c r="E278" s="11"/>
      <c r="F278" s="94" t="str">
        <f>VLOOKUP(J278,UpdateBBM!$C$2:E1009,3,0)</f>
        <v>#N/A</v>
      </c>
      <c r="G278" s="35">
        <v>264.0</v>
      </c>
      <c r="H278" s="111"/>
      <c r="I278" s="111"/>
      <c r="J278" s="112"/>
      <c r="K278" s="111"/>
      <c r="L278" s="113"/>
      <c r="M278" s="114"/>
      <c r="N278" s="115"/>
      <c r="O278" s="115"/>
      <c r="P278" s="116"/>
      <c r="Q278" s="116"/>
      <c r="R278" s="116"/>
      <c r="S278" s="117"/>
      <c r="T278" s="116"/>
      <c r="U278" s="116"/>
      <c r="V278" s="113"/>
      <c r="W278" s="113"/>
      <c r="X278" s="116"/>
      <c r="Y278" s="209"/>
      <c r="Z278" s="209"/>
      <c r="AA278" s="209"/>
      <c r="AB278" s="209"/>
      <c r="AC278" s="209"/>
      <c r="AD278" s="209"/>
      <c r="AE278" s="209"/>
      <c r="AF278" s="209"/>
      <c r="AG278" s="210"/>
      <c r="AH278" s="105"/>
      <c r="AI278" s="202"/>
      <c r="AJ278" s="63"/>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c r="BI278" s="105"/>
      <c r="BJ278" s="105"/>
      <c r="BK278" s="105"/>
      <c r="BL278" s="105"/>
      <c r="BM278" s="105"/>
      <c r="BN278" s="105"/>
      <c r="BO278" s="105"/>
      <c r="BP278" s="105"/>
      <c r="BQ278" s="105"/>
      <c r="BR278" s="105"/>
      <c r="BS278" s="105"/>
      <c r="BT278" s="105"/>
      <c r="BU278" s="105"/>
      <c r="BV278" s="105"/>
    </row>
    <row r="279">
      <c r="A279" s="91" t="str">
        <f>VLOOKUP($F279,UpdateHashtag!$V$3:$Y$32,COLUMN(B$9),0)</f>
        <v>#N/A</v>
      </c>
      <c r="B279" s="91" t="str">
        <f>VLOOKUP($F279,UpdateHashtag!$V$3:$Y$32,COLUMN(#REF!),0)</f>
        <v>#REF!</v>
      </c>
      <c r="C279" s="91" t="str">
        <f>VLOOKUP($F279,UpdateHashtag!$V$3:$Y$32,COLUMN(#REF!),0)</f>
        <v>#REF!</v>
      </c>
      <c r="D279" s="110" t="str">
        <f t="shared" si="2"/>
        <v>#N/A</v>
      </c>
      <c r="E279" s="11"/>
      <c r="F279" s="94" t="str">
        <f>VLOOKUP(J279,UpdateBBM!$C$2:E1009,3,0)</f>
        <v>#N/A</v>
      </c>
      <c r="G279" s="35">
        <v>265.0</v>
      </c>
      <c r="H279" s="111"/>
      <c r="I279" s="111"/>
      <c r="J279" s="112"/>
      <c r="K279" s="111"/>
      <c r="L279" s="113"/>
      <c r="M279" s="114"/>
      <c r="N279" s="115"/>
      <c r="O279" s="115"/>
      <c r="P279" s="116"/>
      <c r="Q279" s="116"/>
      <c r="R279" s="116"/>
      <c r="S279" s="117"/>
      <c r="T279" s="116"/>
      <c r="U279" s="116"/>
      <c r="V279" s="113"/>
      <c r="W279" s="113"/>
      <c r="X279" s="116"/>
      <c r="Y279" s="209"/>
      <c r="Z279" s="209"/>
      <c r="AA279" s="209"/>
      <c r="AB279" s="209"/>
      <c r="AC279" s="209"/>
      <c r="AD279" s="209"/>
      <c r="AE279" s="209"/>
      <c r="AF279" s="209"/>
      <c r="AG279" s="210"/>
      <c r="AH279" s="105"/>
      <c r="AI279" s="202"/>
      <c r="AJ279" s="63"/>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c r="BI279" s="105"/>
      <c r="BJ279" s="105"/>
      <c r="BK279" s="105"/>
      <c r="BL279" s="105"/>
      <c r="BM279" s="105"/>
      <c r="BN279" s="105"/>
      <c r="BO279" s="105"/>
      <c r="BP279" s="105"/>
      <c r="BQ279" s="105"/>
      <c r="BR279" s="105"/>
      <c r="BS279" s="105"/>
      <c r="BT279" s="105"/>
      <c r="BU279" s="105"/>
      <c r="BV279" s="105"/>
    </row>
    <row r="280">
      <c r="A280" s="91" t="str">
        <f>VLOOKUP($F280,UpdateHashtag!$V$3:$Y$32,COLUMN(B$9),0)</f>
        <v>#N/A</v>
      </c>
      <c r="B280" s="91" t="str">
        <f>VLOOKUP($F280,UpdateHashtag!$V$3:$Y$32,COLUMN(#REF!),0)</f>
        <v>#REF!</v>
      </c>
      <c r="C280" s="91" t="str">
        <f>VLOOKUP($F280,UpdateHashtag!$V$3:$Y$32,COLUMN(#REF!),0)</f>
        <v>#REF!</v>
      </c>
      <c r="D280" s="110" t="str">
        <f t="shared" si="2"/>
        <v>#N/A</v>
      </c>
      <c r="E280" s="11"/>
      <c r="F280" s="94" t="str">
        <f>VLOOKUP(J280,UpdateBBM!$C$2:E1009,3,0)</f>
        <v>#N/A</v>
      </c>
      <c r="G280" s="35">
        <v>266.0</v>
      </c>
      <c r="H280" s="111"/>
      <c r="I280" s="111"/>
      <c r="J280" s="112"/>
      <c r="K280" s="111"/>
      <c r="L280" s="113"/>
      <c r="M280" s="114"/>
      <c r="N280" s="115"/>
      <c r="O280" s="115"/>
      <c r="P280" s="116"/>
      <c r="Q280" s="116"/>
      <c r="R280" s="116"/>
      <c r="S280" s="117"/>
      <c r="T280" s="116"/>
      <c r="U280" s="116"/>
      <c r="V280" s="113"/>
      <c r="W280" s="113"/>
      <c r="X280" s="116"/>
      <c r="Y280" s="209"/>
      <c r="Z280" s="209"/>
      <c r="AA280" s="209"/>
      <c r="AB280" s="209"/>
      <c r="AC280" s="209"/>
      <c r="AD280" s="209"/>
      <c r="AE280" s="209"/>
      <c r="AF280" s="209"/>
      <c r="AG280" s="210"/>
      <c r="AH280" s="105"/>
      <c r="AI280" s="202"/>
      <c r="AJ280" s="63"/>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c r="BI280" s="105"/>
      <c r="BJ280" s="105"/>
      <c r="BK280" s="105"/>
      <c r="BL280" s="105"/>
      <c r="BM280" s="105"/>
      <c r="BN280" s="105"/>
      <c r="BO280" s="105"/>
      <c r="BP280" s="105"/>
      <c r="BQ280" s="105"/>
      <c r="BR280" s="105"/>
      <c r="BS280" s="105"/>
      <c r="BT280" s="105"/>
      <c r="BU280" s="105"/>
      <c r="BV280" s="105"/>
    </row>
    <row r="281">
      <c r="A281" s="91" t="str">
        <f>VLOOKUP($F281,UpdateHashtag!$V$3:$Y$32,COLUMN(B$9),0)</f>
        <v>#N/A</v>
      </c>
      <c r="B281" s="91" t="str">
        <f>VLOOKUP($F281,UpdateHashtag!$V$3:$Y$32,COLUMN(#REF!),0)</f>
        <v>#REF!</v>
      </c>
      <c r="C281" s="91" t="str">
        <f>VLOOKUP($F281,UpdateHashtag!$V$3:$Y$32,COLUMN(#REF!),0)</f>
        <v>#REF!</v>
      </c>
      <c r="D281" s="110" t="str">
        <f t="shared" si="2"/>
        <v>#N/A</v>
      </c>
      <c r="E281" s="11"/>
      <c r="F281" s="94" t="str">
        <f>VLOOKUP(J281,UpdateBBM!$C$2:E1009,3,0)</f>
        <v>#N/A</v>
      </c>
      <c r="G281" s="35">
        <v>267.0</v>
      </c>
      <c r="H281" s="111"/>
      <c r="I281" s="111"/>
      <c r="J281" s="112"/>
      <c r="K281" s="111"/>
      <c r="L281" s="113"/>
      <c r="M281" s="114"/>
      <c r="N281" s="115"/>
      <c r="O281" s="115"/>
      <c r="P281" s="116"/>
      <c r="Q281" s="116"/>
      <c r="R281" s="116"/>
      <c r="S281" s="117"/>
      <c r="T281" s="116"/>
      <c r="U281" s="116"/>
      <c r="V281" s="113"/>
      <c r="W281" s="113"/>
      <c r="X281" s="116"/>
      <c r="Y281" s="209"/>
      <c r="Z281" s="209"/>
      <c r="AA281" s="209"/>
      <c r="AB281" s="209"/>
      <c r="AC281" s="209"/>
      <c r="AD281" s="209"/>
      <c r="AE281" s="209"/>
      <c r="AF281" s="209"/>
      <c r="AG281" s="210"/>
      <c r="AH281" s="105"/>
      <c r="AI281" s="202"/>
      <c r="AJ281" s="63"/>
      <c r="AK281" s="105"/>
      <c r="AL281" s="105"/>
      <c r="AM281" s="105"/>
      <c r="AN281" s="105"/>
      <c r="AO281" s="105"/>
      <c r="AP281" s="105"/>
      <c r="AQ281" s="105"/>
      <c r="AR281" s="105"/>
      <c r="AS281" s="105"/>
      <c r="AT281" s="105"/>
      <c r="AU281" s="105"/>
      <c r="AV281" s="105"/>
      <c r="AW281" s="105"/>
      <c r="AX281" s="105"/>
      <c r="AY281" s="105"/>
      <c r="AZ281" s="105"/>
      <c r="BA281" s="105"/>
      <c r="BB281" s="105"/>
      <c r="BC281" s="105"/>
      <c r="BD281" s="105"/>
      <c r="BE281" s="105"/>
      <c r="BF281" s="105"/>
      <c r="BG281" s="105"/>
      <c r="BH281" s="105"/>
      <c r="BI281" s="105"/>
      <c r="BJ281" s="105"/>
      <c r="BK281" s="105"/>
      <c r="BL281" s="105"/>
      <c r="BM281" s="105"/>
      <c r="BN281" s="105"/>
      <c r="BO281" s="105"/>
      <c r="BP281" s="105"/>
      <c r="BQ281" s="105"/>
      <c r="BR281" s="105"/>
      <c r="BS281" s="105"/>
      <c r="BT281" s="105"/>
      <c r="BU281" s="105"/>
      <c r="BV281" s="105"/>
    </row>
    <row r="282">
      <c r="A282" s="91" t="str">
        <f>VLOOKUP($F282,UpdateHashtag!$V$3:$Y$32,COLUMN(B$9),0)</f>
        <v>#N/A</v>
      </c>
      <c r="B282" s="91" t="str">
        <f>VLOOKUP($F282,UpdateHashtag!$V$3:$Y$32,COLUMN(#REF!),0)</f>
        <v>#REF!</v>
      </c>
      <c r="C282" s="91" t="str">
        <f>VLOOKUP($F282,UpdateHashtag!$V$3:$Y$32,COLUMN(#REF!),0)</f>
        <v>#REF!</v>
      </c>
      <c r="D282" s="110" t="str">
        <f t="shared" si="2"/>
        <v>#N/A</v>
      </c>
      <c r="E282" s="11"/>
      <c r="F282" s="94" t="str">
        <f>VLOOKUP(J282,UpdateBBM!$C$2:E1009,3,0)</f>
        <v>#N/A</v>
      </c>
      <c r="G282" s="35">
        <v>268.0</v>
      </c>
      <c r="H282" s="111"/>
      <c r="I282" s="111"/>
      <c r="J282" s="112"/>
      <c r="K282" s="111"/>
      <c r="L282" s="113"/>
      <c r="M282" s="114"/>
      <c r="N282" s="115"/>
      <c r="O282" s="115"/>
      <c r="P282" s="116"/>
      <c r="Q282" s="116"/>
      <c r="R282" s="116"/>
      <c r="S282" s="117"/>
      <c r="T282" s="116"/>
      <c r="U282" s="116"/>
      <c r="V282" s="113"/>
      <c r="W282" s="113"/>
      <c r="X282" s="116"/>
      <c r="Y282" s="209"/>
      <c r="Z282" s="209"/>
      <c r="AA282" s="209"/>
      <c r="AB282" s="209"/>
      <c r="AC282" s="209"/>
      <c r="AD282" s="209"/>
      <c r="AE282" s="209"/>
      <c r="AF282" s="209"/>
      <c r="AG282" s="210"/>
      <c r="AH282" s="105"/>
      <c r="AI282" s="202"/>
      <c r="AJ282" s="63"/>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105"/>
      <c r="BT282" s="105"/>
      <c r="BU282" s="105"/>
      <c r="BV282" s="105"/>
    </row>
    <row r="283">
      <c r="A283" s="91" t="str">
        <f>VLOOKUP($F283,UpdateHashtag!$V$3:$Y$32,COLUMN(B$9),0)</f>
        <v>#N/A</v>
      </c>
      <c r="B283" s="91" t="str">
        <f>VLOOKUP($F283,UpdateHashtag!$V$3:$Y$32,COLUMN(#REF!),0)</f>
        <v>#REF!</v>
      </c>
      <c r="C283" s="91" t="str">
        <f>VLOOKUP($F283,UpdateHashtag!$V$3:$Y$32,COLUMN(#REF!),0)</f>
        <v>#REF!</v>
      </c>
      <c r="D283" s="110" t="str">
        <f t="shared" si="2"/>
        <v>#N/A</v>
      </c>
      <c r="E283" s="11"/>
      <c r="F283" s="94" t="str">
        <f>VLOOKUP(J283,UpdateBBM!$C$2:E1009,3,0)</f>
        <v>#N/A</v>
      </c>
      <c r="G283" s="35">
        <v>269.0</v>
      </c>
      <c r="H283" s="111"/>
      <c r="I283" s="111"/>
      <c r="J283" s="112"/>
      <c r="K283" s="111"/>
      <c r="L283" s="113"/>
      <c r="M283" s="114"/>
      <c r="N283" s="115"/>
      <c r="O283" s="115"/>
      <c r="P283" s="116"/>
      <c r="Q283" s="116"/>
      <c r="R283" s="116"/>
      <c r="S283" s="117"/>
      <c r="T283" s="116"/>
      <c r="U283" s="116"/>
      <c r="V283" s="113"/>
      <c r="W283" s="113"/>
      <c r="X283" s="116"/>
      <c r="Y283" s="209"/>
      <c r="Z283" s="209"/>
      <c r="AA283" s="209"/>
      <c r="AB283" s="209"/>
      <c r="AC283" s="209"/>
      <c r="AD283" s="209"/>
      <c r="AE283" s="209"/>
      <c r="AF283" s="209"/>
      <c r="AG283" s="210"/>
      <c r="AH283" s="105"/>
      <c r="AI283" s="202"/>
      <c r="AJ283" s="63"/>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c r="BI283" s="105"/>
      <c r="BJ283" s="105"/>
      <c r="BK283" s="105"/>
      <c r="BL283" s="105"/>
      <c r="BM283" s="105"/>
      <c r="BN283" s="105"/>
      <c r="BO283" s="105"/>
      <c r="BP283" s="105"/>
      <c r="BQ283" s="105"/>
      <c r="BR283" s="105"/>
      <c r="BS283" s="105"/>
      <c r="BT283" s="105"/>
      <c r="BU283" s="105"/>
      <c r="BV283" s="105"/>
    </row>
    <row r="284">
      <c r="A284" s="91" t="str">
        <f>VLOOKUP($F284,UpdateHashtag!$V$3:$Y$32,COLUMN(B$9),0)</f>
        <v>#N/A</v>
      </c>
      <c r="B284" s="91" t="str">
        <f>VLOOKUP($F284,UpdateHashtag!$V$3:$Y$32,COLUMN(#REF!),0)</f>
        <v>#REF!</v>
      </c>
      <c r="C284" s="91" t="str">
        <f>VLOOKUP($F284,UpdateHashtag!$V$3:$Y$32,COLUMN(#REF!),0)</f>
        <v>#REF!</v>
      </c>
      <c r="D284" s="110" t="str">
        <f t="shared" si="2"/>
        <v>#N/A</v>
      </c>
      <c r="E284" s="11"/>
      <c r="F284" s="94" t="str">
        <f>VLOOKUP(J284,UpdateBBM!$C$2:E1009,3,0)</f>
        <v>#N/A</v>
      </c>
      <c r="G284" s="35">
        <v>270.0</v>
      </c>
      <c r="H284" s="111"/>
      <c r="I284" s="111"/>
      <c r="J284" s="112"/>
      <c r="K284" s="111"/>
      <c r="L284" s="113"/>
      <c r="M284" s="114"/>
      <c r="N284" s="115"/>
      <c r="O284" s="115"/>
      <c r="P284" s="116"/>
      <c r="Q284" s="116"/>
      <c r="R284" s="116"/>
      <c r="S284" s="117"/>
      <c r="T284" s="116"/>
      <c r="U284" s="116"/>
      <c r="V284" s="113"/>
      <c r="W284" s="113"/>
      <c r="X284" s="116"/>
      <c r="Y284" s="209"/>
      <c r="Z284" s="209"/>
      <c r="AA284" s="209"/>
      <c r="AB284" s="209"/>
      <c r="AC284" s="209"/>
      <c r="AD284" s="209"/>
      <c r="AE284" s="209"/>
      <c r="AF284" s="209"/>
      <c r="AG284" s="210"/>
      <c r="AH284" s="105"/>
      <c r="AI284" s="202"/>
      <c r="AJ284" s="63"/>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c r="BI284" s="105"/>
      <c r="BJ284" s="105"/>
      <c r="BK284" s="105"/>
      <c r="BL284" s="105"/>
      <c r="BM284" s="105"/>
      <c r="BN284" s="105"/>
      <c r="BO284" s="105"/>
      <c r="BP284" s="105"/>
      <c r="BQ284" s="105"/>
      <c r="BR284" s="105"/>
      <c r="BS284" s="105"/>
      <c r="BT284" s="105"/>
      <c r="BU284" s="105"/>
      <c r="BV284" s="105"/>
    </row>
    <row r="285">
      <c r="A285" s="91" t="str">
        <f>VLOOKUP($F285,UpdateHashtag!$V$3:$Y$32,COLUMN(B$9),0)</f>
        <v>#N/A</v>
      </c>
      <c r="B285" s="91" t="str">
        <f>VLOOKUP($F285,UpdateHashtag!$V$3:$Y$32,COLUMN(#REF!),0)</f>
        <v>#REF!</v>
      </c>
      <c r="C285" s="91" t="str">
        <f>VLOOKUP($F285,UpdateHashtag!$V$3:$Y$32,COLUMN(#REF!),0)</f>
        <v>#REF!</v>
      </c>
      <c r="D285" s="110" t="str">
        <f t="shared" si="2"/>
        <v>#N/A</v>
      </c>
      <c r="E285" s="11"/>
      <c r="F285" s="94" t="str">
        <f>VLOOKUP(J285,UpdateBBM!$C$2:E1009,3,0)</f>
        <v>#N/A</v>
      </c>
      <c r="G285" s="35">
        <v>271.0</v>
      </c>
      <c r="H285" s="111"/>
      <c r="I285" s="111"/>
      <c r="J285" s="112"/>
      <c r="K285" s="111"/>
      <c r="L285" s="113"/>
      <c r="M285" s="114"/>
      <c r="N285" s="115"/>
      <c r="O285" s="115"/>
      <c r="P285" s="116"/>
      <c r="Q285" s="116"/>
      <c r="R285" s="116"/>
      <c r="S285" s="117"/>
      <c r="T285" s="116"/>
      <c r="U285" s="116"/>
      <c r="V285" s="113"/>
      <c r="W285" s="113"/>
      <c r="X285" s="116"/>
      <c r="Y285" s="209"/>
      <c r="Z285" s="209"/>
      <c r="AA285" s="209"/>
      <c r="AB285" s="209"/>
      <c r="AC285" s="209"/>
      <c r="AD285" s="209"/>
      <c r="AE285" s="209"/>
      <c r="AF285" s="209"/>
      <c r="AG285" s="210"/>
      <c r="AH285" s="105"/>
      <c r="AI285" s="202"/>
      <c r="AJ285" s="63"/>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c r="BI285" s="105"/>
      <c r="BJ285" s="105"/>
      <c r="BK285" s="105"/>
      <c r="BL285" s="105"/>
      <c r="BM285" s="105"/>
      <c r="BN285" s="105"/>
      <c r="BO285" s="105"/>
      <c r="BP285" s="105"/>
      <c r="BQ285" s="105"/>
      <c r="BR285" s="105"/>
      <c r="BS285" s="105"/>
      <c r="BT285" s="105"/>
      <c r="BU285" s="105"/>
      <c r="BV285" s="105"/>
    </row>
    <row r="286">
      <c r="A286" s="91" t="str">
        <f>VLOOKUP($F286,UpdateHashtag!$V$3:$Y$32,COLUMN(B$9),0)</f>
        <v>#N/A</v>
      </c>
      <c r="B286" s="91" t="str">
        <f>VLOOKUP($F286,UpdateHashtag!$V$3:$Y$32,COLUMN(#REF!),0)</f>
        <v>#REF!</v>
      </c>
      <c r="C286" s="91" t="str">
        <f>VLOOKUP($F286,UpdateHashtag!$V$3:$Y$32,COLUMN(#REF!),0)</f>
        <v>#REF!</v>
      </c>
      <c r="D286" s="110" t="str">
        <f t="shared" si="2"/>
        <v>#N/A</v>
      </c>
      <c r="E286" s="11"/>
      <c r="F286" s="94" t="str">
        <f>VLOOKUP(J286,UpdateBBM!$C$2:E1009,3,0)</f>
        <v>#N/A</v>
      </c>
      <c r="G286" s="35">
        <v>272.0</v>
      </c>
      <c r="H286" s="111"/>
      <c r="I286" s="111"/>
      <c r="J286" s="112"/>
      <c r="K286" s="111"/>
      <c r="L286" s="113"/>
      <c r="M286" s="114"/>
      <c r="N286" s="115"/>
      <c r="O286" s="115"/>
      <c r="P286" s="116"/>
      <c r="Q286" s="116"/>
      <c r="R286" s="116"/>
      <c r="S286" s="117"/>
      <c r="T286" s="116"/>
      <c r="U286" s="116"/>
      <c r="V286" s="113"/>
      <c r="W286" s="113"/>
      <c r="X286" s="116"/>
      <c r="Y286" s="209"/>
      <c r="Z286" s="209"/>
      <c r="AA286" s="209"/>
      <c r="AB286" s="209"/>
      <c r="AC286" s="209"/>
      <c r="AD286" s="209"/>
      <c r="AE286" s="209"/>
      <c r="AF286" s="209"/>
      <c r="AG286" s="210"/>
      <c r="AH286" s="105"/>
      <c r="AI286" s="202"/>
      <c r="AJ286" s="63"/>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c r="BI286" s="105"/>
      <c r="BJ286" s="105"/>
      <c r="BK286" s="105"/>
      <c r="BL286" s="105"/>
      <c r="BM286" s="105"/>
      <c r="BN286" s="105"/>
      <c r="BO286" s="105"/>
      <c r="BP286" s="105"/>
      <c r="BQ286" s="105"/>
      <c r="BR286" s="105"/>
      <c r="BS286" s="105"/>
      <c r="BT286" s="105"/>
      <c r="BU286" s="105"/>
      <c r="BV286" s="105"/>
    </row>
    <row r="287">
      <c r="A287" s="91" t="str">
        <f>VLOOKUP($F287,UpdateHashtag!$V$3:$Y$32,COLUMN(B$9),0)</f>
        <v>#N/A</v>
      </c>
      <c r="B287" s="91" t="str">
        <f>VLOOKUP($F287,UpdateHashtag!$V$3:$Y$32,COLUMN(#REF!),0)</f>
        <v>#REF!</v>
      </c>
      <c r="C287" s="91" t="str">
        <f>VLOOKUP($F287,UpdateHashtag!$V$3:$Y$32,COLUMN(#REF!),0)</f>
        <v>#REF!</v>
      </c>
      <c r="D287" s="110" t="str">
        <f t="shared" si="2"/>
        <v>#N/A</v>
      </c>
      <c r="E287" s="11"/>
      <c r="F287" s="94" t="str">
        <f>VLOOKUP(J287,UpdateBBM!$C$2:E1009,3,0)</f>
        <v>#N/A</v>
      </c>
      <c r="G287" s="35">
        <v>273.0</v>
      </c>
      <c r="H287" s="111"/>
      <c r="I287" s="111"/>
      <c r="J287" s="112"/>
      <c r="K287" s="111"/>
      <c r="L287" s="113"/>
      <c r="M287" s="114"/>
      <c r="N287" s="115"/>
      <c r="O287" s="115"/>
      <c r="P287" s="116"/>
      <c r="Q287" s="116"/>
      <c r="R287" s="116"/>
      <c r="S287" s="117"/>
      <c r="T287" s="116"/>
      <c r="U287" s="116"/>
      <c r="V287" s="113"/>
      <c r="W287" s="113"/>
      <c r="X287" s="116"/>
      <c r="Y287" s="209"/>
      <c r="Z287" s="209"/>
      <c r="AA287" s="209"/>
      <c r="AB287" s="209"/>
      <c r="AC287" s="209"/>
      <c r="AD287" s="209"/>
      <c r="AE287" s="209"/>
      <c r="AF287" s="209"/>
      <c r="AG287" s="210"/>
      <c r="AH287" s="105"/>
      <c r="AI287" s="202"/>
      <c r="AJ287" s="63"/>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c r="BI287" s="105"/>
      <c r="BJ287" s="105"/>
      <c r="BK287" s="105"/>
      <c r="BL287" s="105"/>
      <c r="BM287" s="105"/>
      <c r="BN287" s="105"/>
      <c r="BO287" s="105"/>
      <c r="BP287" s="105"/>
      <c r="BQ287" s="105"/>
      <c r="BR287" s="105"/>
      <c r="BS287" s="105"/>
      <c r="BT287" s="105"/>
      <c r="BU287" s="105"/>
      <c r="BV287" s="105"/>
    </row>
    <row r="288">
      <c r="A288" s="91" t="str">
        <f>VLOOKUP($F288,UpdateHashtag!$V$3:$Y$32,COLUMN(B$9),0)</f>
        <v>#N/A</v>
      </c>
      <c r="B288" s="91" t="str">
        <f>VLOOKUP($F288,UpdateHashtag!$V$3:$Y$32,COLUMN(#REF!),0)</f>
        <v>#REF!</v>
      </c>
      <c r="C288" s="91" t="str">
        <f>VLOOKUP($F288,UpdateHashtag!$V$3:$Y$32,COLUMN(#REF!),0)</f>
        <v>#REF!</v>
      </c>
      <c r="D288" s="110" t="str">
        <f t="shared" si="2"/>
        <v>#N/A</v>
      </c>
      <c r="E288" s="11"/>
      <c r="F288" s="94" t="str">
        <f>VLOOKUP(J288,UpdateBBM!$C$2:E1009,3,0)</f>
        <v>#N/A</v>
      </c>
      <c r="G288" s="35">
        <v>274.0</v>
      </c>
      <c r="H288" s="111"/>
      <c r="I288" s="111"/>
      <c r="J288" s="112"/>
      <c r="K288" s="111"/>
      <c r="L288" s="113"/>
      <c r="M288" s="114"/>
      <c r="N288" s="115"/>
      <c r="O288" s="115"/>
      <c r="P288" s="116"/>
      <c r="Q288" s="116"/>
      <c r="R288" s="116"/>
      <c r="S288" s="117"/>
      <c r="T288" s="116"/>
      <c r="U288" s="116"/>
      <c r="V288" s="113"/>
      <c r="W288" s="113"/>
      <c r="X288" s="116"/>
      <c r="Y288" s="209"/>
      <c r="Z288" s="209"/>
      <c r="AA288" s="209"/>
      <c r="AB288" s="209"/>
      <c r="AC288" s="209"/>
      <c r="AD288" s="209"/>
      <c r="AE288" s="209"/>
      <c r="AF288" s="209"/>
      <c r="AG288" s="210"/>
      <c r="AH288" s="105"/>
      <c r="AI288" s="202"/>
      <c r="AJ288" s="63"/>
      <c r="AK288" s="105"/>
      <c r="AL288" s="105"/>
      <c r="AM288" s="105"/>
      <c r="AN288" s="105"/>
      <c r="AO288" s="105"/>
      <c r="AP288" s="105"/>
      <c r="AQ288" s="105"/>
      <c r="AR288" s="105"/>
      <c r="AS288" s="105"/>
      <c r="AT288" s="105"/>
      <c r="AU288" s="105"/>
      <c r="AV288" s="105"/>
      <c r="AW288" s="105"/>
      <c r="AX288" s="105"/>
      <c r="AY288" s="105"/>
      <c r="AZ288" s="105"/>
      <c r="BA288" s="105"/>
      <c r="BB288" s="105"/>
      <c r="BC288" s="105"/>
      <c r="BD288" s="105"/>
      <c r="BE288" s="105"/>
      <c r="BF288" s="105"/>
      <c r="BG288" s="105"/>
      <c r="BH288" s="105"/>
      <c r="BI288" s="105"/>
      <c r="BJ288" s="105"/>
      <c r="BK288" s="105"/>
      <c r="BL288" s="105"/>
      <c r="BM288" s="105"/>
      <c r="BN288" s="105"/>
      <c r="BO288" s="105"/>
      <c r="BP288" s="105"/>
      <c r="BQ288" s="105"/>
      <c r="BR288" s="105"/>
      <c r="BS288" s="105"/>
      <c r="BT288" s="105"/>
      <c r="BU288" s="105"/>
      <c r="BV288" s="105"/>
    </row>
    <row r="289">
      <c r="A289" s="91" t="str">
        <f>VLOOKUP($F289,UpdateHashtag!$V$3:$Y$32,COLUMN(B$9),0)</f>
        <v>#N/A</v>
      </c>
      <c r="B289" s="91" t="str">
        <f>VLOOKUP($F289,UpdateHashtag!$V$3:$Y$32,COLUMN(#REF!),0)</f>
        <v>#REF!</v>
      </c>
      <c r="C289" s="91" t="str">
        <f>VLOOKUP($F289,UpdateHashtag!$V$3:$Y$32,COLUMN(#REF!),0)</f>
        <v>#REF!</v>
      </c>
      <c r="D289" s="110" t="str">
        <f t="shared" si="2"/>
        <v>#N/A</v>
      </c>
      <c r="E289" s="11"/>
      <c r="F289" s="94" t="str">
        <f>VLOOKUP(J289,UpdateBBM!$C$2:E1009,3,0)</f>
        <v>#N/A</v>
      </c>
      <c r="G289" s="35">
        <v>275.0</v>
      </c>
      <c r="H289" s="111"/>
      <c r="I289" s="111"/>
      <c r="J289" s="112"/>
      <c r="K289" s="111"/>
      <c r="L289" s="113"/>
      <c r="M289" s="114"/>
      <c r="N289" s="115"/>
      <c r="O289" s="115"/>
      <c r="P289" s="116"/>
      <c r="Q289" s="116"/>
      <c r="R289" s="116"/>
      <c r="S289" s="117"/>
      <c r="T289" s="116"/>
      <c r="U289" s="116"/>
      <c r="V289" s="113"/>
      <c r="W289" s="113"/>
      <c r="X289" s="116"/>
      <c r="Y289" s="209"/>
      <c r="Z289" s="209"/>
      <c r="AA289" s="209"/>
      <c r="AB289" s="209"/>
      <c r="AC289" s="209"/>
      <c r="AD289" s="209"/>
      <c r="AE289" s="209"/>
      <c r="AF289" s="209"/>
      <c r="AG289" s="210"/>
      <c r="AH289" s="105"/>
      <c r="AI289" s="202"/>
      <c r="AJ289" s="63"/>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c r="BI289" s="105"/>
      <c r="BJ289" s="105"/>
      <c r="BK289" s="105"/>
      <c r="BL289" s="105"/>
      <c r="BM289" s="105"/>
      <c r="BN289" s="105"/>
      <c r="BO289" s="105"/>
      <c r="BP289" s="105"/>
      <c r="BQ289" s="105"/>
      <c r="BR289" s="105"/>
      <c r="BS289" s="105"/>
      <c r="BT289" s="105"/>
      <c r="BU289" s="105"/>
      <c r="BV289" s="105"/>
    </row>
    <row r="290">
      <c r="A290" s="91" t="str">
        <f>VLOOKUP($F290,UpdateHashtag!$V$3:$Y$32,COLUMN(B$9),0)</f>
        <v>#N/A</v>
      </c>
      <c r="B290" s="91" t="str">
        <f>VLOOKUP($F290,UpdateHashtag!$V$3:$Y$32,COLUMN(#REF!),0)</f>
        <v>#REF!</v>
      </c>
      <c r="C290" s="91" t="str">
        <f>VLOOKUP($F290,UpdateHashtag!$V$3:$Y$32,COLUMN(#REF!),0)</f>
        <v>#REF!</v>
      </c>
      <c r="D290" s="110" t="str">
        <f t="shared" si="2"/>
        <v>#N/A</v>
      </c>
      <c r="E290" s="11"/>
      <c r="F290" s="94" t="str">
        <f>VLOOKUP(J290,UpdateBBM!$C$2:E1009,3,0)</f>
        <v>#N/A</v>
      </c>
      <c r="G290" s="35">
        <v>276.0</v>
      </c>
      <c r="H290" s="111"/>
      <c r="I290" s="111"/>
      <c r="J290" s="112"/>
      <c r="K290" s="111"/>
      <c r="L290" s="113"/>
      <c r="M290" s="114"/>
      <c r="N290" s="115"/>
      <c r="O290" s="115"/>
      <c r="P290" s="116"/>
      <c r="Q290" s="116"/>
      <c r="R290" s="116"/>
      <c r="S290" s="117"/>
      <c r="T290" s="116"/>
      <c r="U290" s="116"/>
      <c r="V290" s="113"/>
      <c r="W290" s="113"/>
      <c r="X290" s="116"/>
      <c r="Y290" s="209"/>
      <c r="Z290" s="209"/>
      <c r="AA290" s="209"/>
      <c r="AB290" s="209"/>
      <c r="AC290" s="209"/>
      <c r="AD290" s="209"/>
      <c r="AE290" s="209"/>
      <c r="AF290" s="209"/>
      <c r="AG290" s="210"/>
      <c r="AH290" s="105"/>
      <c r="AI290" s="202"/>
      <c r="AJ290" s="63"/>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c r="BI290" s="105"/>
      <c r="BJ290" s="105"/>
      <c r="BK290" s="105"/>
      <c r="BL290" s="105"/>
      <c r="BM290" s="105"/>
      <c r="BN290" s="105"/>
      <c r="BO290" s="105"/>
      <c r="BP290" s="105"/>
      <c r="BQ290" s="105"/>
      <c r="BR290" s="105"/>
      <c r="BS290" s="105"/>
      <c r="BT290" s="105"/>
      <c r="BU290" s="105"/>
      <c r="BV290" s="105"/>
    </row>
    <row r="291">
      <c r="A291" s="91" t="str">
        <f>VLOOKUP($F291,UpdateHashtag!$V$3:$Y$32,COLUMN(B$9),0)</f>
        <v>#N/A</v>
      </c>
      <c r="B291" s="91" t="str">
        <f>VLOOKUP($F291,UpdateHashtag!$V$3:$Y$32,COLUMN(#REF!),0)</f>
        <v>#REF!</v>
      </c>
      <c r="C291" s="91" t="str">
        <f>VLOOKUP($F291,UpdateHashtag!$V$3:$Y$32,COLUMN(#REF!),0)</f>
        <v>#REF!</v>
      </c>
      <c r="D291" s="110" t="str">
        <f t="shared" si="2"/>
        <v>#N/A</v>
      </c>
      <c r="E291" s="11"/>
      <c r="F291" s="94" t="str">
        <f>VLOOKUP(J291,UpdateBBM!$C$2:E1009,3,0)</f>
        <v>#N/A</v>
      </c>
      <c r="G291" s="35">
        <v>277.0</v>
      </c>
      <c r="H291" s="111"/>
      <c r="I291" s="111"/>
      <c r="J291" s="112"/>
      <c r="K291" s="111"/>
      <c r="L291" s="113"/>
      <c r="M291" s="114"/>
      <c r="N291" s="115"/>
      <c r="O291" s="115"/>
      <c r="P291" s="116"/>
      <c r="Q291" s="116"/>
      <c r="R291" s="116"/>
      <c r="S291" s="117"/>
      <c r="T291" s="116"/>
      <c r="U291" s="116"/>
      <c r="V291" s="113"/>
      <c r="W291" s="113"/>
      <c r="X291" s="116"/>
      <c r="Y291" s="209"/>
      <c r="Z291" s="209"/>
      <c r="AA291" s="209"/>
      <c r="AB291" s="209"/>
      <c r="AC291" s="209"/>
      <c r="AD291" s="209"/>
      <c r="AE291" s="209"/>
      <c r="AF291" s="209"/>
      <c r="AG291" s="210"/>
      <c r="AH291" s="105"/>
      <c r="AI291" s="202"/>
      <c r="AJ291" s="63"/>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c r="BI291" s="105"/>
      <c r="BJ291" s="105"/>
      <c r="BK291" s="105"/>
      <c r="BL291" s="105"/>
      <c r="BM291" s="105"/>
      <c r="BN291" s="105"/>
      <c r="BO291" s="105"/>
      <c r="BP291" s="105"/>
      <c r="BQ291" s="105"/>
      <c r="BR291" s="105"/>
      <c r="BS291" s="105"/>
      <c r="BT291" s="105"/>
      <c r="BU291" s="105"/>
      <c r="BV291" s="105"/>
    </row>
    <row r="292">
      <c r="A292" s="91" t="str">
        <f>VLOOKUP($F292,UpdateHashtag!$V$3:$Y$32,COLUMN(B$9),0)</f>
        <v>#N/A</v>
      </c>
      <c r="B292" s="91" t="str">
        <f>VLOOKUP($F292,UpdateHashtag!$V$3:$Y$32,COLUMN(#REF!),0)</f>
        <v>#REF!</v>
      </c>
      <c r="C292" s="91" t="str">
        <f>VLOOKUP($F292,UpdateHashtag!$V$3:$Y$32,COLUMN(#REF!),0)</f>
        <v>#REF!</v>
      </c>
      <c r="D292" s="110" t="str">
        <f t="shared" si="2"/>
        <v>#N/A</v>
      </c>
      <c r="E292" s="11"/>
      <c r="F292" s="94" t="str">
        <f>VLOOKUP(J292,UpdateBBM!$C$2:E1009,3,0)</f>
        <v>#N/A</v>
      </c>
      <c r="G292" s="35">
        <v>278.0</v>
      </c>
      <c r="H292" s="111"/>
      <c r="I292" s="111"/>
      <c r="J292" s="112"/>
      <c r="K292" s="111"/>
      <c r="L292" s="113"/>
      <c r="M292" s="114"/>
      <c r="N292" s="115"/>
      <c r="O292" s="115"/>
      <c r="P292" s="116"/>
      <c r="Q292" s="116"/>
      <c r="R292" s="116"/>
      <c r="S292" s="117"/>
      <c r="T292" s="116"/>
      <c r="U292" s="116"/>
      <c r="V292" s="113"/>
      <c r="W292" s="113"/>
      <c r="X292" s="116"/>
      <c r="Y292" s="209"/>
      <c r="Z292" s="209"/>
      <c r="AA292" s="209"/>
      <c r="AB292" s="209"/>
      <c r="AC292" s="209"/>
      <c r="AD292" s="209"/>
      <c r="AE292" s="209"/>
      <c r="AF292" s="209"/>
      <c r="AG292" s="210"/>
      <c r="AH292" s="105"/>
      <c r="AI292" s="202"/>
      <c r="AJ292" s="63"/>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c r="BI292" s="105"/>
      <c r="BJ292" s="105"/>
      <c r="BK292" s="105"/>
      <c r="BL292" s="105"/>
      <c r="BM292" s="105"/>
      <c r="BN292" s="105"/>
      <c r="BO292" s="105"/>
      <c r="BP292" s="105"/>
      <c r="BQ292" s="105"/>
      <c r="BR292" s="105"/>
      <c r="BS292" s="105"/>
      <c r="BT292" s="105"/>
      <c r="BU292" s="105"/>
      <c r="BV292" s="105"/>
    </row>
    <row r="293">
      <c r="A293" s="91" t="str">
        <f>VLOOKUP($F293,UpdateHashtag!$V$3:$Y$32,COLUMN(B$9),0)</f>
        <v>#N/A</v>
      </c>
      <c r="B293" s="91" t="str">
        <f>VLOOKUP($F293,UpdateHashtag!$V$3:$Y$32,COLUMN(#REF!),0)</f>
        <v>#REF!</v>
      </c>
      <c r="C293" s="91" t="str">
        <f>VLOOKUP($F293,UpdateHashtag!$V$3:$Y$32,COLUMN(#REF!),0)</f>
        <v>#REF!</v>
      </c>
      <c r="D293" s="110" t="str">
        <f t="shared" si="2"/>
        <v>#N/A</v>
      </c>
      <c r="E293" s="11"/>
      <c r="F293" s="94" t="str">
        <f>VLOOKUP(J293,UpdateBBM!$C$2:E1009,3,0)</f>
        <v>#N/A</v>
      </c>
      <c r="G293" s="35">
        <v>279.0</v>
      </c>
      <c r="H293" s="111"/>
      <c r="I293" s="111"/>
      <c r="J293" s="112"/>
      <c r="K293" s="111"/>
      <c r="L293" s="113"/>
      <c r="M293" s="114"/>
      <c r="N293" s="115"/>
      <c r="O293" s="115"/>
      <c r="P293" s="116"/>
      <c r="Q293" s="116"/>
      <c r="R293" s="116"/>
      <c r="S293" s="117"/>
      <c r="T293" s="116"/>
      <c r="U293" s="116"/>
      <c r="V293" s="113"/>
      <c r="W293" s="113"/>
      <c r="X293" s="116"/>
      <c r="Y293" s="209"/>
      <c r="Z293" s="209"/>
      <c r="AA293" s="209"/>
      <c r="AB293" s="209"/>
      <c r="AC293" s="209"/>
      <c r="AD293" s="209"/>
      <c r="AE293" s="209"/>
      <c r="AF293" s="209"/>
      <c r="AG293" s="210"/>
      <c r="AH293" s="105"/>
      <c r="AI293" s="202"/>
      <c r="AJ293" s="63"/>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c r="BI293" s="105"/>
      <c r="BJ293" s="105"/>
      <c r="BK293" s="105"/>
      <c r="BL293" s="105"/>
      <c r="BM293" s="105"/>
      <c r="BN293" s="105"/>
      <c r="BO293" s="105"/>
      <c r="BP293" s="105"/>
      <c r="BQ293" s="105"/>
      <c r="BR293" s="105"/>
      <c r="BS293" s="105"/>
      <c r="BT293" s="105"/>
      <c r="BU293" s="105"/>
      <c r="BV293" s="105"/>
    </row>
    <row r="294">
      <c r="A294" s="91" t="str">
        <f>VLOOKUP($F294,UpdateHashtag!$V$3:$Y$32,COLUMN(B$9),0)</f>
        <v>#N/A</v>
      </c>
      <c r="B294" s="91" t="str">
        <f>VLOOKUP($F294,UpdateHashtag!$V$3:$Y$32,COLUMN(#REF!),0)</f>
        <v>#REF!</v>
      </c>
      <c r="C294" s="91" t="str">
        <f>VLOOKUP($F294,UpdateHashtag!$V$3:$Y$32,COLUMN(#REF!),0)</f>
        <v>#REF!</v>
      </c>
      <c r="D294" s="110" t="str">
        <f t="shared" si="2"/>
        <v>#N/A</v>
      </c>
      <c r="E294" s="11"/>
      <c r="F294" s="94" t="str">
        <f>VLOOKUP(J294,UpdateBBM!$C$2:E1009,3,0)</f>
        <v>#N/A</v>
      </c>
      <c r="G294" s="35">
        <v>280.0</v>
      </c>
      <c r="H294" s="111"/>
      <c r="I294" s="111"/>
      <c r="J294" s="112"/>
      <c r="K294" s="111"/>
      <c r="L294" s="113"/>
      <c r="M294" s="114"/>
      <c r="N294" s="115"/>
      <c r="O294" s="115"/>
      <c r="P294" s="116"/>
      <c r="Q294" s="116"/>
      <c r="R294" s="116"/>
      <c r="S294" s="117"/>
      <c r="T294" s="116"/>
      <c r="U294" s="116"/>
      <c r="V294" s="113"/>
      <c r="W294" s="113"/>
      <c r="X294" s="116"/>
      <c r="Y294" s="209"/>
      <c r="Z294" s="209"/>
      <c r="AA294" s="209"/>
      <c r="AB294" s="209"/>
      <c r="AC294" s="209"/>
      <c r="AD294" s="209"/>
      <c r="AE294" s="209"/>
      <c r="AF294" s="209"/>
      <c r="AG294" s="210"/>
      <c r="AH294" s="105"/>
      <c r="AI294" s="202"/>
      <c r="AJ294" s="63"/>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c r="BI294" s="105"/>
      <c r="BJ294" s="105"/>
      <c r="BK294" s="105"/>
      <c r="BL294" s="105"/>
      <c r="BM294" s="105"/>
      <c r="BN294" s="105"/>
      <c r="BO294" s="105"/>
      <c r="BP294" s="105"/>
      <c r="BQ294" s="105"/>
      <c r="BR294" s="105"/>
      <c r="BS294" s="105"/>
      <c r="BT294" s="105"/>
      <c r="BU294" s="105"/>
      <c r="BV294" s="105"/>
    </row>
    <row r="295">
      <c r="A295" s="91" t="str">
        <f>VLOOKUP($F295,UpdateHashtag!$V$3:$Y$32,COLUMN(B$9),0)</f>
        <v>#N/A</v>
      </c>
      <c r="B295" s="91" t="str">
        <f>VLOOKUP($F295,UpdateHashtag!$V$3:$Y$32,COLUMN(#REF!),0)</f>
        <v>#REF!</v>
      </c>
      <c r="C295" s="91" t="str">
        <f>VLOOKUP($F295,UpdateHashtag!$V$3:$Y$32,COLUMN(#REF!),0)</f>
        <v>#REF!</v>
      </c>
      <c r="D295" s="110" t="str">
        <f t="shared" si="2"/>
        <v>#N/A</v>
      </c>
      <c r="E295" s="11"/>
      <c r="F295" s="94" t="str">
        <f>VLOOKUP(J295,UpdateBBM!$C$2:E1009,3,0)</f>
        <v>#N/A</v>
      </c>
      <c r="G295" s="35">
        <v>281.0</v>
      </c>
      <c r="H295" s="111"/>
      <c r="I295" s="111"/>
      <c r="J295" s="112"/>
      <c r="K295" s="111"/>
      <c r="L295" s="113"/>
      <c r="M295" s="114"/>
      <c r="N295" s="115"/>
      <c r="O295" s="115"/>
      <c r="P295" s="116"/>
      <c r="Q295" s="116"/>
      <c r="R295" s="116"/>
      <c r="S295" s="117"/>
      <c r="T295" s="116"/>
      <c r="U295" s="116"/>
      <c r="V295" s="113"/>
      <c r="W295" s="113"/>
      <c r="X295" s="116"/>
      <c r="Y295" s="209"/>
      <c r="Z295" s="209"/>
      <c r="AA295" s="209"/>
      <c r="AB295" s="209"/>
      <c r="AC295" s="209"/>
      <c r="AD295" s="209"/>
      <c r="AE295" s="209"/>
      <c r="AF295" s="209"/>
      <c r="AG295" s="210"/>
      <c r="AH295" s="105"/>
      <c r="AI295" s="202"/>
      <c r="AJ295" s="63"/>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c r="BI295" s="105"/>
      <c r="BJ295" s="105"/>
      <c r="BK295" s="105"/>
      <c r="BL295" s="105"/>
      <c r="BM295" s="105"/>
      <c r="BN295" s="105"/>
      <c r="BO295" s="105"/>
      <c r="BP295" s="105"/>
      <c r="BQ295" s="105"/>
      <c r="BR295" s="105"/>
      <c r="BS295" s="105"/>
      <c r="BT295" s="105"/>
      <c r="BU295" s="105"/>
      <c r="BV295" s="105"/>
    </row>
    <row r="296">
      <c r="A296" s="91" t="str">
        <f>VLOOKUP($F296,UpdateHashtag!$V$3:$Y$32,COLUMN(B$9),0)</f>
        <v>#N/A</v>
      </c>
      <c r="B296" s="91" t="str">
        <f>VLOOKUP($F296,UpdateHashtag!$V$3:$Y$32,COLUMN(#REF!),0)</f>
        <v>#REF!</v>
      </c>
      <c r="C296" s="91" t="str">
        <f>VLOOKUP($F296,UpdateHashtag!$V$3:$Y$32,COLUMN(#REF!),0)</f>
        <v>#REF!</v>
      </c>
      <c r="D296" s="110" t="str">
        <f t="shared" si="2"/>
        <v>#N/A</v>
      </c>
      <c r="E296" s="11"/>
      <c r="F296" s="94" t="str">
        <f>VLOOKUP(J296,UpdateBBM!$C$2:E1009,3,0)</f>
        <v>#N/A</v>
      </c>
      <c r="G296" s="35">
        <v>282.0</v>
      </c>
      <c r="H296" s="111"/>
      <c r="I296" s="111"/>
      <c r="J296" s="112"/>
      <c r="K296" s="111"/>
      <c r="L296" s="113"/>
      <c r="M296" s="114"/>
      <c r="N296" s="115"/>
      <c r="O296" s="115"/>
      <c r="P296" s="116"/>
      <c r="Q296" s="116"/>
      <c r="R296" s="116"/>
      <c r="S296" s="117"/>
      <c r="T296" s="116"/>
      <c r="U296" s="116"/>
      <c r="V296" s="113"/>
      <c r="W296" s="113"/>
      <c r="X296" s="116"/>
      <c r="Y296" s="209"/>
      <c r="Z296" s="209"/>
      <c r="AA296" s="209"/>
      <c r="AB296" s="209"/>
      <c r="AC296" s="209"/>
      <c r="AD296" s="209"/>
      <c r="AE296" s="209"/>
      <c r="AF296" s="209"/>
      <c r="AG296" s="210"/>
      <c r="AH296" s="105"/>
      <c r="AI296" s="202"/>
      <c r="AJ296" s="63"/>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c r="BI296" s="105"/>
      <c r="BJ296" s="105"/>
      <c r="BK296" s="105"/>
      <c r="BL296" s="105"/>
      <c r="BM296" s="105"/>
      <c r="BN296" s="105"/>
      <c r="BO296" s="105"/>
      <c r="BP296" s="105"/>
      <c r="BQ296" s="105"/>
      <c r="BR296" s="105"/>
      <c r="BS296" s="105"/>
      <c r="BT296" s="105"/>
      <c r="BU296" s="105"/>
      <c r="BV296" s="105"/>
    </row>
    <row r="297">
      <c r="A297" s="91" t="str">
        <f>VLOOKUP($F297,UpdateHashtag!$V$3:$Y$32,COLUMN(B$9),0)</f>
        <v>#N/A</v>
      </c>
      <c r="B297" s="91" t="str">
        <f>VLOOKUP($F297,UpdateHashtag!$V$3:$Y$32,COLUMN(#REF!),0)</f>
        <v>#REF!</v>
      </c>
      <c r="C297" s="91" t="str">
        <f>VLOOKUP($F297,UpdateHashtag!$V$3:$Y$32,COLUMN(#REF!),0)</f>
        <v>#REF!</v>
      </c>
      <c r="D297" s="110" t="str">
        <f t="shared" si="2"/>
        <v>#N/A</v>
      </c>
      <c r="E297" s="11"/>
      <c r="F297" s="94" t="str">
        <f>VLOOKUP(J297,UpdateBBM!$C$2:E1009,3,0)</f>
        <v>#N/A</v>
      </c>
      <c r="G297" s="35">
        <v>283.0</v>
      </c>
      <c r="H297" s="111"/>
      <c r="I297" s="111"/>
      <c r="J297" s="112"/>
      <c r="K297" s="111"/>
      <c r="L297" s="113"/>
      <c r="M297" s="114"/>
      <c r="N297" s="115"/>
      <c r="O297" s="115"/>
      <c r="P297" s="116"/>
      <c r="Q297" s="116"/>
      <c r="R297" s="116"/>
      <c r="S297" s="117"/>
      <c r="T297" s="116"/>
      <c r="U297" s="116"/>
      <c r="V297" s="113"/>
      <c r="W297" s="113"/>
      <c r="X297" s="116"/>
      <c r="Y297" s="209"/>
      <c r="Z297" s="209"/>
      <c r="AA297" s="209"/>
      <c r="AB297" s="209"/>
      <c r="AC297" s="209"/>
      <c r="AD297" s="209"/>
      <c r="AE297" s="209"/>
      <c r="AF297" s="209"/>
      <c r="AG297" s="210"/>
      <c r="AH297" s="105"/>
      <c r="AI297" s="202"/>
      <c r="AJ297" s="63"/>
      <c r="AK297" s="105"/>
      <c r="AL297" s="105"/>
      <c r="AM297" s="105"/>
      <c r="AN297" s="105"/>
      <c r="AO297" s="105"/>
      <c r="AP297" s="105"/>
      <c r="AQ297" s="105"/>
      <c r="AR297" s="105"/>
      <c r="AS297" s="105"/>
      <c r="AT297" s="105"/>
      <c r="AU297" s="105"/>
      <c r="AV297" s="105"/>
      <c r="AW297" s="105"/>
      <c r="AX297" s="105"/>
      <c r="AY297" s="105"/>
      <c r="AZ297" s="105"/>
      <c r="BA297" s="105"/>
      <c r="BB297" s="105"/>
      <c r="BC297" s="105"/>
      <c r="BD297" s="105"/>
      <c r="BE297" s="105"/>
      <c r="BF297" s="105"/>
      <c r="BG297" s="105"/>
      <c r="BH297" s="105"/>
      <c r="BI297" s="105"/>
      <c r="BJ297" s="105"/>
      <c r="BK297" s="105"/>
      <c r="BL297" s="105"/>
      <c r="BM297" s="105"/>
      <c r="BN297" s="105"/>
      <c r="BO297" s="105"/>
      <c r="BP297" s="105"/>
      <c r="BQ297" s="105"/>
      <c r="BR297" s="105"/>
      <c r="BS297" s="105"/>
      <c r="BT297" s="105"/>
      <c r="BU297" s="105"/>
      <c r="BV297" s="105"/>
    </row>
    <row r="298">
      <c r="A298" s="91" t="str">
        <f>VLOOKUP($F298,UpdateHashtag!$V$3:$Y$32,COLUMN(B$9),0)</f>
        <v>#N/A</v>
      </c>
      <c r="B298" s="91" t="str">
        <f>VLOOKUP($F298,UpdateHashtag!$V$3:$Y$32,COLUMN(#REF!),0)</f>
        <v>#REF!</v>
      </c>
      <c r="C298" s="91" t="str">
        <f>VLOOKUP($F298,UpdateHashtag!$V$3:$Y$32,COLUMN(#REF!),0)</f>
        <v>#REF!</v>
      </c>
      <c r="D298" s="110" t="str">
        <f t="shared" si="2"/>
        <v>#N/A</v>
      </c>
      <c r="E298" s="11"/>
      <c r="F298" s="94" t="str">
        <f>VLOOKUP(J298,UpdateBBM!$C$2:E1009,3,0)</f>
        <v>#N/A</v>
      </c>
      <c r="G298" s="35">
        <v>284.0</v>
      </c>
      <c r="H298" s="111"/>
      <c r="I298" s="111"/>
      <c r="J298" s="112"/>
      <c r="K298" s="111"/>
      <c r="L298" s="113"/>
      <c r="M298" s="114"/>
      <c r="N298" s="115"/>
      <c r="O298" s="115"/>
      <c r="P298" s="116"/>
      <c r="Q298" s="116"/>
      <c r="R298" s="116"/>
      <c r="S298" s="117"/>
      <c r="T298" s="116"/>
      <c r="U298" s="116"/>
      <c r="V298" s="113"/>
      <c r="W298" s="113"/>
      <c r="X298" s="116"/>
      <c r="Y298" s="209"/>
      <c r="Z298" s="209"/>
      <c r="AA298" s="209"/>
      <c r="AB298" s="209"/>
      <c r="AC298" s="209"/>
      <c r="AD298" s="209"/>
      <c r="AE298" s="209"/>
      <c r="AF298" s="209"/>
      <c r="AG298" s="210"/>
      <c r="AH298" s="105"/>
      <c r="AI298" s="202"/>
      <c r="AJ298" s="63"/>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c r="BI298" s="105"/>
      <c r="BJ298" s="105"/>
      <c r="BK298" s="105"/>
      <c r="BL298" s="105"/>
      <c r="BM298" s="105"/>
      <c r="BN298" s="105"/>
      <c r="BO298" s="105"/>
      <c r="BP298" s="105"/>
      <c r="BQ298" s="105"/>
      <c r="BR298" s="105"/>
      <c r="BS298" s="105"/>
      <c r="BT298" s="105"/>
      <c r="BU298" s="105"/>
      <c r="BV298" s="105"/>
    </row>
    <row r="299">
      <c r="A299" s="91" t="str">
        <f>VLOOKUP($F299,UpdateHashtag!$V$3:$Y$32,COLUMN(B$9),0)</f>
        <v>#N/A</v>
      </c>
      <c r="B299" s="91" t="str">
        <f>VLOOKUP($F299,UpdateHashtag!$V$3:$Y$32,COLUMN(#REF!),0)</f>
        <v>#REF!</v>
      </c>
      <c r="C299" s="91" t="str">
        <f>VLOOKUP($F299,UpdateHashtag!$V$3:$Y$32,COLUMN(#REF!),0)</f>
        <v>#REF!</v>
      </c>
      <c r="D299" s="110" t="str">
        <f t="shared" si="2"/>
        <v>#N/A</v>
      </c>
      <c r="E299" s="11"/>
      <c r="F299" s="94" t="str">
        <f>VLOOKUP(J299,UpdateBBM!$C$2:E1009,3,0)</f>
        <v>#N/A</v>
      </c>
      <c r="G299" s="35">
        <v>285.0</v>
      </c>
      <c r="H299" s="111"/>
      <c r="I299" s="111"/>
      <c r="J299" s="112"/>
      <c r="K299" s="111"/>
      <c r="L299" s="113"/>
      <c r="M299" s="114"/>
      <c r="N299" s="115"/>
      <c r="O299" s="115"/>
      <c r="P299" s="116"/>
      <c r="Q299" s="116"/>
      <c r="R299" s="116"/>
      <c r="S299" s="117"/>
      <c r="T299" s="116"/>
      <c r="U299" s="116"/>
      <c r="V299" s="113"/>
      <c r="W299" s="113"/>
      <c r="X299" s="116"/>
      <c r="Y299" s="209"/>
      <c r="Z299" s="209"/>
      <c r="AA299" s="209"/>
      <c r="AB299" s="209"/>
      <c r="AC299" s="209"/>
      <c r="AD299" s="209"/>
      <c r="AE299" s="209"/>
      <c r="AF299" s="209"/>
      <c r="AG299" s="210"/>
      <c r="AH299" s="105"/>
      <c r="AI299" s="202"/>
      <c r="AJ299" s="63"/>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c r="BI299" s="105"/>
      <c r="BJ299" s="105"/>
      <c r="BK299" s="105"/>
      <c r="BL299" s="105"/>
      <c r="BM299" s="105"/>
      <c r="BN299" s="105"/>
      <c r="BO299" s="105"/>
      <c r="BP299" s="105"/>
      <c r="BQ299" s="105"/>
      <c r="BR299" s="105"/>
      <c r="BS299" s="105"/>
      <c r="BT299" s="105"/>
      <c r="BU299" s="105"/>
      <c r="BV299" s="105"/>
    </row>
    <row r="300">
      <c r="A300" s="91" t="str">
        <f>VLOOKUP($F300,UpdateHashtag!$V$3:$Y$32,COLUMN(B$9),0)</f>
        <v>#N/A</v>
      </c>
      <c r="B300" s="91" t="str">
        <f>VLOOKUP($F300,UpdateHashtag!$V$3:$Y$32,COLUMN(#REF!),0)</f>
        <v>#REF!</v>
      </c>
      <c r="C300" s="91" t="str">
        <f>VLOOKUP($F300,UpdateHashtag!$V$3:$Y$32,COLUMN(#REF!),0)</f>
        <v>#REF!</v>
      </c>
      <c r="D300" s="110" t="str">
        <f t="shared" si="2"/>
        <v>#N/A</v>
      </c>
      <c r="E300" s="11"/>
      <c r="F300" s="94" t="str">
        <f>VLOOKUP(J300,UpdateBBM!$C$2:E1009,3,0)</f>
        <v>#N/A</v>
      </c>
      <c r="G300" s="35">
        <v>286.0</v>
      </c>
      <c r="H300" s="111"/>
      <c r="I300" s="111"/>
      <c r="J300" s="112"/>
      <c r="K300" s="111"/>
      <c r="L300" s="113"/>
      <c r="M300" s="114"/>
      <c r="N300" s="115"/>
      <c r="O300" s="115"/>
      <c r="P300" s="116"/>
      <c r="Q300" s="116"/>
      <c r="R300" s="116"/>
      <c r="S300" s="117"/>
      <c r="T300" s="116"/>
      <c r="U300" s="116"/>
      <c r="V300" s="113"/>
      <c r="W300" s="113"/>
      <c r="X300" s="116"/>
      <c r="Y300" s="209"/>
      <c r="Z300" s="209"/>
      <c r="AA300" s="209"/>
      <c r="AB300" s="209"/>
      <c r="AC300" s="209"/>
      <c r="AD300" s="209"/>
      <c r="AE300" s="209"/>
      <c r="AF300" s="209"/>
      <c r="AG300" s="210"/>
      <c r="AH300" s="105"/>
      <c r="AI300" s="202"/>
      <c r="AJ300" s="63"/>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c r="BI300" s="105"/>
      <c r="BJ300" s="105"/>
      <c r="BK300" s="105"/>
      <c r="BL300" s="105"/>
      <c r="BM300" s="105"/>
      <c r="BN300" s="105"/>
      <c r="BO300" s="105"/>
      <c r="BP300" s="105"/>
      <c r="BQ300" s="105"/>
      <c r="BR300" s="105"/>
      <c r="BS300" s="105"/>
      <c r="BT300" s="105"/>
      <c r="BU300" s="105"/>
      <c r="BV300" s="105"/>
    </row>
    <row r="301">
      <c r="A301" s="91" t="str">
        <f>VLOOKUP($F301,UpdateHashtag!$V$3:$Y$32,COLUMN(B$9),0)</f>
        <v>#N/A</v>
      </c>
      <c r="B301" s="91" t="str">
        <f>VLOOKUP($F301,UpdateHashtag!$V$3:$Y$32,COLUMN(#REF!),0)</f>
        <v>#REF!</v>
      </c>
      <c r="C301" s="91" t="str">
        <f>VLOOKUP($F301,UpdateHashtag!$V$3:$Y$32,COLUMN(#REF!),0)</f>
        <v>#REF!</v>
      </c>
      <c r="D301" s="110" t="str">
        <f t="shared" si="2"/>
        <v>#N/A</v>
      </c>
      <c r="E301" s="11"/>
      <c r="F301" s="94" t="str">
        <f>VLOOKUP(J301,UpdateBBM!$C$2:E1009,3,0)</f>
        <v>#N/A</v>
      </c>
      <c r="G301" s="35">
        <v>287.0</v>
      </c>
      <c r="H301" s="111"/>
      <c r="I301" s="111"/>
      <c r="J301" s="112"/>
      <c r="K301" s="111"/>
      <c r="L301" s="113"/>
      <c r="M301" s="114"/>
      <c r="N301" s="115"/>
      <c r="O301" s="115"/>
      <c r="P301" s="116"/>
      <c r="Q301" s="116"/>
      <c r="R301" s="116"/>
      <c r="S301" s="117"/>
      <c r="T301" s="116"/>
      <c r="U301" s="116"/>
      <c r="V301" s="113"/>
      <c r="W301" s="113"/>
      <c r="X301" s="116"/>
      <c r="Y301" s="209"/>
      <c r="Z301" s="209"/>
      <c r="AA301" s="209"/>
      <c r="AB301" s="209"/>
      <c r="AC301" s="209"/>
      <c r="AD301" s="209"/>
      <c r="AE301" s="209"/>
      <c r="AF301" s="209"/>
      <c r="AG301" s="210"/>
      <c r="AH301" s="105"/>
      <c r="AI301" s="202"/>
      <c r="AJ301" s="63"/>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c r="BI301" s="105"/>
      <c r="BJ301" s="105"/>
      <c r="BK301" s="105"/>
      <c r="BL301" s="105"/>
      <c r="BM301" s="105"/>
      <c r="BN301" s="105"/>
      <c r="BO301" s="105"/>
      <c r="BP301" s="105"/>
      <c r="BQ301" s="105"/>
      <c r="BR301" s="105"/>
      <c r="BS301" s="105"/>
      <c r="BT301" s="105"/>
      <c r="BU301" s="105"/>
      <c r="BV301" s="105"/>
    </row>
    <row r="302">
      <c r="A302" s="91" t="str">
        <f>VLOOKUP($F302,UpdateHashtag!$V$3:$Y$32,COLUMN(B$9),0)</f>
        <v>#N/A</v>
      </c>
      <c r="B302" s="91" t="str">
        <f>VLOOKUP($F302,UpdateHashtag!$V$3:$Y$32,COLUMN(#REF!),0)</f>
        <v>#REF!</v>
      </c>
      <c r="C302" s="91" t="str">
        <f>VLOOKUP($F302,UpdateHashtag!$V$3:$Y$32,COLUMN(#REF!),0)</f>
        <v>#REF!</v>
      </c>
      <c r="D302" s="110" t="str">
        <f t="shared" si="2"/>
        <v>#N/A</v>
      </c>
      <c r="E302" s="11"/>
      <c r="F302" s="94" t="str">
        <f>VLOOKUP(J302,UpdateBBM!$C$2:E1009,3,0)</f>
        <v>#N/A</v>
      </c>
      <c r="G302" s="35">
        <v>288.0</v>
      </c>
      <c r="H302" s="111"/>
      <c r="I302" s="111"/>
      <c r="J302" s="112"/>
      <c r="K302" s="111"/>
      <c r="L302" s="113"/>
      <c r="M302" s="114"/>
      <c r="N302" s="115"/>
      <c r="O302" s="115"/>
      <c r="P302" s="116"/>
      <c r="Q302" s="116"/>
      <c r="R302" s="116"/>
      <c r="S302" s="117"/>
      <c r="T302" s="116"/>
      <c r="U302" s="116"/>
      <c r="V302" s="113"/>
      <c r="W302" s="113"/>
      <c r="X302" s="116"/>
      <c r="Y302" s="209"/>
      <c r="Z302" s="209"/>
      <c r="AA302" s="209"/>
      <c r="AB302" s="209"/>
      <c r="AC302" s="209"/>
      <c r="AD302" s="209"/>
      <c r="AE302" s="209"/>
      <c r="AF302" s="209"/>
      <c r="AG302" s="210"/>
      <c r="AH302" s="105"/>
      <c r="AI302" s="202"/>
      <c r="AJ302" s="63"/>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c r="BI302" s="105"/>
      <c r="BJ302" s="105"/>
      <c r="BK302" s="105"/>
      <c r="BL302" s="105"/>
      <c r="BM302" s="105"/>
      <c r="BN302" s="105"/>
      <c r="BO302" s="105"/>
      <c r="BP302" s="105"/>
      <c r="BQ302" s="105"/>
      <c r="BR302" s="105"/>
      <c r="BS302" s="105"/>
      <c r="BT302" s="105"/>
      <c r="BU302" s="105"/>
      <c r="BV302" s="105"/>
    </row>
    <row r="303">
      <c r="A303" s="91" t="str">
        <f>VLOOKUP($F303,UpdateHashtag!$V$3:$Y$32,COLUMN(B$9),0)</f>
        <v>#N/A</v>
      </c>
      <c r="B303" s="91" t="str">
        <f>VLOOKUP($F303,UpdateHashtag!$V$3:$Y$32,COLUMN(#REF!),0)</f>
        <v>#REF!</v>
      </c>
      <c r="C303" s="91" t="str">
        <f>VLOOKUP($F303,UpdateHashtag!$V$3:$Y$32,COLUMN(#REF!),0)</f>
        <v>#REF!</v>
      </c>
      <c r="D303" s="110" t="str">
        <f t="shared" si="2"/>
        <v>#N/A</v>
      </c>
      <c r="E303" s="11"/>
      <c r="F303" s="94" t="str">
        <f>VLOOKUP(J303,UpdateBBM!$C$2:E1009,3,0)</f>
        <v>#N/A</v>
      </c>
      <c r="G303" s="35">
        <v>289.0</v>
      </c>
      <c r="H303" s="111"/>
      <c r="I303" s="111"/>
      <c r="J303" s="112"/>
      <c r="K303" s="111"/>
      <c r="L303" s="113"/>
      <c r="M303" s="114"/>
      <c r="N303" s="115"/>
      <c r="O303" s="115"/>
      <c r="P303" s="116"/>
      <c r="Q303" s="116"/>
      <c r="R303" s="116"/>
      <c r="S303" s="117"/>
      <c r="T303" s="116"/>
      <c r="U303" s="116"/>
      <c r="V303" s="113"/>
      <c r="W303" s="113"/>
      <c r="X303" s="116"/>
      <c r="Y303" s="209"/>
      <c r="Z303" s="209"/>
      <c r="AA303" s="209"/>
      <c r="AB303" s="209"/>
      <c r="AC303" s="209"/>
      <c r="AD303" s="209"/>
      <c r="AE303" s="209"/>
      <c r="AF303" s="209"/>
      <c r="AG303" s="210"/>
      <c r="AH303" s="105"/>
      <c r="AI303" s="202"/>
      <c r="AJ303" s="63"/>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c r="BI303" s="105"/>
      <c r="BJ303" s="105"/>
      <c r="BK303" s="105"/>
      <c r="BL303" s="105"/>
      <c r="BM303" s="105"/>
      <c r="BN303" s="105"/>
      <c r="BO303" s="105"/>
      <c r="BP303" s="105"/>
      <c r="BQ303" s="105"/>
      <c r="BR303" s="105"/>
      <c r="BS303" s="105"/>
      <c r="BT303" s="105"/>
      <c r="BU303" s="105"/>
      <c r="BV303" s="105"/>
    </row>
    <row r="304">
      <c r="A304" s="91" t="str">
        <f>VLOOKUP($F304,UpdateHashtag!$V$3:$Y$32,COLUMN(B$9),0)</f>
        <v>#N/A</v>
      </c>
      <c r="B304" s="91" t="str">
        <f>VLOOKUP($F304,UpdateHashtag!$V$3:$Y$32,COLUMN(#REF!),0)</f>
        <v>#REF!</v>
      </c>
      <c r="C304" s="91" t="str">
        <f>VLOOKUP($F304,UpdateHashtag!$V$3:$Y$32,COLUMN(#REF!),0)</f>
        <v>#REF!</v>
      </c>
      <c r="D304" s="110" t="str">
        <f t="shared" si="2"/>
        <v>#N/A</v>
      </c>
      <c r="E304" s="11"/>
      <c r="F304" s="94" t="str">
        <f>VLOOKUP(J304,UpdateBBM!$C$2:E1009,3,0)</f>
        <v>#N/A</v>
      </c>
      <c r="G304" s="35">
        <v>290.0</v>
      </c>
      <c r="H304" s="111"/>
      <c r="I304" s="111"/>
      <c r="J304" s="112"/>
      <c r="K304" s="111"/>
      <c r="L304" s="113"/>
      <c r="M304" s="114"/>
      <c r="N304" s="115"/>
      <c r="O304" s="115"/>
      <c r="P304" s="116"/>
      <c r="Q304" s="116"/>
      <c r="R304" s="116"/>
      <c r="S304" s="117"/>
      <c r="T304" s="116"/>
      <c r="U304" s="116"/>
      <c r="V304" s="113"/>
      <c r="W304" s="113"/>
      <c r="X304" s="116"/>
      <c r="Y304" s="209"/>
      <c r="Z304" s="209"/>
      <c r="AA304" s="209"/>
      <c r="AB304" s="209"/>
      <c r="AC304" s="209"/>
      <c r="AD304" s="209"/>
      <c r="AE304" s="209"/>
      <c r="AF304" s="209"/>
      <c r="AG304" s="210"/>
      <c r="AH304" s="105"/>
      <c r="AI304" s="202"/>
      <c r="AJ304" s="63"/>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105"/>
      <c r="BT304" s="105"/>
      <c r="BU304" s="105"/>
      <c r="BV304" s="105"/>
    </row>
    <row r="305">
      <c r="A305" s="91" t="str">
        <f>VLOOKUP($F305,UpdateHashtag!$V$3:$Y$32,COLUMN(B$9),0)</f>
        <v>#N/A</v>
      </c>
      <c r="B305" s="91" t="str">
        <f>VLOOKUP($F305,UpdateHashtag!$V$3:$Y$32,COLUMN(#REF!),0)</f>
        <v>#REF!</v>
      </c>
      <c r="C305" s="91" t="str">
        <f>VLOOKUP($F305,UpdateHashtag!$V$3:$Y$32,COLUMN(#REF!),0)</f>
        <v>#REF!</v>
      </c>
      <c r="D305" s="110" t="str">
        <f t="shared" si="2"/>
        <v>#N/A</v>
      </c>
      <c r="E305" s="11"/>
      <c r="F305" s="94" t="str">
        <f>VLOOKUP(J305,UpdateBBM!$C$2:E1009,3,0)</f>
        <v>#N/A</v>
      </c>
      <c r="G305" s="35">
        <v>291.0</v>
      </c>
      <c r="H305" s="111"/>
      <c r="I305" s="111"/>
      <c r="J305" s="112"/>
      <c r="K305" s="111"/>
      <c r="L305" s="113"/>
      <c r="M305" s="114"/>
      <c r="N305" s="115"/>
      <c r="O305" s="115"/>
      <c r="P305" s="116"/>
      <c r="Q305" s="116"/>
      <c r="R305" s="116"/>
      <c r="S305" s="117"/>
      <c r="T305" s="116"/>
      <c r="U305" s="116"/>
      <c r="V305" s="113"/>
      <c r="W305" s="113"/>
      <c r="X305" s="116"/>
      <c r="Y305" s="209"/>
      <c r="Z305" s="209"/>
      <c r="AA305" s="209"/>
      <c r="AB305" s="209"/>
      <c r="AC305" s="209"/>
      <c r="AD305" s="209"/>
      <c r="AE305" s="209"/>
      <c r="AF305" s="209"/>
      <c r="AG305" s="210"/>
      <c r="AH305" s="105"/>
      <c r="AI305" s="202"/>
      <c r="AJ305" s="63"/>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c r="BI305" s="105"/>
      <c r="BJ305" s="105"/>
      <c r="BK305" s="105"/>
      <c r="BL305" s="105"/>
      <c r="BM305" s="105"/>
      <c r="BN305" s="105"/>
      <c r="BO305" s="105"/>
      <c r="BP305" s="105"/>
      <c r="BQ305" s="105"/>
      <c r="BR305" s="105"/>
      <c r="BS305" s="105"/>
      <c r="BT305" s="105"/>
      <c r="BU305" s="105"/>
      <c r="BV305" s="105"/>
    </row>
    <row r="306">
      <c r="A306" s="91" t="str">
        <f>VLOOKUP($F306,UpdateHashtag!$V$3:$Y$32,COLUMN(B$9),0)</f>
        <v>#N/A</v>
      </c>
      <c r="B306" s="91" t="str">
        <f>VLOOKUP($F306,UpdateHashtag!$V$3:$Y$32,COLUMN(#REF!),0)</f>
        <v>#REF!</v>
      </c>
      <c r="C306" s="91" t="str">
        <f>VLOOKUP($F306,UpdateHashtag!$V$3:$Y$32,COLUMN(#REF!),0)</f>
        <v>#REF!</v>
      </c>
      <c r="D306" s="110" t="str">
        <f t="shared" si="2"/>
        <v>#N/A</v>
      </c>
      <c r="E306" s="11"/>
      <c r="F306" s="94" t="str">
        <f>VLOOKUP(J306,UpdateBBM!$C$2:E1009,3,0)</f>
        <v>#N/A</v>
      </c>
      <c r="G306" s="35">
        <v>292.0</v>
      </c>
      <c r="H306" s="111"/>
      <c r="I306" s="111"/>
      <c r="J306" s="112"/>
      <c r="K306" s="111"/>
      <c r="L306" s="113"/>
      <c r="M306" s="114"/>
      <c r="N306" s="115"/>
      <c r="O306" s="115"/>
      <c r="P306" s="116"/>
      <c r="Q306" s="116"/>
      <c r="R306" s="116"/>
      <c r="S306" s="117"/>
      <c r="T306" s="116"/>
      <c r="U306" s="116"/>
      <c r="V306" s="113"/>
      <c r="W306" s="113"/>
      <c r="X306" s="116"/>
      <c r="Y306" s="209"/>
      <c r="Z306" s="209"/>
      <c r="AA306" s="209"/>
      <c r="AB306" s="209"/>
      <c r="AC306" s="209"/>
      <c r="AD306" s="209"/>
      <c r="AE306" s="209"/>
      <c r="AF306" s="209"/>
      <c r="AG306" s="210"/>
      <c r="AH306" s="105"/>
      <c r="AI306" s="202"/>
      <c r="AJ306" s="63"/>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c r="BI306" s="105"/>
      <c r="BJ306" s="105"/>
      <c r="BK306" s="105"/>
      <c r="BL306" s="105"/>
      <c r="BM306" s="105"/>
      <c r="BN306" s="105"/>
      <c r="BO306" s="105"/>
      <c r="BP306" s="105"/>
      <c r="BQ306" s="105"/>
      <c r="BR306" s="105"/>
      <c r="BS306" s="105"/>
      <c r="BT306" s="105"/>
      <c r="BU306" s="105"/>
      <c r="BV306" s="105"/>
    </row>
    <row r="307">
      <c r="A307" s="91" t="str">
        <f>VLOOKUP($F307,UpdateHashtag!$V$3:$Y$32,COLUMN(B$9),0)</f>
        <v>#N/A</v>
      </c>
      <c r="B307" s="91" t="str">
        <f>VLOOKUP($F307,UpdateHashtag!$V$3:$Y$32,COLUMN(#REF!),0)</f>
        <v>#REF!</v>
      </c>
      <c r="C307" s="91" t="str">
        <f>VLOOKUP($F307,UpdateHashtag!$V$3:$Y$32,COLUMN(#REF!),0)</f>
        <v>#REF!</v>
      </c>
      <c r="D307" s="110" t="str">
        <f t="shared" si="2"/>
        <v>#N/A</v>
      </c>
      <c r="E307" s="11"/>
      <c r="F307" s="94" t="str">
        <f>VLOOKUP(J307,UpdateBBM!$C$2:E1009,3,0)</f>
        <v>#N/A</v>
      </c>
      <c r="G307" s="35">
        <v>293.0</v>
      </c>
      <c r="H307" s="111"/>
      <c r="I307" s="111"/>
      <c r="J307" s="112"/>
      <c r="K307" s="111"/>
      <c r="L307" s="113"/>
      <c r="M307" s="114"/>
      <c r="N307" s="115"/>
      <c r="O307" s="115"/>
      <c r="P307" s="116"/>
      <c r="Q307" s="116"/>
      <c r="R307" s="116"/>
      <c r="S307" s="117"/>
      <c r="T307" s="116"/>
      <c r="U307" s="116"/>
      <c r="V307" s="113"/>
      <c r="W307" s="113"/>
      <c r="X307" s="116"/>
      <c r="Y307" s="209"/>
      <c r="Z307" s="209"/>
      <c r="AA307" s="209"/>
      <c r="AB307" s="209"/>
      <c r="AC307" s="209"/>
      <c r="AD307" s="209"/>
      <c r="AE307" s="209"/>
      <c r="AF307" s="209"/>
      <c r="AG307" s="210"/>
      <c r="AH307" s="105"/>
      <c r="AI307" s="202"/>
      <c r="AJ307" s="63"/>
      <c r="AK307" s="105"/>
      <c r="AL307" s="105"/>
      <c r="AM307" s="105"/>
      <c r="AN307" s="105"/>
      <c r="AO307" s="105"/>
      <c r="AP307" s="105"/>
      <c r="AQ307" s="105"/>
      <c r="AR307" s="105"/>
      <c r="AS307" s="105"/>
      <c r="AT307" s="105"/>
      <c r="AU307" s="105"/>
      <c r="AV307" s="105"/>
      <c r="AW307" s="105"/>
      <c r="AX307" s="105"/>
      <c r="AY307" s="105"/>
      <c r="AZ307" s="105"/>
      <c r="BA307" s="105"/>
      <c r="BB307" s="105"/>
      <c r="BC307" s="105"/>
      <c r="BD307" s="105"/>
      <c r="BE307" s="105"/>
      <c r="BF307" s="105"/>
      <c r="BG307" s="105"/>
      <c r="BH307" s="105"/>
      <c r="BI307" s="105"/>
      <c r="BJ307" s="105"/>
      <c r="BK307" s="105"/>
      <c r="BL307" s="105"/>
      <c r="BM307" s="105"/>
      <c r="BN307" s="105"/>
      <c r="BO307" s="105"/>
      <c r="BP307" s="105"/>
      <c r="BQ307" s="105"/>
      <c r="BR307" s="105"/>
      <c r="BS307" s="105"/>
      <c r="BT307" s="105"/>
      <c r="BU307" s="105"/>
      <c r="BV307" s="105"/>
    </row>
    <row r="308">
      <c r="A308" s="91" t="str">
        <f>VLOOKUP($F308,UpdateHashtag!$V$3:$Y$32,COLUMN(B$9),0)</f>
        <v>#N/A</v>
      </c>
      <c r="B308" s="91" t="str">
        <f>VLOOKUP($F308,UpdateHashtag!$V$3:$Y$32,COLUMN(#REF!),0)</f>
        <v>#REF!</v>
      </c>
      <c r="C308" s="91" t="str">
        <f>VLOOKUP($F308,UpdateHashtag!$V$3:$Y$32,COLUMN(#REF!),0)</f>
        <v>#REF!</v>
      </c>
      <c r="D308" s="110" t="str">
        <f t="shared" si="2"/>
        <v>#N/A</v>
      </c>
      <c r="E308" s="11"/>
      <c r="F308" s="94" t="str">
        <f>VLOOKUP(J308,UpdateBBM!$C$2:E1009,3,0)</f>
        <v>#N/A</v>
      </c>
      <c r="G308" s="35">
        <v>294.0</v>
      </c>
      <c r="H308" s="111"/>
      <c r="I308" s="111"/>
      <c r="J308" s="112"/>
      <c r="K308" s="111"/>
      <c r="L308" s="113"/>
      <c r="M308" s="114"/>
      <c r="N308" s="115"/>
      <c r="O308" s="115"/>
      <c r="P308" s="116"/>
      <c r="Q308" s="116"/>
      <c r="R308" s="116"/>
      <c r="S308" s="117"/>
      <c r="T308" s="116"/>
      <c r="U308" s="116"/>
      <c r="V308" s="113"/>
      <c r="W308" s="113"/>
      <c r="X308" s="116"/>
      <c r="Y308" s="209"/>
      <c r="Z308" s="209"/>
      <c r="AA308" s="209"/>
      <c r="AB308" s="209"/>
      <c r="AC308" s="209"/>
      <c r="AD308" s="209"/>
      <c r="AE308" s="209"/>
      <c r="AF308" s="209"/>
      <c r="AG308" s="210"/>
      <c r="AH308" s="105"/>
      <c r="AI308" s="202"/>
      <c r="AJ308" s="63"/>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c r="BI308" s="105"/>
      <c r="BJ308" s="105"/>
      <c r="BK308" s="105"/>
      <c r="BL308" s="105"/>
      <c r="BM308" s="105"/>
      <c r="BN308" s="105"/>
      <c r="BO308" s="105"/>
      <c r="BP308" s="105"/>
      <c r="BQ308" s="105"/>
      <c r="BR308" s="105"/>
      <c r="BS308" s="105"/>
      <c r="BT308" s="105"/>
      <c r="BU308" s="105"/>
      <c r="BV308" s="105"/>
    </row>
    <row r="309">
      <c r="A309" s="91" t="str">
        <f>VLOOKUP($F309,UpdateHashtag!$V$3:$Y$32,COLUMN(B$9),0)</f>
        <v>#N/A</v>
      </c>
      <c r="B309" s="91" t="str">
        <f>VLOOKUP($F309,UpdateHashtag!$V$3:$Y$32,COLUMN(#REF!),0)</f>
        <v>#REF!</v>
      </c>
      <c r="C309" s="91" t="str">
        <f>VLOOKUP($F309,UpdateHashtag!$V$3:$Y$32,COLUMN(#REF!),0)</f>
        <v>#REF!</v>
      </c>
      <c r="D309" s="110" t="str">
        <f t="shared" si="2"/>
        <v>#N/A</v>
      </c>
      <c r="E309" s="11"/>
      <c r="F309" s="94" t="str">
        <f>VLOOKUP(J309,UpdateBBM!$C$2:E1009,3,0)</f>
        <v>#N/A</v>
      </c>
      <c r="G309" s="35">
        <v>295.0</v>
      </c>
      <c r="H309" s="111"/>
      <c r="I309" s="111"/>
      <c r="J309" s="112"/>
      <c r="K309" s="111"/>
      <c r="L309" s="113"/>
      <c r="M309" s="114"/>
      <c r="N309" s="115"/>
      <c r="O309" s="115"/>
      <c r="P309" s="116"/>
      <c r="Q309" s="116"/>
      <c r="R309" s="116"/>
      <c r="S309" s="117"/>
      <c r="T309" s="116"/>
      <c r="U309" s="116"/>
      <c r="V309" s="113"/>
      <c r="W309" s="113"/>
      <c r="X309" s="116"/>
      <c r="Y309" s="209"/>
      <c r="Z309" s="209"/>
      <c r="AA309" s="209"/>
      <c r="AB309" s="209"/>
      <c r="AC309" s="209"/>
      <c r="AD309" s="209"/>
      <c r="AE309" s="209"/>
      <c r="AF309" s="209"/>
      <c r="AG309" s="210"/>
      <c r="AH309" s="105"/>
      <c r="AI309" s="202"/>
      <c r="AJ309" s="63"/>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c r="BI309" s="105"/>
      <c r="BJ309" s="105"/>
      <c r="BK309" s="105"/>
      <c r="BL309" s="105"/>
      <c r="BM309" s="105"/>
      <c r="BN309" s="105"/>
      <c r="BO309" s="105"/>
      <c r="BP309" s="105"/>
      <c r="BQ309" s="105"/>
      <c r="BR309" s="105"/>
      <c r="BS309" s="105"/>
      <c r="BT309" s="105"/>
      <c r="BU309" s="105"/>
      <c r="BV309" s="105"/>
    </row>
    <row r="310">
      <c r="A310" s="91" t="str">
        <f>VLOOKUP($F310,UpdateHashtag!$V$3:$Y$32,COLUMN(B$9),0)</f>
        <v>#N/A</v>
      </c>
      <c r="B310" s="91" t="str">
        <f>VLOOKUP($F310,UpdateHashtag!$V$3:$Y$32,COLUMN(#REF!),0)</f>
        <v>#REF!</v>
      </c>
      <c r="C310" s="91" t="str">
        <f>VLOOKUP($F310,UpdateHashtag!$V$3:$Y$32,COLUMN(#REF!),0)</f>
        <v>#REF!</v>
      </c>
      <c r="D310" s="110" t="str">
        <f t="shared" si="2"/>
        <v>#N/A</v>
      </c>
      <c r="E310" s="11"/>
      <c r="F310" s="94" t="str">
        <f>VLOOKUP(J310,UpdateBBM!$C$2:E1009,3,0)</f>
        <v>#N/A</v>
      </c>
      <c r="G310" s="35">
        <v>296.0</v>
      </c>
      <c r="H310" s="111"/>
      <c r="I310" s="111"/>
      <c r="J310" s="112"/>
      <c r="K310" s="111"/>
      <c r="L310" s="113"/>
      <c r="M310" s="114"/>
      <c r="N310" s="115"/>
      <c r="O310" s="115"/>
      <c r="P310" s="116"/>
      <c r="Q310" s="116"/>
      <c r="R310" s="116"/>
      <c r="S310" s="117"/>
      <c r="T310" s="116"/>
      <c r="U310" s="116"/>
      <c r="V310" s="113"/>
      <c r="W310" s="113"/>
      <c r="X310" s="116"/>
      <c r="Y310" s="209"/>
      <c r="Z310" s="209"/>
      <c r="AA310" s="209"/>
      <c r="AB310" s="209"/>
      <c r="AC310" s="209"/>
      <c r="AD310" s="209"/>
      <c r="AE310" s="209"/>
      <c r="AF310" s="209"/>
      <c r="AG310" s="210"/>
      <c r="AH310" s="105"/>
      <c r="AI310" s="202"/>
      <c r="AJ310" s="63"/>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c r="BI310" s="105"/>
      <c r="BJ310" s="105"/>
      <c r="BK310" s="105"/>
      <c r="BL310" s="105"/>
      <c r="BM310" s="105"/>
      <c r="BN310" s="105"/>
      <c r="BO310" s="105"/>
      <c r="BP310" s="105"/>
      <c r="BQ310" s="105"/>
      <c r="BR310" s="105"/>
      <c r="BS310" s="105"/>
      <c r="BT310" s="105"/>
      <c r="BU310" s="105"/>
      <c r="BV310" s="105"/>
    </row>
    <row r="311">
      <c r="A311" s="91" t="str">
        <f>VLOOKUP($F311,UpdateHashtag!$V$3:$Y$32,COLUMN(B$9),0)</f>
        <v>#N/A</v>
      </c>
      <c r="B311" s="91" t="str">
        <f>VLOOKUP($F311,UpdateHashtag!$V$3:$Y$32,COLUMN(#REF!),0)</f>
        <v>#REF!</v>
      </c>
      <c r="C311" s="91" t="str">
        <f>VLOOKUP($F311,UpdateHashtag!$V$3:$Y$32,COLUMN(#REF!),0)</f>
        <v>#REF!</v>
      </c>
      <c r="D311" s="110" t="str">
        <f t="shared" si="2"/>
        <v>#N/A</v>
      </c>
      <c r="E311" s="11"/>
      <c r="F311" s="94" t="str">
        <f>VLOOKUP(J311,UpdateBBM!$C$2:E1009,3,0)</f>
        <v>#N/A</v>
      </c>
      <c r="G311" s="35">
        <v>297.0</v>
      </c>
      <c r="H311" s="111"/>
      <c r="I311" s="111"/>
      <c r="J311" s="112"/>
      <c r="K311" s="111"/>
      <c r="L311" s="113"/>
      <c r="M311" s="114"/>
      <c r="N311" s="115"/>
      <c r="O311" s="115"/>
      <c r="P311" s="116"/>
      <c r="Q311" s="116"/>
      <c r="R311" s="116"/>
      <c r="S311" s="117"/>
      <c r="T311" s="116"/>
      <c r="U311" s="116"/>
      <c r="V311" s="113"/>
      <c r="W311" s="113"/>
      <c r="X311" s="116"/>
      <c r="Y311" s="209"/>
      <c r="Z311" s="209"/>
      <c r="AA311" s="209"/>
      <c r="AB311" s="209"/>
      <c r="AC311" s="209"/>
      <c r="AD311" s="209"/>
      <c r="AE311" s="209"/>
      <c r="AF311" s="209"/>
      <c r="AG311" s="210"/>
      <c r="AH311" s="105"/>
      <c r="AI311" s="202"/>
      <c r="AJ311" s="63"/>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c r="BI311" s="105"/>
      <c r="BJ311" s="105"/>
      <c r="BK311" s="105"/>
      <c r="BL311" s="105"/>
      <c r="BM311" s="105"/>
      <c r="BN311" s="105"/>
      <c r="BO311" s="105"/>
      <c r="BP311" s="105"/>
      <c r="BQ311" s="105"/>
      <c r="BR311" s="105"/>
      <c r="BS311" s="105"/>
      <c r="BT311" s="105"/>
      <c r="BU311" s="105"/>
      <c r="BV311" s="105"/>
    </row>
    <row r="312">
      <c r="A312" s="91" t="str">
        <f>VLOOKUP($F312,UpdateHashtag!$V$3:$Y$32,COLUMN(B$9),0)</f>
        <v>#N/A</v>
      </c>
      <c r="B312" s="91" t="str">
        <f>VLOOKUP($F312,UpdateHashtag!$V$3:$Y$32,COLUMN(#REF!),0)</f>
        <v>#REF!</v>
      </c>
      <c r="C312" s="91" t="str">
        <f>VLOOKUP($F312,UpdateHashtag!$V$3:$Y$32,COLUMN(#REF!),0)</f>
        <v>#REF!</v>
      </c>
      <c r="D312" s="110" t="str">
        <f t="shared" si="2"/>
        <v>#N/A</v>
      </c>
      <c r="E312" s="11"/>
      <c r="F312" s="94" t="str">
        <f>VLOOKUP(J312,UpdateBBM!$C$2:E1009,3,0)</f>
        <v>#N/A</v>
      </c>
      <c r="G312" s="35">
        <v>298.0</v>
      </c>
      <c r="H312" s="111"/>
      <c r="I312" s="111"/>
      <c r="J312" s="112"/>
      <c r="K312" s="111"/>
      <c r="L312" s="113"/>
      <c r="M312" s="114"/>
      <c r="N312" s="115"/>
      <c r="O312" s="115"/>
      <c r="P312" s="116"/>
      <c r="Q312" s="116"/>
      <c r="R312" s="116"/>
      <c r="S312" s="117"/>
      <c r="T312" s="116"/>
      <c r="U312" s="116"/>
      <c r="V312" s="113"/>
      <c r="W312" s="113"/>
      <c r="X312" s="116"/>
      <c r="Y312" s="209"/>
      <c r="Z312" s="209"/>
      <c r="AA312" s="209"/>
      <c r="AB312" s="209"/>
      <c r="AC312" s="209"/>
      <c r="AD312" s="209"/>
      <c r="AE312" s="209"/>
      <c r="AF312" s="209"/>
      <c r="AG312" s="210"/>
      <c r="AH312" s="105"/>
      <c r="AI312" s="202"/>
      <c r="AJ312" s="63"/>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c r="BI312" s="105"/>
      <c r="BJ312" s="105"/>
      <c r="BK312" s="105"/>
      <c r="BL312" s="105"/>
      <c r="BM312" s="105"/>
      <c r="BN312" s="105"/>
      <c r="BO312" s="105"/>
      <c r="BP312" s="105"/>
      <c r="BQ312" s="105"/>
      <c r="BR312" s="105"/>
      <c r="BS312" s="105"/>
      <c r="BT312" s="105"/>
      <c r="BU312" s="105"/>
      <c r="BV312" s="105"/>
    </row>
    <row r="313">
      <c r="A313" s="91" t="str">
        <f>VLOOKUP($F313,UpdateHashtag!$V$3:$Y$32,COLUMN(B$9),0)</f>
        <v>#N/A</v>
      </c>
      <c r="B313" s="91" t="str">
        <f>VLOOKUP($F313,UpdateHashtag!$V$3:$Y$32,COLUMN(#REF!),0)</f>
        <v>#REF!</v>
      </c>
      <c r="C313" s="91" t="str">
        <f>VLOOKUP($F313,UpdateHashtag!$V$3:$Y$32,COLUMN(#REF!),0)</f>
        <v>#REF!</v>
      </c>
      <c r="D313" s="110" t="str">
        <f t="shared" si="2"/>
        <v>#N/A</v>
      </c>
      <c r="E313" s="11"/>
      <c r="F313" s="94" t="str">
        <f>VLOOKUP(J313,UpdateBBM!$C$2:E1009,3,0)</f>
        <v>#N/A</v>
      </c>
      <c r="G313" s="35">
        <v>299.0</v>
      </c>
      <c r="H313" s="111"/>
      <c r="I313" s="111"/>
      <c r="J313" s="112"/>
      <c r="K313" s="111"/>
      <c r="L313" s="113"/>
      <c r="M313" s="114"/>
      <c r="N313" s="115"/>
      <c r="O313" s="115"/>
      <c r="P313" s="116"/>
      <c r="Q313" s="116"/>
      <c r="R313" s="116"/>
      <c r="S313" s="117"/>
      <c r="T313" s="116"/>
      <c r="U313" s="116"/>
      <c r="V313" s="113"/>
      <c r="W313" s="113"/>
      <c r="X313" s="116"/>
      <c r="Y313" s="209"/>
      <c r="Z313" s="209"/>
      <c r="AA313" s="209"/>
      <c r="AB313" s="209"/>
      <c r="AC313" s="209"/>
      <c r="AD313" s="209"/>
      <c r="AE313" s="209"/>
      <c r="AF313" s="209"/>
      <c r="AG313" s="210"/>
      <c r="AH313" s="105"/>
      <c r="AI313" s="202"/>
      <c r="AJ313" s="63"/>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c r="BI313" s="105"/>
      <c r="BJ313" s="105"/>
      <c r="BK313" s="105"/>
      <c r="BL313" s="105"/>
      <c r="BM313" s="105"/>
      <c r="BN313" s="105"/>
      <c r="BO313" s="105"/>
      <c r="BP313" s="105"/>
      <c r="BQ313" s="105"/>
      <c r="BR313" s="105"/>
      <c r="BS313" s="105"/>
      <c r="BT313" s="105"/>
      <c r="BU313" s="105"/>
      <c r="BV313" s="105"/>
    </row>
    <row r="314">
      <c r="A314" s="91" t="str">
        <f>VLOOKUP($F314,UpdateHashtag!$V$3:$Y$32,COLUMN(B$9),0)</f>
        <v>#N/A</v>
      </c>
      <c r="B314" s="91" t="str">
        <f>VLOOKUP($F314,UpdateHashtag!$V$3:$Y$32,COLUMN(#REF!),0)</f>
        <v>#REF!</v>
      </c>
      <c r="C314" s="91" t="str">
        <f>VLOOKUP($F314,UpdateHashtag!$V$3:$Y$32,COLUMN(#REF!),0)</f>
        <v>#REF!</v>
      </c>
      <c r="D314" s="110" t="str">
        <f t="shared" si="2"/>
        <v>#N/A</v>
      </c>
      <c r="E314" s="11"/>
      <c r="F314" s="94" t="str">
        <f>VLOOKUP(J314,UpdateBBM!$C$2:E1009,3,0)</f>
        <v>#N/A</v>
      </c>
      <c r="G314" s="35">
        <v>300.0</v>
      </c>
      <c r="H314" s="111"/>
      <c r="I314" s="111"/>
      <c r="J314" s="112"/>
      <c r="K314" s="111"/>
      <c r="L314" s="113"/>
      <c r="M314" s="114"/>
      <c r="N314" s="115"/>
      <c r="O314" s="115"/>
      <c r="P314" s="116"/>
      <c r="Q314" s="116"/>
      <c r="R314" s="116"/>
      <c r="S314" s="117"/>
      <c r="T314" s="116"/>
      <c r="U314" s="116"/>
      <c r="V314" s="113"/>
      <c r="W314" s="113"/>
      <c r="X314" s="116"/>
      <c r="Y314" s="209"/>
      <c r="Z314" s="209"/>
      <c r="AA314" s="209"/>
      <c r="AB314" s="209"/>
      <c r="AC314" s="209"/>
      <c r="AD314" s="209"/>
      <c r="AE314" s="209"/>
      <c r="AF314" s="209"/>
      <c r="AG314" s="210"/>
      <c r="AH314" s="105"/>
      <c r="AI314" s="202"/>
      <c r="AJ314" s="63"/>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c r="BI314" s="105"/>
      <c r="BJ314" s="105"/>
      <c r="BK314" s="105"/>
      <c r="BL314" s="105"/>
      <c r="BM314" s="105"/>
      <c r="BN314" s="105"/>
      <c r="BO314" s="105"/>
      <c r="BP314" s="105"/>
      <c r="BQ314" s="105"/>
      <c r="BR314" s="105"/>
      <c r="BS314" s="105"/>
      <c r="BT314" s="105"/>
      <c r="BU314" s="105"/>
      <c r="BV314" s="105"/>
    </row>
    <row r="315">
      <c r="A315" s="91" t="str">
        <f>VLOOKUP($F315,UpdateHashtag!$V$3:$Y$32,COLUMN(B$9),0)</f>
        <v>#N/A</v>
      </c>
      <c r="B315" s="91" t="str">
        <f>VLOOKUP($F315,UpdateHashtag!$V$3:$Y$32,COLUMN(#REF!),0)</f>
        <v>#REF!</v>
      </c>
      <c r="C315" s="91" t="str">
        <f>VLOOKUP($F315,UpdateHashtag!$V$3:$Y$32,COLUMN(#REF!),0)</f>
        <v>#REF!</v>
      </c>
      <c r="D315" s="110" t="str">
        <f t="shared" si="2"/>
        <v>#N/A</v>
      </c>
      <c r="E315" s="11"/>
      <c r="F315" s="94" t="str">
        <f>VLOOKUP(J315,UpdateBBM!$C$2:E1009,3,0)</f>
        <v>#N/A</v>
      </c>
      <c r="G315" s="35">
        <v>301.0</v>
      </c>
      <c r="H315" s="111"/>
      <c r="I315" s="111"/>
      <c r="J315" s="112"/>
      <c r="K315" s="111"/>
      <c r="L315" s="113"/>
      <c r="M315" s="114"/>
      <c r="N315" s="115"/>
      <c r="O315" s="115"/>
      <c r="P315" s="116"/>
      <c r="Q315" s="116"/>
      <c r="R315" s="116"/>
      <c r="S315" s="117"/>
      <c r="T315" s="116"/>
      <c r="U315" s="116"/>
      <c r="V315" s="113"/>
      <c r="W315" s="113"/>
      <c r="X315" s="116"/>
      <c r="Y315" s="209"/>
      <c r="Z315" s="209"/>
      <c r="AA315" s="209"/>
      <c r="AB315" s="209"/>
      <c r="AC315" s="209"/>
      <c r="AD315" s="209"/>
      <c r="AE315" s="209"/>
      <c r="AF315" s="209"/>
      <c r="AG315" s="210"/>
      <c r="AH315" s="105"/>
      <c r="AI315" s="202"/>
      <c r="AJ315" s="63"/>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105"/>
      <c r="BM315" s="105"/>
      <c r="BN315" s="105"/>
      <c r="BO315" s="105"/>
      <c r="BP315" s="105"/>
      <c r="BQ315" s="105"/>
      <c r="BR315" s="105"/>
      <c r="BS315" s="105"/>
      <c r="BT315" s="105"/>
      <c r="BU315" s="105"/>
      <c r="BV315" s="105"/>
    </row>
    <row r="316">
      <c r="A316" s="91" t="str">
        <f>VLOOKUP($F316,UpdateHashtag!$V$3:$Y$32,COLUMN(B$9),0)</f>
        <v>#N/A</v>
      </c>
      <c r="B316" s="91" t="str">
        <f>VLOOKUP($F316,UpdateHashtag!$V$3:$Y$32,COLUMN(#REF!),0)</f>
        <v>#REF!</v>
      </c>
      <c r="C316" s="91" t="str">
        <f>VLOOKUP($F316,UpdateHashtag!$V$3:$Y$32,COLUMN(#REF!),0)</f>
        <v>#REF!</v>
      </c>
      <c r="D316" s="110" t="str">
        <f t="shared" si="2"/>
        <v>#N/A</v>
      </c>
      <c r="E316" s="11"/>
      <c r="F316" s="94" t="str">
        <f>VLOOKUP(J316,UpdateBBM!$C$2:E1009,3,0)</f>
        <v>#N/A</v>
      </c>
      <c r="G316" s="35">
        <v>302.0</v>
      </c>
      <c r="H316" s="111"/>
      <c r="I316" s="111"/>
      <c r="J316" s="112"/>
      <c r="K316" s="111"/>
      <c r="L316" s="113"/>
      <c r="M316" s="114"/>
      <c r="N316" s="115"/>
      <c r="O316" s="115"/>
      <c r="P316" s="116"/>
      <c r="Q316" s="116"/>
      <c r="R316" s="116"/>
      <c r="S316" s="117"/>
      <c r="T316" s="116"/>
      <c r="U316" s="116"/>
      <c r="V316" s="113"/>
      <c r="W316" s="113"/>
      <c r="X316" s="116"/>
      <c r="Y316" s="209"/>
      <c r="Z316" s="209"/>
      <c r="AA316" s="209"/>
      <c r="AB316" s="209"/>
      <c r="AC316" s="209"/>
      <c r="AD316" s="209"/>
      <c r="AE316" s="209"/>
      <c r="AF316" s="209"/>
      <c r="AG316" s="210"/>
      <c r="AH316" s="105"/>
      <c r="AI316" s="202"/>
      <c r="AJ316" s="63"/>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c r="BI316" s="105"/>
      <c r="BJ316" s="105"/>
      <c r="BK316" s="105"/>
      <c r="BL316" s="105"/>
      <c r="BM316" s="105"/>
      <c r="BN316" s="105"/>
      <c r="BO316" s="105"/>
      <c r="BP316" s="105"/>
      <c r="BQ316" s="105"/>
      <c r="BR316" s="105"/>
      <c r="BS316" s="105"/>
      <c r="BT316" s="105"/>
      <c r="BU316" s="105"/>
      <c r="BV316" s="105"/>
    </row>
    <row r="317">
      <c r="A317" s="91" t="str">
        <f>VLOOKUP($F317,UpdateHashtag!$V$3:$Y$32,COLUMN(B$9),0)</f>
        <v>#N/A</v>
      </c>
      <c r="B317" s="91" t="str">
        <f>VLOOKUP($F317,UpdateHashtag!$V$3:$Y$32,COLUMN(#REF!),0)</f>
        <v>#REF!</v>
      </c>
      <c r="C317" s="91" t="str">
        <f>VLOOKUP($F317,UpdateHashtag!$V$3:$Y$32,COLUMN(#REF!),0)</f>
        <v>#REF!</v>
      </c>
      <c r="D317" s="110" t="str">
        <f t="shared" si="2"/>
        <v>#N/A</v>
      </c>
      <c r="E317" s="11"/>
      <c r="F317" s="94" t="str">
        <f>VLOOKUP(J317,UpdateBBM!$C$2:E1009,3,0)</f>
        <v>#N/A</v>
      </c>
      <c r="G317" s="35">
        <v>303.0</v>
      </c>
      <c r="H317" s="111"/>
      <c r="I317" s="111"/>
      <c r="J317" s="112"/>
      <c r="K317" s="111"/>
      <c r="L317" s="113"/>
      <c r="M317" s="114"/>
      <c r="N317" s="115"/>
      <c r="O317" s="115"/>
      <c r="P317" s="116"/>
      <c r="Q317" s="116"/>
      <c r="R317" s="116"/>
      <c r="S317" s="117"/>
      <c r="T317" s="116"/>
      <c r="U317" s="116"/>
      <c r="V317" s="113"/>
      <c r="W317" s="113"/>
      <c r="X317" s="116"/>
      <c r="Y317" s="209"/>
      <c r="Z317" s="209"/>
      <c r="AA317" s="209"/>
      <c r="AB317" s="209"/>
      <c r="AC317" s="209"/>
      <c r="AD317" s="209"/>
      <c r="AE317" s="209"/>
      <c r="AF317" s="209"/>
      <c r="AG317" s="210"/>
      <c r="AH317" s="105"/>
      <c r="AI317" s="202"/>
      <c r="AJ317" s="63"/>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row>
    <row r="318">
      <c r="A318" s="91" t="str">
        <f>VLOOKUP($F318,UpdateHashtag!$V$3:$Y$32,COLUMN(B$9),0)</f>
        <v>#N/A</v>
      </c>
      <c r="B318" s="91" t="str">
        <f>VLOOKUP($F318,UpdateHashtag!$V$3:$Y$32,COLUMN(#REF!),0)</f>
        <v>#REF!</v>
      </c>
      <c r="C318" s="91" t="str">
        <f>VLOOKUP($F318,UpdateHashtag!$V$3:$Y$32,COLUMN(#REF!),0)</f>
        <v>#REF!</v>
      </c>
      <c r="D318" s="110" t="str">
        <f t="shared" si="2"/>
        <v>#N/A</v>
      </c>
      <c r="E318" s="11"/>
      <c r="F318" s="94" t="str">
        <f>VLOOKUP(J318,UpdateBBM!$C$2:E1009,3,0)</f>
        <v>#N/A</v>
      </c>
      <c r="G318" s="35">
        <v>304.0</v>
      </c>
      <c r="H318" s="111"/>
      <c r="I318" s="111"/>
      <c r="J318" s="112"/>
      <c r="K318" s="111"/>
      <c r="L318" s="113"/>
      <c r="M318" s="114"/>
      <c r="N318" s="115"/>
      <c r="O318" s="115"/>
      <c r="P318" s="116"/>
      <c r="Q318" s="116"/>
      <c r="R318" s="116"/>
      <c r="S318" s="117"/>
      <c r="T318" s="116"/>
      <c r="U318" s="116"/>
      <c r="V318" s="113"/>
      <c r="W318" s="113"/>
      <c r="X318" s="116"/>
      <c r="Y318" s="209"/>
      <c r="Z318" s="209"/>
      <c r="AA318" s="209"/>
      <c r="AB318" s="209"/>
      <c r="AC318" s="209"/>
      <c r="AD318" s="209"/>
      <c r="AE318" s="209"/>
      <c r="AF318" s="209"/>
      <c r="AG318" s="210"/>
      <c r="AH318" s="105"/>
      <c r="AI318" s="202"/>
      <c r="AJ318" s="63"/>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c r="BI318" s="105"/>
      <c r="BJ318" s="105"/>
      <c r="BK318" s="105"/>
      <c r="BL318" s="105"/>
      <c r="BM318" s="105"/>
      <c r="BN318" s="105"/>
      <c r="BO318" s="105"/>
      <c r="BP318" s="105"/>
      <c r="BQ318" s="105"/>
      <c r="BR318" s="105"/>
      <c r="BS318" s="105"/>
      <c r="BT318" s="105"/>
      <c r="BU318" s="105"/>
      <c r="BV318" s="105"/>
    </row>
    <row r="319">
      <c r="A319" s="91" t="str">
        <f>VLOOKUP($F319,UpdateHashtag!$V$3:$Y$32,COLUMN(B$9),0)</f>
        <v>#N/A</v>
      </c>
      <c r="B319" s="91" t="str">
        <f>VLOOKUP($F319,UpdateHashtag!$V$3:$Y$32,COLUMN(#REF!),0)</f>
        <v>#REF!</v>
      </c>
      <c r="C319" s="91" t="str">
        <f>VLOOKUP($F319,UpdateHashtag!$V$3:$Y$32,COLUMN(#REF!),0)</f>
        <v>#REF!</v>
      </c>
      <c r="D319" s="110" t="str">
        <f t="shared" si="2"/>
        <v>#N/A</v>
      </c>
      <c r="E319" s="11"/>
      <c r="F319" s="94" t="str">
        <f>VLOOKUP(J319,UpdateBBM!$C$2:E1009,3,0)</f>
        <v>#N/A</v>
      </c>
      <c r="G319" s="35">
        <v>305.0</v>
      </c>
      <c r="H319" s="111"/>
      <c r="I319" s="111"/>
      <c r="J319" s="112"/>
      <c r="K319" s="111"/>
      <c r="L319" s="113"/>
      <c r="M319" s="114"/>
      <c r="N319" s="115"/>
      <c r="O319" s="115"/>
      <c r="P319" s="116"/>
      <c r="Q319" s="116"/>
      <c r="R319" s="116"/>
      <c r="S319" s="117"/>
      <c r="T319" s="116"/>
      <c r="U319" s="116"/>
      <c r="V319" s="113"/>
      <c r="W319" s="113"/>
      <c r="X319" s="116"/>
      <c r="Y319" s="209"/>
      <c r="Z319" s="209"/>
      <c r="AA319" s="209"/>
      <c r="AB319" s="209"/>
      <c r="AC319" s="209"/>
      <c r="AD319" s="209"/>
      <c r="AE319" s="209"/>
      <c r="AF319" s="209"/>
      <c r="AG319" s="210"/>
      <c r="AH319" s="105"/>
      <c r="AI319" s="202"/>
      <c r="AJ319" s="63"/>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c r="BI319" s="105"/>
      <c r="BJ319" s="105"/>
      <c r="BK319" s="105"/>
      <c r="BL319" s="105"/>
      <c r="BM319" s="105"/>
      <c r="BN319" s="105"/>
      <c r="BO319" s="105"/>
      <c r="BP319" s="105"/>
      <c r="BQ319" s="105"/>
      <c r="BR319" s="105"/>
      <c r="BS319" s="105"/>
      <c r="BT319" s="105"/>
      <c r="BU319" s="105"/>
      <c r="BV319" s="105"/>
    </row>
    <row r="320">
      <c r="A320" s="91" t="str">
        <f>VLOOKUP($F320,UpdateHashtag!$V$3:$Y$32,COLUMN(B$9),0)</f>
        <v>#N/A</v>
      </c>
      <c r="B320" s="91" t="str">
        <f>VLOOKUP($F320,UpdateHashtag!$V$3:$Y$32,COLUMN(#REF!),0)</f>
        <v>#REF!</v>
      </c>
      <c r="C320" s="91" t="str">
        <f>VLOOKUP($F320,UpdateHashtag!$V$3:$Y$32,COLUMN(#REF!),0)</f>
        <v>#REF!</v>
      </c>
      <c r="D320" s="110" t="str">
        <f t="shared" si="2"/>
        <v>#N/A</v>
      </c>
      <c r="E320" s="11"/>
      <c r="F320" s="94" t="str">
        <f>VLOOKUP(J320,UpdateBBM!$C$2:E1009,3,0)</f>
        <v>#N/A</v>
      </c>
      <c r="G320" s="35">
        <v>306.0</v>
      </c>
      <c r="H320" s="111"/>
      <c r="I320" s="111"/>
      <c r="J320" s="112"/>
      <c r="K320" s="111"/>
      <c r="L320" s="113"/>
      <c r="M320" s="114"/>
      <c r="N320" s="115"/>
      <c r="O320" s="115"/>
      <c r="P320" s="116"/>
      <c r="Q320" s="116"/>
      <c r="R320" s="116"/>
      <c r="S320" s="117"/>
      <c r="T320" s="116"/>
      <c r="U320" s="116"/>
      <c r="V320" s="113"/>
      <c r="W320" s="113"/>
      <c r="X320" s="116"/>
      <c r="Y320" s="209"/>
      <c r="Z320" s="209"/>
      <c r="AA320" s="209"/>
      <c r="AB320" s="209"/>
      <c r="AC320" s="209"/>
      <c r="AD320" s="209"/>
      <c r="AE320" s="209"/>
      <c r="AF320" s="209"/>
      <c r="AG320" s="210"/>
      <c r="AH320" s="105"/>
      <c r="AI320" s="202"/>
      <c r="AJ320" s="63"/>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c r="BI320" s="105"/>
      <c r="BJ320" s="105"/>
      <c r="BK320" s="105"/>
      <c r="BL320" s="105"/>
      <c r="BM320" s="105"/>
      <c r="BN320" s="105"/>
      <c r="BO320" s="105"/>
      <c r="BP320" s="105"/>
      <c r="BQ320" s="105"/>
      <c r="BR320" s="105"/>
      <c r="BS320" s="105"/>
      <c r="BT320" s="105"/>
      <c r="BU320" s="105"/>
      <c r="BV320" s="105"/>
    </row>
    <row r="321">
      <c r="A321" s="91" t="str">
        <f>VLOOKUP($F321,UpdateHashtag!$V$3:$Y$32,COLUMN(B$9),0)</f>
        <v>#N/A</v>
      </c>
      <c r="B321" s="91" t="str">
        <f>VLOOKUP($F321,UpdateHashtag!$V$3:$Y$32,COLUMN(#REF!),0)</f>
        <v>#REF!</v>
      </c>
      <c r="C321" s="91" t="str">
        <f>VLOOKUP($F321,UpdateHashtag!$V$3:$Y$32,COLUMN(#REF!),0)</f>
        <v>#REF!</v>
      </c>
      <c r="D321" s="110" t="str">
        <f t="shared" si="2"/>
        <v>#N/A</v>
      </c>
      <c r="E321" s="11"/>
      <c r="F321" s="94" t="str">
        <f>VLOOKUP(J321,UpdateBBM!$C$2:E1009,3,0)</f>
        <v>#N/A</v>
      </c>
      <c r="G321" s="35">
        <v>307.0</v>
      </c>
      <c r="H321" s="111"/>
      <c r="I321" s="111"/>
      <c r="J321" s="112"/>
      <c r="K321" s="111"/>
      <c r="L321" s="113"/>
      <c r="M321" s="114"/>
      <c r="N321" s="115"/>
      <c r="O321" s="115"/>
      <c r="P321" s="116"/>
      <c r="Q321" s="116"/>
      <c r="R321" s="116"/>
      <c r="S321" s="117"/>
      <c r="T321" s="116"/>
      <c r="U321" s="116"/>
      <c r="V321" s="113"/>
      <c r="W321" s="113"/>
      <c r="X321" s="116"/>
      <c r="Y321" s="209"/>
      <c r="Z321" s="209"/>
      <c r="AA321" s="209"/>
      <c r="AB321" s="209"/>
      <c r="AC321" s="209"/>
      <c r="AD321" s="209"/>
      <c r="AE321" s="209"/>
      <c r="AF321" s="209"/>
      <c r="AG321" s="210"/>
      <c r="AH321" s="105"/>
      <c r="AI321" s="202"/>
      <c r="AJ321" s="63"/>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c r="BI321" s="105"/>
      <c r="BJ321" s="105"/>
      <c r="BK321" s="105"/>
      <c r="BL321" s="105"/>
      <c r="BM321" s="105"/>
      <c r="BN321" s="105"/>
      <c r="BO321" s="105"/>
      <c r="BP321" s="105"/>
      <c r="BQ321" s="105"/>
      <c r="BR321" s="105"/>
      <c r="BS321" s="105"/>
      <c r="BT321" s="105"/>
      <c r="BU321" s="105"/>
      <c r="BV321" s="105"/>
    </row>
    <row r="322">
      <c r="A322" s="91" t="str">
        <f>VLOOKUP($F322,UpdateHashtag!$V$3:$Y$32,COLUMN(B$9),0)</f>
        <v>#N/A</v>
      </c>
      <c r="B322" s="91" t="str">
        <f>VLOOKUP($F322,UpdateHashtag!$V$3:$Y$32,COLUMN(#REF!),0)</f>
        <v>#REF!</v>
      </c>
      <c r="C322" s="91" t="str">
        <f>VLOOKUP($F322,UpdateHashtag!$V$3:$Y$32,COLUMN(#REF!),0)</f>
        <v>#REF!</v>
      </c>
      <c r="D322" s="110" t="str">
        <f t="shared" si="2"/>
        <v>#N/A</v>
      </c>
      <c r="E322" s="11"/>
      <c r="F322" s="94" t="str">
        <f>VLOOKUP(J322,UpdateBBM!$C$2:E1009,3,0)</f>
        <v>#N/A</v>
      </c>
      <c r="G322" s="35">
        <v>308.0</v>
      </c>
      <c r="H322" s="111"/>
      <c r="I322" s="111"/>
      <c r="J322" s="112"/>
      <c r="K322" s="111"/>
      <c r="L322" s="113"/>
      <c r="M322" s="114"/>
      <c r="N322" s="115"/>
      <c r="O322" s="115"/>
      <c r="P322" s="116"/>
      <c r="Q322" s="116"/>
      <c r="R322" s="116"/>
      <c r="S322" s="117"/>
      <c r="T322" s="116"/>
      <c r="U322" s="116"/>
      <c r="V322" s="113"/>
      <c r="W322" s="113"/>
      <c r="X322" s="116"/>
      <c r="Y322" s="209"/>
      <c r="Z322" s="209"/>
      <c r="AA322" s="209"/>
      <c r="AB322" s="209"/>
      <c r="AC322" s="209"/>
      <c r="AD322" s="209"/>
      <c r="AE322" s="209"/>
      <c r="AF322" s="209"/>
      <c r="AG322" s="210"/>
      <c r="AH322" s="105"/>
      <c r="AI322" s="202"/>
      <c r="AJ322" s="63"/>
      <c r="AK322" s="105"/>
      <c r="AL322" s="105"/>
      <c r="AM322" s="105"/>
      <c r="AN322" s="105"/>
      <c r="AO322" s="105"/>
      <c r="AP322" s="105"/>
      <c r="AQ322" s="105"/>
      <c r="AR322" s="105"/>
      <c r="AS322" s="105"/>
      <c r="AT322" s="105"/>
      <c r="AU322" s="105"/>
      <c r="AV322" s="105"/>
      <c r="AW322" s="105"/>
      <c r="AX322" s="105"/>
      <c r="AY322" s="105"/>
      <c r="AZ322" s="105"/>
      <c r="BA322" s="105"/>
      <c r="BB322" s="105"/>
      <c r="BC322" s="105"/>
      <c r="BD322" s="105"/>
      <c r="BE322" s="105"/>
      <c r="BF322" s="105"/>
      <c r="BG322" s="105"/>
      <c r="BH322" s="105"/>
      <c r="BI322" s="105"/>
      <c r="BJ322" s="105"/>
      <c r="BK322" s="105"/>
      <c r="BL322" s="105"/>
      <c r="BM322" s="105"/>
      <c r="BN322" s="105"/>
      <c r="BO322" s="105"/>
      <c r="BP322" s="105"/>
      <c r="BQ322" s="105"/>
      <c r="BR322" s="105"/>
      <c r="BS322" s="105"/>
      <c r="BT322" s="105"/>
      <c r="BU322" s="105"/>
      <c r="BV322" s="105"/>
    </row>
    <row r="323">
      <c r="A323" s="91" t="str">
        <f>VLOOKUP($F323,UpdateHashtag!$V$3:$Y$32,COLUMN(B$9),0)</f>
        <v>#N/A</v>
      </c>
      <c r="B323" s="91" t="str">
        <f>VLOOKUP($F323,UpdateHashtag!$V$3:$Y$32,COLUMN(#REF!),0)</f>
        <v>#REF!</v>
      </c>
      <c r="C323" s="91" t="str">
        <f>VLOOKUP($F323,UpdateHashtag!$V$3:$Y$32,COLUMN(#REF!),0)</f>
        <v>#REF!</v>
      </c>
      <c r="D323" s="110" t="str">
        <f t="shared" si="2"/>
        <v>#N/A</v>
      </c>
      <c r="E323" s="11"/>
      <c r="F323" s="94" t="str">
        <f>VLOOKUP(J323,UpdateBBM!$C$2:E1009,3,0)</f>
        <v>#N/A</v>
      </c>
      <c r="G323" s="35">
        <v>309.0</v>
      </c>
      <c r="H323" s="111"/>
      <c r="I323" s="111"/>
      <c r="J323" s="112"/>
      <c r="K323" s="111"/>
      <c r="L323" s="113"/>
      <c r="M323" s="114"/>
      <c r="N323" s="115"/>
      <c r="O323" s="115"/>
      <c r="P323" s="116"/>
      <c r="Q323" s="116"/>
      <c r="R323" s="116"/>
      <c r="S323" s="117"/>
      <c r="T323" s="116"/>
      <c r="U323" s="116"/>
      <c r="V323" s="113"/>
      <c r="W323" s="113"/>
      <c r="X323" s="116"/>
      <c r="Y323" s="209"/>
      <c r="Z323" s="209"/>
      <c r="AA323" s="209"/>
      <c r="AB323" s="209"/>
      <c r="AC323" s="209"/>
      <c r="AD323" s="209"/>
      <c r="AE323" s="209"/>
      <c r="AF323" s="209"/>
      <c r="AG323" s="210"/>
      <c r="AH323" s="105"/>
      <c r="AI323" s="202"/>
      <c r="AJ323" s="63"/>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c r="BI323" s="105"/>
      <c r="BJ323" s="105"/>
      <c r="BK323" s="105"/>
      <c r="BL323" s="105"/>
      <c r="BM323" s="105"/>
      <c r="BN323" s="105"/>
      <c r="BO323" s="105"/>
      <c r="BP323" s="105"/>
      <c r="BQ323" s="105"/>
      <c r="BR323" s="105"/>
      <c r="BS323" s="105"/>
      <c r="BT323" s="105"/>
      <c r="BU323" s="105"/>
      <c r="BV323" s="105"/>
    </row>
    <row r="324">
      <c r="A324" s="91" t="str">
        <f>VLOOKUP($F324,UpdateHashtag!$V$3:$Y$32,COLUMN(B$9),0)</f>
        <v>#N/A</v>
      </c>
      <c r="B324" s="91" t="str">
        <f>VLOOKUP($F324,UpdateHashtag!$V$3:$Y$32,COLUMN(#REF!),0)</f>
        <v>#REF!</v>
      </c>
      <c r="C324" s="91" t="str">
        <f>VLOOKUP($F324,UpdateHashtag!$V$3:$Y$32,COLUMN(#REF!),0)</f>
        <v>#REF!</v>
      </c>
      <c r="D324" s="110" t="str">
        <f t="shared" si="2"/>
        <v>#N/A</v>
      </c>
      <c r="E324" s="11"/>
      <c r="F324" s="94" t="str">
        <f>VLOOKUP(J324,UpdateBBM!$C$2:E1009,3,0)</f>
        <v>#N/A</v>
      </c>
      <c r="G324" s="35">
        <v>310.0</v>
      </c>
      <c r="H324" s="111"/>
      <c r="I324" s="111"/>
      <c r="J324" s="112"/>
      <c r="K324" s="111"/>
      <c r="L324" s="113"/>
      <c r="M324" s="114"/>
      <c r="N324" s="115"/>
      <c r="O324" s="115"/>
      <c r="P324" s="116"/>
      <c r="Q324" s="116"/>
      <c r="R324" s="116"/>
      <c r="S324" s="117"/>
      <c r="T324" s="116"/>
      <c r="U324" s="116"/>
      <c r="V324" s="113"/>
      <c r="W324" s="113"/>
      <c r="X324" s="116"/>
      <c r="Y324" s="209"/>
      <c r="Z324" s="209"/>
      <c r="AA324" s="209"/>
      <c r="AB324" s="209"/>
      <c r="AC324" s="209"/>
      <c r="AD324" s="209"/>
      <c r="AE324" s="209"/>
      <c r="AF324" s="209"/>
      <c r="AG324" s="210"/>
      <c r="AH324" s="105"/>
      <c r="AI324" s="202"/>
      <c r="AJ324" s="63"/>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c r="BI324" s="105"/>
      <c r="BJ324" s="105"/>
      <c r="BK324" s="105"/>
      <c r="BL324" s="105"/>
      <c r="BM324" s="105"/>
      <c r="BN324" s="105"/>
      <c r="BO324" s="105"/>
      <c r="BP324" s="105"/>
      <c r="BQ324" s="105"/>
      <c r="BR324" s="105"/>
      <c r="BS324" s="105"/>
      <c r="BT324" s="105"/>
      <c r="BU324" s="105"/>
      <c r="BV324" s="105"/>
    </row>
    <row r="325">
      <c r="A325" s="91" t="str">
        <f>VLOOKUP($F325,UpdateHashtag!$V$3:$Y$32,COLUMN(B$9),0)</f>
        <v>#N/A</v>
      </c>
      <c r="B325" s="91" t="str">
        <f>VLOOKUP($F325,UpdateHashtag!$V$3:$Y$32,COLUMN(#REF!),0)</f>
        <v>#REF!</v>
      </c>
      <c r="C325" s="91" t="str">
        <f>VLOOKUP($F325,UpdateHashtag!$V$3:$Y$32,COLUMN(#REF!),0)</f>
        <v>#REF!</v>
      </c>
      <c r="D325" s="110" t="str">
        <f t="shared" si="2"/>
        <v>#N/A</v>
      </c>
      <c r="E325" s="11"/>
      <c r="F325" s="94" t="str">
        <f>VLOOKUP(J325,UpdateBBM!$C$2:E1009,3,0)</f>
        <v>#N/A</v>
      </c>
      <c r="G325" s="35">
        <v>311.0</v>
      </c>
      <c r="H325" s="111"/>
      <c r="I325" s="111"/>
      <c r="J325" s="112"/>
      <c r="K325" s="111"/>
      <c r="L325" s="113"/>
      <c r="M325" s="114"/>
      <c r="N325" s="115"/>
      <c r="O325" s="115"/>
      <c r="P325" s="116"/>
      <c r="Q325" s="116"/>
      <c r="R325" s="116"/>
      <c r="S325" s="117"/>
      <c r="T325" s="116"/>
      <c r="U325" s="116"/>
      <c r="V325" s="113"/>
      <c r="W325" s="113"/>
      <c r="X325" s="116"/>
      <c r="Y325" s="209"/>
      <c r="Z325" s="209"/>
      <c r="AA325" s="209"/>
      <c r="AB325" s="209"/>
      <c r="AC325" s="209"/>
      <c r="AD325" s="209"/>
      <c r="AE325" s="209"/>
      <c r="AF325" s="209"/>
      <c r="AG325" s="210"/>
      <c r="AH325" s="105"/>
      <c r="AI325" s="202"/>
      <c r="AJ325" s="63"/>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c r="BI325" s="105"/>
      <c r="BJ325" s="105"/>
      <c r="BK325" s="105"/>
      <c r="BL325" s="105"/>
      <c r="BM325" s="105"/>
      <c r="BN325" s="105"/>
      <c r="BO325" s="105"/>
      <c r="BP325" s="105"/>
      <c r="BQ325" s="105"/>
      <c r="BR325" s="105"/>
      <c r="BS325" s="105"/>
      <c r="BT325" s="105"/>
      <c r="BU325" s="105"/>
      <c r="BV325" s="105"/>
    </row>
    <row r="326">
      <c r="A326" s="91" t="str">
        <f>VLOOKUP($F326,UpdateHashtag!$V$3:$Y$32,COLUMN(B$9),0)</f>
        <v>#N/A</v>
      </c>
      <c r="B326" s="91" t="str">
        <f>VLOOKUP($F326,UpdateHashtag!$V$3:$Y$32,COLUMN(#REF!),0)</f>
        <v>#REF!</v>
      </c>
      <c r="C326" s="91" t="str">
        <f>VLOOKUP($F326,UpdateHashtag!$V$3:$Y$32,COLUMN(#REF!),0)</f>
        <v>#REF!</v>
      </c>
      <c r="D326" s="110" t="str">
        <f t="shared" si="2"/>
        <v>#N/A</v>
      </c>
      <c r="E326" s="11"/>
      <c r="F326" s="94" t="str">
        <f>VLOOKUP(J326,UpdateBBM!$C$2:E1009,3,0)</f>
        <v>#N/A</v>
      </c>
      <c r="G326" s="35">
        <v>312.0</v>
      </c>
      <c r="H326" s="111"/>
      <c r="I326" s="111"/>
      <c r="J326" s="112"/>
      <c r="K326" s="111"/>
      <c r="L326" s="113"/>
      <c r="M326" s="114"/>
      <c r="N326" s="115"/>
      <c r="O326" s="115"/>
      <c r="P326" s="116"/>
      <c r="Q326" s="116"/>
      <c r="R326" s="116"/>
      <c r="S326" s="117"/>
      <c r="T326" s="116"/>
      <c r="U326" s="116"/>
      <c r="V326" s="113"/>
      <c r="W326" s="113"/>
      <c r="X326" s="116"/>
      <c r="Y326" s="209"/>
      <c r="Z326" s="209"/>
      <c r="AA326" s="209"/>
      <c r="AB326" s="209"/>
      <c r="AC326" s="209"/>
      <c r="AD326" s="209"/>
      <c r="AE326" s="209"/>
      <c r="AF326" s="209"/>
      <c r="AG326" s="210"/>
      <c r="AH326" s="105"/>
      <c r="AI326" s="202"/>
      <c r="AJ326" s="63"/>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c r="BI326" s="105"/>
      <c r="BJ326" s="105"/>
      <c r="BK326" s="105"/>
      <c r="BL326" s="105"/>
      <c r="BM326" s="105"/>
      <c r="BN326" s="105"/>
      <c r="BO326" s="105"/>
      <c r="BP326" s="105"/>
      <c r="BQ326" s="105"/>
      <c r="BR326" s="105"/>
      <c r="BS326" s="105"/>
      <c r="BT326" s="105"/>
      <c r="BU326" s="105"/>
      <c r="BV326" s="105"/>
    </row>
    <row r="327">
      <c r="A327" s="91" t="str">
        <f>VLOOKUP($F327,UpdateHashtag!$V$3:$Y$32,COLUMN(B$9),0)</f>
        <v>#N/A</v>
      </c>
      <c r="B327" s="91" t="str">
        <f>VLOOKUP($F327,UpdateHashtag!$V$3:$Y$32,COLUMN(#REF!),0)</f>
        <v>#REF!</v>
      </c>
      <c r="C327" s="91" t="str">
        <f>VLOOKUP($F327,UpdateHashtag!$V$3:$Y$32,COLUMN(#REF!),0)</f>
        <v>#REF!</v>
      </c>
      <c r="D327" s="110" t="str">
        <f t="shared" si="2"/>
        <v>#N/A</v>
      </c>
      <c r="E327" s="11"/>
      <c r="F327" s="94" t="str">
        <f>VLOOKUP(J327,UpdateBBM!$C$2:E1009,3,0)</f>
        <v>#N/A</v>
      </c>
      <c r="G327" s="35">
        <v>313.0</v>
      </c>
      <c r="H327" s="111"/>
      <c r="I327" s="111"/>
      <c r="J327" s="112"/>
      <c r="K327" s="111"/>
      <c r="L327" s="113"/>
      <c r="M327" s="114"/>
      <c r="N327" s="115"/>
      <c r="O327" s="115"/>
      <c r="P327" s="116"/>
      <c r="Q327" s="116"/>
      <c r="R327" s="116"/>
      <c r="S327" s="117"/>
      <c r="T327" s="116"/>
      <c r="U327" s="116"/>
      <c r="V327" s="113"/>
      <c r="W327" s="113"/>
      <c r="X327" s="116"/>
      <c r="Y327" s="209"/>
      <c r="Z327" s="209"/>
      <c r="AA327" s="209"/>
      <c r="AB327" s="209"/>
      <c r="AC327" s="209"/>
      <c r="AD327" s="209"/>
      <c r="AE327" s="209"/>
      <c r="AF327" s="209"/>
      <c r="AG327" s="210"/>
      <c r="AH327" s="105"/>
      <c r="AI327" s="202"/>
      <c r="AJ327" s="63"/>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c r="BI327" s="105"/>
      <c r="BJ327" s="105"/>
      <c r="BK327" s="105"/>
      <c r="BL327" s="105"/>
      <c r="BM327" s="105"/>
      <c r="BN327" s="105"/>
      <c r="BO327" s="105"/>
      <c r="BP327" s="105"/>
      <c r="BQ327" s="105"/>
      <c r="BR327" s="105"/>
      <c r="BS327" s="105"/>
      <c r="BT327" s="105"/>
      <c r="BU327" s="105"/>
      <c r="BV327" s="105"/>
    </row>
    <row r="328">
      <c r="A328" s="91" t="str">
        <f>VLOOKUP($F328,UpdateHashtag!$V$3:$Y$32,COLUMN(B$9),0)</f>
        <v>#N/A</v>
      </c>
      <c r="B328" s="91" t="str">
        <f>VLOOKUP($F328,UpdateHashtag!$V$3:$Y$32,COLUMN(#REF!),0)</f>
        <v>#REF!</v>
      </c>
      <c r="C328" s="91" t="str">
        <f>VLOOKUP($F328,UpdateHashtag!$V$3:$Y$32,COLUMN(#REF!),0)</f>
        <v>#REF!</v>
      </c>
      <c r="D328" s="110" t="str">
        <f t="shared" si="2"/>
        <v>#N/A</v>
      </c>
      <c r="E328" s="11"/>
      <c r="F328" s="94" t="str">
        <f>VLOOKUP(J328,UpdateBBM!$C$2:E1009,3,0)</f>
        <v>#N/A</v>
      </c>
      <c r="G328" s="35">
        <v>314.0</v>
      </c>
      <c r="H328" s="111"/>
      <c r="I328" s="111"/>
      <c r="J328" s="112"/>
      <c r="K328" s="111"/>
      <c r="L328" s="113"/>
      <c r="M328" s="114"/>
      <c r="N328" s="115"/>
      <c r="O328" s="115"/>
      <c r="P328" s="116"/>
      <c r="Q328" s="116"/>
      <c r="R328" s="116"/>
      <c r="S328" s="117"/>
      <c r="T328" s="116"/>
      <c r="U328" s="116"/>
      <c r="V328" s="113"/>
      <c r="W328" s="113"/>
      <c r="X328" s="116"/>
      <c r="Y328" s="209"/>
      <c r="Z328" s="209"/>
      <c r="AA328" s="209"/>
      <c r="AB328" s="209"/>
      <c r="AC328" s="209"/>
      <c r="AD328" s="209"/>
      <c r="AE328" s="209"/>
      <c r="AF328" s="209"/>
      <c r="AG328" s="210"/>
      <c r="AH328" s="105"/>
      <c r="AI328" s="202"/>
      <c r="AJ328" s="63"/>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c r="BI328" s="105"/>
      <c r="BJ328" s="105"/>
      <c r="BK328" s="105"/>
      <c r="BL328" s="105"/>
      <c r="BM328" s="105"/>
      <c r="BN328" s="105"/>
      <c r="BO328" s="105"/>
      <c r="BP328" s="105"/>
      <c r="BQ328" s="105"/>
      <c r="BR328" s="105"/>
      <c r="BS328" s="105"/>
      <c r="BT328" s="105"/>
      <c r="BU328" s="105"/>
      <c r="BV328" s="105"/>
    </row>
    <row r="329">
      <c r="A329" s="91" t="str">
        <f>VLOOKUP($F329,UpdateHashtag!$V$3:$Y$32,COLUMN(B$9),0)</f>
        <v>#N/A</v>
      </c>
      <c r="B329" s="91" t="str">
        <f>VLOOKUP($F329,UpdateHashtag!$V$3:$Y$32,COLUMN(#REF!),0)</f>
        <v>#REF!</v>
      </c>
      <c r="C329" s="91" t="str">
        <f>VLOOKUP($F329,UpdateHashtag!$V$3:$Y$32,COLUMN(#REF!),0)</f>
        <v>#REF!</v>
      </c>
      <c r="D329" s="110" t="str">
        <f t="shared" si="2"/>
        <v>#N/A</v>
      </c>
      <c r="E329" s="11"/>
      <c r="F329" s="94" t="str">
        <f>VLOOKUP(J329,UpdateBBM!$C$2:E1009,3,0)</f>
        <v>#N/A</v>
      </c>
      <c r="G329" s="35">
        <v>315.0</v>
      </c>
      <c r="H329" s="111"/>
      <c r="I329" s="111"/>
      <c r="J329" s="112"/>
      <c r="K329" s="111"/>
      <c r="L329" s="113"/>
      <c r="M329" s="114"/>
      <c r="N329" s="115"/>
      <c r="O329" s="115"/>
      <c r="P329" s="116"/>
      <c r="Q329" s="116"/>
      <c r="R329" s="116"/>
      <c r="S329" s="117"/>
      <c r="T329" s="116"/>
      <c r="U329" s="116"/>
      <c r="V329" s="113"/>
      <c r="W329" s="113"/>
      <c r="X329" s="116"/>
      <c r="Y329" s="209"/>
      <c r="Z329" s="209"/>
      <c r="AA329" s="209"/>
      <c r="AB329" s="209"/>
      <c r="AC329" s="209"/>
      <c r="AD329" s="209"/>
      <c r="AE329" s="209"/>
      <c r="AF329" s="209"/>
      <c r="AG329" s="210"/>
      <c r="AH329" s="105"/>
      <c r="AI329" s="202"/>
      <c r="AJ329" s="63"/>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c r="BI329" s="105"/>
      <c r="BJ329" s="105"/>
      <c r="BK329" s="105"/>
      <c r="BL329" s="105"/>
      <c r="BM329" s="105"/>
      <c r="BN329" s="105"/>
      <c r="BO329" s="105"/>
      <c r="BP329" s="105"/>
      <c r="BQ329" s="105"/>
      <c r="BR329" s="105"/>
      <c r="BS329" s="105"/>
      <c r="BT329" s="105"/>
      <c r="BU329" s="105"/>
      <c r="BV329" s="105"/>
    </row>
    <row r="330">
      <c r="A330" s="91" t="str">
        <f>VLOOKUP($F330,UpdateHashtag!$V$3:$Y$32,COLUMN(B$9),0)</f>
        <v>#N/A</v>
      </c>
      <c r="B330" s="91" t="str">
        <f>VLOOKUP($F330,UpdateHashtag!$V$3:$Y$32,COLUMN(#REF!),0)</f>
        <v>#REF!</v>
      </c>
      <c r="C330" s="91" t="str">
        <f>VLOOKUP($F330,UpdateHashtag!$V$3:$Y$32,COLUMN(#REF!),0)</f>
        <v>#REF!</v>
      </c>
      <c r="D330" s="110" t="str">
        <f t="shared" si="2"/>
        <v>#N/A</v>
      </c>
      <c r="E330" s="11"/>
      <c r="F330" s="94" t="str">
        <f>VLOOKUP(J330,UpdateBBM!$C$2:E1009,3,0)</f>
        <v>#N/A</v>
      </c>
      <c r="G330" s="35">
        <v>316.0</v>
      </c>
      <c r="H330" s="111"/>
      <c r="I330" s="111"/>
      <c r="J330" s="112"/>
      <c r="K330" s="111"/>
      <c r="L330" s="113"/>
      <c r="M330" s="114"/>
      <c r="N330" s="115"/>
      <c r="O330" s="115"/>
      <c r="P330" s="116"/>
      <c r="Q330" s="116"/>
      <c r="R330" s="116"/>
      <c r="S330" s="117"/>
      <c r="T330" s="116"/>
      <c r="U330" s="116"/>
      <c r="V330" s="113"/>
      <c r="W330" s="113"/>
      <c r="X330" s="116"/>
      <c r="Y330" s="209"/>
      <c r="Z330" s="209"/>
      <c r="AA330" s="209"/>
      <c r="AB330" s="209"/>
      <c r="AC330" s="209"/>
      <c r="AD330" s="209"/>
      <c r="AE330" s="209"/>
      <c r="AF330" s="209"/>
      <c r="AG330" s="210"/>
      <c r="AH330" s="105"/>
      <c r="AI330" s="202"/>
      <c r="AJ330" s="63"/>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c r="BI330" s="105"/>
      <c r="BJ330" s="105"/>
      <c r="BK330" s="105"/>
      <c r="BL330" s="105"/>
      <c r="BM330" s="105"/>
      <c r="BN330" s="105"/>
      <c r="BO330" s="105"/>
      <c r="BP330" s="105"/>
      <c r="BQ330" s="105"/>
      <c r="BR330" s="105"/>
      <c r="BS330" s="105"/>
      <c r="BT330" s="105"/>
      <c r="BU330" s="105"/>
      <c r="BV330" s="105"/>
    </row>
    <row r="331">
      <c r="A331" s="91" t="str">
        <f>VLOOKUP($F331,UpdateHashtag!$V$3:$Y$32,COLUMN(B$9),0)</f>
        <v>#N/A</v>
      </c>
      <c r="B331" s="91" t="str">
        <f>VLOOKUP($F331,UpdateHashtag!$V$3:$Y$32,COLUMN(#REF!),0)</f>
        <v>#REF!</v>
      </c>
      <c r="C331" s="91" t="str">
        <f>VLOOKUP($F331,UpdateHashtag!$V$3:$Y$32,COLUMN(#REF!),0)</f>
        <v>#REF!</v>
      </c>
      <c r="D331" s="110" t="str">
        <f t="shared" si="2"/>
        <v>#N/A</v>
      </c>
      <c r="E331" s="11"/>
      <c r="F331" s="94" t="str">
        <f>VLOOKUP(J331,UpdateBBM!$C$2:E1009,3,0)</f>
        <v>#N/A</v>
      </c>
      <c r="G331" s="35">
        <v>317.0</v>
      </c>
      <c r="H331" s="111"/>
      <c r="I331" s="111"/>
      <c r="J331" s="112"/>
      <c r="K331" s="111"/>
      <c r="L331" s="113"/>
      <c r="M331" s="114"/>
      <c r="N331" s="115"/>
      <c r="O331" s="115"/>
      <c r="P331" s="116"/>
      <c r="Q331" s="116"/>
      <c r="R331" s="116"/>
      <c r="S331" s="117"/>
      <c r="T331" s="116"/>
      <c r="U331" s="116"/>
      <c r="V331" s="113"/>
      <c r="W331" s="113"/>
      <c r="X331" s="116"/>
      <c r="Y331" s="209"/>
      <c r="Z331" s="209"/>
      <c r="AA331" s="209"/>
      <c r="AB331" s="209"/>
      <c r="AC331" s="209"/>
      <c r="AD331" s="209"/>
      <c r="AE331" s="209"/>
      <c r="AF331" s="209"/>
      <c r="AG331" s="210"/>
      <c r="AH331" s="105"/>
      <c r="AI331" s="202"/>
      <c r="AJ331" s="63"/>
      <c r="AK331" s="105"/>
      <c r="AL331" s="105"/>
      <c r="AM331" s="105"/>
      <c r="AN331" s="105"/>
      <c r="AO331" s="105"/>
      <c r="AP331" s="105"/>
      <c r="AQ331" s="105"/>
      <c r="AR331" s="105"/>
      <c r="AS331" s="105"/>
      <c r="AT331" s="105"/>
      <c r="AU331" s="105"/>
      <c r="AV331" s="105"/>
      <c r="AW331" s="105"/>
      <c r="AX331" s="105"/>
      <c r="AY331" s="105"/>
      <c r="AZ331" s="105"/>
      <c r="BA331" s="105"/>
      <c r="BB331" s="105"/>
      <c r="BC331" s="105"/>
      <c r="BD331" s="105"/>
      <c r="BE331" s="105"/>
      <c r="BF331" s="105"/>
      <c r="BG331" s="105"/>
      <c r="BH331" s="105"/>
      <c r="BI331" s="105"/>
      <c r="BJ331" s="105"/>
      <c r="BK331" s="105"/>
      <c r="BL331" s="105"/>
      <c r="BM331" s="105"/>
      <c r="BN331" s="105"/>
      <c r="BO331" s="105"/>
      <c r="BP331" s="105"/>
      <c r="BQ331" s="105"/>
      <c r="BR331" s="105"/>
      <c r="BS331" s="105"/>
      <c r="BT331" s="105"/>
      <c r="BU331" s="105"/>
      <c r="BV331" s="105"/>
    </row>
    <row r="332">
      <c r="A332" s="91" t="str">
        <f>VLOOKUP($F332,UpdateHashtag!$V$3:$Y$32,COLUMN(B$9),0)</f>
        <v>#N/A</v>
      </c>
      <c r="B332" s="91" t="str">
        <f>VLOOKUP($F332,UpdateHashtag!$V$3:$Y$32,COLUMN(#REF!),0)</f>
        <v>#REF!</v>
      </c>
      <c r="C332" s="91" t="str">
        <f>VLOOKUP($F332,UpdateHashtag!$V$3:$Y$32,COLUMN(#REF!),0)</f>
        <v>#REF!</v>
      </c>
      <c r="D332" s="110" t="str">
        <f t="shared" si="2"/>
        <v>#N/A</v>
      </c>
      <c r="E332" s="11"/>
      <c r="F332" s="94" t="str">
        <f>VLOOKUP(J332,UpdateBBM!$C$2:E1009,3,0)</f>
        <v>#N/A</v>
      </c>
      <c r="G332" s="35">
        <v>318.0</v>
      </c>
      <c r="H332" s="111"/>
      <c r="I332" s="111"/>
      <c r="J332" s="112"/>
      <c r="K332" s="111"/>
      <c r="L332" s="113"/>
      <c r="M332" s="114"/>
      <c r="N332" s="115"/>
      <c r="O332" s="115"/>
      <c r="P332" s="116"/>
      <c r="Q332" s="116"/>
      <c r="R332" s="116"/>
      <c r="S332" s="117"/>
      <c r="T332" s="116"/>
      <c r="U332" s="116"/>
      <c r="V332" s="113"/>
      <c r="W332" s="113"/>
      <c r="X332" s="116"/>
      <c r="Y332" s="209"/>
      <c r="Z332" s="209"/>
      <c r="AA332" s="209"/>
      <c r="AB332" s="209"/>
      <c r="AC332" s="209"/>
      <c r="AD332" s="209"/>
      <c r="AE332" s="209"/>
      <c r="AF332" s="209"/>
      <c r="AG332" s="210"/>
      <c r="AH332" s="105"/>
      <c r="AI332" s="202"/>
      <c r="AJ332" s="63"/>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c r="BI332" s="105"/>
      <c r="BJ332" s="105"/>
      <c r="BK332" s="105"/>
      <c r="BL332" s="105"/>
      <c r="BM332" s="105"/>
      <c r="BN332" s="105"/>
      <c r="BO332" s="105"/>
      <c r="BP332" s="105"/>
      <c r="BQ332" s="105"/>
      <c r="BR332" s="105"/>
      <c r="BS332" s="105"/>
      <c r="BT332" s="105"/>
      <c r="BU332" s="105"/>
      <c r="BV332" s="105"/>
    </row>
    <row r="333">
      <c r="A333" s="91" t="str">
        <f>VLOOKUP($F333,UpdateHashtag!$V$3:$Y$32,COLUMN(B$9),0)</f>
        <v>#N/A</v>
      </c>
      <c r="B333" s="91" t="str">
        <f>VLOOKUP($F333,UpdateHashtag!$V$3:$Y$32,COLUMN(#REF!),0)</f>
        <v>#REF!</v>
      </c>
      <c r="C333" s="91" t="str">
        <f>VLOOKUP($F333,UpdateHashtag!$V$3:$Y$32,COLUMN(#REF!),0)</f>
        <v>#REF!</v>
      </c>
      <c r="D333" s="110" t="str">
        <f t="shared" si="2"/>
        <v>#N/A</v>
      </c>
      <c r="E333" s="11"/>
      <c r="F333" s="94" t="str">
        <f>VLOOKUP(J333,UpdateBBM!$C$2:E1009,3,0)</f>
        <v>#N/A</v>
      </c>
      <c r="G333" s="35">
        <v>319.0</v>
      </c>
      <c r="H333" s="111"/>
      <c r="I333" s="111"/>
      <c r="J333" s="112"/>
      <c r="K333" s="111"/>
      <c r="L333" s="113"/>
      <c r="M333" s="114"/>
      <c r="N333" s="115"/>
      <c r="O333" s="115"/>
      <c r="P333" s="116"/>
      <c r="Q333" s="116"/>
      <c r="R333" s="116"/>
      <c r="S333" s="117"/>
      <c r="T333" s="116"/>
      <c r="U333" s="116"/>
      <c r="V333" s="113"/>
      <c r="W333" s="113"/>
      <c r="X333" s="116"/>
      <c r="Y333" s="209"/>
      <c r="Z333" s="209"/>
      <c r="AA333" s="209"/>
      <c r="AB333" s="209"/>
      <c r="AC333" s="209"/>
      <c r="AD333" s="209"/>
      <c r="AE333" s="209"/>
      <c r="AF333" s="209"/>
      <c r="AG333" s="210"/>
      <c r="AH333" s="105"/>
      <c r="AI333" s="202"/>
      <c r="AJ333" s="63"/>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c r="BI333" s="105"/>
      <c r="BJ333" s="105"/>
      <c r="BK333" s="105"/>
      <c r="BL333" s="105"/>
      <c r="BM333" s="105"/>
      <c r="BN333" s="105"/>
      <c r="BO333" s="105"/>
      <c r="BP333" s="105"/>
      <c r="BQ333" s="105"/>
      <c r="BR333" s="105"/>
      <c r="BS333" s="105"/>
      <c r="BT333" s="105"/>
      <c r="BU333" s="105"/>
      <c r="BV333" s="105"/>
    </row>
    <row r="334">
      <c r="A334" s="91" t="str">
        <f>VLOOKUP($F334,UpdateHashtag!$V$3:$Y$32,COLUMN(B$9),0)</f>
        <v>#N/A</v>
      </c>
      <c r="B334" s="91" t="str">
        <f>VLOOKUP($F334,UpdateHashtag!$V$3:$Y$32,COLUMN(#REF!),0)</f>
        <v>#REF!</v>
      </c>
      <c r="C334" s="91" t="str">
        <f>VLOOKUP($F334,UpdateHashtag!$V$3:$Y$32,COLUMN(#REF!),0)</f>
        <v>#REF!</v>
      </c>
      <c r="D334" s="110" t="str">
        <f t="shared" si="2"/>
        <v>#N/A</v>
      </c>
      <c r="E334" s="11"/>
      <c r="F334" s="94" t="str">
        <f>VLOOKUP(J334,UpdateBBM!$C$2:E1009,3,0)</f>
        <v>#N/A</v>
      </c>
      <c r="G334" s="35">
        <v>320.0</v>
      </c>
      <c r="H334" s="111"/>
      <c r="I334" s="111"/>
      <c r="J334" s="112"/>
      <c r="K334" s="111"/>
      <c r="L334" s="113"/>
      <c r="M334" s="114"/>
      <c r="N334" s="115"/>
      <c r="O334" s="115"/>
      <c r="P334" s="116"/>
      <c r="Q334" s="116"/>
      <c r="R334" s="116"/>
      <c r="S334" s="117"/>
      <c r="T334" s="116"/>
      <c r="U334" s="116"/>
      <c r="V334" s="113"/>
      <c r="W334" s="113"/>
      <c r="X334" s="116"/>
      <c r="Y334" s="209"/>
      <c r="Z334" s="209"/>
      <c r="AA334" s="209"/>
      <c r="AB334" s="209"/>
      <c r="AC334" s="209"/>
      <c r="AD334" s="209"/>
      <c r="AE334" s="209"/>
      <c r="AF334" s="209"/>
      <c r="AG334" s="210"/>
      <c r="AH334" s="105"/>
      <c r="AI334" s="202"/>
      <c r="AJ334" s="63"/>
      <c r="AK334" s="105"/>
      <c r="AL334" s="105"/>
      <c r="AM334" s="105"/>
      <c r="AN334" s="105"/>
      <c r="AO334" s="105"/>
      <c r="AP334" s="105"/>
      <c r="AQ334" s="105"/>
      <c r="AR334" s="105"/>
      <c r="AS334" s="105"/>
      <c r="AT334" s="105"/>
      <c r="AU334" s="105"/>
      <c r="AV334" s="105"/>
      <c r="AW334" s="105"/>
      <c r="AX334" s="105"/>
      <c r="AY334" s="105"/>
      <c r="AZ334" s="105"/>
      <c r="BA334" s="105"/>
      <c r="BB334" s="105"/>
      <c r="BC334" s="105"/>
      <c r="BD334" s="105"/>
      <c r="BE334" s="105"/>
      <c r="BF334" s="105"/>
      <c r="BG334" s="105"/>
      <c r="BH334" s="105"/>
      <c r="BI334" s="105"/>
      <c r="BJ334" s="105"/>
      <c r="BK334" s="105"/>
      <c r="BL334" s="105"/>
      <c r="BM334" s="105"/>
      <c r="BN334" s="105"/>
      <c r="BO334" s="105"/>
      <c r="BP334" s="105"/>
      <c r="BQ334" s="105"/>
      <c r="BR334" s="105"/>
      <c r="BS334" s="105"/>
      <c r="BT334" s="105"/>
      <c r="BU334" s="105"/>
      <c r="BV334" s="105"/>
    </row>
    <row r="335">
      <c r="A335" s="91" t="str">
        <f>VLOOKUP($F335,UpdateHashtag!$V$3:$Y$32,COLUMN(B$9),0)</f>
        <v>#N/A</v>
      </c>
      <c r="B335" s="91" t="str">
        <f>VLOOKUP($F335,UpdateHashtag!$V$3:$Y$32,COLUMN(#REF!),0)</f>
        <v>#REF!</v>
      </c>
      <c r="C335" s="91" t="str">
        <f>VLOOKUP($F335,UpdateHashtag!$V$3:$Y$32,COLUMN(#REF!),0)</f>
        <v>#REF!</v>
      </c>
      <c r="D335" s="110" t="str">
        <f t="shared" si="2"/>
        <v>#N/A</v>
      </c>
      <c r="E335" s="11"/>
      <c r="F335" s="94" t="str">
        <f>VLOOKUP(J335,UpdateBBM!$C$2:E1009,3,0)</f>
        <v>#N/A</v>
      </c>
      <c r="G335" s="35">
        <v>321.0</v>
      </c>
      <c r="H335" s="111"/>
      <c r="I335" s="111"/>
      <c r="J335" s="112"/>
      <c r="K335" s="111"/>
      <c r="L335" s="113"/>
      <c r="M335" s="114"/>
      <c r="N335" s="115"/>
      <c r="O335" s="115"/>
      <c r="P335" s="116"/>
      <c r="Q335" s="116"/>
      <c r="R335" s="116"/>
      <c r="S335" s="117"/>
      <c r="T335" s="116"/>
      <c r="U335" s="116"/>
      <c r="V335" s="113"/>
      <c r="W335" s="113"/>
      <c r="X335" s="116"/>
      <c r="Y335" s="209"/>
      <c r="Z335" s="209"/>
      <c r="AA335" s="209"/>
      <c r="AB335" s="209"/>
      <c r="AC335" s="209"/>
      <c r="AD335" s="209"/>
      <c r="AE335" s="209"/>
      <c r="AF335" s="209"/>
      <c r="AG335" s="210"/>
      <c r="AH335" s="105"/>
      <c r="AI335" s="202"/>
      <c r="AJ335" s="63"/>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c r="BI335" s="105"/>
      <c r="BJ335" s="105"/>
      <c r="BK335" s="105"/>
      <c r="BL335" s="105"/>
      <c r="BM335" s="105"/>
      <c r="BN335" s="105"/>
      <c r="BO335" s="105"/>
      <c r="BP335" s="105"/>
      <c r="BQ335" s="105"/>
      <c r="BR335" s="105"/>
      <c r="BS335" s="105"/>
      <c r="BT335" s="105"/>
      <c r="BU335" s="105"/>
      <c r="BV335" s="105"/>
    </row>
    <row r="336">
      <c r="A336" s="91" t="str">
        <f>VLOOKUP($F336,UpdateHashtag!$V$3:$Y$32,COLUMN(B$9),0)</f>
        <v>#N/A</v>
      </c>
      <c r="B336" s="91" t="str">
        <f>VLOOKUP($F336,UpdateHashtag!$V$3:$Y$32,COLUMN(#REF!),0)</f>
        <v>#REF!</v>
      </c>
      <c r="C336" s="91" t="str">
        <f>VLOOKUP($F336,UpdateHashtag!$V$3:$Y$32,COLUMN(#REF!),0)</f>
        <v>#REF!</v>
      </c>
      <c r="D336" s="110" t="str">
        <f t="shared" si="2"/>
        <v>#N/A</v>
      </c>
      <c r="E336" s="11"/>
      <c r="F336" s="94" t="str">
        <f>VLOOKUP(J336,UpdateBBM!$C$2:E1009,3,0)</f>
        <v>#N/A</v>
      </c>
      <c r="G336" s="35">
        <v>322.0</v>
      </c>
      <c r="H336" s="111"/>
      <c r="I336" s="111"/>
      <c r="J336" s="112"/>
      <c r="K336" s="111"/>
      <c r="L336" s="113"/>
      <c r="M336" s="114"/>
      <c r="N336" s="115"/>
      <c r="O336" s="115"/>
      <c r="P336" s="116"/>
      <c r="Q336" s="116"/>
      <c r="R336" s="116"/>
      <c r="S336" s="117"/>
      <c r="T336" s="116"/>
      <c r="U336" s="116"/>
      <c r="V336" s="113"/>
      <c r="W336" s="113"/>
      <c r="X336" s="116"/>
      <c r="Y336" s="209"/>
      <c r="Z336" s="209"/>
      <c r="AA336" s="209"/>
      <c r="AB336" s="209"/>
      <c r="AC336" s="209"/>
      <c r="AD336" s="209"/>
      <c r="AE336" s="209"/>
      <c r="AF336" s="209"/>
      <c r="AG336" s="210"/>
      <c r="AH336" s="105"/>
      <c r="AI336" s="202"/>
      <c r="AJ336" s="63"/>
      <c r="AK336" s="105"/>
      <c r="AL336" s="105"/>
      <c r="AM336" s="105"/>
      <c r="AN336" s="105"/>
      <c r="AO336" s="105"/>
      <c r="AP336" s="105"/>
      <c r="AQ336" s="105"/>
      <c r="AR336" s="105"/>
      <c r="AS336" s="105"/>
      <c r="AT336" s="105"/>
      <c r="AU336" s="105"/>
      <c r="AV336" s="105"/>
      <c r="AW336" s="105"/>
      <c r="AX336" s="105"/>
      <c r="AY336" s="105"/>
      <c r="AZ336" s="105"/>
      <c r="BA336" s="105"/>
      <c r="BB336" s="105"/>
      <c r="BC336" s="105"/>
      <c r="BD336" s="105"/>
      <c r="BE336" s="105"/>
      <c r="BF336" s="105"/>
      <c r="BG336" s="105"/>
      <c r="BH336" s="105"/>
      <c r="BI336" s="105"/>
      <c r="BJ336" s="105"/>
      <c r="BK336" s="105"/>
      <c r="BL336" s="105"/>
      <c r="BM336" s="105"/>
      <c r="BN336" s="105"/>
      <c r="BO336" s="105"/>
      <c r="BP336" s="105"/>
      <c r="BQ336" s="105"/>
      <c r="BR336" s="105"/>
      <c r="BS336" s="105"/>
      <c r="BT336" s="105"/>
      <c r="BU336" s="105"/>
      <c r="BV336" s="105"/>
    </row>
    <row r="337">
      <c r="A337" s="91" t="str">
        <f>VLOOKUP($F337,UpdateHashtag!$V$3:$Y$32,COLUMN(B$9),0)</f>
        <v>#N/A</v>
      </c>
      <c r="B337" s="91" t="str">
        <f>VLOOKUP($F337,UpdateHashtag!$V$3:$Y$32,COLUMN(#REF!),0)</f>
        <v>#REF!</v>
      </c>
      <c r="C337" s="91" t="str">
        <f>VLOOKUP($F337,UpdateHashtag!$V$3:$Y$32,COLUMN(#REF!),0)</f>
        <v>#REF!</v>
      </c>
      <c r="D337" s="110" t="str">
        <f t="shared" si="2"/>
        <v>#N/A</v>
      </c>
      <c r="E337" s="11"/>
      <c r="F337" s="94" t="str">
        <f>VLOOKUP(J337,UpdateBBM!$C$2:E1009,3,0)</f>
        <v>#N/A</v>
      </c>
      <c r="G337" s="35">
        <v>323.0</v>
      </c>
      <c r="H337" s="111"/>
      <c r="I337" s="111"/>
      <c r="J337" s="112"/>
      <c r="K337" s="111"/>
      <c r="L337" s="113"/>
      <c r="M337" s="114"/>
      <c r="N337" s="115"/>
      <c r="O337" s="115"/>
      <c r="P337" s="116"/>
      <c r="Q337" s="116"/>
      <c r="R337" s="116"/>
      <c r="S337" s="117"/>
      <c r="T337" s="116"/>
      <c r="U337" s="116"/>
      <c r="V337" s="113"/>
      <c r="W337" s="113"/>
      <c r="X337" s="116"/>
      <c r="Y337" s="209"/>
      <c r="Z337" s="209"/>
      <c r="AA337" s="209"/>
      <c r="AB337" s="209"/>
      <c r="AC337" s="209"/>
      <c r="AD337" s="209"/>
      <c r="AE337" s="209"/>
      <c r="AF337" s="209"/>
      <c r="AG337" s="210"/>
      <c r="AH337" s="105"/>
      <c r="AI337" s="202"/>
      <c r="AJ337" s="63"/>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c r="BI337" s="105"/>
      <c r="BJ337" s="105"/>
      <c r="BK337" s="105"/>
      <c r="BL337" s="105"/>
      <c r="BM337" s="105"/>
      <c r="BN337" s="105"/>
      <c r="BO337" s="105"/>
      <c r="BP337" s="105"/>
      <c r="BQ337" s="105"/>
      <c r="BR337" s="105"/>
      <c r="BS337" s="105"/>
      <c r="BT337" s="105"/>
      <c r="BU337" s="105"/>
      <c r="BV337" s="105"/>
    </row>
    <row r="338">
      <c r="A338" s="91" t="str">
        <f>VLOOKUP($F338,UpdateHashtag!$V$3:$Y$32,COLUMN(B$9),0)</f>
        <v>#N/A</v>
      </c>
      <c r="B338" s="91" t="str">
        <f>VLOOKUP($F338,UpdateHashtag!$V$3:$Y$32,COLUMN(#REF!),0)</f>
        <v>#REF!</v>
      </c>
      <c r="C338" s="91" t="str">
        <f>VLOOKUP($F338,UpdateHashtag!$V$3:$Y$32,COLUMN(#REF!),0)</f>
        <v>#REF!</v>
      </c>
      <c r="D338" s="110" t="str">
        <f t="shared" si="2"/>
        <v>#N/A</v>
      </c>
      <c r="E338" s="11"/>
      <c r="F338" s="94" t="str">
        <f>VLOOKUP(J338,UpdateBBM!$C$2:E1009,3,0)</f>
        <v>#N/A</v>
      </c>
      <c r="G338" s="35">
        <v>324.0</v>
      </c>
      <c r="H338" s="111"/>
      <c r="I338" s="111"/>
      <c r="J338" s="112"/>
      <c r="K338" s="111"/>
      <c r="L338" s="113"/>
      <c r="M338" s="114"/>
      <c r="N338" s="115"/>
      <c r="O338" s="115"/>
      <c r="P338" s="116"/>
      <c r="Q338" s="116"/>
      <c r="R338" s="116"/>
      <c r="S338" s="117"/>
      <c r="T338" s="116"/>
      <c r="U338" s="116"/>
      <c r="V338" s="113"/>
      <c r="W338" s="113"/>
      <c r="X338" s="116"/>
      <c r="Y338" s="209"/>
      <c r="Z338" s="209"/>
      <c r="AA338" s="209"/>
      <c r="AB338" s="209"/>
      <c r="AC338" s="209"/>
      <c r="AD338" s="209"/>
      <c r="AE338" s="209"/>
      <c r="AF338" s="209"/>
      <c r="AG338" s="210"/>
      <c r="AH338" s="105"/>
      <c r="AI338" s="202"/>
      <c r="AJ338" s="63"/>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c r="BI338" s="105"/>
      <c r="BJ338" s="105"/>
      <c r="BK338" s="105"/>
      <c r="BL338" s="105"/>
      <c r="BM338" s="105"/>
      <c r="BN338" s="105"/>
      <c r="BO338" s="105"/>
      <c r="BP338" s="105"/>
      <c r="BQ338" s="105"/>
      <c r="BR338" s="105"/>
      <c r="BS338" s="105"/>
      <c r="BT338" s="105"/>
      <c r="BU338" s="105"/>
      <c r="BV338" s="105"/>
    </row>
    <row r="339">
      <c r="A339" s="91" t="str">
        <f>VLOOKUP($F339,UpdateHashtag!$V$3:$Y$32,COLUMN(B$9),0)</f>
        <v>#N/A</v>
      </c>
      <c r="B339" s="91" t="str">
        <f>VLOOKUP($F339,UpdateHashtag!$V$3:$Y$32,COLUMN(#REF!),0)</f>
        <v>#REF!</v>
      </c>
      <c r="C339" s="91" t="str">
        <f>VLOOKUP($F339,UpdateHashtag!$V$3:$Y$32,COLUMN(#REF!),0)</f>
        <v>#REF!</v>
      </c>
      <c r="D339" s="110" t="str">
        <f t="shared" si="2"/>
        <v>#N/A</v>
      </c>
      <c r="E339" s="11"/>
      <c r="F339" s="94" t="str">
        <f>VLOOKUP(J339,UpdateBBM!$C$2:E1009,3,0)</f>
        <v>#N/A</v>
      </c>
      <c r="G339" s="35">
        <v>325.0</v>
      </c>
      <c r="H339" s="111"/>
      <c r="I339" s="111"/>
      <c r="J339" s="112"/>
      <c r="K339" s="111"/>
      <c r="L339" s="113"/>
      <c r="M339" s="114"/>
      <c r="N339" s="115"/>
      <c r="O339" s="115"/>
      <c r="P339" s="116"/>
      <c r="Q339" s="116"/>
      <c r="R339" s="116"/>
      <c r="S339" s="117"/>
      <c r="T339" s="116"/>
      <c r="U339" s="116"/>
      <c r="V339" s="113"/>
      <c r="W339" s="113"/>
      <c r="X339" s="116"/>
      <c r="Y339" s="209"/>
      <c r="Z339" s="209"/>
      <c r="AA339" s="209"/>
      <c r="AB339" s="209"/>
      <c r="AC339" s="209"/>
      <c r="AD339" s="209"/>
      <c r="AE339" s="209"/>
      <c r="AF339" s="209"/>
      <c r="AG339" s="210"/>
      <c r="AH339" s="105"/>
      <c r="AI339" s="202"/>
      <c r="AJ339" s="63"/>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c r="BI339" s="105"/>
      <c r="BJ339" s="105"/>
      <c r="BK339" s="105"/>
      <c r="BL339" s="105"/>
      <c r="BM339" s="105"/>
      <c r="BN339" s="105"/>
      <c r="BO339" s="105"/>
      <c r="BP339" s="105"/>
      <c r="BQ339" s="105"/>
      <c r="BR339" s="105"/>
      <c r="BS339" s="105"/>
      <c r="BT339" s="105"/>
      <c r="BU339" s="105"/>
      <c r="BV339" s="105"/>
    </row>
    <row r="340">
      <c r="A340" s="91" t="str">
        <f>VLOOKUP($F340,UpdateHashtag!$V$3:$Y$32,COLUMN(B$9),0)</f>
        <v>#N/A</v>
      </c>
      <c r="B340" s="91" t="str">
        <f>VLOOKUP($F340,UpdateHashtag!$V$3:$Y$32,COLUMN(#REF!),0)</f>
        <v>#REF!</v>
      </c>
      <c r="C340" s="91" t="str">
        <f>VLOOKUP($F340,UpdateHashtag!$V$3:$Y$32,COLUMN(#REF!),0)</f>
        <v>#REF!</v>
      </c>
      <c r="D340" s="110" t="str">
        <f t="shared" si="2"/>
        <v>#N/A</v>
      </c>
      <c r="E340" s="11"/>
      <c r="F340" s="94" t="str">
        <f>VLOOKUP(J340,UpdateBBM!$C$2:E1009,3,0)</f>
        <v>#N/A</v>
      </c>
      <c r="G340" s="35">
        <v>326.0</v>
      </c>
      <c r="H340" s="111"/>
      <c r="I340" s="111"/>
      <c r="J340" s="112"/>
      <c r="K340" s="111"/>
      <c r="L340" s="113"/>
      <c r="M340" s="114"/>
      <c r="N340" s="115"/>
      <c r="O340" s="115"/>
      <c r="P340" s="116"/>
      <c r="Q340" s="116"/>
      <c r="R340" s="116"/>
      <c r="S340" s="117"/>
      <c r="T340" s="116"/>
      <c r="U340" s="116"/>
      <c r="V340" s="113"/>
      <c r="W340" s="113"/>
      <c r="X340" s="116"/>
      <c r="Y340" s="209"/>
      <c r="Z340" s="209"/>
      <c r="AA340" s="209"/>
      <c r="AB340" s="209"/>
      <c r="AC340" s="209"/>
      <c r="AD340" s="209"/>
      <c r="AE340" s="209"/>
      <c r="AF340" s="209"/>
      <c r="AG340" s="210"/>
      <c r="AH340" s="105"/>
      <c r="AI340" s="202"/>
      <c r="AJ340" s="63"/>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c r="BI340" s="105"/>
      <c r="BJ340" s="105"/>
      <c r="BK340" s="105"/>
      <c r="BL340" s="105"/>
      <c r="BM340" s="105"/>
      <c r="BN340" s="105"/>
      <c r="BO340" s="105"/>
      <c r="BP340" s="105"/>
      <c r="BQ340" s="105"/>
      <c r="BR340" s="105"/>
      <c r="BS340" s="105"/>
      <c r="BT340" s="105"/>
      <c r="BU340" s="105"/>
      <c r="BV340" s="105"/>
    </row>
    <row r="341">
      <c r="A341" s="91" t="str">
        <f>VLOOKUP($F341,UpdateHashtag!$V$3:$Y$32,COLUMN(B$9),0)</f>
        <v>#N/A</v>
      </c>
      <c r="B341" s="91" t="str">
        <f>VLOOKUP($F341,UpdateHashtag!$V$3:$Y$32,COLUMN(#REF!),0)</f>
        <v>#REF!</v>
      </c>
      <c r="C341" s="91" t="str">
        <f>VLOOKUP($F341,UpdateHashtag!$V$3:$Y$32,COLUMN(#REF!),0)</f>
        <v>#REF!</v>
      </c>
      <c r="D341" s="110" t="str">
        <f t="shared" si="2"/>
        <v>#N/A</v>
      </c>
      <c r="E341" s="11"/>
      <c r="F341" s="94" t="str">
        <f>VLOOKUP(J341,UpdateBBM!$C$2:E1009,3,0)</f>
        <v>#N/A</v>
      </c>
      <c r="G341" s="35">
        <v>327.0</v>
      </c>
      <c r="H341" s="111"/>
      <c r="I341" s="111"/>
      <c r="J341" s="112"/>
      <c r="K341" s="111"/>
      <c r="L341" s="113"/>
      <c r="M341" s="114"/>
      <c r="N341" s="115"/>
      <c r="O341" s="115"/>
      <c r="P341" s="116"/>
      <c r="Q341" s="116"/>
      <c r="R341" s="116"/>
      <c r="S341" s="117"/>
      <c r="T341" s="116"/>
      <c r="U341" s="116"/>
      <c r="V341" s="113"/>
      <c r="W341" s="113"/>
      <c r="X341" s="116"/>
      <c r="Y341" s="209"/>
      <c r="Z341" s="209"/>
      <c r="AA341" s="209"/>
      <c r="AB341" s="209"/>
      <c r="AC341" s="209"/>
      <c r="AD341" s="209"/>
      <c r="AE341" s="209"/>
      <c r="AF341" s="209"/>
      <c r="AG341" s="210"/>
      <c r="AH341" s="105"/>
      <c r="AI341" s="202"/>
      <c r="AJ341" s="63"/>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c r="BI341" s="105"/>
      <c r="BJ341" s="105"/>
      <c r="BK341" s="105"/>
      <c r="BL341" s="105"/>
      <c r="BM341" s="105"/>
      <c r="BN341" s="105"/>
      <c r="BO341" s="105"/>
      <c r="BP341" s="105"/>
      <c r="BQ341" s="105"/>
      <c r="BR341" s="105"/>
      <c r="BS341" s="105"/>
      <c r="BT341" s="105"/>
      <c r="BU341" s="105"/>
      <c r="BV341" s="105"/>
    </row>
    <row r="342">
      <c r="A342" s="91" t="str">
        <f>VLOOKUP($F342,UpdateHashtag!$V$3:$Y$32,COLUMN(B$9),0)</f>
        <v>#N/A</v>
      </c>
      <c r="B342" s="91" t="str">
        <f>VLOOKUP($F342,UpdateHashtag!$V$3:$Y$32,COLUMN(#REF!),0)</f>
        <v>#REF!</v>
      </c>
      <c r="C342" s="91" t="str">
        <f>VLOOKUP($F342,UpdateHashtag!$V$3:$Y$32,COLUMN(#REF!),0)</f>
        <v>#REF!</v>
      </c>
      <c r="D342" s="110" t="str">
        <f t="shared" si="2"/>
        <v>#N/A</v>
      </c>
      <c r="E342" s="11"/>
      <c r="F342" s="94" t="str">
        <f>VLOOKUP(J342,UpdateBBM!$C$2:E1009,3,0)</f>
        <v>#N/A</v>
      </c>
      <c r="G342" s="35">
        <v>328.0</v>
      </c>
      <c r="H342" s="111"/>
      <c r="I342" s="111"/>
      <c r="J342" s="112"/>
      <c r="K342" s="111"/>
      <c r="L342" s="113"/>
      <c r="M342" s="114"/>
      <c r="N342" s="115"/>
      <c r="O342" s="115"/>
      <c r="P342" s="116"/>
      <c r="Q342" s="116"/>
      <c r="R342" s="116"/>
      <c r="S342" s="117"/>
      <c r="T342" s="116"/>
      <c r="U342" s="116"/>
      <c r="V342" s="113"/>
      <c r="W342" s="113"/>
      <c r="X342" s="116"/>
      <c r="Y342" s="209"/>
      <c r="Z342" s="209"/>
      <c r="AA342" s="209"/>
      <c r="AB342" s="209"/>
      <c r="AC342" s="209"/>
      <c r="AD342" s="209"/>
      <c r="AE342" s="209"/>
      <c r="AF342" s="209"/>
      <c r="AG342" s="210"/>
      <c r="AH342" s="105"/>
      <c r="AI342" s="202"/>
      <c r="AJ342" s="63"/>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c r="BI342" s="105"/>
      <c r="BJ342" s="105"/>
      <c r="BK342" s="105"/>
      <c r="BL342" s="105"/>
      <c r="BM342" s="105"/>
      <c r="BN342" s="105"/>
      <c r="BO342" s="105"/>
      <c r="BP342" s="105"/>
      <c r="BQ342" s="105"/>
      <c r="BR342" s="105"/>
      <c r="BS342" s="105"/>
      <c r="BT342" s="105"/>
      <c r="BU342" s="105"/>
      <c r="BV342" s="105"/>
    </row>
    <row r="343">
      <c r="A343" s="91" t="str">
        <f>VLOOKUP($F343,UpdateHashtag!$V$3:$Y$32,COLUMN(B$9),0)</f>
        <v>#N/A</v>
      </c>
      <c r="B343" s="91" t="str">
        <f>VLOOKUP($F343,UpdateHashtag!$V$3:$Y$32,COLUMN(#REF!),0)</f>
        <v>#REF!</v>
      </c>
      <c r="C343" s="91" t="str">
        <f>VLOOKUP($F343,UpdateHashtag!$V$3:$Y$32,COLUMN(#REF!),0)</f>
        <v>#REF!</v>
      </c>
      <c r="D343" s="110" t="str">
        <f t="shared" si="2"/>
        <v>#N/A</v>
      </c>
      <c r="E343" s="11"/>
      <c r="F343" s="94" t="str">
        <f>VLOOKUP(J343,UpdateBBM!$C$2:E1009,3,0)</f>
        <v>#N/A</v>
      </c>
      <c r="G343" s="35">
        <v>329.0</v>
      </c>
      <c r="H343" s="111"/>
      <c r="I343" s="111"/>
      <c r="J343" s="112"/>
      <c r="K343" s="111"/>
      <c r="L343" s="113"/>
      <c r="M343" s="114"/>
      <c r="N343" s="115"/>
      <c r="O343" s="115"/>
      <c r="P343" s="116"/>
      <c r="Q343" s="116"/>
      <c r="R343" s="116"/>
      <c r="S343" s="117"/>
      <c r="T343" s="116"/>
      <c r="U343" s="116"/>
      <c r="V343" s="113"/>
      <c r="W343" s="113"/>
      <c r="X343" s="116"/>
      <c r="Y343" s="209"/>
      <c r="Z343" s="209"/>
      <c r="AA343" s="209"/>
      <c r="AB343" s="209"/>
      <c r="AC343" s="209"/>
      <c r="AD343" s="209"/>
      <c r="AE343" s="209"/>
      <c r="AF343" s="209"/>
      <c r="AG343" s="210"/>
      <c r="AH343" s="105"/>
      <c r="AI343" s="202"/>
      <c r="AJ343" s="63"/>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c r="BI343" s="105"/>
      <c r="BJ343" s="105"/>
      <c r="BK343" s="105"/>
      <c r="BL343" s="105"/>
      <c r="BM343" s="105"/>
      <c r="BN343" s="105"/>
      <c r="BO343" s="105"/>
      <c r="BP343" s="105"/>
      <c r="BQ343" s="105"/>
      <c r="BR343" s="105"/>
      <c r="BS343" s="105"/>
      <c r="BT343" s="105"/>
      <c r="BU343" s="105"/>
      <c r="BV343" s="105"/>
    </row>
    <row r="344">
      <c r="A344" s="91" t="str">
        <f>VLOOKUP($F344,UpdateHashtag!$V$3:$Y$32,COLUMN(B$9),0)</f>
        <v>#N/A</v>
      </c>
      <c r="B344" s="91" t="str">
        <f>VLOOKUP($F344,UpdateHashtag!$V$3:$Y$32,COLUMN(#REF!),0)</f>
        <v>#REF!</v>
      </c>
      <c r="C344" s="91" t="str">
        <f>VLOOKUP($F344,UpdateHashtag!$V$3:$Y$32,COLUMN(#REF!),0)</f>
        <v>#REF!</v>
      </c>
      <c r="D344" s="110" t="str">
        <f t="shared" si="2"/>
        <v>#N/A</v>
      </c>
      <c r="E344" s="11"/>
      <c r="F344" s="94" t="str">
        <f>VLOOKUP(J344,UpdateBBM!$C$2:E1009,3,0)</f>
        <v>#N/A</v>
      </c>
      <c r="G344" s="35">
        <v>330.0</v>
      </c>
      <c r="H344" s="111"/>
      <c r="I344" s="111"/>
      <c r="J344" s="112"/>
      <c r="K344" s="111"/>
      <c r="L344" s="113"/>
      <c r="M344" s="114"/>
      <c r="N344" s="115"/>
      <c r="O344" s="115"/>
      <c r="P344" s="116"/>
      <c r="Q344" s="116"/>
      <c r="R344" s="116"/>
      <c r="S344" s="117"/>
      <c r="T344" s="116"/>
      <c r="U344" s="116"/>
      <c r="V344" s="113"/>
      <c r="W344" s="113"/>
      <c r="X344" s="116"/>
      <c r="Y344" s="209"/>
      <c r="Z344" s="209"/>
      <c r="AA344" s="209"/>
      <c r="AB344" s="209"/>
      <c r="AC344" s="209"/>
      <c r="AD344" s="209"/>
      <c r="AE344" s="209"/>
      <c r="AF344" s="209"/>
      <c r="AG344" s="210"/>
      <c r="AH344" s="105"/>
      <c r="AI344" s="202"/>
      <c r="AJ344" s="63"/>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c r="BI344" s="105"/>
      <c r="BJ344" s="105"/>
      <c r="BK344" s="105"/>
      <c r="BL344" s="105"/>
      <c r="BM344" s="105"/>
      <c r="BN344" s="105"/>
      <c r="BO344" s="105"/>
      <c r="BP344" s="105"/>
      <c r="BQ344" s="105"/>
      <c r="BR344" s="105"/>
      <c r="BS344" s="105"/>
      <c r="BT344" s="105"/>
      <c r="BU344" s="105"/>
      <c r="BV344" s="105"/>
    </row>
    <row r="345">
      <c r="A345" s="91" t="str">
        <f>VLOOKUP($F345,UpdateHashtag!$V$3:$Y$32,COLUMN(B$9),0)</f>
        <v>#N/A</v>
      </c>
      <c r="B345" s="91" t="str">
        <f>VLOOKUP($F345,UpdateHashtag!$V$3:$Y$32,COLUMN(#REF!),0)</f>
        <v>#REF!</v>
      </c>
      <c r="C345" s="91" t="str">
        <f>VLOOKUP($F345,UpdateHashtag!$V$3:$Y$32,COLUMN(#REF!),0)</f>
        <v>#REF!</v>
      </c>
      <c r="D345" s="110" t="str">
        <f t="shared" si="2"/>
        <v>#N/A</v>
      </c>
      <c r="E345" s="11"/>
      <c r="F345" s="94" t="str">
        <f>VLOOKUP(J345,UpdateBBM!$C$2:E1009,3,0)</f>
        <v>#N/A</v>
      </c>
      <c r="G345" s="35">
        <v>331.0</v>
      </c>
      <c r="H345" s="111"/>
      <c r="I345" s="111"/>
      <c r="J345" s="112"/>
      <c r="K345" s="111"/>
      <c r="L345" s="113"/>
      <c r="M345" s="114"/>
      <c r="N345" s="115"/>
      <c r="O345" s="115"/>
      <c r="P345" s="116"/>
      <c r="Q345" s="116"/>
      <c r="R345" s="116"/>
      <c r="S345" s="117"/>
      <c r="T345" s="116"/>
      <c r="U345" s="116"/>
      <c r="V345" s="113"/>
      <c r="W345" s="113"/>
      <c r="X345" s="116"/>
      <c r="Y345" s="209"/>
      <c r="Z345" s="209"/>
      <c r="AA345" s="209"/>
      <c r="AB345" s="209"/>
      <c r="AC345" s="209"/>
      <c r="AD345" s="209"/>
      <c r="AE345" s="209"/>
      <c r="AF345" s="209"/>
      <c r="AG345" s="210"/>
      <c r="AH345" s="105"/>
      <c r="AI345" s="202"/>
      <c r="AJ345" s="63"/>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c r="BI345" s="105"/>
      <c r="BJ345" s="105"/>
      <c r="BK345" s="105"/>
      <c r="BL345" s="105"/>
      <c r="BM345" s="105"/>
      <c r="BN345" s="105"/>
      <c r="BO345" s="105"/>
      <c r="BP345" s="105"/>
      <c r="BQ345" s="105"/>
      <c r="BR345" s="105"/>
      <c r="BS345" s="105"/>
      <c r="BT345" s="105"/>
      <c r="BU345" s="105"/>
      <c r="BV345" s="105"/>
    </row>
    <row r="346">
      <c r="A346" s="91" t="str">
        <f>VLOOKUP($F346,UpdateHashtag!$V$3:$Y$32,COLUMN(B$9),0)</f>
        <v>#N/A</v>
      </c>
      <c r="B346" s="91" t="str">
        <f>VLOOKUP($F346,UpdateHashtag!$V$3:$Y$32,COLUMN(#REF!),0)</f>
        <v>#REF!</v>
      </c>
      <c r="C346" s="91" t="str">
        <f>VLOOKUP($F346,UpdateHashtag!$V$3:$Y$32,COLUMN(#REF!),0)</f>
        <v>#REF!</v>
      </c>
      <c r="D346" s="110" t="str">
        <f t="shared" si="2"/>
        <v>#N/A</v>
      </c>
      <c r="E346" s="11"/>
      <c r="F346" s="94" t="str">
        <f>VLOOKUP(J346,UpdateBBM!$C$2:E1009,3,0)</f>
        <v>#N/A</v>
      </c>
      <c r="G346" s="35">
        <v>332.0</v>
      </c>
      <c r="H346" s="111"/>
      <c r="I346" s="111"/>
      <c r="J346" s="112"/>
      <c r="K346" s="111"/>
      <c r="L346" s="113"/>
      <c r="M346" s="114"/>
      <c r="N346" s="115"/>
      <c r="O346" s="115"/>
      <c r="P346" s="116"/>
      <c r="Q346" s="116"/>
      <c r="R346" s="116"/>
      <c r="S346" s="117"/>
      <c r="T346" s="116"/>
      <c r="U346" s="116"/>
      <c r="V346" s="113"/>
      <c r="W346" s="113"/>
      <c r="X346" s="116"/>
      <c r="Y346" s="209"/>
      <c r="Z346" s="209"/>
      <c r="AA346" s="209"/>
      <c r="AB346" s="209"/>
      <c r="AC346" s="209"/>
      <c r="AD346" s="209"/>
      <c r="AE346" s="209"/>
      <c r="AF346" s="209"/>
      <c r="AG346" s="210"/>
      <c r="AH346" s="105"/>
      <c r="AI346" s="202"/>
      <c r="AJ346" s="63"/>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c r="BI346" s="105"/>
      <c r="BJ346" s="105"/>
      <c r="BK346" s="105"/>
      <c r="BL346" s="105"/>
      <c r="BM346" s="105"/>
      <c r="BN346" s="105"/>
      <c r="BO346" s="105"/>
      <c r="BP346" s="105"/>
      <c r="BQ346" s="105"/>
      <c r="BR346" s="105"/>
      <c r="BS346" s="105"/>
      <c r="BT346" s="105"/>
      <c r="BU346" s="105"/>
      <c r="BV346" s="105"/>
    </row>
    <row r="347">
      <c r="A347" s="91" t="str">
        <f>VLOOKUP($F347,UpdateHashtag!$V$3:$Y$32,COLUMN(B$9),0)</f>
        <v>#N/A</v>
      </c>
      <c r="B347" s="91" t="str">
        <f>VLOOKUP($F347,UpdateHashtag!$V$3:$Y$32,COLUMN(#REF!),0)</f>
        <v>#REF!</v>
      </c>
      <c r="C347" s="91" t="str">
        <f>VLOOKUP($F347,UpdateHashtag!$V$3:$Y$32,COLUMN(#REF!),0)</f>
        <v>#REF!</v>
      </c>
      <c r="D347" s="110" t="str">
        <f t="shared" si="2"/>
        <v>#N/A</v>
      </c>
      <c r="E347" s="11"/>
      <c r="F347" s="94" t="str">
        <f>VLOOKUP(J347,UpdateBBM!$C$2:E1009,3,0)</f>
        <v>#N/A</v>
      </c>
      <c r="G347" s="35">
        <v>333.0</v>
      </c>
      <c r="H347" s="111"/>
      <c r="I347" s="111"/>
      <c r="J347" s="112"/>
      <c r="K347" s="111"/>
      <c r="L347" s="113"/>
      <c r="M347" s="114"/>
      <c r="N347" s="115"/>
      <c r="O347" s="115"/>
      <c r="P347" s="116"/>
      <c r="Q347" s="116"/>
      <c r="R347" s="116"/>
      <c r="S347" s="117"/>
      <c r="T347" s="116"/>
      <c r="U347" s="116"/>
      <c r="V347" s="113"/>
      <c r="W347" s="113"/>
      <c r="X347" s="116"/>
      <c r="Y347" s="209"/>
      <c r="Z347" s="209"/>
      <c r="AA347" s="209"/>
      <c r="AB347" s="209"/>
      <c r="AC347" s="209"/>
      <c r="AD347" s="209"/>
      <c r="AE347" s="209"/>
      <c r="AF347" s="209"/>
      <c r="AG347" s="210"/>
      <c r="AH347" s="105"/>
      <c r="AI347" s="202"/>
      <c r="AJ347" s="63"/>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c r="BI347" s="105"/>
      <c r="BJ347" s="105"/>
      <c r="BK347" s="105"/>
      <c r="BL347" s="105"/>
      <c r="BM347" s="105"/>
      <c r="BN347" s="105"/>
      <c r="BO347" s="105"/>
      <c r="BP347" s="105"/>
      <c r="BQ347" s="105"/>
      <c r="BR347" s="105"/>
      <c r="BS347" s="105"/>
      <c r="BT347" s="105"/>
      <c r="BU347" s="105"/>
      <c r="BV347" s="105"/>
    </row>
    <row r="348">
      <c r="A348" s="91" t="str">
        <f>VLOOKUP($F348,UpdateHashtag!$V$3:$Y$32,COLUMN(B$9),0)</f>
        <v>#N/A</v>
      </c>
      <c r="B348" s="91" t="str">
        <f>VLOOKUP($F348,UpdateHashtag!$V$3:$Y$32,COLUMN(#REF!),0)</f>
        <v>#REF!</v>
      </c>
      <c r="C348" s="91" t="str">
        <f>VLOOKUP($F348,UpdateHashtag!$V$3:$Y$32,COLUMN(#REF!),0)</f>
        <v>#REF!</v>
      </c>
      <c r="D348" s="110" t="str">
        <f t="shared" si="2"/>
        <v>#N/A</v>
      </c>
      <c r="E348" s="11"/>
      <c r="F348" s="94" t="str">
        <f>VLOOKUP(J348,UpdateBBM!$C$2:E1009,3,0)</f>
        <v>#N/A</v>
      </c>
      <c r="G348" s="35">
        <v>334.0</v>
      </c>
      <c r="H348" s="111"/>
      <c r="I348" s="111"/>
      <c r="J348" s="112"/>
      <c r="K348" s="111"/>
      <c r="L348" s="113"/>
      <c r="M348" s="114"/>
      <c r="N348" s="115"/>
      <c r="O348" s="115"/>
      <c r="P348" s="116"/>
      <c r="Q348" s="116"/>
      <c r="R348" s="116"/>
      <c r="S348" s="117"/>
      <c r="T348" s="116"/>
      <c r="U348" s="116"/>
      <c r="V348" s="113"/>
      <c r="W348" s="113"/>
      <c r="X348" s="116"/>
      <c r="Y348" s="209"/>
      <c r="Z348" s="209"/>
      <c r="AA348" s="209"/>
      <c r="AB348" s="209"/>
      <c r="AC348" s="209"/>
      <c r="AD348" s="209"/>
      <c r="AE348" s="209"/>
      <c r="AF348" s="209"/>
      <c r="AG348" s="210"/>
      <c r="AH348" s="105"/>
      <c r="AI348" s="202"/>
      <c r="AJ348" s="63"/>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c r="BI348" s="105"/>
      <c r="BJ348" s="105"/>
      <c r="BK348" s="105"/>
      <c r="BL348" s="105"/>
      <c r="BM348" s="105"/>
      <c r="BN348" s="105"/>
      <c r="BO348" s="105"/>
      <c r="BP348" s="105"/>
      <c r="BQ348" s="105"/>
      <c r="BR348" s="105"/>
      <c r="BS348" s="105"/>
      <c r="BT348" s="105"/>
      <c r="BU348" s="105"/>
      <c r="BV348" s="105"/>
    </row>
    <row r="349">
      <c r="A349" s="91" t="str">
        <f>VLOOKUP($F349,UpdateHashtag!$V$3:$Y$32,COLUMN(B$9),0)</f>
        <v>#N/A</v>
      </c>
      <c r="B349" s="91" t="str">
        <f>VLOOKUP($F349,UpdateHashtag!$V$3:$Y$32,COLUMN(#REF!),0)</f>
        <v>#REF!</v>
      </c>
      <c r="C349" s="91" t="str">
        <f>VLOOKUP($F349,UpdateHashtag!$V$3:$Y$32,COLUMN(#REF!),0)</f>
        <v>#REF!</v>
      </c>
      <c r="D349" s="110" t="str">
        <f t="shared" si="2"/>
        <v>#N/A</v>
      </c>
      <c r="E349" s="11"/>
      <c r="F349" s="94" t="str">
        <f>VLOOKUP(J349,UpdateBBM!$C$2:E1009,3,0)</f>
        <v>#N/A</v>
      </c>
      <c r="G349" s="35">
        <v>335.0</v>
      </c>
      <c r="H349" s="111"/>
      <c r="I349" s="111"/>
      <c r="J349" s="112"/>
      <c r="K349" s="111"/>
      <c r="L349" s="113"/>
      <c r="M349" s="114"/>
      <c r="N349" s="115"/>
      <c r="O349" s="115"/>
      <c r="P349" s="116"/>
      <c r="Q349" s="116"/>
      <c r="R349" s="116"/>
      <c r="S349" s="117"/>
      <c r="T349" s="116"/>
      <c r="U349" s="116"/>
      <c r="V349" s="113"/>
      <c r="W349" s="113"/>
      <c r="X349" s="116"/>
      <c r="Y349" s="209"/>
      <c r="Z349" s="209"/>
      <c r="AA349" s="209"/>
      <c r="AB349" s="209"/>
      <c r="AC349" s="209"/>
      <c r="AD349" s="209"/>
      <c r="AE349" s="209"/>
      <c r="AF349" s="209"/>
      <c r="AG349" s="210"/>
      <c r="AH349" s="105"/>
      <c r="AI349" s="202"/>
      <c r="AJ349" s="63"/>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c r="BI349" s="105"/>
      <c r="BJ349" s="105"/>
      <c r="BK349" s="105"/>
      <c r="BL349" s="105"/>
      <c r="BM349" s="105"/>
      <c r="BN349" s="105"/>
      <c r="BO349" s="105"/>
      <c r="BP349" s="105"/>
      <c r="BQ349" s="105"/>
      <c r="BR349" s="105"/>
      <c r="BS349" s="105"/>
      <c r="BT349" s="105"/>
      <c r="BU349" s="105"/>
      <c r="BV349" s="105"/>
    </row>
    <row r="350">
      <c r="A350" s="91" t="str">
        <f>VLOOKUP($F350,UpdateHashtag!$V$3:$Y$32,COLUMN(B$9),0)</f>
        <v>#N/A</v>
      </c>
      <c r="B350" s="91" t="str">
        <f>VLOOKUP($F350,UpdateHashtag!$V$3:$Y$32,COLUMN(#REF!),0)</f>
        <v>#REF!</v>
      </c>
      <c r="C350" s="91" t="str">
        <f>VLOOKUP($F350,UpdateHashtag!$V$3:$Y$32,COLUMN(#REF!),0)</f>
        <v>#REF!</v>
      </c>
      <c r="D350" s="110" t="str">
        <f t="shared" si="2"/>
        <v>#N/A</v>
      </c>
      <c r="E350" s="11"/>
      <c r="F350" s="94" t="str">
        <f>VLOOKUP(J350,UpdateBBM!$C$2:E1009,3,0)</f>
        <v>#N/A</v>
      </c>
      <c r="G350" s="35">
        <v>336.0</v>
      </c>
      <c r="H350" s="111"/>
      <c r="I350" s="111"/>
      <c r="J350" s="112"/>
      <c r="K350" s="111"/>
      <c r="L350" s="113"/>
      <c r="M350" s="114"/>
      <c r="N350" s="115"/>
      <c r="O350" s="115"/>
      <c r="P350" s="116"/>
      <c r="Q350" s="116"/>
      <c r="R350" s="116"/>
      <c r="S350" s="117"/>
      <c r="T350" s="116"/>
      <c r="U350" s="116"/>
      <c r="V350" s="113"/>
      <c r="W350" s="113"/>
      <c r="X350" s="116"/>
      <c r="Y350" s="209"/>
      <c r="Z350" s="209"/>
      <c r="AA350" s="209"/>
      <c r="AB350" s="209"/>
      <c r="AC350" s="209"/>
      <c r="AD350" s="209"/>
      <c r="AE350" s="209"/>
      <c r="AF350" s="209"/>
      <c r="AG350" s="210"/>
      <c r="AH350" s="105"/>
      <c r="AI350" s="202"/>
      <c r="AJ350" s="63"/>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c r="BI350" s="105"/>
      <c r="BJ350" s="105"/>
      <c r="BK350" s="105"/>
      <c r="BL350" s="105"/>
      <c r="BM350" s="105"/>
      <c r="BN350" s="105"/>
      <c r="BO350" s="105"/>
      <c r="BP350" s="105"/>
      <c r="BQ350" s="105"/>
      <c r="BR350" s="105"/>
      <c r="BS350" s="105"/>
      <c r="BT350" s="105"/>
      <c r="BU350" s="105"/>
      <c r="BV350" s="105"/>
    </row>
    <row r="351">
      <c r="A351" s="91" t="str">
        <f>VLOOKUP($F351,UpdateHashtag!$V$3:$Y$32,COLUMN(B$9),0)</f>
        <v>#N/A</v>
      </c>
      <c r="B351" s="91" t="str">
        <f>VLOOKUP($F351,UpdateHashtag!$V$3:$Y$32,COLUMN(#REF!),0)</f>
        <v>#REF!</v>
      </c>
      <c r="C351" s="91" t="str">
        <f>VLOOKUP($F351,UpdateHashtag!$V$3:$Y$32,COLUMN(#REF!),0)</f>
        <v>#REF!</v>
      </c>
      <c r="D351" s="110" t="str">
        <f t="shared" si="2"/>
        <v>#N/A</v>
      </c>
      <c r="E351" s="11"/>
      <c r="F351" s="94" t="str">
        <f>VLOOKUP(J351,UpdateBBM!$C$2:E1009,3,0)</f>
        <v>#N/A</v>
      </c>
      <c r="G351" s="35">
        <v>337.0</v>
      </c>
      <c r="H351" s="111"/>
      <c r="I351" s="111"/>
      <c r="J351" s="112"/>
      <c r="K351" s="111"/>
      <c r="L351" s="113"/>
      <c r="M351" s="114"/>
      <c r="N351" s="115"/>
      <c r="O351" s="115"/>
      <c r="P351" s="116"/>
      <c r="Q351" s="116"/>
      <c r="R351" s="116"/>
      <c r="S351" s="117"/>
      <c r="T351" s="116"/>
      <c r="U351" s="116"/>
      <c r="V351" s="113"/>
      <c r="W351" s="113"/>
      <c r="X351" s="116"/>
      <c r="Y351" s="209"/>
      <c r="Z351" s="209"/>
      <c r="AA351" s="209"/>
      <c r="AB351" s="209"/>
      <c r="AC351" s="209"/>
      <c r="AD351" s="209"/>
      <c r="AE351" s="209"/>
      <c r="AF351" s="209"/>
      <c r="AG351" s="210"/>
      <c r="AH351" s="105"/>
      <c r="AI351" s="202"/>
      <c r="AJ351" s="63"/>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c r="BI351" s="105"/>
      <c r="BJ351" s="105"/>
      <c r="BK351" s="105"/>
      <c r="BL351" s="105"/>
      <c r="BM351" s="105"/>
      <c r="BN351" s="105"/>
      <c r="BO351" s="105"/>
      <c r="BP351" s="105"/>
      <c r="BQ351" s="105"/>
      <c r="BR351" s="105"/>
      <c r="BS351" s="105"/>
      <c r="BT351" s="105"/>
      <c r="BU351" s="105"/>
      <c r="BV351" s="105"/>
    </row>
    <row r="352">
      <c r="A352" s="91" t="str">
        <f>VLOOKUP($F352,UpdateHashtag!$V$3:$Y$32,COLUMN(B$9),0)</f>
        <v>#N/A</v>
      </c>
      <c r="B352" s="91" t="str">
        <f>VLOOKUP($F352,UpdateHashtag!$V$3:$Y$32,COLUMN(#REF!),0)</f>
        <v>#REF!</v>
      </c>
      <c r="C352" s="91" t="str">
        <f>VLOOKUP($F352,UpdateHashtag!$V$3:$Y$32,COLUMN(#REF!),0)</f>
        <v>#REF!</v>
      </c>
      <c r="D352" s="110" t="str">
        <f t="shared" si="2"/>
        <v>#N/A</v>
      </c>
      <c r="E352" s="11"/>
      <c r="F352" s="94" t="str">
        <f>VLOOKUP(J352,UpdateBBM!$C$2:E1009,3,0)</f>
        <v>#N/A</v>
      </c>
      <c r="G352" s="35">
        <v>338.0</v>
      </c>
      <c r="H352" s="111"/>
      <c r="I352" s="111"/>
      <c r="J352" s="112"/>
      <c r="K352" s="111"/>
      <c r="L352" s="113"/>
      <c r="M352" s="114"/>
      <c r="N352" s="115"/>
      <c r="O352" s="115"/>
      <c r="P352" s="116"/>
      <c r="Q352" s="116"/>
      <c r="R352" s="116"/>
      <c r="S352" s="117"/>
      <c r="T352" s="116"/>
      <c r="U352" s="116"/>
      <c r="V352" s="113"/>
      <c r="W352" s="113"/>
      <c r="X352" s="116"/>
      <c r="Y352" s="209"/>
      <c r="Z352" s="209"/>
      <c r="AA352" s="209"/>
      <c r="AB352" s="209"/>
      <c r="AC352" s="209"/>
      <c r="AD352" s="209"/>
      <c r="AE352" s="209"/>
      <c r="AF352" s="209"/>
      <c r="AG352" s="210"/>
      <c r="AH352" s="105"/>
      <c r="AI352" s="202"/>
      <c r="AJ352" s="63"/>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c r="BI352" s="105"/>
      <c r="BJ352" s="105"/>
      <c r="BK352" s="105"/>
      <c r="BL352" s="105"/>
      <c r="BM352" s="105"/>
      <c r="BN352" s="105"/>
      <c r="BO352" s="105"/>
      <c r="BP352" s="105"/>
      <c r="BQ352" s="105"/>
      <c r="BR352" s="105"/>
      <c r="BS352" s="105"/>
      <c r="BT352" s="105"/>
      <c r="BU352" s="105"/>
      <c r="BV352" s="105"/>
    </row>
    <row r="353">
      <c r="A353" s="91" t="str">
        <f>VLOOKUP($F353,UpdateHashtag!$V$3:$Y$32,COLUMN(B$9),0)</f>
        <v>#N/A</v>
      </c>
      <c r="B353" s="91" t="str">
        <f>VLOOKUP($F353,UpdateHashtag!$V$3:$Y$32,COLUMN(#REF!),0)</f>
        <v>#REF!</v>
      </c>
      <c r="C353" s="91" t="str">
        <f>VLOOKUP($F353,UpdateHashtag!$V$3:$Y$32,COLUMN(#REF!),0)</f>
        <v>#REF!</v>
      </c>
      <c r="D353" s="110" t="str">
        <f t="shared" si="2"/>
        <v>#N/A</v>
      </c>
      <c r="E353" s="11"/>
      <c r="F353" s="94" t="str">
        <f>VLOOKUP(J353,UpdateBBM!$C$2:E1009,3,0)</f>
        <v>#N/A</v>
      </c>
      <c r="G353" s="35">
        <v>339.0</v>
      </c>
      <c r="H353" s="111"/>
      <c r="I353" s="111"/>
      <c r="J353" s="112"/>
      <c r="K353" s="111"/>
      <c r="L353" s="113"/>
      <c r="M353" s="114"/>
      <c r="N353" s="115"/>
      <c r="O353" s="115"/>
      <c r="P353" s="116"/>
      <c r="Q353" s="116"/>
      <c r="R353" s="116"/>
      <c r="S353" s="117"/>
      <c r="T353" s="116"/>
      <c r="U353" s="116"/>
      <c r="V353" s="113"/>
      <c r="W353" s="113"/>
      <c r="X353" s="116"/>
      <c r="Y353" s="209"/>
      <c r="Z353" s="209"/>
      <c r="AA353" s="209"/>
      <c r="AB353" s="209"/>
      <c r="AC353" s="209"/>
      <c r="AD353" s="209"/>
      <c r="AE353" s="209"/>
      <c r="AF353" s="209"/>
      <c r="AG353" s="210"/>
      <c r="AH353" s="105"/>
      <c r="AI353" s="202"/>
      <c r="AJ353" s="63"/>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c r="BI353" s="105"/>
      <c r="BJ353" s="105"/>
      <c r="BK353" s="105"/>
      <c r="BL353" s="105"/>
      <c r="BM353" s="105"/>
      <c r="BN353" s="105"/>
      <c r="BO353" s="105"/>
      <c r="BP353" s="105"/>
      <c r="BQ353" s="105"/>
      <c r="BR353" s="105"/>
      <c r="BS353" s="105"/>
      <c r="BT353" s="105"/>
      <c r="BU353" s="105"/>
      <c r="BV353" s="105"/>
    </row>
    <row r="354">
      <c r="A354" s="91" t="str">
        <f>VLOOKUP($F354,UpdateHashtag!$V$3:$Y$32,COLUMN(B$9),0)</f>
        <v>#N/A</v>
      </c>
      <c r="B354" s="91" t="str">
        <f>VLOOKUP($F354,UpdateHashtag!$V$3:$Y$32,COLUMN(#REF!),0)</f>
        <v>#REF!</v>
      </c>
      <c r="C354" s="91" t="str">
        <f>VLOOKUP($F354,UpdateHashtag!$V$3:$Y$32,COLUMN(#REF!),0)</f>
        <v>#REF!</v>
      </c>
      <c r="D354" s="110" t="str">
        <f t="shared" si="2"/>
        <v>#N/A</v>
      </c>
      <c r="E354" s="11"/>
      <c r="F354" s="94" t="str">
        <f>VLOOKUP(J354,UpdateBBM!$C$2:E1009,3,0)</f>
        <v>#N/A</v>
      </c>
      <c r="G354" s="35">
        <v>340.0</v>
      </c>
      <c r="H354" s="111"/>
      <c r="I354" s="111"/>
      <c r="J354" s="112"/>
      <c r="K354" s="111"/>
      <c r="L354" s="113"/>
      <c r="M354" s="114"/>
      <c r="N354" s="115"/>
      <c r="O354" s="115"/>
      <c r="P354" s="116"/>
      <c r="Q354" s="116"/>
      <c r="R354" s="116"/>
      <c r="S354" s="117"/>
      <c r="T354" s="116"/>
      <c r="U354" s="116"/>
      <c r="V354" s="113"/>
      <c r="W354" s="113"/>
      <c r="X354" s="116"/>
      <c r="Y354" s="209"/>
      <c r="Z354" s="209"/>
      <c r="AA354" s="209"/>
      <c r="AB354" s="209"/>
      <c r="AC354" s="209"/>
      <c r="AD354" s="209"/>
      <c r="AE354" s="209"/>
      <c r="AF354" s="209"/>
      <c r="AG354" s="210"/>
      <c r="AH354" s="105"/>
      <c r="AI354" s="202"/>
      <c r="AJ354" s="63"/>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c r="BI354" s="105"/>
      <c r="BJ354" s="105"/>
      <c r="BK354" s="105"/>
      <c r="BL354" s="105"/>
      <c r="BM354" s="105"/>
      <c r="BN354" s="105"/>
      <c r="BO354" s="105"/>
      <c r="BP354" s="105"/>
      <c r="BQ354" s="105"/>
      <c r="BR354" s="105"/>
      <c r="BS354" s="105"/>
      <c r="BT354" s="105"/>
      <c r="BU354" s="105"/>
      <c r="BV354" s="105"/>
    </row>
    <row r="355">
      <c r="A355" s="91" t="str">
        <f>VLOOKUP($F355,UpdateHashtag!$V$3:$Y$32,COLUMN(B$9),0)</f>
        <v>#N/A</v>
      </c>
      <c r="B355" s="91" t="str">
        <f>VLOOKUP($F355,UpdateHashtag!$V$3:$Y$32,COLUMN(#REF!),0)</f>
        <v>#REF!</v>
      </c>
      <c r="C355" s="91" t="str">
        <f>VLOOKUP($F355,UpdateHashtag!$V$3:$Y$32,COLUMN(#REF!),0)</f>
        <v>#REF!</v>
      </c>
      <c r="D355" s="110" t="str">
        <f t="shared" si="2"/>
        <v>#N/A</v>
      </c>
      <c r="E355" s="11"/>
      <c r="F355" s="94" t="str">
        <f>VLOOKUP(J355,UpdateBBM!$C$2:E1009,3,0)</f>
        <v>#N/A</v>
      </c>
      <c r="G355" s="35">
        <v>341.0</v>
      </c>
      <c r="H355" s="111"/>
      <c r="I355" s="111"/>
      <c r="J355" s="112"/>
      <c r="K355" s="111"/>
      <c r="L355" s="113"/>
      <c r="M355" s="114"/>
      <c r="N355" s="115"/>
      <c r="O355" s="115"/>
      <c r="P355" s="116"/>
      <c r="Q355" s="116"/>
      <c r="R355" s="116"/>
      <c r="S355" s="117"/>
      <c r="T355" s="116"/>
      <c r="U355" s="116"/>
      <c r="V355" s="113"/>
      <c r="W355" s="113"/>
      <c r="X355" s="116"/>
      <c r="Y355" s="209"/>
      <c r="Z355" s="209"/>
      <c r="AA355" s="209"/>
      <c r="AB355" s="209"/>
      <c r="AC355" s="209"/>
      <c r="AD355" s="209"/>
      <c r="AE355" s="209"/>
      <c r="AF355" s="209"/>
      <c r="AG355" s="210"/>
      <c r="AH355" s="105"/>
      <c r="AI355" s="202"/>
      <c r="AJ355" s="63"/>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c r="BI355" s="105"/>
      <c r="BJ355" s="105"/>
      <c r="BK355" s="105"/>
      <c r="BL355" s="105"/>
      <c r="BM355" s="105"/>
      <c r="BN355" s="105"/>
      <c r="BO355" s="105"/>
      <c r="BP355" s="105"/>
      <c r="BQ355" s="105"/>
      <c r="BR355" s="105"/>
      <c r="BS355" s="105"/>
      <c r="BT355" s="105"/>
      <c r="BU355" s="105"/>
      <c r="BV355" s="105"/>
    </row>
    <row r="356">
      <c r="A356" s="91" t="str">
        <f>VLOOKUP($F356,UpdateHashtag!$V$3:$Y$32,COLUMN(B$9),0)</f>
        <v>#N/A</v>
      </c>
      <c r="B356" s="91" t="str">
        <f>VLOOKUP($F356,UpdateHashtag!$V$3:$Y$32,COLUMN(#REF!),0)</f>
        <v>#REF!</v>
      </c>
      <c r="C356" s="91" t="str">
        <f>VLOOKUP($F356,UpdateHashtag!$V$3:$Y$32,COLUMN(#REF!),0)</f>
        <v>#REF!</v>
      </c>
      <c r="D356" s="110" t="str">
        <f t="shared" si="2"/>
        <v>#N/A</v>
      </c>
      <c r="E356" s="11"/>
      <c r="F356" s="94" t="str">
        <f>VLOOKUP(J356,UpdateBBM!$C$2:E1009,3,0)</f>
        <v>#N/A</v>
      </c>
      <c r="G356" s="35">
        <v>342.0</v>
      </c>
      <c r="H356" s="111"/>
      <c r="I356" s="111"/>
      <c r="J356" s="112"/>
      <c r="K356" s="111"/>
      <c r="L356" s="113"/>
      <c r="M356" s="114"/>
      <c r="N356" s="115"/>
      <c r="O356" s="115"/>
      <c r="P356" s="116"/>
      <c r="Q356" s="116"/>
      <c r="R356" s="116"/>
      <c r="S356" s="117"/>
      <c r="T356" s="116"/>
      <c r="U356" s="116"/>
      <c r="V356" s="113"/>
      <c r="W356" s="113"/>
      <c r="X356" s="116"/>
      <c r="Y356" s="209"/>
      <c r="Z356" s="209"/>
      <c r="AA356" s="209"/>
      <c r="AB356" s="209"/>
      <c r="AC356" s="209"/>
      <c r="AD356" s="209"/>
      <c r="AE356" s="209"/>
      <c r="AF356" s="209"/>
      <c r="AG356" s="210"/>
      <c r="AH356" s="105"/>
      <c r="AI356" s="202"/>
      <c r="AJ356" s="63"/>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c r="BI356" s="105"/>
      <c r="BJ356" s="105"/>
      <c r="BK356" s="105"/>
      <c r="BL356" s="105"/>
      <c r="BM356" s="105"/>
      <c r="BN356" s="105"/>
      <c r="BO356" s="105"/>
      <c r="BP356" s="105"/>
      <c r="BQ356" s="105"/>
      <c r="BR356" s="105"/>
      <c r="BS356" s="105"/>
      <c r="BT356" s="105"/>
      <c r="BU356" s="105"/>
      <c r="BV356" s="105"/>
    </row>
    <row r="357">
      <c r="A357" s="91" t="str">
        <f>VLOOKUP($F357,UpdateHashtag!$V$3:$Y$32,COLUMN(B$9),0)</f>
        <v>#N/A</v>
      </c>
      <c r="B357" s="91" t="str">
        <f>VLOOKUP($F357,UpdateHashtag!$V$3:$Y$32,COLUMN(#REF!),0)</f>
        <v>#REF!</v>
      </c>
      <c r="C357" s="91" t="str">
        <f>VLOOKUP($F357,UpdateHashtag!$V$3:$Y$32,COLUMN(#REF!),0)</f>
        <v>#REF!</v>
      </c>
      <c r="D357" s="110" t="str">
        <f t="shared" si="2"/>
        <v>#N/A</v>
      </c>
      <c r="E357" s="11"/>
      <c r="F357" s="94" t="str">
        <f>VLOOKUP(J357,UpdateBBM!$C$2:E1009,3,0)</f>
        <v>#N/A</v>
      </c>
      <c r="G357" s="35">
        <v>343.0</v>
      </c>
      <c r="H357" s="111"/>
      <c r="I357" s="111"/>
      <c r="J357" s="112"/>
      <c r="K357" s="111"/>
      <c r="L357" s="113"/>
      <c r="M357" s="114"/>
      <c r="N357" s="115"/>
      <c r="O357" s="115"/>
      <c r="P357" s="116"/>
      <c r="Q357" s="116"/>
      <c r="R357" s="116"/>
      <c r="S357" s="117"/>
      <c r="T357" s="116"/>
      <c r="U357" s="116"/>
      <c r="V357" s="113"/>
      <c r="W357" s="113"/>
      <c r="X357" s="116"/>
      <c r="Y357" s="209"/>
      <c r="Z357" s="209"/>
      <c r="AA357" s="209"/>
      <c r="AB357" s="209"/>
      <c r="AC357" s="209"/>
      <c r="AD357" s="209"/>
      <c r="AE357" s="209"/>
      <c r="AF357" s="209"/>
      <c r="AG357" s="210"/>
      <c r="AH357" s="105"/>
      <c r="AI357" s="202"/>
      <c r="AJ357" s="63"/>
      <c r="AK357" s="105"/>
      <c r="AL357" s="105"/>
      <c r="AM357" s="105"/>
      <c r="AN357" s="105"/>
      <c r="AO357" s="105"/>
      <c r="AP357" s="105"/>
      <c r="AQ357" s="105"/>
      <c r="AR357" s="105"/>
      <c r="AS357" s="105"/>
      <c r="AT357" s="105"/>
      <c r="AU357" s="105"/>
      <c r="AV357" s="105"/>
      <c r="AW357" s="105"/>
      <c r="AX357" s="105"/>
      <c r="AY357" s="105"/>
      <c r="AZ357" s="105"/>
      <c r="BA357" s="105"/>
      <c r="BB357" s="105"/>
      <c r="BC357" s="105"/>
      <c r="BD357" s="105"/>
      <c r="BE357" s="105"/>
      <c r="BF357" s="105"/>
      <c r="BG357" s="105"/>
      <c r="BH357" s="105"/>
      <c r="BI357" s="105"/>
      <c r="BJ357" s="105"/>
      <c r="BK357" s="105"/>
      <c r="BL357" s="105"/>
      <c r="BM357" s="105"/>
      <c r="BN357" s="105"/>
      <c r="BO357" s="105"/>
      <c r="BP357" s="105"/>
      <c r="BQ357" s="105"/>
      <c r="BR357" s="105"/>
      <c r="BS357" s="105"/>
      <c r="BT357" s="105"/>
      <c r="BU357" s="105"/>
      <c r="BV357" s="105"/>
    </row>
    <row r="358">
      <c r="A358" s="91" t="str">
        <f>VLOOKUP($F358,UpdateHashtag!$V$3:$Y$32,COLUMN(B$9),0)</f>
        <v>#N/A</v>
      </c>
      <c r="B358" s="91" t="str">
        <f>VLOOKUP($F358,UpdateHashtag!$V$3:$Y$32,COLUMN(#REF!),0)</f>
        <v>#REF!</v>
      </c>
      <c r="C358" s="91" t="str">
        <f>VLOOKUP($F358,UpdateHashtag!$V$3:$Y$32,COLUMN(#REF!),0)</f>
        <v>#REF!</v>
      </c>
      <c r="D358" s="110" t="str">
        <f t="shared" si="2"/>
        <v>#N/A</v>
      </c>
      <c r="E358" s="11"/>
      <c r="F358" s="94" t="str">
        <f>VLOOKUP(J358,UpdateBBM!$C$2:E1009,3,0)</f>
        <v>#N/A</v>
      </c>
      <c r="G358" s="35">
        <v>344.0</v>
      </c>
      <c r="H358" s="111"/>
      <c r="I358" s="111"/>
      <c r="J358" s="112"/>
      <c r="K358" s="111"/>
      <c r="L358" s="113"/>
      <c r="M358" s="114"/>
      <c r="N358" s="115"/>
      <c r="O358" s="115"/>
      <c r="P358" s="116"/>
      <c r="Q358" s="116"/>
      <c r="R358" s="116"/>
      <c r="S358" s="117"/>
      <c r="T358" s="116"/>
      <c r="U358" s="116"/>
      <c r="V358" s="113"/>
      <c r="W358" s="113"/>
      <c r="X358" s="116"/>
      <c r="Y358" s="209"/>
      <c r="Z358" s="209"/>
      <c r="AA358" s="209"/>
      <c r="AB358" s="209"/>
      <c r="AC358" s="209"/>
      <c r="AD358" s="209"/>
      <c r="AE358" s="209"/>
      <c r="AF358" s="209"/>
      <c r="AG358" s="210"/>
      <c r="AH358" s="105"/>
      <c r="AI358" s="202"/>
      <c r="AJ358" s="63"/>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c r="BI358" s="105"/>
      <c r="BJ358" s="105"/>
      <c r="BK358" s="105"/>
      <c r="BL358" s="105"/>
      <c r="BM358" s="105"/>
      <c r="BN358" s="105"/>
      <c r="BO358" s="105"/>
      <c r="BP358" s="105"/>
      <c r="BQ358" s="105"/>
      <c r="BR358" s="105"/>
      <c r="BS358" s="105"/>
      <c r="BT358" s="105"/>
      <c r="BU358" s="105"/>
      <c r="BV358" s="105"/>
    </row>
    <row r="359">
      <c r="A359" s="91" t="str">
        <f>VLOOKUP($F359,UpdateHashtag!$V$3:$Y$32,COLUMN(B$9),0)</f>
        <v>#N/A</v>
      </c>
      <c r="B359" s="91" t="str">
        <f>VLOOKUP($F359,UpdateHashtag!$V$3:$Y$32,COLUMN(#REF!),0)</f>
        <v>#REF!</v>
      </c>
      <c r="C359" s="91" t="str">
        <f>VLOOKUP($F359,UpdateHashtag!$V$3:$Y$32,COLUMN(#REF!),0)</f>
        <v>#REF!</v>
      </c>
      <c r="D359" s="110" t="str">
        <f t="shared" si="2"/>
        <v>#N/A</v>
      </c>
      <c r="E359" s="11"/>
      <c r="F359" s="94" t="str">
        <f>VLOOKUP(J359,UpdateBBM!$C$2:E1009,3,0)</f>
        <v>#N/A</v>
      </c>
      <c r="G359" s="35">
        <v>345.0</v>
      </c>
      <c r="H359" s="111"/>
      <c r="I359" s="111"/>
      <c r="J359" s="112"/>
      <c r="K359" s="111"/>
      <c r="L359" s="113"/>
      <c r="M359" s="114"/>
      <c r="N359" s="115"/>
      <c r="O359" s="115"/>
      <c r="P359" s="116"/>
      <c r="Q359" s="116"/>
      <c r="R359" s="116"/>
      <c r="S359" s="117"/>
      <c r="T359" s="116"/>
      <c r="U359" s="116"/>
      <c r="V359" s="113"/>
      <c r="W359" s="113"/>
      <c r="X359" s="116"/>
      <c r="Y359" s="209"/>
      <c r="Z359" s="209"/>
      <c r="AA359" s="209"/>
      <c r="AB359" s="209"/>
      <c r="AC359" s="209"/>
      <c r="AD359" s="209"/>
      <c r="AE359" s="209"/>
      <c r="AF359" s="209"/>
      <c r="AG359" s="210"/>
      <c r="AH359" s="105"/>
      <c r="AI359" s="202"/>
      <c r="AJ359" s="63"/>
      <c r="AK359" s="105"/>
      <c r="AL359" s="105"/>
      <c r="AM359" s="105"/>
      <c r="AN359" s="105"/>
      <c r="AO359" s="105"/>
      <c r="AP359" s="105"/>
      <c r="AQ359" s="105"/>
      <c r="AR359" s="105"/>
      <c r="AS359" s="105"/>
      <c r="AT359" s="105"/>
      <c r="AU359" s="105"/>
      <c r="AV359" s="105"/>
      <c r="AW359" s="105"/>
      <c r="AX359" s="105"/>
      <c r="AY359" s="105"/>
      <c r="AZ359" s="105"/>
      <c r="BA359" s="105"/>
      <c r="BB359" s="105"/>
      <c r="BC359" s="105"/>
      <c r="BD359" s="105"/>
      <c r="BE359" s="105"/>
      <c r="BF359" s="105"/>
      <c r="BG359" s="105"/>
      <c r="BH359" s="105"/>
      <c r="BI359" s="105"/>
      <c r="BJ359" s="105"/>
      <c r="BK359" s="105"/>
      <c r="BL359" s="105"/>
      <c r="BM359" s="105"/>
      <c r="BN359" s="105"/>
      <c r="BO359" s="105"/>
      <c r="BP359" s="105"/>
      <c r="BQ359" s="105"/>
      <c r="BR359" s="105"/>
      <c r="BS359" s="105"/>
      <c r="BT359" s="105"/>
      <c r="BU359" s="105"/>
      <c r="BV359" s="105"/>
    </row>
    <row r="360">
      <c r="A360" s="91" t="str">
        <f>VLOOKUP($F360,UpdateHashtag!$V$3:$Y$32,COLUMN(B$9),0)</f>
        <v>#N/A</v>
      </c>
      <c r="B360" s="91" t="str">
        <f>VLOOKUP($F360,UpdateHashtag!$V$3:$Y$32,COLUMN(#REF!),0)</f>
        <v>#REF!</v>
      </c>
      <c r="C360" s="91" t="str">
        <f>VLOOKUP($F360,UpdateHashtag!$V$3:$Y$32,COLUMN(#REF!),0)</f>
        <v>#REF!</v>
      </c>
      <c r="D360" s="110" t="str">
        <f t="shared" si="2"/>
        <v>#N/A</v>
      </c>
      <c r="E360" s="11"/>
      <c r="F360" s="94" t="str">
        <f>VLOOKUP(J360,UpdateBBM!$C$2:E1009,3,0)</f>
        <v>#N/A</v>
      </c>
      <c r="G360" s="35">
        <v>346.0</v>
      </c>
      <c r="H360" s="111"/>
      <c r="I360" s="111"/>
      <c r="J360" s="112"/>
      <c r="K360" s="111"/>
      <c r="L360" s="113"/>
      <c r="M360" s="114"/>
      <c r="N360" s="115"/>
      <c r="O360" s="115"/>
      <c r="P360" s="116"/>
      <c r="Q360" s="116"/>
      <c r="R360" s="116"/>
      <c r="S360" s="117"/>
      <c r="T360" s="116"/>
      <c r="U360" s="116"/>
      <c r="V360" s="113"/>
      <c r="W360" s="113"/>
      <c r="X360" s="116"/>
      <c r="Y360" s="209"/>
      <c r="Z360" s="209"/>
      <c r="AA360" s="209"/>
      <c r="AB360" s="209"/>
      <c r="AC360" s="209"/>
      <c r="AD360" s="209"/>
      <c r="AE360" s="209"/>
      <c r="AF360" s="209"/>
      <c r="AG360" s="210"/>
      <c r="AH360" s="105"/>
      <c r="AI360" s="202"/>
      <c r="AJ360" s="63"/>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c r="BI360" s="105"/>
      <c r="BJ360" s="105"/>
      <c r="BK360" s="105"/>
      <c r="BL360" s="105"/>
      <c r="BM360" s="105"/>
      <c r="BN360" s="105"/>
      <c r="BO360" s="105"/>
      <c r="BP360" s="105"/>
      <c r="BQ360" s="105"/>
      <c r="BR360" s="105"/>
      <c r="BS360" s="105"/>
      <c r="BT360" s="105"/>
      <c r="BU360" s="105"/>
      <c r="BV360" s="105"/>
    </row>
    <row r="361">
      <c r="A361" s="91" t="str">
        <f>VLOOKUP($F361,UpdateHashtag!$V$3:$Y$32,COLUMN(B$9),0)</f>
        <v>#N/A</v>
      </c>
      <c r="B361" s="91" t="str">
        <f>VLOOKUP($F361,UpdateHashtag!$V$3:$Y$32,COLUMN(#REF!),0)</f>
        <v>#REF!</v>
      </c>
      <c r="C361" s="91" t="str">
        <f>VLOOKUP($F361,UpdateHashtag!$V$3:$Y$32,COLUMN(#REF!),0)</f>
        <v>#REF!</v>
      </c>
      <c r="D361" s="110" t="str">
        <f t="shared" si="2"/>
        <v>#N/A</v>
      </c>
      <c r="E361" s="11"/>
      <c r="F361" s="94" t="str">
        <f>VLOOKUP(J361,UpdateBBM!$C$2:E1009,3,0)</f>
        <v>#N/A</v>
      </c>
      <c r="G361" s="35">
        <v>347.0</v>
      </c>
      <c r="H361" s="111"/>
      <c r="I361" s="111"/>
      <c r="J361" s="112"/>
      <c r="K361" s="111"/>
      <c r="L361" s="113"/>
      <c r="M361" s="114"/>
      <c r="N361" s="115"/>
      <c r="O361" s="115"/>
      <c r="P361" s="116"/>
      <c r="Q361" s="116"/>
      <c r="R361" s="116"/>
      <c r="S361" s="117"/>
      <c r="T361" s="116"/>
      <c r="U361" s="116"/>
      <c r="V361" s="113"/>
      <c r="W361" s="113"/>
      <c r="X361" s="116"/>
      <c r="Y361" s="209"/>
      <c r="Z361" s="209"/>
      <c r="AA361" s="209"/>
      <c r="AB361" s="209"/>
      <c r="AC361" s="209"/>
      <c r="AD361" s="209"/>
      <c r="AE361" s="209"/>
      <c r="AF361" s="209"/>
      <c r="AG361" s="210"/>
      <c r="AH361" s="105"/>
      <c r="AI361" s="202"/>
      <c r="AJ361" s="63"/>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c r="BI361" s="105"/>
      <c r="BJ361" s="105"/>
      <c r="BK361" s="105"/>
      <c r="BL361" s="105"/>
      <c r="BM361" s="105"/>
      <c r="BN361" s="105"/>
      <c r="BO361" s="105"/>
      <c r="BP361" s="105"/>
      <c r="BQ361" s="105"/>
      <c r="BR361" s="105"/>
      <c r="BS361" s="105"/>
      <c r="BT361" s="105"/>
      <c r="BU361" s="105"/>
      <c r="BV361" s="105"/>
    </row>
    <row r="362">
      <c r="A362" s="91" t="str">
        <f>VLOOKUP($F362,UpdateHashtag!$V$3:$Y$32,COLUMN(B$9),0)</f>
        <v>#N/A</v>
      </c>
      <c r="B362" s="91" t="str">
        <f>VLOOKUP($F362,UpdateHashtag!$V$3:$Y$32,COLUMN(#REF!),0)</f>
        <v>#REF!</v>
      </c>
      <c r="C362" s="91" t="str">
        <f>VLOOKUP($F362,UpdateHashtag!$V$3:$Y$32,COLUMN(#REF!),0)</f>
        <v>#REF!</v>
      </c>
      <c r="D362" s="110" t="str">
        <f t="shared" si="2"/>
        <v>#N/A</v>
      </c>
      <c r="E362" s="11"/>
      <c r="F362" s="94" t="str">
        <f>VLOOKUP(J362,UpdateBBM!$C$2:E1009,3,0)</f>
        <v>#N/A</v>
      </c>
      <c r="G362" s="35">
        <v>348.0</v>
      </c>
      <c r="H362" s="111"/>
      <c r="I362" s="111"/>
      <c r="J362" s="112"/>
      <c r="K362" s="111"/>
      <c r="L362" s="113"/>
      <c r="M362" s="114"/>
      <c r="N362" s="115"/>
      <c r="O362" s="115"/>
      <c r="P362" s="116"/>
      <c r="Q362" s="116"/>
      <c r="R362" s="116"/>
      <c r="S362" s="117"/>
      <c r="T362" s="116"/>
      <c r="U362" s="116"/>
      <c r="V362" s="113"/>
      <c r="W362" s="113"/>
      <c r="X362" s="116"/>
      <c r="Y362" s="209"/>
      <c r="Z362" s="209"/>
      <c r="AA362" s="209"/>
      <c r="AB362" s="209"/>
      <c r="AC362" s="209"/>
      <c r="AD362" s="209"/>
      <c r="AE362" s="209"/>
      <c r="AF362" s="209"/>
      <c r="AG362" s="210"/>
      <c r="AH362" s="105"/>
      <c r="AI362" s="202"/>
      <c r="AJ362" s="63"/>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c r="BI362" s="105"/>
      <c r="BJ362" s="105"/>
      <c r="BK362" s="105"/>
      <c r="BL362" s="105"/>
      <c r="BM362" s="105"/>
      <c r="BN362" s="105"/>
      <c r="BO362" s="105"/>
      <c r="BP362" s="105"/>
      <c r="BQ362" s="105"/>
      <c r="BR362" s="105"/>
      <c r="BS362" s="105"/>
      <c r="BT362" s="105"/>
      <c r="BU362" s="105"/>
      <c r="BV362" s="105"/>
    </row>
    <row r="363">
      <c r="A363" s="91" t="str">
        <f>VLOOKUP($F363,UpdateHashtag!$V$3:$Y$32,COLUMN(B$9),0)</f>
        <v>#N/A</v>
      </c>
      <c r="B363" s="91" t="str">
        <f>VLOOKUP($F363,UpdateHashtag!$V$3:$Y$32,COLUMN(#REF!),0)</f>
        <v>#REF!</v>
      </c>
      <c r="C363" s="91" t="str">
        <f>VLOOKUP($F363,UpdateHashtag!$V$3:$Y$32,COLUMN(#REF!),0)</f>
        <v>#REF!</v>
      </c>
      <c r="D363" s="110" t="str">
        <f t="shared" si="2"/>
        <v>#N/A</v>
      </c>
      <c r="E363" s="11"/>
      <c r="F363" s="94" t="str">
        <f>VLOOKUP(J363,UpdateBBM!$C$2:E1009,3,0)</f>
        <v>#N/A</v>
      </c>
      <c r="G363" s="35">
        <v>349.0</v>
      </c>
      <c r="H363" s="111"/>
      <c r="I363" s="111"/>
      <c r="J363" s="112"/>
      <c r="K363" s="111"/>
      <c r="L363" s="113"/>
      <c r="M363" s="114"/>
      <c r="N363" s="115"/>
      <c r="O363" s="115"/>
      <c r="P363" s="116"/>
      <c r="Q363" s="116"/>
      <c r="R363" s="116"/>
      <c r="S363" s="117"/>
      <c r="T363" s="116"/>
      <c r="U363" s="116"/>
      <c r="V363" s="113"/>
      <c r="W363" s="113"/>
      <c r="X363" s="116"/>
      <c r="Y363" s="209"/>
      <c r="Z363" s="209"/>
      <c r="AA363" s="209"/>
      <c r="AB363" s="209"/>
      <c r="AC363" s="209"/>
      <c r="AD363" s="209"/>
      <c r="AE363" s="209"/>
      <c r="AF363" s="209"/>
      <c r="AG363" s="210"/>
      <c r="AH363" s="105"/>
      <c r="AI363" s="202"/>
      <c r="AJ363" s="63"/>
      <c r="AK363" s="105"/>
      <c r="AL363" s="105"/>
      <c r="AM363" s="105"/>
      <c r="AN363" s="105"/>
      <c r="AO363" s="105"/>
      <c r="AP363" s="105"/>
      <c r="AQ363" s="105"/>
      <c r="AR363" s="105"/>
      <c r="AS363" s="105"/>
      <c r="AT363" s="105"/>
      <c r="AU363" s="105"/>
      <c r="AV363" s="105"/>
      <c r="AW363" s="105"/>
      <c r="AX363" s="105"/>
      <c r="AY363" s="105"/>
      <c r="AZ363" s="105"/>
      <c r="BA363" s="105"/>
      <c r="BB363" s="105"/>
      <c r="BC363" s="105"/>
      <c r="BD363" s="105"/>
      <c r="BE363" s="105"/>
      <c r="BF363" s="105"/>
      <c r="BG363" s="105"/>
      <c r="BH363" s="105"/>
      <c r="BI363" s="105"/>
      <c r="BJ363" s="105"/>
      <c r="BK363" s="105"/>
      <c r="BL363" s="105"/>
      <c r="BM363" s="105"/>
      <c r="BN363" s="105"/>
      <c r="BO363" s="105"/>
      <c r="BP363" s="105"/>
      <c r="BQ363" s="105"/>
      <c r="BR363" s="105"/>
      <c r="BS363" s="105"/>
      <c r="BT363" s="105"/>
      <c r="BU363" s="105"/>
      <c r="BV363" s="105"/>
    </row>
    <row r="364">
      <c r="A364" s="91" t="str">
        <f>VLOOKUP($F364,UpdateHashtag!$V$3:$Y$32,COLUMN(B$9),0)</f>
        <v>#N/A</v>
      </c>
      <c r="B364" s="91" t="str">
        <f>VLOOKUP($F364,UpdateHashtag!$V$3:$Y$32,COLUMN(#REF!),0)</f>
        <v>#REF!</v>
      </c>
      <c r="C364" s="91" t="str">
        <f>VLOOKUP($F364,UpdateHashtag!$V$3:$Y$32,COLUMN(#REF!),0)</f>
        <v>#REF!</v>
      </c>
      <c r="D364" s="110" t="str">
        <f t="shared" si="2"/>
        <v>#N/A</v>
      </c>
      <c r="E364" s="11"/>
      <c r="F364" s="94" t="str">
        <f>VLOOKUP(J364,UpdateBBM!$C$2:E1009,3,0)</f>
        <v>#N/A</v>
      </c>
      <c r="G364" s="35">
        <v>350.0</v>
      </c>
      <c r="H364" s="111"/>
      <c r="I364" s="111"/>
      <c r="J364" s="112"/>
      <c r="K364" s="111"/>
      <c r="L364" s="113"/>
      <c r="M364" s="114"/>
      <c r="N364" s="115"/>
      <c r="O364" s="115"/>
      <c r="P364" s="116"/>
      <c r="Q364" s="116"/>
      <c r="R364" s="116"/>
      <c r="S364" s="117"/>
      <c r="T364" s="116"/>
      <c r="U364" s="116"/>
      <c r="V364" s="113"/>
      <c r="W364" s="113"/>
      <c r="X364" s="116"/>
      <c r="Y364" s="209"/>
      <c r="Z364" s="209"/>
      <c r="AA364" s="209"/>
      <c r="AB364" s="209"/>
      <c r="AC364" s="209"/>
      <c r="AD364" s="209"/>
      <c r="AE364" s="209"/>
      <c r="AF364" s="209"/>
      <c r="AG364" s="210"/>
      <c r="AH364" s="105"/>
      <c r="AI364" s="202"/>
      <c r="AJ364" s="63"/>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c r="BI364" s="105"/>
      <c r="BJ364" s="105"/>
      <c r="BK364" s="105"/>
      <c r="BL364" s="105"/>
      <c r="BM364" s="105"/>
      <c r="BN364" s="105"/>
      <c r="BO364" s="105"/>
      <c r="BP364" s="105"/>
      <c r="BQ364" s="105"/>
      <c r="BR364" s="105"/>
      <c r="BS364" s="105"/>
      <c r="BT364" s="105"/>
      <c r="BU364" s="105"/>
      <c r="BV364" s="105"/>
    </row>
    <row r="365">
      <c r="A365" s="91" t="str">
        <f>VLOOKUP($F365,UpdateHashtag!$V$3:$Y$32,COLUMN(B$9),0)</f>
        <v>#N/A</v>
      </c>
      <c r="B365" s="91" t="str">
        <f>VLOOKUP($F365,UpdateHashtag!$V$3:$Y$32,COLUMN(#REF!),0)</f>
        <v>#REF!</v>
      </c>
      <c r="C365" s="91" t="str">
        <f>VLOOKUP($F365,UpdateHashtag!$V$3:$Y$32,COLUMN(#REF!),0)</f>
        <v>#REF!</v>
      </c>
      <c r="D365" s="110" t="str">
        <f t="shared" si="2"/>
        <v>#N/A</v>
      </c>
      <c r="E365" s="11"/>
      <c r="F365" s="94" t="str">
        <f>VLOOKUP(J365,UpdateBBM!$C$2:E1009,3,0)</f>
        <v>#N/A</v>
      </c>
      <c r="G365" s="35">
        <v>351.0</v>
      </c>
      <c r="H365" s="111"/>
      <c r="I365" s="111"/>
      <c r="J365" s="112"/>
      <c r="K365" s="111"/>
      <c r="L365" s="113"/>
      <c r="M365" s="114"/>
      <c r="N365" s="115"/>
      <c r="O365" s="115"/>
      <c r="P365" s="116"/>
      <c r="Q365" s="116"/>
      <c r="R365" s="116"/>
      <c r="S365" s="117"/>
      <c r="T365" s="116"/>
      <c r="U365" s="116"/>
      <c r="V365" s="113"/>
      <c r="W365" s="113"/>
      <c r="X365" s="116"/>
      <c r="Y365" s="209"/>
      <c r="Z365" s="209"/>
      <c r="AA365" s="209"/>
      <c r="AB365" s="209"/>
      <c r="AC365" s="209"/>
      <c r="AD365" s="209"/>
      <c r="AE365" s="209"/>
      <c r="AF365" s="209"/>
      <c r="AG365" s="210"/>
      <c r="AH365" s="105"/>
      <c r="AI365" s="202"/>
      <c r="AJ365" s="63"/>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c r="BI365" s="105"/>
      <c r="BJ365" s="105"/>
      <c r="BK365" s="105"/>
      <c r="BL365" s="105"/>
      <c r="BM365" s="105"/>
      <c r="BN365" s="105"/>
      <c r="BO365" s="105"/>
      <c r="BP365" s="105"/>
      <c r="BQ365" s="105"/>
      <c r="BR365" s="105"/>
      <c r="BS365" s="105"/>
      <c r="BT365" s="105"/>
      <c r="BU365" s="105"/>
      <c r="BV365" s="105"/>
    </row>
    <row r="366">
      <c r="A366" s="91" t="str">
        <f>VLOOKUP($F366,UpdateHashtag!$V$3:$Y$32,COLUMN(B$9),0)</f>
        <v>#N/A</v>
      </c>
      <c r="B366" s="91" t="str">
        <f>VLOOKUP($F366,UpdateHashtag!$V$3:$Y$32,COLUMN(#REF!),0)</f>
        <v>#REF!</v>
      </c>
      <c r="C366" s="91" t="str">
        <f>VLOOKUP($F366,UpdateHashtag!$V$3:$Y$32,COLUMN(#REF!),0)</f>
        <v>#REF!</v>
      </c>
      <c r="D366" s="110" t="str">
        <f t="shared" si="2"/>
        <v>#N/A</v>
      </c>
      <c r="E366" s="11"/>
      <c r="F366" s="94" t="str">
        <f>VLOOKUP(J366,UpdateBBM!$C$2:E1009,3,0)</f>
        <v>#N/A</v>
      </c>
      <c r="G366" s="35">
        <v>352.0</v>
      </c>
      <c r="H366" s="111"/>
      <c r="I366" s="111"/>
      <c r="J366" s="112"/>
      <c r="K366" s="111"/>
      <c r="L366" s="113"/>
      <c r="M366" s="114"/>
      <c r="N366" s="115"/>
      <c r="O366" s="115"/>
      <c r="P366" s="116"/>
      <c r="Q366" s="116"/>
      <c r="R366" s="116"/>
      <c r="S366" s="117"/>
      <c r="T366" s="116"/>
      <c r="U366" s="116"/>
      <c r="V366" s="113"/>
      <c r="W366" s="113"/>
      <c r="X366" s="116"/>
      <c r="Y366" s="209"/>
      <c r="Z366" s="209"/>
      <c r="AA366" s="209"/>
      <c r="AB366" s="209"/>
      <c r="AC366" s="209"/>
      <c r="AD366" s="209"/>
      <c r="AE366" s="209"/>
      <c r="AF366" s="209"/>
      <c r="AG366" s="210"/>
      <c r="AH366" s="105"/>
      <c r="AI366" s="202"/>
      <c r="AJ366" s="63"/>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c r="BI366" s="105"/>
      <c r="BJ366" s="105"/>
      <c r="BK366" s="105"/>
      <c r="BL366" s="105"/>
      <c r="BM366" s="105"/>
      <c r="BN366" s="105"/>
      <c r="BO366" s="105"/>
      <c r="BP366" s="105"/>
      <c r="BQ366" s="105"/>
      <c r="BR366" s="105"/>
      <c r="BS366" s="105"/>
      <c r="BT366" s="105"/>
      <c r="BU366" s="105"/>
      <c r="BV366" s="105"/>
    </row>
    <row r="367">
      <c r="A367" s="91" t="str">
        <f>VLOOKUP($F367,UpdateHashtag!$V$3:$Y$32,COLUMN(B$9),0)</f>
        <v>#N/A</v>
      </c>
      <c r="B367" s="91" t="str">
        <f>VLOOKUP($F367,UpdateHashtag!$V$3:$Y$32,COLUMN(#REF!),0)</f>
        <v>#REF!</v>
      </c>
      <c r="C367" s="91" t="str">
        <f>VLOOKUP($F367,UpdateHashtag!$V$3:$Y$32,COLUMN(#REF!),0)</f>
        <v>#REF!</v>
      </c>
      <c r="D367" s="110" t="str">
        <f t="shared" si="2"/>
        <v>#N/A</v>
      </c>
      <c r="E367" s="11"/>
      <c r="F367" s="94" t="str">
        <f>VLOOKUP(J367,UpdateBBM!$C$2:E1009,3,0)</f>
        <v>#N/A</v>
      </c>
      <c r="G367" s="35">
        <v>353.0</v>
      </c>
      <c r="H367" s="111"/>
      <c r="I367" s="111"/>
      <c r="J367" s="112"/>
      <c r="K367" s="111"/>
      <c r="L367" s="113"/>
      <c r="M367" s="114"/>
      <c r="N367" s="115"/>
      <c r="O367" s="115"/>
      <c r="P367" s="116"/>
      <c r="Q367" s="116"/>
      <c r="R367" s="116"/>
      <c r="S367" s="117"/>
      <c r="T367" s="116"/>
      <c r="U367" s="116"/>
      <c r="V367" s="113"/>
      <c r="W367" s="113"/>
      <c r="X367" s="116"/>
      <c r="Y367" s="209"/>
      <c r="Z367" s="209"/>
      <c r="AA367" s="209"/>
      <c r="AB367" s="209"/>
      <c r="AC367" s="209"/>
      <c r="AD367" s="209"/>
      <c r="AE367" s="209"/>
      <c r="AF367" s="209"/>
      <c r="AG367" s="210"/>
      <c r="AH367" s="105"/>
      <c r="AI367" s="202"/>
      <c r="AJ367" s="63"/>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c r="BI367" s="105"/>
      <c r="BJ367" s="105"/>
      <c r="BK367" s="105"/>
      <c r="BL367" s="105"/>
      <c r="BM367" s="105"/>
      <c r="BN367" s="105"/>
      <c r="BO367" s="105"/>
      <c r="BP367" s="105"/>
      <c r="BQ367" s="105"/>
      <c r="BR367" s="105"/>
      <c r="BS367" s="105"/>
      <c r="BT367" s="105"/>
      <c r="BU367" s="105"/>
      <c r="BV367" s="105"/>
    </row>
    <row r="368">
      <c r="A368" s="91" t="str">
        <f>VLOOKUP($F368,UpdateHashtag!$V$3:$Y$32,COLUMN(B$9),0)</f>
        <v>#N/A</v>
      </c>
      <c r="B368" s="91" t="str">
        <f>VLOOKUP($F368,UpdateHashtag!$V$3:$Y$32,COLUMN(#REF!),0)</f>
        <v>#REF!</v>
      </c>
      <c r="C368" s="91" t="str">
        <f>VLOOKUP($F368,UpdateHashtag!$V$3:$Y$32,COLUMN(#REF!),0)</f>
        <v>#REF!</v>
      </c>
      <c r="D368" s="110" t="str">
        <f t="shared" si="2"/>
        <v>#N/A</v>
      </c>
      <c r="E368" s="11"/>
      <c r="F368" s="94" t="str">
        <f>VLOOKUP(J368,UpdateBBM!$C$2:E1009,3,0)</f>
        <v>#N/A</v>
      </c>
      <c r="G368" s="35">
        <v>354.0</v>
      </c>
      <c r="H368" s="111"/>
      <c r="I368" s="111"/>
      <c r="J368" s="112"/>
      <c r="K368" s="111"/>
      <c r="L368" s="113"/>
      <c r="M368" s="114"/>
      <c r="N368" s="115"/>
      <c r="O368" s="115"/>
      <c r="P368" s="116"/>
      <c r="Q368" s="116"/>
      <c r="R368" s="116"/>
      <c r="S368" s="117"/>
      <c r="T368" s="116"/>
      <c r="U368" s="116"/>
      <c r="V368" s="113"/>
      <c r="W368" s="113"/>
      <c r="X368" s="116"/>
      <c r="Y368" s="209"/>
      <c r="Z368" s="209"/>
      <c r="AA368" s="209"/>
      <c r="AB368" s="209"/>
      <c r="AC368" s="209"/>
      <c r="AD368" s="209"/>
      <c r="AE368" s="209"/>
      <c r="AF368" s="209"/>
      <c r="AG368" s="210"/>
      <c r="AH368" s="105"/>
      <c r="AI368" s="202"/>
      <c r="AJ368" s="63"/>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c r="BI368" s="105"/>
      <c r="BJ368" s="105"/>
      <c r="BK368" s="105"/>
      <c r="BL368" s="105"/>
      <c r="BM368" s="105"/>
      <c r="BN368" s="105"/>
      <c r="BO368" s="105"/>
      <c r="BP368" s="105"/>
      <c r="BQ368" s="105"/>
      <c r="BR368" s="105"/>
      <c r="BS368" s="105"/>
      <c r="BT368" s="105"/>
      <c r="BU368" s="105"/>
      <c r="BV368" s="105"/>
    </row>
    <row r="369">
      <c r="A369" s="91" t="str">
        <f>VLOOKUP($F369,UpdateHashtag!$V$3:$Y$32,COLUMN(B$9),0)</f>
        <v>#N/A</v>
      </c>
      <c r="B369" s="91" t="str">
        <f>VLOOKUP($F369,UpdateHashtag!$V$3:$Y$32,COLUMN(#REF!),0)</f>
        <v>#REF!</v>
      </c>
      <c r="C369" s="91" t="str">
        <f>VLOOKUP($F369,UpdateHashtag!$V$3:$Y$32,COLUMN(#REF!),0)</f>
        <v>#REF!</v>
      </c>
      <c r="D369" s="110" t="str">
        <f t="shared" si="2"/>
        <v>#N/A</v>
      </c>
      <c r="E369" s="11"/>
      <c r="F369" s="94" t="str">
        <f>VLOOKUP(J369,UpdateBBM!$C$2:E1009,3,0)</f>
        <v>#N/A</v>
      </c>
      <c r="G369" s="35">
        <v>355.0</v>
      </c>
      <c r="H369" s="111"/>
      <c r="I369" s="111"/>
      <c r="J369" s="112"/>
      <c r="K369" s="111"/>
      <c r="L369" s="113"/>
      <c r="M369" s="114"/>
      <c r="N369" s="115"/>
      <c r="O369" s="115"/>
      <c r="P369" s="116"/>
      <c r="Q369" s="116"/>
      <c r="R369" s="116"/>
      <c r="S369" s="117"/>
      <c r="T369" s="116"/>
      <c r="U369" s="116"/>
      <c r="V369" s="113"/>
      <c r="W369" s="113"/>
      <c r="X369" s="116"/>
      <c r="Y369" s="209"/>
      <c r="Z369" s="209"/>
      <c r="AA369" s="209"/>
      <c r="AB369" s="209"/>
      <c r="AC369" s="209"/>
      <c r="AD369" s="209"/>
      <c r="AE369" s="209"/>
      <c r="AF369" s="209"/>
      <c r="AG369" s="210"/>
      <c r="AH369" s="105"/>
      <c r="AI369" s="202"/>
      <c r="AJ369" s="63"/>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c r="BI369" s="105"/>
      <c r="BJ369" s="105"/>
      <c r="BK369" s="105"/>
      <c r="BL369" s="105"/>
      <c r="BM369" s="105"/>
      <c r="BN369" s="105"/>
      <c r="BO369" s="105"/>
      <c r="BP369" s="105"/>
      <c r="BQ369" s="105"/>
      <c r="BR369" s="105"/>
      <c r="BS369" s="105"/>
      <c r="BT369" s="105"/>
      <c r="BU369" s="105"/>
      <c r="BV369" s="105"/>
    </row>
    <row r="370">
      <c r="A370" s="91" t="str">
        <f>VLOOKUP($F370,UpdateHashtag!$V$3:$Y$32,COLUMN(B$9),0)</f>
        <v>#N/A</v>
      </c>
      <c r="B370" s="91" t="str">
        <f>VLOOKUP($F370,UpdateHashtag!$V$3:$Y$32,COLUMN(#REF!),0)</f>
        <v>#REF!</v>
      </c>
      <c r="C370" s="91" t="str">
        <f>VLOOKUP($F370,UpdateHashtag!$V$3:$Y$32,COLUMN(#REF!),0)</f>
        <v>#REF!</v>
      </c>
      <c r="D370" s="110" t="str">
        <f t="shared" si="2"/>
        <v>#N/A</v>
      </c>
      <c r="E370" s="11"/>
      <c r="F370" s="94" t="str">
        <f>VLOOKUP(J370,UpdateBBM!$C$2:E1009,3,0)</f>
        <v>#N/A</v>
      </c>
      <c r="G370" s="35">
        <v>356.0</v>
      </c>
      <c r="H370" s="111"/>
      <c r="I370" s="111"/>
      <c r="J370" s="112"/>
      <c r="K370" s="111"/>
      <c r="L370" s="113"/>
      <c r="M370" s="114"/>
      <c r="N370" s="115"/>
      <c r="O370" s="115"/>
      <c r="P370" s="116"/>
      <c r="Q370" s="116"/>
      <c r="R370" s="116"/>
      <c r="S370" s="117"/>
      <c r="T370" s="116"/>
      <c r="U370" s="116"/>
      <c r="V370" s="113"/>
      <c r="W370" s="113"/>
      <c r="X370" s="116"/>
      <c r="Y370" s="209"/>
      <c r="Z370" s="209"/>
      <c r="AA370" s="209"/>
      <c r="AB370" s="209"/>
      <c r="AC370" s="209"/>
      <c r="AD370" s="209"/>
      <c r="AE370" s="209"/>
      <c r="AF370" s="209"/>
      <c r="AG370" s="210"/>
      <c r="AH370" s="105"/>
      <c r="AI370" s="202"/>
      <c r="AJ370" s="63"/>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c r="BI370" s="105"/>
      <c r="BJ370" s="105"/>
      <c r="BK370" s="105"/>
      <c r="BL370" s="105"/>
      <c r="BM370" s="105"/>
      <c r="BN370" s="105"/>
      <c r="BO370" s="105"/>
      <c r="BP370" s="105"/>
      <c r="BQ370" s="105"/>
      <c r="BR370" s="105"/>
      <c r="BS370" s="105"/>
      <c r="BT370" s="105"/>
      <c r="BU370" s="105"/>
      <c r="BV370" s="105"/>
    </row>
    <row r="371">
      <c r="A371" s="91" t="str">
        <f>VLOOKUP($F371,UpdateHashtag!$V$3:$Y$32,COLUMN(B$9),0)</f>
        <v>#N/A</v>
      </c>
      <c r="B371" s="91" t="str">
        <f>VLOOKUP($F371,UpdateHashtag!$V$3:$Y$32,COLUMN(#REF!),0)</f>
        <v>#REF!</v>
      </c>
      <c r="C371" s="91" t="str">
        <f>VLOOKUP($F371,UpdateHashtag!$V$3:$Y$32,COLUMN(#REF!),0)</f>
        <v>#REF!</v>
      </c>
      <c r="D371" s="110" t="str">
        <f t="shared" si="2"/>
        <v>#N/A</v>
      </c>
      <c r="E371" s="11"/>
      <c r="F371" s="94" t="str">
        <f>VLOOKUP(J371,UpdateBBM!$C$2:E1009,3,0)</f>
        <v>#N/A</v>
      </c>
      <c r="G371" s="35">
        <v>357.0</v>
      </c>
      <c r="H371" s="111"/>
      <c r="I371" s="111"/>
      <c r="J371" s="112"/>
      <c r="K371" s="111"/>
      <c r="L371" s="113"/>
      <c r="M371" s="114"/>
      <c r="N371" s="115"/>
      <c r="O371" s="115"/>
      <c r="P371" s="116"/>
      <c r="Q371" s="116"/>
      <c r="R371" s="116"/>
      <c r="S371" s="117"/>
      <c r="T371" s="116"/>
      <c r="U371" s="116"/>
      <c r="V371" s="113"/>
      <c r="W371" s="113"/>
      <c r="X371" s="116"/>
      <c r="Y371" s="209"/>
      <c r="Z371" s="209"/>
      <c r="AA371" s="209"/>
      <c r="AB371" s="209"/>
      <c r="AC371" s="209"/>
      <c r="AD371" s="209"/>
      <c r="AE371" s="209"/>
      <c r="AF371" s="209"/>
      <c r="AG371" s="210"/>
      <c r="AH371" s="105"/>
      <c r="AI371" s="202"/>
      <c r="AJ371" s="63"/>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c r="BI371" s="105"/>
      <c r="BJ371" s="105"/>
      <c r="BK371" s="105"/>
      <c r="BL371" s="105"/>
      <c r="BM371" s="105"/>
      <c r="BN371" s="105"/>
      <c r="BO371" s="105"/>
      <c r="BP371" s="105"/>
      <c r="BQ371" s="105"/>
      <c r="BR371" s="105"/>
      <c r="BS371" s="105"/>
      <c r="BT371" s="105"/>
      <c r="BU371" s="105"/>
      <c r="BV371" s="105"/>
    </row>
    <row r="372">
      <c r="A372" s="91" t="str">
        <f>VLOOKUP($F372,UpdateHashtag!$V$3:$Y$32,COLUMN(B$9),0)</f>
        <v>#N/A</v>
      </c>
      <c r="B372" s="91" t="str">
        <f>VLOOKUP($F372,UpdateHashtag!$V$3:$Y$32,COLUMN(#REF!),0)</f>
        <v>#REF!</v>
      </c>
      <c r="C372" s="91" t="str">
        <f>VLOOKUP($F372,UpdateHashtag!$V$3:$Y$32,COLUMN(#REF!),0)</f>
        <v>#REF!</v>
      </c>
      <c r="D372" s="110" t="str">
        <f t="shared" si="2"/>
        <v>#N/A</v>
      </c>
      <c r="E372" s="11"/>
      <c r="F372" s="94" t="str">
        <f>VLOOKUP(J372,UpdateBBM!$C$2:E1009,3,0)</f>
        <v>#N/A</v>
      </c>
      <c r="G372" s="35">
        <v>358.0</v>
      </c>
      <c r="H372" s="111"/>
      <c r="I372" s="111"/>
      <c r="J372" s="112"/>
      <c r="K372" s="111"/>
      <c r="L372" s="113"/>
      <c r="M372" s="114"/>
      <c r="N372" s="115"/>
      <c r="O372" s="115"/>
      <c r="P372" s="116"/>
      <c r="Q372" s="116"/>
      <c r="R372" s="116"/>
      <c r="S372" s="117"/>
      <c r="T372" s="116"/>
      <c r="U372" s="116"/>
      <c r="V372" s="113"/>
      <c r="W372" s="113"/>
      <c r="X372" s="116"/>
      <c r="Y372" s="209"/>
      <c r="Z372" s="209"/>
      <c r="AA372" s="209"/>
      <c r="AB372" s="209"/>
      <c r="AC372" s="209"/>
      <c r="AD372" s="209"/>
      <c r="AE372" s="209"/>
      <c r="AF372" s="209"/>
      <c r="AG372" s="210"/>
      <c r="AH372" s="105"/>
      <c r="AI372" s="202"/>
      <c r="AJ372" s="63"/>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c r="BI372" s="105"/>
      <c r="BJ372" s="105"/>
      <c r="BK372" s="105"/>
      <c r="BL372" s="105"/>
      <c r="BM372" s="105"/>
      <c r="BN372" s="105"/>
      <c r="BO372" s="105"/>
      <c r="BP372" s="105"/>
      <c r="BQ372" s="105"/>
      <c r="BR372" s="105"/>
      <c r="BS372" s="105"/>
      <c r="BT372" s="105"/>
      <c r="BU372" s="105"/>
      <c r="BV372" s="105"/>
    </row>
    <row r="373">
      <c r="A373" s="91" t="str">
        <f>VLOOKUP($F373,UpdateHashtag!$V$3:$Y$32,COLUMN(B$9),0)</f>
        <v>#N/A</v>
      </c>
      <c r="B373" s="91" t="str">
        <f>VLOOKUP($F373,UpdateHashtag!$V$3:$Y$32,COLUMN(#REF!),0)</f>
        <v>#REF!</v>
      </c>
      <c r="C373" s="91" t="str">
        <f>VLOOKUP($F373,UpdateHashtag!$V$3:$Y$32,COLUMN(#REF!),0)</f>
        <v>#REF!</v>
      </c>
      <c r="D373" s="110" t="str">
        <f t="shared" si="2"/>
        <v>#N/A</v>
      </c>
      <c r="E373" s="11"/>
      <c r="F373" s="94" t="str">
        <f>VLOOKUP(J373,UpdateBBM!$C$2:E1009,3,0)</f>
        <v>#N/A</v>
      </c>
      <c r="G373" s="35">
        <v>359.0</v>
      </c>
      <c r="H373" s="111"/>
      <c r="I373" s="111"/>
      <c r="J373" s="112"/>
      <c r="K373" s="111"/>
      <c r="L373" s="113"/>
      <c r="M373" s="114"/>
      <c r="N373" s="115"/>
      <c r="O373" s="115"/>
      <c r="P373" s="116"/>
      <c r="Q373" s="116"/>
      <c r="R373" s="116"/>
      <c r="S373" s="117"/>
      <c r="T373" s="116"/>
      <c r="U373" s="116"/>
      <c r="V373" s="113"/>
      <c r="W373" s="113"/>
      <c r="X373" s="116"/>
      <c r="Y373" s="209"/>
      <c r="Z373" s="209"/>
      <c r="AA373" s="209"/>
      <c r="AB373" s="209"/>
      <c r="AC373" s="209"/>
      <c r="AD373" s="209"/>
      <c r="AE373" s="209"/>
      <c r="AF373" s="209"/>
      <c r="AG373" s="210"/>
      <c r="AH373" s="105"/>
      <c r="AI373" s="202"/>
      <c r="AJ373" s="63"/>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c r="BI373" s="105"/>
      <c r="BJ373" s="105"/>
      <c r="BK373" s="105"/>
      <c r="BL373" s="105"/>
      <c r="BM373" s="105"/>
      <c r="BN373" s="105"/>
      <c r="BO373" s="105"/>
      <c r="BP373" s="105"/>
      <c r="BQ373" s="105"/>
      <c r="BR373" s="105"/>
      <c r="BS373" s="105"/>
      <c r="BT373" s="105"/>
      <c r="BU373" s="105"/>
      <c r="BV373" s="105"/>
    </row>
    <row r="374">
      <c r="A374" s="91" t="str">
        <f>VLOOKUP($F374,UpdateHashtag!$V$3:$Y$32,COLUMN(B$9),0)</f>
        <v>#N/A</v>
      </c>
      <c r="B374" s="91" t="str">
        <f>VLOOKUP($F374,UpdateHashtag!$V$3:$Y$32,COLUMN(#REF!),0)</f>
        <v>#REF!</v>
      </c>
      <c r="C374" s="91" t="str">
        <f>VLOOKUP($F374,UpdateHashtag!$V$3:$Y$32,COLUMN(#REF!),0)</f>
        <v>#REF!</v>
      </c>
      <c r="D374" s="110" t="str">
        <f t="shared" si="2"/>
        <v>#N/A</v>
      </c>
      <c r="E374" s="11"/>
      <c r="F374" s="94" t="str">
        <f>VLOOKUP(J374,UpdateBBM!$C$2:E1009,3,0)</f>
        <v>#N/A</v>
      </c>
      <c r="G374" s="35">
        <v>360.0</v>
      </c>
      <c r="H374" s="111"/>
      <c r="I374" s="111"/>
      <c r="J374" s="112"/>
      <c r="K374" s="111"/>
      <c r="L374" s="113"/>
      <c r="M374" s="114"/>
      <c r="N374" s="115"/>
      <c r="O374" s="115"/>
      <c r="P374" s="116"/>
      <c r="Q374" s="116"/>
      <c r="R374" s="116"/>
      <c r="S374" s="117"/>
      <c r="T374" s="116"/>
      <c r="U374" s="116"/>
      <c r="V374" s="113"/>
      <c r="W374" s="113"/>
      <c r="X374" s="116"/>
      <c r="Y374" s="209"/>
      <c r="Z374" s="209"/>
      <c r="AA374" s="209"/>
      <c r="AB374" s="209"/>
      <c r="AC374" s="209"/>
      <c r="AD374" s="209"/>
      <c r="AE374" s="209"/>
      <c r="AF374" s="209"/>
      <c r="AG374" s="210"/>
      <c r="AH374" s="105"/>
      <c r="AI374" s="202"/>
      <c r="AJ374" s="63"/>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c r="BI374" s="105"/>
      <c r="BJ374" s="105"/>
      <c r="BK374" s="105"/>
      <c r="BL374" s="105"/>
      <c r="BM374" s="105"/>
      <c r="BN374" s="105"/>
      <c r="BO374" s="105"/>
      <c r="BP374" s="105"/>
      <c r="BQ374" s="105"/>
      <c r="BR374" s="105"/>
      <c r="BS374" s="105"/>
      <c r="BT374" s="105"/>
      <c r="BU374" s="105"/>
      <c r="BV374" s="105"/>
    </row>
    <row r="375">
      <c r="A375" s="91" t="str">
        <f>VLOOKUP($F375,UpdateHashtag!$V$3:$Y$32,COLUMN(B$9),0)</f>
        <v>#N/A</v>
      </c>
      <c r="B375" s="91" t="str">
        <f>VLOOKUP($F375,UpdateHashtag!$V$3:$Y$32,COLUMN(#REF!),0)</f>
        <v>#REF!</v>
      </c>
      <c r="C375" s="91" t="str">
        <f>VLOOKUP($F375,UpdateHashtag!$V$3:$Y$32,COLUMN(#REF!),0)</f>
        <v>#REF!</v>
      </c>
      <c r="D375" s="110" t="str">
        <f t="shared" si="2"/>
        <v>#N/A</v>
      </c>
      <c r="E375" s="11"/>
      <c r="F375" s="94" t="str">
        <f>VLOOKUP(J375,UpdateBBM!$C$2:E1009,3,0)</f>
        <v>#N/A</v>
      </c>
      <c r="G375" s="35">
        <v>361.0</v>
      </c>
      <c r="H375" s="111"/>
      <c r="I375" s="111"/>
      <c r="J375" s="112"/>
      <c r="K375" s="111"/>
      <c r="L375" s="113"/>
      <c r="M375" s="114"/>
      <c r="N375" s="115"/>
      <c r="O375" s="115"/>
      <c r="P375" s="116"/>
      <c r="Q375" s="116"/>
      <c r="R375" s="116"/>
      <c r="S375" s="117"/>
      <c r="T375" s="116"/>
      <c r="U375" s="116"/>
      <c r="V375" s="113"/>
      <c r="W375" s="113"/>
      <c r="X375" s="116"/>
      <c r="Y375" s="209"/>
      <c r="Z375" s="209"/>
      <c r="AA375" s="209"/>
      <c r="AB375" s="209"/>
      <c r="AC375" s="209"/>
      <c r="AD375" s="209"/>
      <c r="AE375" s="209"/>
      <c r="AF375" s="209"/>
      <c r="AG375" s="210"/>
      <c r="AH375" s="105"/>
      <c r="AI375" s="202"/>
      <c r="AJ375" s="63"/>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c r="BI375" s="105"/>
      <c r="BJ375" s="105"/>
      <c r="BK375" s="105"/>
      <c r="BL375" s="105"/>
      <c r="BM375" s="105"/>
      <c r="BN375" s="105"/>
      <c r="BO375" s="105"/>
      <c r="BP375" s="105"/>
      <c r="BQ375" s="105"/>
      <c r="BR375" s="105"/>
      <c r="BS375" s="105"/>
      <c r="BT375" s="105"/>
      <c r="BU375" s="105"/>
      <c r="BV375" s="105"/>
    </row>
    <row r="376">
      <c r="A376" s="91" t="str">
        <f>VLOOKUP($F376,UpdateHashtag!$V$3:$Y$32,COLUMN(B$9),0)</f>
        <v>#N/A</v>
      </c>
      <c r="B376" s="91" t="str">
        <f>VLOOKUP($F376,UpdateHashtag!$V$3:$Y$32,COLUMN(#REF!),0)</f>
        <v>#REF!</v>
      </c>
      <c r="C376" s="91" t="str">
        <f>VLOOKUP($F376,UpdateHashtag!$V$3:$Y$32,COLUMN(#REF!),0)</f>
        <v>#REF!</v>
      </c>
      <c r="D376" s="110" t="str">
        <f t="shared" si="2"/>
        <v>#N/A</v>
      </c>
      <c r="E376" s="11"/>
      <c r="F376" s="94" t="str">
        <f>VLOOKUP(J376,UpdateBBM!$C$2:E1009,3,0)</f>
        <v>#N/A</v>
      </c>
      <c r="G376" s="35">
        <v>362.0</v>
      </c>
      <c r="H376" s="111"/>
      <c r="I376" s="111"/>
      <c r="J376" s="112"/>
      <c r="K376" s="111"/>
      <c r="L376" s="113"/>
      <c r="M376" s="114"/>
      <c r="N376" s="115"/>
      <c r="O376" s="115"/>
      <c r="P376" s="116"/>
      <c r="Q376" s="116"/>
      <c r="R376" s="116"/>
      <c r="S376" s="117"/>
      <c r="T376" s="116"/>
      <c r="U376" s="116"/>
      <c r="V376" s="113"/>
      <c r="W376" s="113"/>
      <c r="X376" s="116"/>
      <c r="Y376" s="209"/>
      <c r="Z376" s="209"/>
      <c r="AA376" s="209"/>
      <c r="AB376" s="209"/>
      <c r="AC376" s="209"/>
      <c r="AD376" s="209"/>
      <c r="AE376" s="209"/>
      <c r="AF376" s="209"/>
      <c r="AG376" s="210"/>
      <c r="AH376" s="105"/>
      <c r="AI376" s="202"/>
      <c r="AJ376" s="63"/>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c r="BI376" s="105"/>
      <c r="BJ376" s="105"/>
      <c r="BK376" s="105"/>
      <c r="BL376" s="105"/>
      <c r="BM376" s="105"/>
      <c r="BN376" s="105"/>
      <c r="BO376" s="105"/>
      <c r="BP376" s="105"/>
      <c r="BQ376" s="105"/>
      <c r="BR376" s="105"/>
      <c r="BS376" s="105"/>
      <c r="BT376" s="105"/>
      <c r="BU376" s="105"/>
      <c r="BV376" s="105"/>
    </row>
    <row r="377">
      <c r="A377" s="91" t="str">
        <f>VLOOKUP($F377,UpdateHashtag!$V$3:$Y$32,COLUMN(B$9),0)</f>
        <v>#N/A</v>
      </c>
      <c r="B377" s="91" t="str">
        <f>VLOOKUP($F377,UpdateHashtag!$V$3:$Y$32,COLUMN(#REF!),0)</f>
        <v>#REF!</v>
      </c>
      <c r="C377" s="91" t="str">
        <f>VLOOKUP($F377,UpdateHashtag!$V$3:$Y$32,COLUMN(#REF!),0)</f>
        <v>#REF!</v>
      </c>
      <c r="D377" s="110" t="str">
        <f t="shared" si="2"/>
        <v>#N/A</v>
      </c>
      <c r="E377" s="11"/>
      <c r="F377" s="94" t="str">
        <f>VLOOKUP(J377,UpdateBBM!$C$2:E1009,3,0)</f>
        <v>#N/A</v>
      </c>
      <c r="G377" s="35">
        <v>363.0</v>
      </c>
      <c r="H377" s="111"/>
      <c r="I377" s="111"/>
      <c r="J377" s="112"/>
      <c r="K377" s="111"/>
      <c r="L377" s="113"/>
      <c r="M377" s="114"/>
      <c r="N377" s="115"/>
      <c r="O377" s="115"/>
      <c r="P377" s="116"/>
      <c r="Q377" s="116"/>
      <c r="R377" s="116"/>
      <c r="S377" s="117"/>
      <c r="T377" s="116"/>
      <c r="U377" s="116"/>
      <c r="V377" s="113"/>
      <c r="W377" s="113"/>
      <c r="X377" s="116"/>
      <c r="Y377" s="209"/>
      <c r="Z377" s="209"/>
      <c r="AA377" s="209"/>
      <c r="AB377" s="209"/>
      <c r="AC377" s="209"/>
      <c r="AD377" s="209"/>
      <c r="AE377" s="209"/>
      <c r="AF377" s="209"/>
      <c r="AG377" s="210"/>
      <c r="AH377" s="105"/>
      <c r="AI377" s="202"/>
      <c r="AJ377" s="63"/>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c r="BI377" s="105"/>
      <c r="BJ377" s="105"/>
      <c r="BK377" s="105"/>
      <c r="BL377" s="105"/>
      <c r="BM377" s="105"/>
      <c r="BN377" s="105"/>
      <c r="BO377" s="105"/>
      <c r="BP377" s="105"/>
      <c r="BQ377" s="105"/>
      <c r="BR377" s="105"/>
      <c r="BS377" s="105"/>
      <c r="BT377" s="105"/>
      <c r="BU377" s="105"/>
      <c r="BV377" s="105"/>
    </row>
    <row r="378">
      <c r="A378" s="91" t="str">
        <f>VLOOKUP($F378,UpdateHashtag!$V$3:$Y$32,COLUMN(B$9),0)</f>
        <v>#N/A</v>
      </c>
      <c r="B378" s="91" t="str">
        <f>VLOOKUP($F378,UpdateHashtag!$V$3:$Y$32,COLUMN(#REF!),0)</f>
        <v>#REF!</v>
      </c>
      <c r="C378" s="91" t="str">
        <f>VLOOKUP($F378,UpdateHashtag!$V$3:$Y$32,COLUMN(#REF!),0)</f>
        <v>#REF!</v>
      </c>
      <c r="D378" s="110" t="str">
        <f t="shared" si="2"/>
        <v>#N/A</v>
      </c>
      <c r="E378" s="11"/>
      <c r="F378" s="94" t="str">
        <f>VLOOKUP(J378,UpdateBBM!$C$2:E1009,3,0)</f>
        <v>#N/A</v>
      </c>
      <c r="G378" s="35">
        <v>364.0</v>
      </c>
      <c r="H378" s="111"/>
      <c r="I378" s="111"/>
      <c r="J378" s="112"/>
      <c r="K378" s="111"/>
      <c r="L378" s="113"/>
      <c r="M378" s="114"/>
      <c r="N378" s="115"/>
      <c r="O378" s="115"/>
      <c r="P378" s="116"/>
      <c r="Q378" s="116"/>
      <c r="R378" s="116"/>
      <c r="S378" s="117"/>
      <c r="T378" s="116"/>
      <c r="U378" s="116"/>
      <c r="V378" s="113"/>
      <c r="W378" s="113"/>
      <c r="X378" s="116"/>
      <c r="Y378" s="209"/>
      <c r="Z378" s="209"/>
      <c r="AA378" s="209"/>
      <c r="AB378" s="209"/>
      <c r="AC378" s="209"/>
      <c r="AD378" s="209"/>
      <c r="AE378" s="209"/>
      <c r="AF378" s="209"/>
      <c r="AG378" s="210"/>
      <c r="AH378" s="105"/>
      <c r="AI378" s="202"/>
      <c r="AJ378" s="63"/>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c r="BI378" s="105"/>
      <c r="BJ378" s="105"/>
      <c r="BK378" s="105"/>
      <c r="BL378" s="105"/>
      <c r="BM378" s="105"/>
      <c r="BN378" s="105"/>
      <c r="BO378" s="105"/>
      <c r="BP378" s="105"/>
      <c r="BQ378" s="105"/>
      <c r="BR378" s="105"/>
      <c r="BS378" s="105"/>
      <c r="BT378" s="105"/>
      <c r="BU378" s="105"/>
      <c r="BV378" s="105"/>
    </row>
    <row r="379">
      <c r="A379" s="91" t="str">
        <f>VLOOKUP($F379,UpdateHashtag!$V$3:$Y$32,COLUMN(B$9),0)</f>
        <v>#N/A</v>
      </c>
      <c r="B379" s="91" t="str">
        <f>VLOOKUP($F379,UpdateHashtag!$V$3:$Y$32,COLUMN(#REF!),0)</f>
        <v>#REF!</v>
      </c>
      <c r="C379" s="91" t="str">
        <f>VLOOKUP($F379,UpdateHashtag!$V$3:$Y$32,COLUMN(#REF!),0)</f>
        <v>#REF!</v>
      </c>
      <c r="D379" s="110" t="str">
        <f t="shared" si="2"/>
        <v>#N/A</v>
      </c>
      <c r="E379" s="11"/>
      <c r="F379" s="94" t="str">
        <f>VLOOKUP(J379,UpdateBBM!$C$2:E1009,3,0)</f>
        <v>#N/A</v>
      </c>
      <c r="G379" s="35">
        <v>365.0</v>
      </c>
      <c r="H379" s="111"/>
      <c r="I379" s="111"/>
      <c r="J379" s="112"/>
      <c r="K379" s="111"/>
      <c r="L379" s="113"/>
      <c r="M379" s="114"/>
      <c r="N379" s="115"/>
      <c r="O379" s="115"/>
      <c r="P379" s="116"/>
      <c r="Q379" s="116"/>
      <c r="R379" s="116"/>
      <c r="S379" s="117"/>
      <c r="T379" s="116"/>
      <c r="U379" s="116"/>
      <c r="V379" s="113"/>
      <c r="W379" s="113"/>
      <c r="X379" s="116"/>
      <c r="Y379" s="209"/>
      <c r="Z379" s="209"/>
      <c r="AA379" s="209"/>
      <c r="AB379" s="209"/>
      <c r="AC379" s="209"/>
      <c r="AD379" s="209"/>
      <c r="AE379" s="209"/>
      <c r="AF379" s="209"/>
      <c r="AG379" s="210"/>
      <c r="AH379" s="105"/>
      <c r="AI379" s="202"/>
      <c r="AJ379" s="63"/>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c r="BI379" s="105"/>
      <c r="BJ379" s="105"/>
      <c r="BK379" s="105"/>
      <c r="BL379" s="105"/>
      <c r="BM379" s="105"/>
      <c r="BN379" s="105"/>
      <c r="BO379" s="105"/>
      <c r="BP379" s="105"/>
      <c r="BQ379" s="105"/>
      <c r="BR379" s="105"/>
      <c r="BS379" s="105"/>
      <c r="BT379" s="105"/>
      <c r="BU379" s="105"/>
      <c r="BV379" s="105"/>
    </row>
    <row r="380">
      <c r="A380" s="91" t="str">
        <f>VLOOKUP($F380,UpdateHashtag!$V$3:$Y$32,COLUMN(B$9),0)</f>
        <v>#N/A</v>
      </c>
      <c r="B380" s="91" t="str">
        <f>VLOOKUP($F380,UpdateHashtag!$V$3:$Y$32,COLUMN(#REF!),0)</f>
        <v>#REF!</v>
      </c>
      <c r="C380" s="91" t="str">
        <f>VLOOKUP($F380,UpdateHashtag!$V$3:$Y$32,COLUMN(#REF!),0)</f>
        <v>#REF!</v>
      </c>
      <c r="D380" s="110" t="str">
        <f t="shared" si="2"/>
        <v>#N/A</v>
      </c>
      <c r="E380" s="11"/>
      <c r="F380" s="94" t="str">
        <f>VLOOKUP(J380,UpdateBBM!$C$2:E1009,3,0)</f>
        <v>#N/A</v>
      </c>
      <c r="G380" s="35">
        <v>366.0</v>
      </c>
      <c r="H380" s="111"/>
      <c r="I380" s="111"/>
      <c r="J380" s="112"/>
      <c r="K380" s="111"/>
      <c r="L380" s="113"/>
      <c r="M380" s="114"/>
      <c r="N380" s="115"/>
      <c r="O380" s="115"/>
      <c r="P380" s="116"/>
      <c r="Q380" s="116"/>
      <c r="R380" s="116"/>
      <c r="S380" s="117"/>
      <c r="T380" s="116"/>
      <c r="U380" s="116"/>
      <c r="V380" s="113"/>
      <c r="W380" s="113"/>
      <c r="X380" s="116"/>
      <c r="Y380" s="209"/>
      <c r="Z380" s="209"/>
      <c r="AA380" s="209"/>
      <c r="AB380" s="209"/>
      <c r="AC380" s="209"/>
      <c r="AD380" s="209"/>
      <c r="AE380" s="209"/>
      <c r="AF380" s="209"/>
      <c r="AG380" s="210"/>
      <c r="AH380" s="105"/>
      <c r="AI380" s="202"/>
      <c r="AJ380" s="63"/>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c r="BI380" s="105"/>
      <c r="BJ380" s="105"/>
      <c r="BK380" s="105"/>
      <c r="BL380" s="105"/>
      <c r="BM380" s="105"/>
      <c r="BN380" s="105"/>
      <c r="BO380" s="105"/>
      <c r="BP380" s="105"/>
      <c r="BQ380" s="105"/>
      <c r="BR380" s="105"/>
      <c r="BS380" s="105"/>
      <c r="BT380" s="105"/>
      <c r="BU380" s="105"/>
      <c r="BV380" s="105"/>
    </row>
    <row r="381">
      <c r="A381" s="91" t="str">
        <f>VLOOKUP($F381,UpdateHashtag!$V$3:$Y$32,COLUMN(B$9),0)</f>
        <v>#N/A</v>
      </c>
      <c r="B381" s="91" t="str">
        <f>VLOOKUP($F381,UpdateHashtag!$V$3:$Y$32,COLUMN(#REF!),0)</f>
        <v>#REF!</v>
      </c>
      <c r="C381" s="91" t="str">
        <f>VLOOKUP($F381,UpdateHashtag!$V$3:$Y$32,COLUMN(#REF!),0)</f>
        <v>#REF!</v>
      </c>
      <c r="D381" s="110" t="str">
        <f t="shared" si="2"/>
        <v>#N/A</v>
      </c>
      <c r="E381" s="11"/>
      <c r="F381" s="94" t="str">
        <f>VLOOKUP(J381,UpdateBBM!$C$2:E1009,3,0)</f>
        <v>#N/A</v>
      </c>
      <c r="G381" s="35">
        <v>367.0</v>
      </c>
      <c r="H381" s="111"/>
      <c r="I381" s="111"/>
      <c r="J381" s="112"/>
      <c r="K381" s="111"/>
      <c r="L381" s="113"/>
      <c r="M381" s="114"/>
      <c r="N381" s="115"/>
      <c r="O381" s="115"/>
      <c r="P381" s="116"/>
      <c r="Q381" s="116"/>
      <c r="R381" s="116"/>
      <c r="S381" s="117"/>
      <c r="T381" s="116"/>
      <c r="U381" s="116"/>
      <c r="V381" s="113"/>
      <c r="W381" s="113"/>
      <c r="X381" s="116"/>
      <c r="Y381" s="209"/>
      <c r="Z381" s="209"/>
      <c r="AA381" s="209"/>
      <c r="AB381" s="209"/>
      <c r="AC381" s="209"/>
      <c r="AD381" s="209"/>
      <c r="AE381" s="209"/>
      <c r="AF381" s="209"/>
      <c r="AG381" s="210"/>
      <c r="AH381" s="105"/>
      <c r="AI381" s="202"/>
      <c r="AJ381" s="63"/>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c r="BI381" s="105"/>
      <c r="BJ381" s="105"/>
      <c r="BK381" s="105"/>
      <c r="BL381" s="105"/>
      <c r="BM381" s="105"/>
      <c r="BN381" s="105"/>
      <c r="BO381" s="105"/>
      <c r="BP381" s="105"/>
      <c r="BQ381" s="105"/>
      <c r="BR381" s="105"/>
      <c r="BS381" s="105"/>
      <c r="BT381" s="105"/>
      <c r="BU381" s="105"/>
      <c r="BV381" s="105"/>
    </row>
    <row r="382">
      <c r="A382" s="91" t="str">
        <f>VLOOKUP($F382,UpdateHashtag!$V$3:$Y$32,COLUMN(B$9),0)</f>
        <v>#N/A</v>
      </c>
      <c r="B382" s="91" t="str">
        <f>VLOOKUP($F382,UpdateHashtag!$V$3:$Y$32,COLUMN(#REF!),0)</f>
        <v>#REF!</v>
      </c>
      <c r="C382" s="91" t="str">
        <f>VLOOKUP($F382,UpdateHashtag!$V$3:$Y$32,COLUMN(#REF!),0)</f>
        <v>#REF!</v>
      </c>
      <c r="D382" s="110" t="str">
        <f t="shared" si="2"/>
        <v>#N/A</v>
      </c>
      <c r="E382" s="11"/>
      <c r="F382" s="94" t="str">
        <f>VLOOKUP(J382,UpdateBBM!$C$2:E1009,3,0)</f>
        <v>#N/A</v>
      </c>
      <c r="G382" s="35">
        <v>368.0</v>
      </c>
      <c r="H382" s="111"/>
      <c r="I382" s="111"/>
      <c r="J382" s="112"/>
      <c r="K382" s="111"/>
      <c r="L382" s="113"/>
      <c r="M382" s="114"/>
      <c r="N382" s="115"/>
      <c r="O382" s="115"/>
      <c r="P382" s="116"/>
      <c r="Q382" s="116"/>
      <c r="R382" s="116"/>
      <c r="S382" s="117"/>
      <c r="T382" s="116"/>
      <c r="U382" s="116"/>
      <c r="V382" s="113"/>
      <c r="W382" s="113"/>
      <c r="X382" s="116"/>
      <c r="Y382" s="209"/>
      <c r="Z382" s="209"/>
      <c r="AA382" s="209"/>
      <c r="AB382" s="209"/>
      <c r="AC382" s="209"/>
      <c r="AD382" s="209"/>
      <c r="AE382" s="209"/>
      <c r="AF382" s="209"/>
      <c r="AG382" s="210"/>
      <c r="AH382" s="105"/>
      <c r="AI382" s="202"/>
      <c r="AJ382" s="63"/>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c r="BI382" s="105"/>
      <c r="BJ382" s="105"/>
      <c r="BK382" s="105"/>
      <c r="BL382" s="105"/>
      <c r="BM382" s="105"/>
      <c r="BN382" s="105"/>
      <c r="BO382" s="105"/>
      <c r="BP382" s="105"/>
      <c r="BQ382" s="105"/>
      <c r="BR382" s="105"/>
      <c r="BS382" s="105"/>
      <c r="BT382" s="105"/>
      <c r="BU382" s="105"/>
      <c r="BV382" s="105"/>
    </row>
    <row r="383">
      <c r="A383" s="91" t="str">
        <f>VLOOKUP($F383,UpdateHashtag!$V$3:$Y$32,COLUMN(B$9),0)</f>
        <v>#N/A</v>
      </c>
      <c r="B383" s="91" t="str">
        <f>VLOOKUP($F383,UpdateHashtag!$V$3:$Y$32,COLUMN(#REF!),0)</f>
        <v>#REF!</v>
      </c>
      <c r="C383" s="91" t="str">
        <f>VLOOKUP($F383,UpdateHashtag!$V$3:$Y$32,COLUMN(#REF!),0)</f>
        <v>#REF!</v>
      </c>
      <c r="D383" s="110" t="str">
        <f t="shared" si="2"/>
        <v>#N/A</v>
      </c>
      <c r="E383" s="11"/>
      <c r="F383" s="94" t="str">
        <f>VLOOKUP(J383,UpdateBBM!$C$2:E1009,3,0)</f>
        <v>#N/A</v>
      </c>
      <c r="G383" s="35">
        <v>369.0</v>
      </c>
      <c r="H383" s="111"/>
      <c r="I383" s="111"/>
      <c r="J383" s="112"/>
      <c r="K383" s="111"/>
      <c r="L383" s="113"/>
      <c r="M383" s="114"/>
      <c r="N383" s="115"/>
      <c r="O383" s="115"/>
      <c r="P383" s="116"/>
      <c r="Q383" s="116"/>
      <c r="R383" s="116"/>
      <c r="S383" s="117"/>
      <c r="T383" s="116"/>
      <c r="U383" s="116"/>
      <c r="V383" s="113"/>
      <c r="W383" s="113"/>
      <c r="X383" s="116"/>
      <c r="Y383" s="209"/>
      <c r="Z383" s="209"/>
      <c r="AA383" s="209"/>
      <c r="AB383" s="209"/>
      <c r="AC383" s="209"/>
      <c r="AD383" s="209"/>
      <c r="AE383" s="209"/>
      <c r="AF383" s="209"/>
      <c r="AG383" s="210"/>
      <c r="AH383" s="105"/>
      <c r="AI383" s="202"/>
      <c r="AJ383" s="63"/>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c r="BI383" s="105"/>
      <c r="BJ383" s="105"/>
      <c r="BK383" s="105"/>
      <c r="BL383" s="105"/>
      <c r="BM383" s="105"/>
      <c r="BN383" s="105"/>
      <c r="BO383" s="105"/>
      <c r="BP383" s="105"/>
      <c r="BQ383" s="105"/>
      <c r="BR383" s="105"/>
      <c r="BS383" s="105"/>
      <c r="BT383" s="105"/>
      <c r="BU383" s="105"/>
      <c r="BV383" s="105"/>
    </row>
    <row r="384">
      <c r="A384" s="91" t="str">
        <f>VLOOKUP($F384,UpdateHashtag!$V$3:$Y$32,COLUMN(B$9),0)</f>
        <v>#N/A</v>
      </c>
      <c r="B384" s="91" t="str">
        <f>VLOOKUP($F384,UpdateHashtag!$V$3:$Y$32,COLUMN(#REF!),0)</f>
        <v>#REF!</v>
      </c>
      <c r="C384" s="91" t="str">
        <f>VLOOKUP($F384,UpdateHashtag!$V$3:$Y$32,COLUMN(#REF!),0)</f>
        <v>#REF!</v>
      </c>
      <c r="D384" s="110" t="str">
        <f t="shared" si="2"/>
        <v>#N/A</v>
      </c>
      <c r="E384" s="11"/>
      <c r="F384" s="94" t="str">
        <f>VLOOKUP(J384,UpdateBBM!$C$2:E1009,3,0)</f>
        <v>#N/A</v>
      </c>
      <c r="G384" s="35">
        <v>370.0</v>
      </c>
      <c r="H384" s="111"/>
      <c r="I384" s="111"/>
      <c r="J384" s="112"/>
      <c r="K384" s="111"/>
      <c r="L384" s="113"/>
      <c r="M384" s="114"/>
      <c r="N384" s="115"/>
      <c r="O384" s="115"/>
      <c r="P384" s="116"/>
      <c r="Q384" s="116"/>
      <c r="R384" s="116"/>
      <c r="S384" s="117"/>
      <c r="T384" s="116"/>
      <c r="U384" s="116"/>
      <c r="V384" s="113"/>
      <c r="W384" s="113"/>
      <c r="X384" s="116"/>
      <c r="Y384" s="209"/>
      <c r="Z384" s="209"/>
      <c r="AA384" s="209"/>
      <c r="AB384" s="209"/>
      <c r="AC384" s="209"/>
      <c r="AD384" s="209"/>
      <c r="AE384" s="209"/>
      <c r="AF384" s="209"/>
      <c r="AG384" s="210"/>
      <c r="AH384" s="105"/>
      <c r="AI384" s="202"/>
      <c r="AJ384" s="63"/>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c r="BI384" s="105"/>
      <c r="BJ384" s="105"/>
      <c r="BK384" s="105"/>
      <c r="BL384" s="105"/>
      <c r="BM384" s="105"/>
      <c r="BN384" s="105"/>
      <c r="BO384" s="105"/>
      <c r="BP384" s="105"/>
      <c r="BQ384" s="105"/>
      <c r="BR384" s="105"/>
      <c r="BS384" s="105"/>
      <c r="BT384" s="105"/>
      <c r="BU384" s="105"/>
      <c r="BV384" s="105"/>
    </row>
    <row r="385">
      <c r="A385" s="91" t="str">
        <f>VLOOKUP($F385,UpdateHashtag!$V$3:$Y$32,COLUMN(B$9),0)</f>
        <v>#N/A</v>
      </c>
      <c r="B385" s="91" t="str">
        <f>VLOOKUP($F385,UpdateHashtag!$V$3:$Y$32,COLUMN(#REF!),0)</f>
        <v>#REF!</v>
      </c>
      <c r="C385" s="91" t="str">
        <f>VLOOKUP($F385,UpdateHashtag!$V$3:$Y$32,COLUMN(#REF!),0)</f>
        <v>#REF!</v>
      </c>
      <c r="D385" s="110" t="str">
        <f t="shared" si="2"/>
        <v>#N/A</v>
      </c>
      <c r="E385" s="11"/>
      <c r="F385" s="94" t="str">
        <f>VLOOKUP(J385,UpdateBBM!$C$2:E1009,3,0)</f>
        <v>#N/A</v>
      </c>
      <c r="G385" s="35">
        <v>371.0</v>
      </c>
      <c r="H385" s="111"/>
      <c r="I385" s="111"/>
      <c r="J385" s="112"/>
      <c r="K385" s="111"/>
      <c r="L385" s="113"/>
      <c r="M385" s="114"/>
      <c r="N385" s="115"/>
      <c r="O385" s="115"/>
      <c r="P385" s="116"/>
      <c r="Q385" s="116"/>
      <c r="R385" s="116"/>
      <c r="S385" s="117"/>
      <c r="T385" s="116"/>
      <c r="U385" s="116"/>
      <c r="V385" s="113"/>
      <c r="W385" s="113"/>
      <c r="X385" s="116"/>
      <c r="Y385" s="209"/>
      <c r="Z385" s="209"/>
      <c r="AA385" s="209"/>
      <c r="AB385" s="209"/>
      <c r="AC385" s="209"/>
      <c r="AD385" s="209"/>
      <c r="AE385" s="209"/>
      <c r="AF385" s="209"/>
      <c r="AG385" s="210"/>
      <c r="AH385" s="105"/>
      <c r="AI385" s="202"/>
      <c r="AJ385" s="63"/>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c r="BI385" s="105"/>
      <c r="BJ385" s="105"/>
      <c r="BK385" s="105"/>
      <c r="BL385" s="105"/>
      <c r="BM385" s="105"/>
      <c r="BN385" s="105"/>
      <c r="BO385" s="105"/>
      <c r="BP385" s="105"/>
      <c r="BQ385" s="105"/>
      <c r="BR385" s="105"/>
      <c r="BS385" s="105"/>
      <c r="BT385" s="105"/>
      <c r="BU385" s="105"/>
      <c r="BV385" s="105"/>
    </row>
    <row r="386">
      <c r="A386" s="91" t="str">
        <f>VLOOKUP($F386,UpdateHashtag!$V$3:$Y$32,COLUMN(B$9),0)</f>
        <v>#N/A</v>
      </c>
      <c r="B386" s="91" t="str">
        <f>VLOOKUP($F386,UpdateHashtag!$V$3:$Y$32,COLUMN(#REF!),0)</f>
        <v>#REF!</v>
      </c>
      <c r="C386" s="91" t="str">
        <f>VLOOKUP($F386,UpdateHashtag!$V$3:$Y$32,COLUMN(#REF!),0)</f>
        <v>#REF!</v>
      </c>
      <c r="D386" s="110" t="str">
        <f t="shared" si="2"/>
        <v>#N/A</v>
      </c>
      <c r="E386" s="11"/>
      <c r="F386" s="94" t="str">
        <f>VLOOKUP(J386,UpdateBBM!$C$2:E1009,3,0)</f>
        <v>#N/A</v>
      </c>
      <c r="G386" s="35">
        <v>372.0</v>
      </c>
      <c r="H386" s="111"/>
      <c r="I386" s="111"/>
      <c r="J386" s="112"/>
      <c r="K386" s="111"/>
      <c r="L386" s="113"/>
      <c r="M386" s="114"/>
      <c r="N386" s="115"/>
      <c r="O386" s="115"/>
      <c r="P386" s="116"/>
      <c r="Q386" s="116"/>
      <c r="R386" s="116"/>
      <c r="S386" s="117"/>
      <c r="T386" s="116"/>
      <c r="U386" s="116"/>
      <c r="V386" s="113"/>
      <c r="W386" s="113"/>
      <c r="X386" s="116"/>
      <c r="Y386" s="209"/>
      <c r="Z386" s="209"/>
      <c r="AA386" s="209"/>
      <c r="AB386" s="209"/>
      <c r="AC386" s="209"/>
      <c r="AD386" s="209"/>
      <c r="AE386" s="209"/>
      <c r="AF386" s="209"/>
      <c r="AG386" s="210"/>
      <c r="AH386" s="105"/>
      <c r="AI386" s="202"/>
      <c r="AJ386" s="63"/>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c r="BI386" s="105"/>
      <c r="BJ386" s="105"/>
      <c r="BK386" s="105"/>
      <c r="BL386" s="105"/>
      <c r="BM386" s="105"/>
      <c r="BN386" s="105"/>
      <c r="BO386" s="105"/>
      <c r="BP386" s="105"/>
      <c r="BQ386" s="105"/>
      <c r="BR386" s="105"/>
      <c r="BS386" s="105"/>
      <c r="BT386" s="105"/>
      <c r="BU386" s="105"/>
      <c r="BV386" s="105"/>
    </row>
    <row r="387">
      <c r="A387" s="91" t="str">
        <f>VLOOKUP($F387,UpdateHashtag!$V$3:$Y$32,COLUMN(B$9),0)</f>
        <v>#N/A</v>
      </c>
      <c r="B387" s="91" t="str">
        <f>VLOOKUP($F387,UpdateHashtag!$V$3:$Y$32,COLUMN(#REF!),0)</f>
        <v>#REF!</v>
      </c>
      <c r="C387" s="91" t="str">
        <f>VLOOKUP($F387,UpdateHashtag!$V$3:$Y$32,COLUMN(#REF!),0)</f>
        <v>#REF!</v>
      </c>
      <c r="D387" s="110" t="str">
        <f t="shared" si="2"/>
        <v>#N/A</v>
      </c>
      <c r="E387" s="11"/>
      <c r="F387" s="94" t="str">
        <f>VLOOKUP(J387,UpdateBBM!$C$2:E1009,3,0)</f>
        <v>#N/A</v>
      </c>
      <c r="G387" s="35">
        <v>373.0</v>
      </c>
      <c r="H387" s="111"/>
      <c r="I387" s="111"/>
      <c r="J387" s="112"/>
      <c r="K387" s="111"/>
      <c r="L387" s="113"/>
      <c r="M387" s="114"/>
      <c r="N387" s="115"/>
      <c r="O387" s="115"/>
      <c r="P387" s="116"/>
      <c r="Q387" s="116"/>
      <c r="R387" s="116"/>
      <c r="S387" s="117"/>
      <c r="T387" s="116"/>
      <c r="U387" s="116"/>
      <c r="V387" s="113"/>
      <c r="W387" s="113"/>
      <c r="X387" s="116"/>
      <c r="Y387" s="209"/>
      <c r="Z387" s="209"/>
      <c r="AA387" s="209"/>
      <c r="AB387" s="209"/>
      <c r="AC387" s="209"/>
      <c r="AD387" s="209"/>
      <c r="AE387" s="209"/>
      <c r="AF387" s="209"/>
      <c r="AG387" s="210"/>
      <c r="AH387" s="105"/>
      <c r="AI387" s="202"/>
      <c r="AJ387" s="63"/>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c r="BI387" s="105"/>
      <c r="BJ387" s="105"/>
      <c r="BK387" s="105"/>
      <c r="BL387" s="105"/>
      <c r="BM387" s="105"/>
      <c r="BN387" s="105"/>
      <c r="BO387" s="105"/>
      <c r="BP387" s="105"/>
      <c r="BQ387" s="105"/>
      <c r="BR387" s="105"/>
      <c r="BS387" s="105"/>
      <c r="BT387" s="105"/>
      <c r="BU387" s="105"/>
      <c r="BV387" s="105"/>
    </row>
    <row r="388">
      <c r="A388" s="91" t="str">
        <f>VLOOKUP($F388,UpdateHashtag!$V$3:$Y$32,COLUMN(B$9),0)</f>
        <v>#N/A</v>
      </c>
      <c r="B388" s="91" t="str">
        <f>VLOOKUP($F388,UpdateHashtag!$V$3:$Y$32,COLUMN(#REF!),0)</f>
        <v>#REF!</v>
      </c>
      <c r="C388" s="91" t="str">
        <f>VLOOKUP($F388,UpdateHashtag!$V$3:$Y$32,COLUMN(#REF!),0)</f>
        <v>#REF!</v>
      </c>
      <c r="D388" s="110" t="str">
        <f t="shared" si="2"/>
        <v>#N/A</v>
      </c>
      <c r="E388" s="11"/>
      <c r="F388" s="94" t="str">
        <f>VLOOKUP(J388,UpdateBBM!$C$2:E1009,3,0)</f>
        <v>#N/A</v>
      </c>
      <c r="G388" s="35">
        <v>374.0</v>
      </c>
      <c r="H388" s="111"/>
      <c r="I388" s="111"/>
      <c r="J388" s="112"/>
      <c r="K388" s="111"/>
      <c r="L388" s="113"/>
      <c r="M388" s="114"/>
      <c r="N388" s="115"/>
      <c r="O388" s="115"/>
      <c r="P388" s="116"/>
      <c r="Q388" s="116"/>
      <c r="R388" s="116"/>
      <c r="S388" s="117"/>
      <c r="T388" s="116"/>
      <c r="U388" s="116"/>
      <c r="V388" s="113"/>
      <c r="W388" s="113"/>
      <c r="X388" s="116"/>
      <c r="Y388" s="209"/>
      <c r="Z388" s="209"/>
      <c r="AA388" s="209"/>
      <c r="AB388" s="209"/>
      <c r="AC388" s="209"/>
      <c r="AD388" s="209"/>
      <c r="AE388" s="209"/>
      <c r="AF388" s="209"/>
      <c r="AG388" s="210"/>
      <c r="AH388" s="105"/>
      <c r="AI388" s="202"/>
      <c r="AJ388" s="63"/>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c r="BI388" s="105"/>
      <c r="BJ388" s="105"/>
      <c r="BK388" s="105"/>
      <c r="BL388" s="105"/>
      <c r="BM388" s="105"/>
      <c r="BN388" s="105"/>
      <c r="BO388" s="105"/>
      <c r="BP388" s="105"/>
      <c r="BQ388" s="105"/>
      <c r="BR388" s="105"/>
      <c r="BS388" s="105"/>
      <c r="BT388" s="105"/>
      <c r="BU388" s="105"/>
      <c r="BV388" s="105"/>
    </row>
    <row r="389">
      <c r="A389" s="91" t="str">
        <f>VLOOKUP($F389,UpdateHashtag!$V$3:$Y$32,COLUMN(B$9),0)</f>
        <v>#N/A</v>
      </c>
      <c r="B389" s="91" t="str">
        <f>VLOOKUP($F389,UpdateHashtag!$V$3:$Y$32,COLUMN(#REF!),0)</f>
        <v>#REF!</v>
      </c>
      <c r="C389" s="91" t="str">
        <f>VLOOKUP($F389,UpdateHashtag!$V$3:$Y$32,COLUMN(#REF!),0)</f>
        <v>#REF!</v>
      </c>
      <c r="D389" s="110" t="str">
        <f t="shared" si="2"/>
        <v>#N/A</v>
      </c>
      <c r="E389" s="11"/>
      <c r="F389" s="94" t="str">
        <f>VLOOKUP(J389,UpdateBBM!$C$2:E1009,3,0)</f>
        <v>#N/A</v>
      </c>
      <c r="G389" s="35">
        <v>375.0</v>
      </c>
      <c r="H389" s="111"/>
      <c r="I389" s="111"/>
      <c r="J389" s="112"/>
      <c r="K389" s="111"/>
      <c r="L389" s="113"/>
      <c r="M389" s="114"/>
      <c r="N389" s="115"/>
      <c r="O389" s="115"/>
      <c r="P389" s="116"/>
      <c r="Q389" s="116"/>
      <c r="R389" s="116"/>
      <c r="S389" s="117"/>
      <c r="T389" s="116"/>
      <c r="U389" s="116"/>
      <c r="V389" s="113"/>
      <c r="W389" s="113"/>
      <c r="X389" s="116"/>
      <c r="Y389" s="209"/>
      <c r="Z389" s="209"/>
      <c r="AA389" s="209"/>
      <c r="AB389" s="209"/>
      <c r="AC389" s="209"/>
      <c r="AD389" s="209"/>
      <c r="AE389" s="209"/>
      <c r="AF389" s="209"/>
      <c r="AG389" s="210"/>
      <c r="AH389" s="105"/>
      <c r="AI389" s="202"/>
      <c r="AJ389" s="63"/>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c r="BI389" s="105"/>
      <c r="BJ389" s="105"/>
      <c r="BK389" s="105"/>
      <c r="BL389" s="105"/>
      <c r="BM389" s="105"/>
      <c r="BN389" s="105"/>
      <c r="BO389" s="105"/>
      <c r="BP389" s="105"/>
      <c r="BQ389" s="105"/>
      <c r="BR389" s="105"/>
      <c r="BS389" s="105"/>
      <c r="BT389" s="105"/>
      <c r="BU389" s="105"/>
      <c r="BV389" s="105"/>
    </row>
    <row r="390">
      <c r="A390" s="91" t="str">
        <f>VLOOKUP($F390,UpdateHashtag!$V$3:$Y$32,COLUMN(B$9),0)</f>
        <v>#N/A</v>
      </c>
      <c r="B390" s="91" t="str">
        <f>VLOOKUP($F390,UpdateHashtag!$V$3:$Y$32,COLUMN(#REF!),0)</f>
        <v>#REF!</v>
      </c>
      <c r="C390" s="91" t="str">
        <f>VLOOKUP($F390,UpdateHashtag!$V$3:$Y$32,COLUMN(#REF!),0)</f>
        <v>#REF!</v>
      </c>
      <c r="D390" s="110" t="str">
        <f t="shared" si="2"/>
        <v>#N/A</v>
      </c>
      <c r="E390" s="11"/>
      <c r="F390" s="94" t="str">
        <f>VLOOKUP(J390,UpdateBBM!$C$2:E1009,3,0)</f>
        <v>#N/A</v>
      </c>
      <c r="G390" s="35">
        <v>376.0</v>
      </c>
      <c r="H390" s="111"/>
      <c r="I390" s="111"/>
      <c r="J390" s="112"/>
      <c r="K390" s="111"/>
      <c r="L390" s="113"/>
      <c r="M390" s="114"/>
      <c r="N390" s="115"/>
      <c r="O390" s="115"/>
      <c r="P390" s="116"/>
      <c r="Q390" s="116"/>
      <c r="R390" s="116"/>
      <c r="S390" s="117"/>
      <c r="T390" s="116"/>
      <c r="U390" s="116"/>
      <c r="V390" s="113"/>
      <c r="W390" s="113"/>
      <c r="X390" s="116"/>
      <c r="Y390" s="209"/>
      <c r="Z390" s="209"/>
      <c r="AA390" s="209"/>
      <c r="AB390" s="209"/>
      <c r="AC390" s="209"/>
      <c r="AD390" s="209"/>
      <c r="AE390" s="209"/>
      <c r="AF390" s="209"/>
      <c r="AG390" s="210"/>
      <c r="AH390" s="105"/>
      <c r="AI390" s="202"/>
      <c r="AJ390" s="63"/>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c r="BI390" s="105"/>
      <c r="BJ390" s="105"/>
      <c r="BK390" s="105"/>
      <c r="BL390" s="105"/>
      <c r="BM390" s="105"/>
      <c r="BN390" s="105"/>
      <c r="BO390" s="105"/>
      <c r="BP390" s="105"/>
      <c r="BQ390" s="105"/>
      <c r="BR390" s="105"/>
      <c r="BS390" s="105"/>
      <c r="BT390" s="105"/>
      <c r="BU390" s="105"/>
      <c r="BV390" s="105"/>
    </row>
    <row r="391">
      <c r="A391" s="91" t="str">
        <f>VLOOKUP($F391,UpdateHashtag!$V$3:$Y$32,COLUMN(B$9),0)</f>
        <v>#N/A</v>
      </c>
      <c r="B391" s="91" t="str">
        <f>VLOOKUP($F391,UpdateHashtag!$V$3:$Y$32,COLUMN(#REF!),0)</f>
        <v>#REF!</v>
      </c>
      <c r="C391" s="91" t="str">
        <f>VLOOKUP($F391,UpdateHashtag!$V$3:$Y$32,COLUMN(#REF!),0)</f>
        <v>#REF!</v>
      </c>
      <c r="D391" s="110" t="str">
        <f t="shared" si="2"/>
        <v>#N/A</v>
      </c>
      <c r="E391" s="11"/>
      <c r="F391" s="94" t="str">
        <f>VLOOKUP(J391,UpdateBBM!$C$2:E1009,3,0)</f>
        <v>#N/A</v>
      </c>
      <c r="G391" s="35">
        <v>377.0</v>
      </c>
      <c r="H391" s="111"/>
      <c r="I391" s="111"/>
      <c r="J391" s="112"/>
      <c r="K391" s="111"/>
      <c r="L391" s="113"/>
      <c r="M391" s="114"/>
      <c r="N391" s="115"/>
      <c r="O391" s="115"/>
      <c r="P391" s="116"/>
      <c r="Q391" s="116"/>
      <c r="R391" s="116"/>
      <c r="S391" s="117"/>
      <c r="T391" s="116"/>
      <c r="U391" s="116"/>
      <c r="V391" s="113"/>
      <c r="W391" s="113"/>
      <c r="X391" s="116"/>
      <c r="Y391" s="209"/>
      <c r="Z391" s="209"/>
      <c r="AA391" s="209"/>
      <c r="AB391" s="209"/>
      <c r="AC391" s="209"/>
      <c r="AD391" s="209"/>
      <c r="AE391" s="209"/>
      <c r="AF391" s="209"/>
      <c r="AG391" s="210"/>
      <c r="AH391" s="105"/>
      <c r="AI391" s="202"/>
      <c r="AJ391" s="63"/>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c r="BI391" s="105"/>
      <c r="BJ391" s="105"/>
      <c r="BK391" s="105"/>
      <c r="BL391" s="105"/>
      <c r="BM391" s="105"/>
      <c r="BN391" s="105"/>
      <c r="BO391" s="105"/>
      <c r="BP391" s="105"/>
      <c r="BQ391" s="105"/>
      <c r="BR391" s="105"/>
      <c r="BS391" s="105"/>
      <c r="BT391" s="105"/>
      <c r="BU391" s="105"/>
      <c r="BV391" s="105"/>
    </row>
    <row r="392">
      <c r="A392" s="91" t="str">
        <f>VLOOKUP($F392,UpdateHashtag!$V$3:$Y$32,COLUMN(B$9),0)</f>
        <v>#N/A</v>
      </c>
      <c r="B392" s="91" t="str">
        <f>VLOOKUP($F392,UpdateHashtag!$V$3:$Y$32,COLUMN(#REF!),0)</f>
        <v>#REF!</v>
      </c>
      <c r="C392" s="91" t="str">
        <f>VLOOKUP($F392,UpdateHashtag!$V$3:$Y$32,COLUMN(#REF!),0)</f>
        <v>#REF!</v>
      </c>
      <c r="D392" s="110" t="str">
        <f t="shared" si="2"/>
        <v>#N/A</v>
      </c>
      <c r="E392" s="11"/>
      <c r="F392" s="94" t="str">
        <f>VLOOKUP(J392,UpdateBBM!$C$2:E1009,3,0)</f>
        <v>#N/A</v>
      </c>
      <c r="G392" s="35">
        <v>378.0</v>
      </c>
      <c r="H392" s="111"/>
      <c r="I392" s="111"/>
      <c r="J392" s="112"/>
      <c r="K392" s="111"/>
      <c r="L392" s="113"/>
      <c r="M392" s="114"/>
      <c r="N392" s="115"/>
      <c r="O392" s="115"/>
      <c r="P392" s="116"/>
      <c r="Q392" s="116"/>
      <c r="R392" s="116"/>
      <c r="S392" s="117"/>
      <c r="T392" s="116"/>
      <c r="U392" s="116"/>
      <c r="V392" s="113"/>
      <c r="W392" s="113"/>
      <c r="X392" s="116"/>
      <c r="Y392" s="209"/>
      <c r="Z392" s="209"/>
      <c r="AA392" s="209"/>
      <c r="AB392" s="209"/>
      <c r="AC392" s="209"/>
      <c r="AD392" s="209"/>
      <c r="AE392" s="209"/>
      <c r="AF392" s="209"/>
      <c r="AG392" s="210"/>
      <c r="AH392" s="105"/>
      <c r="AI392" s="202"/>
      <c r="AJ392" s="63"/>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c r="BI392" s="105"/>
      <c r="BJ392" s="105"/>
      <c r="BK392" s="105"/>
      <c r="BL392" s="105"/>
      <c r="BM392" s="105"/>
      <c r="BN392" s="105"/>
      <c r="BO392" s="105"/>
      <c r="BP392" s="105"/>
      <c r="BQ392" s="105"/>
      <c r="BR392" s="105"/>
      <c r="BS392" s="105"/>
      <c r="BT392" s="105"/>
      <c r="BU392" s="105"/>
      <c r="BV392" s="105"/>
    </row>
    <row r="393">
      <c r="A393" s="91" t="str">
        <f>VLOOKUP($F393,UpdateHashtag!$V$3:$Y$32,COLUMN(B$9),0)</f>
        <v>#N/A</v>
      </c>
      <c r="B393" s="91" t="str">
        <f>VLOOKUP($F393,UpdateHashtag!$V$3:$Y$32,COLUMN(#REF!),0)</f>
        <v>#REF!</v>
      </c>
      <c r="C393" s="91" t="str">
        <f>VLOOKUP($F393,UpdateHashtag!$V$3:$Y$32,COLUMN(#REF!),0)</f>
        <v>#REF!</v>
      </c>
      <c r="D393" s="110" t="str">
        <f t="shared" si="2"/>
        <v>#N/A</v>
      </c>
      <c r="E393" s="11"/>
      <c r="F393" s="94" t="str">
        <f>VLOOKUP(J393,UpdateBBM!$C$2:E1009,3,0)</f>
        <v>#N/A</v>
      </c>
      <c r="G393" s="35">
        <v>379.0</v>
      </c>
      <c r="H393" s="111"/>
      <c r="I393" s="111"/>
      <c r="J393" s="112"/>
      <c r="K393" s="111"/>
      <c r="L393" s="113"/>
      <c r="M393" s="114"/>
      <c r="N393" s="115"/>
      <c r="O393" s="115"/>
      <c r="P393" s="116"/>
      <c r="Q393" s="116"/>
      <c r="R393" s="116"/>
      <c r="S393" s="117"/>
      <c r="T393" s="116"/>
      <c r="U393" s="116"/>
      <c r="V393" s="113"/>
      <c r="W393" s="113"/>
      <c r="X393" s="116"/>
      <c r="Y393" s="209"/>
      <c r="Z393" s="209"/>
      <c r="AA393" s="209"/>
      <c r="AB393" s="209"/>
      <c r="AC393" s="209"/>
      <c r="AD393" s="209"/>
      <c r="AE393" s="209"/>
      <c r="AF393" s="209"/>
      <c r="AG393" s="210"/>
      <c r="AH393" s="105"/>
      <c r="AI393" s="202"/>
      <c r="AJ393" s="63"/>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c r="BI393" s="105"/>
      <c r="BJ393" s="105"/>
      <c r="BK393" s="105"/>
      <c r="BL393" s="105"/>
      <c r="BM393" s="105"/>
      <c r="BN393" s="105"/>
      <c r="BO393" s="105"/>
      <c r="BP393" s="105"/>
      <c r="BQ393" s="105"/>
      <c r="BR393" s="105"/>
      <c r="BS393" s="105"/>
      <c r="BT393" s="105"/>
      <c r="BU393" s="105"/>
      <c r="BV393" s="105"/>
    </row>
    <row r="394">
      <c r="A394" s="91" t="str">
        <f>VLOOKUP($F394,UpdateHashtag!$V$3:$Y$32,COLUMN(B$9),0)</f>
        <v>#N/A</v>
      </c>
      <c r="B394" s="91" t="str">
        <f>VLOOKUP($F394,UpdateHashtag!$V$3:$Y$32,COLUMN(#REF!),0)</f>
        <v>#REF!</v>
      </c>
      <c r="C394" s="91" t="str">
        <f>VLOOKUP($F394,UpdateHashtag!$V$3:$Y$32,COLUMN(#REF!),0)</f>
        <v>#REF!</v>
      </c>
      <c r="D394" s="110" t="str">
        <f t="shared" si="2"/>
        <v>#N/A</v>
      </c>
      <c r="E394" s="11"/>
      <c r="F394" s="94" t="str">
        <f>VLOOKUP(J394,UpdateBBM!$C$2:E1009,3,0)</f>
        <v>#N/A</v>
      </c>
      <c r="G394" s="35">
        <v>380.0</v>
      </c>
      <c r="H394" s="111"/>
      <c r="I394" s="111"/>
      <c r="J394" s="112"/>
      <c r="K394" s="111"/>
      <c r="L394" s="113"/>
      <c r="M394" s="114"/>
      <c r="N394" s="115"/>
      <c r="O394" s="115"/>
      <c r="P394" s="116"/>
      <c r="Q394" s="116"/>
      <c r="R394" s="116"/>
      <c r="S394" s="117"/>
      <c r="T394" s="116"/>
      <c r="U394" s="116"/>
      <c r="V394" s="113"/>
      <c r="W394" s="113"/>
      <c r="X394" s="116"/>
      <c r="Y394" s="209"/>
      <c r="Z394" s="209"/>
      <c r="AA394" s="209"/>
      <c r="AB394" s="209"/>
      <c r="AC394" s="209"/>
      <c r="AD394" s="209"/>
      <c r="AE394" s="209"/>
      <c r="AF394" s="209"/>
      <c r="AG394" s="210"/>
      <c r="AH394" s="105"/>
      <c r="AI394" s="202"/>
      <c r="AJ394" s="63"/>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c r="BI394" s="105"/>
      <c r="BJ394" s="105"/>
      <c r="BK394" s="105"/>
      <c r="BL394" s="105"/>
      <c r="BM394" s="105"/>
      <c r="BN394" s="105"/>
      <c r="BO394" s="105"/>
      <c r="BP394" s="105"/>
      <c r="BQ394" s="105"/>
      <c r="BR394" s="105"/>
      <c r="BS394" s="105"/>
      <c r="BT394" s="105"/>
      <c r="BU394" s="105"/>
      <c r="BV394" s="105"/>
    </row>
    <row r="395">
      <c r="A395" s="91" t="str">
        <f>VLOOKUP($F395,UpdateHashtag!$V$3:$Y$32,COLUMN(B$9),0)</f>
        <v>#N/A</v>
      </c>
      <c r="B395" s="91" t="str">
        <f>VLOOKUP($F395,UpdateHashtag!$V$3:$Y$32,COLUMN(#REF!),0)</f>
        <v>#REF!</v>
      </c>
      <c r="C395" s="91" t="str">
        <f>VLOOKUP($F395,UpdateHashtag!$V$3:$Y$32,COLUMN(#REF!),0)</f>
        <v>#REF!</v>
      </c>
      <c r="D395" s="110" t="str">
        <f t="shared" si="2"/>
        <v>#N/A</v>
      </c>
      <c r="E395" s="11"/>
      <c r="F395" s="94" t="str">
        <f>VLOOKUP(J395,UpdateBBM!$C$2:E1009,3,0)</f>
        <v>#N/A</v>
      </c>
      <c r="G395" s="35">
        <v>381.0</v>
      </c>
      <c r="H395" s="111"/>
      <c r="I395" s="111"/>
      <c r="J395" s="112"/>
      <c r="K395" s="111"/>
      <c r="L395" s="113"/>
      <c r="M395" s="114"/>
      <c r="N395" s="115"/>
      <c r="O395" s="115"/>
      <c r="P395" s="116"/>
      <c r="Q395" s="116"/>
      <c r="R395" s="116"/>
      <c r="S395" s="117"/>
      <c r="T395" s="116"/>
      <c r="U395" s="116"/>
      <c r="V395" s="113"/>
      <c r="W395" s="113"/>
      <c r="X395" s="116"/>
      <c r="Y395" s="209"/>
      <c r="Z395" s="209"/>
      <c r="AA395" s="209"/>
      <c r="AB395" s="209"/>
      <c r="AC395" s="209"/>
      <c r="AD395" s="209"/>
      <c r="AE395" s="209"/>
      <c r="AF395" s="209"/>
      <c r="AG395" s="210"/>
      <c r="AH395" s="105"/>
      <c r="AI395" s="202"/>
      <c r="AJ395" s="63"/>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c r="BI395" s="105"/>
      <c r="BJ395" s="105"/>
      <c r="BK395" s="105"/>
      <c r="BL395" s="105"/>
      <c r="BM395" s="105"/>
      <c r="BN395" s="105"/>
      <c r="BO395" s="105"/>
      <c r="BP395" s="105"/>
      <c r="BQ395" s="105"/>
      <c r="BR395" s="105"/>
      <c r="BS395" s="105"/>
      <c r="BT395" s="105"/>
      <c r="BU395" s="105"/>
      <c r="BV395" s="105"/>
    </row>
    <row r="396">
      <c r="A396" s="91" t="str">
        <f>VLOOKUP($F396,UpdateHashtag!$V$3:$Y$32,COLUMN(B$9),0)</f>
        <v>#N/A</v>
      </c>
      <c r="B396" s="91" t="str">
        <f>VLOOKUP($F396,UpdateHashtag!$V$3:$Y$32,COLUMN(#REF!),0)</f>
        <v>#REF!</v>
      </c>
      <c r="C396" s="91" t="str">
        <f>VLOOKUP($F396,UpdateHashtag!$V$3:$Y$32,COLUMN(#REF!),0)</f>
        <v>#REF!</v>
      </c>
      <c r="D396" s="110" t="str">
        <f t="shared" si="2"/>
        <v>#N/A</v>
      </c>
      <c r="E396" s="11"/>
      <c r="F396" s="94" t="str">
        <f>VLOOKUP(J396,UpdateBBM!$C$2:E1009,3,0)</f>
        <v>#N/A</v>
      </c>
      <c r="G396" s="35">
        <v>382.0</v>
      </c>
      <c r="H396" s="111"/>
      <c r="I396" s="111"/>
      <c r="J396" s="112"/>
      <c r="K396" s="111"/>
      <c r="L396" s="113"/>
      <c r="M396" s="114"/>
      <c r="N396" s="115"/>
      <c r="O396" s="115"/>
      <c r="P396" s="116"/>
      <c r="Q396" s="116"/>
      <c r="R396" s="116"/>
      <c r="S396" s="117"/>
      <c r="T396" s="116"/>
      <c r="U396" s="116"/>
      <c r="V396" s="113"/>
      <c r="W396" s="113"/>
      <c r="X396" s="116"/>
      <c r="Y396" s="209"/>
      <c r="Z396" s="209"/>
      <c r="AA396" s="209"/>
      <c r="AB396" s="209"/>
      <c r="AC396" s="209"/>
      <c r="AD396" s="209"/>
      <c r="AE396" s="209"/>
      <c r="AF396" s="209"/>
      <c r="AG396" s="210"/>
      <c r="AH396" s="105"/>
      <c r="AI396" s="202"/>
      <c r="AJ396" s="63"/>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c r="BL396" s="105"/>
      <c r="BM396" s="105"/>
      <c r="BN396" s="105"/>
      <c r="BO396" s="105"/>
      <c r="BP396" s="105"/>
      <c r="BQ396" s="105"/>
      <c r="BR396" s="105"/>
      <c r="BS396" s="105"/>
      <c r="BT396" s="105"/>
      <c r="BU396" s="105"/>
      <c r="BV396" s="105"/>
    </row>
    <row r="397">
      <c r="A397" s="91" t="str">
        <f>VLOOKUP($F397,UpdateHashtag!$V$3:$Y$32,COLUMN(B$9),0)</f>
        <v>#N/A</v>
      </c>
      <c r="B397" s="91" t="str">
        <f>VLOOKUP($F397,UpdateHashtag!$V$3:$Y$32,COLUMN(#REF!),0)</f>
        <v>#REF!</v>
      </c>
      <c r="C397" s="91" t="str">
        <f>VLOOKUP($F397,UpdateHashtag!$V$3:$Y$32,COLUMN(#REF!),0)</f>
        <v>#REF!</v>
      </c>
      <c r="D397" s="110" t="str">
        <f t="shared" si="2"/>
        <v>#N/A</v>
      </c>
      <c r="E397" s="11"/>
      <c r="F397" s="94" t="str">
        <f>VLOOKUP(J397,UpdateBBM!$C$2:E1009,3,0)</f>
        <v>#N/A</v>
      </c>
      <c r="G397" s="35">
        <v>383.0</v>
      </c>
      <c r="H397" s="111"/>
      <c r="I397" s="111"/>
      <c r="J397" s="112"/>
      <c r="K397" s="111"/>
      <c r="L397" s="113"/>
      <c r="M397" s="114"/>
      <c r="N397" s="115"/>
      <c r="O397" s="115"/>
      <c r="P397" s="116"/>
      <c r="Q397" s="116"/>
      <c r="R397" s="116"/>
      <c r="S397" s="117"/>
      <c r="T397" s="116"/>
      <c r="U397" s="116"/>
      <c r="V397" s="113"/>
      <c r="W397" s="113"/>
      <c r="X397" s="116"/>
      <c r="Y397" s="209"/>
      <c r="Z397" s="209"/>
      <c r="AA397" s="209"/>
      <c r="AB397" s="209"/>
      <c r="AC397" s="209"/>
      <c r="AD397" s="209"/>
      <c r="AE397" s="209"/>
      <c r="AF397" s="209"/>
      <c r="AG397" s="210"/>
      <c r="AH397" s="105"/>
      <c r="AI397" s="202"/>
      <c r="AJ397" s="63"/>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c r="BI397" s="105"/>
      <c r="BJ397" s="105"/>
      <c r="BK397" s="105"/>
      <c r="BL397" s="105"/>
      <c r="BM397" s="105"/>
      <c r="BN397" s="105"/>
      <c r="BO397" s="105"/>
      <c r="BP397" s="105"/>
      <c r="BQ397" s="105"/>
      <c r="BR397" s="105"/>
      <c r="BS397" s="105"/>
      <c r="BT397" s="105"/>
      <c r="BU397" s="105"/>
      <c r="BV397" s="105"/>
    </row>
    <row r="398">
      <c r="A398" s="91" t="str">
        <f>VLOOKUP($F398,UpdateHashtag!$V$3:$Y$32,COLUMN(B$9),0)</f>
        <v>#N/A</v>
      </c>
      <c r="B398" s="91" t="str">
        <f>VLOOKUP($F398,UpdateHashtag!$V$3:$Y$32,COLUMN(#REF!),0)</f>
        <v>#REF!</v>
      </c>
      <c r="C398" s="91" t="str">
        <f>VLOOKUP($F398,UpdateHashtag!$V$3:$Y$32,COLUMN(#REF!),0)</f>
        <v>#REF!</v>
      </c>
      <c r="D398" s="110" t="str">
        <f t="shared" si="2"/>
        <v>#N/A</v>
      </c>
      <c r="E398" s="11"/>
      <c r="F398" s="94" t="str">
        <f>VLOOKUP(J398,UpdateBBM!$C$2:E1009,3,0)</f>
        <v>#N/A</v>
      </c>
      <c r="G398" s="35">
        <v>384.0</v>
      </c>
      <c r="H398" s="111"/>
      <c r="I398" s="112"/>
      <c r="J398" s="112"/>
      <c r="K398" s="112"/>
      <c r="L398" s="113"/>
      <c r="M398" s="114"/>
      <c r="N398" s="115"/>
      <c r="O398" s="115"/>
      <c r="P398" s="116"/>
      <c r="Q398" s="116"/>
      <c r="R398" s="116"/>
      <c r="S398" s="117"/>
      <c r="T398" s="116"/>
      <c r="U398" s="116"/>
      <c r="V398" s="113"/>
      <c r="W398" s="113"/>
      <c r="X398" s="116"/>
      <c r="Y398" s="209"/>
      <c r="Z398" s="209"/>
      <c r="AA398" s="209"/>
      <c r="AB398" s="209"/>
      <c r="AC398" s="209"/>
      <c r="AD398" s="209"/>
      <c r="AE398" s="209"/>
      <c r="AF398" s="209"/>
      <c r="AG398" s="210"/>
      <c r="AH398" s="105"/>
      <c r="AI398" s="202"/>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c r="BI398" s="105"/>
      <c r="BJ398" s="105"/>
      <c r="BK398" s="105"/>
      <c r="BL398" s="105"/>
      <c r="BM398" s="105"/>
      <c r="BN398" s="105"/>
      <c r="BO398" s="105"/>
      <c r="BP398" s="105"/>
      <c r="BQ398" s="105"/>
      <c r="BR398" s="105"/>
      <c r="BS398" s="105"/>
      <c r="BT398" s="105"/>
      <c r="BU398" s="105"/>
      <c r="BV398" s="105"/>
    </row>
    <row r="399">
      <c r="A399" s="91" t="str">
        <f>VLOOKUP($F399,UpdateHashtag!$V$3:$Y$32,COLUMN(B$9),0)</f>
        <v>#N/A</v>
      </c>
      <c r="B399" s="91" t="str">
        <f>VLOOKUP($F399,UpdateHashtag!$V$3:$Y$32,COLUMN(#REF!),0)</f>
        <v>#REF!</v>
      </c>
      <c r="C399" s="91" t="str">
        <f>VLOOKUP($F399,UpdateHashtag!$V$3:$Y$32,COLUMN(#REF!),0)</f>
        <v>#REF!</v>
      </c>
      <c r="D399" s="110" t="str">
        <f t="shared" si="2"/>
        <v>#N/A</v>
      </c>
      <c r="E399" s="11"/>
      <c r="F399" s="94" t="str">
        <f>VLOOKUP(J399,UpdateBBM!$C$2:E1009,3,0)</f>
        <v>#N/A</v>
      </c>
      <c r="G399" s="35">
        <v>385.0</v>
      </c>
      <c r="H399" s="111"/>
      <c r="I399" s="112"/>
      <c r="J399" s="112"/>
      <c r="K399" s="112"/>
      <c r="L399" s="113"/>
      <c r="M399" s="114"/>
      <c r="N399" s="115"/>
      <c r="O399" s="115"/>
      <c r="P399" s="116"/>
      <c r="Q399" s="116"/>
      <c r="R399" s="116"/>
      <c r="S399" s="117"/>
      <c r="T399" s="116"/>
      <c r="U399" s="116"/>
      <c r="V399" s="113"/>
      <c r="W399" s="113"/>
      <c r="X399" s="116"/>
      <c r="Y399" s="209"/>
      <c r="Z399" s="209"/>
      <c r="AA399" s="209"/>
      <c r="AB399" s="209"/>
      <c r="AC399" s="209"/>
      <c r="AD399" s="209"/>
      <c r="AE399" s="209"/>
      <c r="AF399" s="209"/>
      <c r="AG399" s="210"/>
      <c r="AH399" s="105"/>
      <c r="AI399" s="202"/>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c r="BI399" s="105"/>
      <c r="BJ399" s="105"/>
      <c r="BK399" s="105"/>
      <c r="BL399" s="105"/>
      <c r="BM399" s="105"/>
      <c r="BN399" s="105"/>
      <c r="BO399" s="105"/>
      <c r="BP399" s="105"/>
      <c r="BQ399" s="105"/>
      <c r="BR399" s="105"/>
      <c r="BS399" s="105"/>
      <c r="BT399" s="105"/>
      <c r="BU399" s="105"/>
      <c r="BV399" s="105"/>
    </row>
    <row r="400">
      <c r="A400" s="91" t="str">
        <f>VLOOKUP($F400,UpdateHashtag!$V$3:$Y$32,COLUMN(B$9),0)</f>
        <v>#N/A</v>
      </c>
      <c r="B400" s="91" t="str">
        <f>VLOOKUP($F400,UpdateHashtag!$V$3:$Y$32,COLUMN(#REF!),0)</f>
        <v>#REF!</v>
      </c>
      <c r="C400" s="91" t="str">
        <f>VLOOKUP($F400,UpdateHashtag!$V$3:$Y$32,COLUMN(#REF!),0)</f>
        <v>#REF!</v>
      </c>
      <c r="D400" s="110" t="str">
        <f t="shared" si="2"/>
        <v>#N/A</v>
      </c>
      <c r="E400" s="11"/>
      <c r="F400" s="94" t="str">
        <f>VLOOKUP(J400,UpdateBBM!$C$2:E1009,3,0)</f>
        <v>#N/A</v>
      </c>
      <c r="G400" s="35">
        <v>386.0</v>
      </c>
      <c r="H400" s="111"/>
      <c r="I400" s="112"/>
      <c r="J400" s="112"/>
      <c r="K400" s="112"/>
      <c r="L400" s="113"/>
      <c r="M400" s="114"/>
      <c r="N400" s="115"/>
      <c r="O400" s="115"/>
      <c r="P400" s="116"/>
      <c r="Q400" s="116"/>
      <c r="R400" s="116"/>
      <c r="S400" s="117"/>
      <c r="T400" s="116"/>
      <c r="U400" s="116"/>
      <c r="V400" s="113"/>
      <c r="W400" s="113"/>
      <c r="X400" s="116"/>
      <c r="Y400" s="209"/>
      <c r="Z400" s="209"/>
      <c r="AA400" s="209"/>
      <c r="AB400" s="209"/>
      <c r="AC400" s="209"/>
      <c r="AD400" s="209"/>
      <c r="AE400" s="209"/>
      <c r="AF400" s="209"/>
      <c r="AG400" s="210"/>
      <c r="AH400" s="105"/>
      <c r="AI400" s="202"/>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c r="BI400" s="105"/>
      <c r="BJ400" s="105"/>
      <c r="BK400" s="105"/>
      <c r="BL400" s="105"/>
      <c r="BM400" s="105"/>
      <c r="BN400" s="105"/>
      <c r="BO400" s="105"/>
      <c r="BP400" s="105"/>
      <c r="BQ400" s="105"/>
      <c r="BR400" s="105"/>
      <c r="BS400" s="105"/>
      <c r="BT400" s="105"/>
      <c r="BU400" s="105"/>
      <c r="BV400" s="105"/>
    </row>
    <row r="401">
      <c r="A401" s="91" t="str">
        <f>VLOOKUP($F401,UpdateHashtag!$V$3:$Y$32,COLUMN(B$9),0)</f>
        <v>#N/A</v>
      </c>
      <c r="B401" s="91" t="str">
        <f>VLOOKUP($F401,UpdateHashtag!$V$3:$Y$32,COLUMN(#REF!),0)</f>
        <v>#REF!</v>
      </c>
      <c r="C401" s="91" t="str">
        <f>VLOOKUP($F401,UpdateHashtag!$V$3:$Y$32,COLUMN(#REF!),0)</f>
        <v>#REF!</v>
      </c>
      <c r="D401" s="110" t="str">
        <f t="shared" si="2"/>
        <v>#N/A</v>
      </c>
      <c r="E401" s="11"/>
      <c r="F401" s="94" t="str">
        <f>VLOOKUP(J401,UpdateBBM!$C$2:E1009,3,0)</f>
        <v>#N/A</v>
      </c>
      <c r="G401" s="35">
        <v>387.0</v>
      </c>
      <c r="H401" s="111"/>
      <c r="I401" s="112"/>
      <c r="J401" s="112"/>
      <c r="K401" s="112"/>
      <c r="L401" s="113"/>
      <c r="M401" s="114"/>
      <c r="N401" s="115"/>
      <c r="O401" s="115"/>
      <c r="P401" s="116"/>
      <c r="Q401" s="116"/>
      <c r="R401" s="116"/>
      <c r="S401" s="117"/>
      <c r="T401" s="116"/>
      <c r="U401" s="116"/>
      <c r="V401" s="113"/>
      <c r="W401" s="113"/>
      <c r="X401" s="116"/>
      <c r="Y401" s="209"/>
      <c r="Z401" s="209"/>
      <c r="AA401" s="209"/>
      <c r="AB401" s="209"/>
      <c r="AC401" s="209"/>
      <c r="AD401" s="209"/>
      <c r="AE401" s="209"/>
      <c r="AF401" s="209"/>
      <c r="AG401" s="210"/>
      <c r="AH401" s="105"/>
      <c r="AI401" s="202"/>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c r="BI401" s="105"/>
      <c r="BJ401" s="105"/>
      <c r="BK401" s="105"/>
      <c r="BL401" s="105"/>
      <c r="BM401" s="105"/>
      <c r="BN401" s="105"/>
      <c r="BO401" s="105"/>
      <c r="BP401" s="105"/>
      <c r="BQ401" s="105"/>
      <c r="BR401" s="105"/>
      <c r="BS401" s="105"/>
      <c r="BT401" s="105"/>
      <c r="BU401" s="105"/>
      <c r="BV401" s="105"/>
    </row>
    <row r="402">
      <c r="A402" s="91" t="str">
        <f>VLOOKUP($F402,UpdateHashtag!$V$3:$Y$32,COLUMN(B$9),0)</f>
        <v>#N/A</v>
      </c>
      <c r="B402" s="91" t="str">
        <f>VLOOKUP($F402,UpdateHashtag!$V$3:$Y$32,COLUMN(#REF!),0)</f>
        <v>#REF!</v>
      </c>
      <c r="C402" s="91" t="str">
        <f>VLOOKUP($F402,UpdateHashtag!$V$3:$Y$32,COLUMN(#REF!),0)</f>
        <v>#REF!</v>
      </c>
      <c r="D402" s="237" t="str">
        <f t="shared" si="2"/>
        <v>#N/A</v>
      </c>
      <c r="E402" s="11"/>
      <c r="F402" s="94" t="str">
        <f>VLOOKUP(J402,UpdateBBM!$C$2:E1009,3,0)</f>
        <v>#N/A</v>
      </c>
      <c r="G402" s="238">
        <v>388.0</v>
      </c>
      <c r="H402" s="239"/>
      <c r="I402" s="240"/>
      <c r="J402" s="240"/>
      <c r="K402" s="240"/>
      <c r="L402" s="241"/>
      <c r="M402" s="242"/>
      <c r="N402" s="243"/>
      <c r="O402" s="243"/>
      <c r="P402" s="244"/>
      <c r="Q402" s="244"/>
      <c r="R402" s="244"/>
      <c r="S402" s="245"/>
      <c r="T402" s="244"/>
      <c r="U402" s="244"/>
      <c r="V402" s="241"/>
      <c r="W402" s="241"/>
      <c r="X402" s="244"/>
      <c r="Y402" s="246"/>
      <c r="Z402" s="246"/>
      <c r="AA402" s="246"/>
      <c r="AB402" s="246"/>
      <c r="AC402" s="246"/>
      <c r="AD402" s="246"/>
      <c r="AE402" s="246"/>
      <c r="AF402" s="246"/>
      <c r="AG402" s="247"/>
      <c r="AH402" s="105"/>
      <c r="AI402" s="202"/>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c r="BI402" s="105"/>
      <c r="BJ402" s="105"/>
      <c r="BK402" s="105"/>
      <c r="BL402" s="105"/>
      <c r="BM402" s="105"/>
      <c r="BN402" s="105"/>
      <c r="BO402" s="105"/>
      <c r="BP402" s="105"/>
      <c r="BQ402" s="105"/>
      <c r="BR402" s="105"/>
      <c r="BS402" s="105"/>
      <c r="BT402" s="105"/>
      <c r="BU402" s="105"/>
      <c r="BV402" s="105"/>
    </row>
    <row r="403">
      <c r="A403" s="91" t="str">
        <f>VLOOKUP($F403,UpdateHashtag!$V$3:$Y$32,COLUMN(B$9),0)</f>
        <v>#N/A</v>
      </c>
      <c r="B403" s="91" t="str">
        <f>VLOOKUP($F403,UpdateHashtag!$V$3:$Y$32,COLUMN(#REF!),0)</f>
        <v>#REF!</v>
      </c>
      <c r="C403" s="91" t="str">
        <f>VLOOKUP($F403,UpdateHashtag!$V$3:$Y$32,COLUMN(#REF!),0)</f>
        <v>#REF!</v>
      </c>
      <c r="D403" s="248" t="str">
        <f t="shared" si="2"/>
        <v>#N/A</v>
      </c>
      <c r="E403" s="249"/>
      <c r="F403" s="94" t="str">
        <f>VLOOKUP(J403,UpdateBBM!$C$2:E1009,3,0)</f>
        <v>#N/A</v>
      </c>
      <c r="G403" s="250">
        <v>389.0</v>
      </c>
      <c r="H403" s="251"/>
      <c r="I403" s="252"/>
      <c r="J403" s="252"/>
      <c r="K403" s="252"/>
      <c r="L403" s="253"/>
      <c r="M403" s="254"/>
      <c r="N403" s="255"/>
      <c r="O403" s="255"/>
      <c r="P403" s="256"/>
      <c r="Q403" s="256"/>
      <c r="R403" s="256"/>
      <c r="S403" s="257"/>
      <c r="T403" s="256"/>
      <c r="U403" s="256"/>
      <c r="V403" s="253"/>
      <c r="W403" s="253"/>
      <c r="X403" s="256"/>
      <c r="Y403" s="258"/>
      <c r="Z403" s="258"/>
      <c r="AA403" s="258"/>
      <c r="AB403" s="258"/>
      <c r="AC403" s="258"/>
      <c r="AD403" s="258"/>
      <c r="AE403" s="258"/>
      <c r="AF403" s="258"/>
      <c r="AG403" s="258"/>
      <c r="AH403" s="20"/>
      <c r="AI403" s="259"/>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row>
    <row r="404" hidden="1">
      <c r="A404" s="91" t="str">
        <f>VLOOKUP($F404,UpdateHashtag!$V$3:$Y$32,COLUMN(B$9),0)</f>
        <v>#N/A</v>
      </c>
      <c r="B404" s="91" t="str">
        <f>VLOOKUP($F404,UpdateHashtag!$V$3:$Y$32,COLUMN(#REF!),0)</f>
        <v>#REF!</v>
      </c>
      <c r="C404" s="91" t="str">
        <f>VLOOKUP($F404,UpdateHashtag!$V$3:$Y$32,COLUMN(#REF!),0)</f>
        <v>#REF!</v>
      </c>
      <c r="D404" s="260" t="str">
        <f t="shared" si="2"/>
        <v>#N/A</v>
      </c>
      <c r="E404" s="249"/>
      <c r="F404" s="261" t="str">
        <f>IF(VLOOKUP(J404,PasteHashtag!$C$2:$P1009,3,)="BRO","BKN",IF(VLOOKUP(J404,PasteHashtag!$C$2:$P1009,3,)="OKL","OKC",VLOOKUP(J404,PasteHashtag!$C$2:$P1009,3,)))</f>
        <v>#N/A</v>
      </c>
      <c r="G404" s="262">
        <v>390.0</v>
      </c>
      <c r="H404" s="263"/>
      <c r="I404" s="264"/>
      <c r="J404" s="264"/>
      <c r="K404" s="264"/>
      <c r="L404" s="265"/>
      <c r="M404" s="266"/>
      <c r="N404" s="267"/>
      <c r="O404" s="267"/>
      <c r="P404" s="268"/>
      <c r="Q404" s="268"/>
      <c r="R404" s="268"/>
      <c r="S404" s="269"/>
      <c r="T404" s="268"/>
      <c r="U404" s="268"/>
      <c r="V404" s="268"/>
      <c r="W404" s="268"/>
      <c r="X404" s="268"/>
      <c r="Y404" s="270"/>
      <c r="Z404" s="270"/>
      <c r="AA404" s="270"/>
      <c r="AB404" s="270"/>
      <c r="AC404" s="270"/>
      <c r="AD404" s="270"/>
      <c r="AE404" s="270"/>
      <c r="AF404" s="270"/>
      <c r="AG404" s="270"/>
      <c r="AH404" s="20"/>
      <c r="AI404" s="259"/>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row>
    <row r="405" hidden="1">
      <c r="A405" s="91" t="str">
        <f>VLOOKUP($F405,UpdateHashtag!$V$3:$Y$32,COLUMN(B$9),0)</f>
        <v>#N/A</v>
      </c>
      <c r="B405" s="91" t="str">
        <f>VLOOKUP($F405,UpdateHashtag!$V$3:$Y$32,COLUMN(#REF!),0)</f>
        <v>#REF!</v>
      </c>
      <c r="C405" s="91" t="str">
        <f>VLOOKUP($F405,UpdateHashtag!$V$3:$Y$32,COLUMN(#REF!),0)</f>
        <v>#REF!</v>
      </c>
      <c r="D405" s="260" t="str">
        <f t="shared" si="2"/>
        <v>#N/A</v>
      </c>
      <c r="E405" s="249"/>
      <c r="F405" s="261" t="str">
        <f>IF(VLOOKUP(J405,PasteHashtag!$C$2:$P1009,3,)="BRO","BKN",IF(VLOOKUP(J405,PasteHashtag!$C$2:$P1009,3,)="OKL","OKC",VLOOKUP(J405,PasteHashtag!$C$2:$P1009,3,)))</f>
        <v>#N/A</v>
      </c>
      <c r="G405" s="262">
        <v>391.0</v>
      </c>
      <c r="H405" s="263"/>
      <c r="I405" s="264"/>
      <c r="J405" s="264"/>
      <c r="K405" s="264"/>
      <c r="L405" s="265"/>
      <c r="M405" s="266"/>
      <c r="N405" s="267"/>
      <c r="O405" s="267"/>
      <c r="P405" s="268"/>
      <c r="Q405" s="268"/>
      <c r="R405" s="268"/>
      <c r="S405" s="269"/>
      <c r="T405" s="268"/>
      <c r="U405" s="268"/>
      <c r="V405" s="268"/>
      <c r="W405" s="268"/>
      <c r="X405" s="268"/>
      <c r="Y405" s="270"/>
      <c r="Z405" s="270"/>
      <c r="AA405" s="270"/>
      <c r="AB405" s="270"/>
      <c r="AC405" s="270"/>
      <c r="AD405" s="270"/>
      <c r="AE405" s="270"/>
      <c r="AF405" s="270"/>
      <c r="AG405" s="270"/>
      <c r="AH405" s="20"/>
      <c r="AI405" s="259"/>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row>
    <row r="406" hidden="1">
      <c r="A406" s="91" t="str">
        <f>VLOOKUP($F406,UpdateHashtag!$V$3:$Y$32,COLUMN(B$9),0)</f>
        <v>#N/A</v>
      </c>
      <c r="B406" s="91" t="str">
        <f>VLOOKUP($F406,UpdateHashtag!$V$3:$Y$32,COLUMN(#REF!),0)</f>
        <v>#REF!</v>
      </c>
      <c r="C406" s="91" t="str">
        <f>VLOOKUP($F406,UpdateHashtag!$V$3:$Y$32,COLUMN(#REF!),0)</f>
        <v>#REF!</v>
      </c>
      <c r="D406" s="260" t="str">
        <f t="shared" si="2"/>
        <v>#N/A</v>
      </c>
      <c r="E406" s="249"/>
      <c r="F406" s="261" t="str">
        <f>IF(VLOOKUP(J406,PasteHashtag!$C$2:$P1009,3,)="BRO","BKN",IF(VLOOKUP(J406,PasteHashtag!$C$2:$P1009,3,)="OKL","OKC",VLOOKUP(J406,PasteHashtag!$C$2:$P1009,3,)))</f>
        <v>#N/A</v>
      </c>
      <c r="G406" s="262">
        <v>392.0</v>
      </c>
      <c r="H406" s="263"/>
      <c r="I406" s="264"/>
      <c r="J406" s="264"/>
      <c r="K406" s="264"/>
      <c r="L406" s="265"/>
      <c r="M406" s="266"/>
      <c r="N406" s="267"/>
      <c r="O406" s="267"/>
      <c r="P406" s="268"/>
      <c r="Q406" s="268"/>
      <c r="R406" s="268"/>
      <c r="S406" s="269"/>
      <c r="T406" s="268"/>
      <c r="U406" s="268"/>
      <c r="V406" s="268"/>
      <c r="W406" s="268"/>
      <c r="X406" s="268"/>
      <c r="Y406" s="270"/>
      <c r="Z406" s="270"/>
      <c r="AA406" s="270"/>
      <c r="AB406" s="270"/>
      <c r="AC406" s="270"/>
      <c r="AD406" s="270"/>
      <c r="AE406" s="270"/>
      <c r="AF406" s="270"/>
      <c r="AG406" s="270"/>
      <c r="AH406" s="20"/>
      <c r="AI406" s="259"/>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row>
    <row r="407" hidden="1">
      <c r="A407" s="91" t="str">
        <f>VLOOKUP($F407,UpdateHashtag!$V$3:$Y$32,COLUMN(B$9),0)</f>
        <v>#N/A</v>
      </c>
      <c r="B407" s="91" t="str">
        <f>VLOOKUP($F407,UpdateHashtag!$V$3:$Y$32,COLUMN(#REF!),0)</f>
        <v>#REF!</v>
      </c>
      <c r="C407" s="91" t="str">
        <f>VLOOKUP($F407,UpdateHashtag!$V$3:$Y$32,COLUMN(#REF!),0)</f>
        <v>#REF!</v>
      </c>
      <c r="D407" s="260" t="str">
        <f t="shared" si="2"/>
        <v>#N/A</v>
      </c>
      <c r="E407" s="249"/>
      <c r="F407" s="261" t="str">
        <f>IF(VLOOKUP(J407,PasteHashtag!$C$2:$P1009,3,)="BRO","BKN",IF(VLOOKUP(J407,PasteHashtag!$C$2:$P1009,3,)="OKL","OKC",VLOOKUP(J407,PasteHashtag!$C$2:$P1009,3,)))</f>
        <v>#N/A</v>
      </c>
      <c r="G407" s="262">
        <v>393.0</v>
      </c>
      <c r="H407" s="263"/>
      <c r="I407" s="264"/>
      <c r="J407" s="264"/>
      <c r="K407" s="264"/>
      <c r="L407" s="265"/>
      <c r="M407" s="266"/>
      <c r="N407" s="267"/>
      <c r="O407" s="267"/>
      <c r="P407" s="268"/>
      <c r="Q407" s="268"/>
      <c r="R407" s="268"/>
      <c r="S407" s="269"/>
      <c r="T407" s="268"/>
      <c r="U407" s="268"/>
      <c r="V407" s="268"/>
      <c r="W407" s="268"/>
      <c r="X407" s="268"/>
      <c r="Y407" s="270"/>
      <c r="Z407" s="270"/>
      <c r="AA407" s="270"/>
      <c r="AB407" s="270"/>
      <c r="AC407" s="270"/>
      <c r="AD407" s="270"/>
      <c r="AE407" s="270"/>
      <c r="AF407" s="270"/>
      <c r="AG407" s="270"/>
      <c r="AH407" s="20"/>
      <c r="AI407" s="259"/>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row>
    <row r="408" hidden="1">
      <c r="A408" s="91" t="str">
        <f>VLOOKUP($F408,UpdateHashtag!$V$3:$Y$32,COLUMN(B$9),0)</f>
        <v>#N/A</v>
      </c>
      <c r="B408" s="91" t="str">
        <f>VLOOKUP($F408,UpdateHashtag!$V$3:$Y$32,COLUMN(#REF!),0)</f>
        <v>#REF!</v>
      </c>
      <c r="C408" s="91" t="str">
        <f>VLOOKUP($F408,UpdateHashtag!$V$3:$Y$32,COLUMN(#REF!),0)</f>
        <v>#REF!</v>
      </c>
      <c r="D408" s="260" t="str">
        <f t="shared" si="2"/>
        <v>#N/A</v>
      </c>
      <c r="E408" s="249"/>
      <c r="F408" s="261" t="str">
        <f>IF(VLOOKUP(J408,PasteHashtag!$C$2:$P1009,3,)="BRO","BKN",IF(VLOOKUP(J408,PasteHashtag!$C$2:$P1009,3,)="OKL","OKC",VLOOKUP(J408,PasteHashtag!$C$2:$P1009,3,)))</f>
        <v>#N/A</v>
      </c>
      <c r="G408" s="262">
        <v>394.0</v>
      </c>
      <c r="H408" s="263"/>
      <c r="I408" s="264"/>
      <c r="J408" s="264"/>
      <c r="K408" s="264"/>
      <c r="L408" s="265"/>
      <c r="M408" s="266"/>
      <c r="N408" s="267"/>
      <c r="O408" s="267"/>
      <c r="P408" s="268"/>
      <c r="Q408" s="268"/>
      <c r="R408" s="268"/>
      <c r="S408" s="269"/>
      <c r="T408" s="268"/>
      <c r="U408" s="268"/>
      <c r="V408" s="268"/>
      <c r="W408" s="268"/>
      <c r="X408" s="268"/>
      <c r="Y408" s="270"/>
      <c r="Z408" s="270"/>
      <c r="AA408" s="270"/>
      <c r="AB408" s="270"/>
      <c r="AC408" s="270"/>
      <c r="AD408" s="270"/>
      <c r="AE408" s="270"/>
      <c r="AF408" s="270"/>
      <c r="AG408" s="270"/>
      <c r="AH408" s="20"/>
      <c r="AI408" s="259"/>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row>
    <row r="409" hidden="1">
      <c r="A409" s="91" t="str">
        <f>VLOOKUP($F409,UpdateHashtag!$V$3:$Y$32,COLUMN(B$9),0)</f>
        <v>#N/A</v>
      </c>
      <c r="B409" s="91" t="str">
        <f>VLOOKUP($F409,UpdateHashtag!$V$3:$Y$32,COLUMN(#REF!),0)</f>
        <v>#REF!</v>
      </c>
      <c r="C409" s="91" t="str">
        <f>VLOOKUP($F409,UpdateHashtag!$V$3:$Y$32,COLUMN(#REF!),0)</f>
        <v>#REF!</v>
      </c>
      <c r="D409" s="260" t="str">
        <f t="shared" si="2"/>
        <v>#N/A</v>
      </c>
      <c r="E409" s="249"/>
      <c r="F409" s="261" t="str">
        <f>IF(VLOOKUP(J409,PasteHashtag!$C$2:$P1009,3,)="BRO","BKN",IF(VLOOKUP(J409,PasteHashtag!$C$2:$P1009,3,)="OKL","OKC",VLOOKUP(J409,PasteHashtag!$C$2:$P1009,3,)))</f>
        <v>#N/A</v>
      </c>
      <c r="G409" s="262">
        <v>395.0</v>
      </c>
      <c r="H409" s="263"/>
      <c r="I409" s="264"/>
      <c r="J409" s="264"/>
      <c r="K409" s="264"/>
      <c r="L409" s="265"/>
      <c r="M409" s="266"/>
      <c r="N409" s="267"/>
      <c r="O409" s="267"/>
      <c r="P409" s="268"/>
      <c r="Q409" s="268"/>
      <c r="R409" s="268"/>
      <c r="S409" s="269"/>
      <c r="T409" s="268"/>
      <c r="U409" s="268"/>
      <c r="V409" s="268"/>
      <c r="W409" s="268"/>
      <c r="X409" s="268"/>
      <c r="Y409" s="270"/>
      <c r="Z409" s="270"/>
      <c r="AA409" s="270"/>
      <c r="AB409" s="270"/>
      <c r="AC409" s="270"/>
      <c r="AD409" s="270"/>
      <c r="AE409" s="270"/>
      <c r="AF409" s="270"/>
      <c r="AG409" s="270"/>
      <c r="AH409" s="20"/>
      <c r="AI409" s="259"/>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row>
    <row r="410" hidden="1">
      <c r="A410" s="91" t="str">
        <f>VLOOKUP($F410,UpdateHashtag!$V$3:$Y$32,COLUMN(B$9),0)</f>
        <v>#N/A</v>
      </c>
      <c r="B410" s="91" t="str">
        <f>VLOOKUP($F410,UpdateHashtag!$V$3:$Y$32,COLUMN(#REF!),0)</f>
        <v>#REF!</v>
      </c>
      <c r="C410" s="91" t="str">
        <f>VLOOKUP($F410,UpdateHashtag!$V$3:$Y$32,COLUMN(#REF!),0)</f>
        <v>#REF!</v>
      </c>
      <c r="D410" s="260" t="str">
        <f t="shared" si="2"/>
        <v>#N/A</v>
      </c>
      <c r="E410" s="249"/>
      <c r="F410" s="261" t="str">
        <f>IF(VLOOKUP(J410,PasteHashtag!$C$2:$P1009,3,)="BRO","BKN",IF(VLOOKUP(J410,PasteHashtag!$C$2:$P1009,3,)="OKL","OKC",VLOOKUP(J410,PasteHashtag!$C$2:$P1009,3,)))</f>
        <v>#N/A</v>
      </c>
      <c r="G410" s="262">
        <v>396.0</v>
      </c>
      <c r="H410" s="263"/>
      <c r="I410" s="264"/>
      <c r="J410" s="264"/>
      <c r="K410" s="264"/>
      <c r="L410" s="265"/>
      <c r="M410" s="266"/>
      <c r="N410" s="267"/>
      <c r="O410" s="267"/>
      <c r="P410" s="268"/>
      <c r="Q410" s="268"/>
      <c r="R410" s="268"/>
      <c r="S410" s="269"/>
      <c r="T410" s="268"/>
      <c r="U410" s="268"/>
      <c r="V410" s="268"/>
      <c r="W410" s="268"/>
      <c r="X410" s="268"/>
      <c r="Y410" s="270"/>
      <c r="Z410" s="270"/>
      <c r="AA410" s="270"/>
      <c r="AB410" s="270"/>
      <c r="AC410" s="270"/>
      <c r="AD410" s="270"/>
      <c r="AE410" s="270"/>
      <c r="AF410" s="270"/>
      <c r="AG410" s="270"/>
      <c r="AH410" s="20"/>
      <c r="AI410" s="259"/>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row>
    <row r="411">
      <c r="A411" s="271"/>
      <c r="B411" s="271"/>
      <c r="C411" s="271"/>
      <c r="D411" s="271"/>
      <c r="E411" s="249"/>
      <c r="F411" s="249"/>
      <c r="G411" s="7"/>
      <c r="H411" s="7"/>
      <c r="I411" s="7"/>
      <c r="J411" s="14"/>
      <c r="K411" s="7"/>
      <c r="L411" s="14"/>
      <c r="M411" s="14"/>
      <c r="N411" s="14"/>
      <c r="O411" s="14"/>
      <c r="P411" s="14"/>
      <c r="Q411" s="14"/>
      <c r="R411" s="14"/>
      <c r="S411" s="14"/>
      <c r="T411" s="14"/>
      <c r="U411" s="14"/>
      <c r="V411" s="272"/>
      <c r="W411" s="272"/>
      <c r="X411" s="14"/>
      <c r="Y411" s="14"/>
      <c r="Z411" s="14"/>
      <c r="AA411" s="14"/>
      <c r="AB411" s="14"/>
      <c r="AC411" s="14"/>
      <c r="AD411" s="14"/>
      <c r="AE411" s="14"/>
      <c r="AF411" s="14"/>
      <c r="AG411" s="14"/>
      <c r="AH411" s="14"/>
      <c r="AI411" s="7"/>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row>
    <row r="412">
      <c r="A412" s="271"/>
      <c r="B412" s="271"/>
      <c r="C412" s="271"/>
      <c r="D412" s="271"/>
      <c r="E412" s="249"/>
      <c r="F412" s="249"/>
      <c r="G412" s="7"/>
      <c r="H412" s="7"/>
      <c r="I412" s="7"/>
      <c r="J412" s="14"/>
      <c r="K412" s="7"/>
      <c r="L412" s="14"/>
      <c r="M412" s="14"/>
      <c r="N412" s="14"/>
      <c r="O412" s="14"/>
      <c r="P412" s="14"/>
      <c r="Q412" s="14"/>
      <c r="R412" s="14"/>
      <c r="S412" s="14"/>
      <c r="T412" s="14"/>
      <c r="U412" s="14"/>
      <c r="V412" s="272"/>
      <c r="W412" s="272"/>
      <c r="X412" s="14"/>
      <c r="Y412" s="14"/>
      <c r="Z412" s="14"/>
      <c r="AA412" s="14"/>
      <c r="AB412" s="14"/>
      <c r="AC412" s="14"/>
      <c r="AD412" s="14"/>
      <c r="AE412" s="14"/>
      <c r="AF412" s="14"/>
      <c r="AG412" s="14"/>
      <c r="AH412" s="14"/>
      <c r="AI412" s="7"/>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row>
    <row r="413">
      <c r="A413" s="271"/>
      <c r="B413" s="271"/>
      <c r="C413" s="271"/>
      <c r="D413" s="271"/>
      <c r="E413" s="249"/>
      <c r="F413" s="249"/>
      <c r="G413" s="7"/>
      <c r="H413" s="7"/>
      <c r="I413" s="7"/>
      <c r="J413" s="14"/>
      <c r="K413" s="7"/>
      <c r="L413" s="14"/>
      <c r="M413" s="14"/>
      <c r="N413" s="14"/>
      <c r="O413" s="14"/>
      <c r="P413" s="14"/>
      <c r="Q413" s="14"/>
      <c r="R413" s="14"/>
      <c r="S413" s="14"/>
      <c r="T413" s="14"/>
      <c r="U413" s="14"/>
      <c r="V413" s="272"/>
      <c r="W413" s="272"/>
      <c r="X413" s="14"/>
      <c r="Y413" s="14"/>
      <c r="Z413" s="14"/>
      <c r="AA413" s="14"/>
      <c r="AB413" s="14"/>
      <c r="AC413" s="14"/>
      <c r="AD413" s="14"/>
      <c r="AE413" s="14"/>
      <c r="AF413" s="14"/>
      <c r="AG413" s="14"/>
      <c r="AH413" s="14"/>
      <c r="AI413" s="7"/>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row>
    <row r="414">
      <c r="A414" s="271"/>
      <c r="B414" s="271"/>
      <c r="C414" s="271"/>
      <c r="D414" s="271"/>
      <c r="E414" s="249"/>
      <c r="F414" s="249"/>
      <c r="G414" s="7"/>
      <c r="H414" s="7"/>
      <c r="I414" s="7"/>
      <c r="J414" s="14"/>
      <c r="K414" s="7"/>
      <c r="L414" s="14"/>
      <c r="M414" s="14"/>
      <c r="N414" s="14"/>
      <c r="O414" s="14"/>
      <c r="P414" s="14"/>
      <c r="Q414" s="14"/>
      <c r="R414" s="14"/>
      <c r="S414" s="14"/>
      <c r="T414" s="14"/>
      <c r="U414" s="14"/>
      <c r="V414" s="272"/>
      <c r="W414" s="272"/>
      <c r="X414" s="14"/>
      <c r="Y414" s="14"/>
      <c r="Z414" s="14"/>
      <c r="AA414" s="14"/>
      <c r="AB414" s="14"/>
      <c r="AC414" s="14"/>
      <c r="AD414" s="14"/>
      <c r="AE414" s="14"/>
      <c r="AF414" s="14"/>
      <c r="AG414" s="14"/>
      <c r="AH414" s="14"/>
      <c r="AI414" s="7"/>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row>
    <row r="415">
      <c r="A415" s="271"/>
      <c r="B415" s="271"/>
      <c r="C415" s="271"/>
      <c r="D415" s="271"/>
      <c r="E415" s="249"/>
      <c r="F415" s="249"/>
      <c r="G415" s="7"/>
      <c r="H415" s="7"/>
      <c r="I415" s="7"/>
      <c r="J415" s="14"/>
      <c r="K415" s="7"/>
      <c r="L415" s="14"/>
      <c r="M415" s="14"/>
      <c r="N415" s="14"/>
      <c r="O415" s="14"/>
      <c r="P415" s="14"/>
      <c r="Q415" s="14"/>
      <c r="R415" s="14"/>
      <c r="S415" s="14"/>
      <c r="T415" s="14"/>
      <c r="U415" s="14"/>
      <c r="V415" s="272"/>
      <c r="W415" s="272"/>
      <c r="X415" s="14"/>
      <c r="Y415" s="14"/>
      <c r="Z415" s="14"/>
      <c r="AA415" s="14"/>
      <c r="AB415" s="14"/>
      <c r="AC415" s="14"/>
      <c r="AD415" s="14"/>
      <c r="AE415" s="14"/>
      <c r="AF415" s="14"/>
      <c r="AG415" s="14"/>
      <c r="AH415" s="14"/>
      <c r="AI415" s="7"/>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row>
    <row r="416">
      <c r="A416" s="271"/>
      <c r="B416" s="271"/>
      <c r="C416" s="271"/>
      <c r="D416" s="271"/>
      <c r="E416" s="249"/>
      <c r="F416" s="249"/>
      <c r="G416" s="7"/>
      <c r="H416" s="7"/>
      <c r="I416" s="7"/>
      <c r="J416" s="14"/>
      <c r="K416" s="7"/>
      <c r="L416" s="14"/>
      <c r="M416" s="14"/>
      <c r="N416" s="14"/>
      <c r="O416" s="14"/>
      <c r="P416" s="14"/>
      <c r="Q416" s="14"/>
      <c r="R416" s="14"/>
      <c r="S416" s="14"/>
      <c r="T416" s="14"/>
      <c r="U416" s="14"/>
      <c r="V416" s="272"/>
      <c r="W416" s="272"/>
      <c r="X416" s="14"/>
      <c r="Y416" s="14"/>
      <c r="Z416" s="14"/>
      <c r="AA416" s="14"/>
      <c r="AB416" s="14"/>
      <c r="AC416" s="14"/>
      <c r="AD416" s="14"/>
      <c r="AE416" s="14"/>
      <c r="AF416" s="14"/>
      <c r="AG416" s="14"/>
      <c r="AH416" s="14"/>
      <c r="AI416" s="7"/>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row>
    <row r="417">
      <c r="A417" s="271"/>
      <c r="B417" s="271"/>
      <c r="C417" s="271"/>
      <c r="D417" s="271"/>
      <c r="E417" s="249"/>
      <c r="F417" s="249"/>
      <c r="G417" s="7"/>
      <c r="H417" s="7"/>
      <c r="I417" s="7"/>
      <c r="J417" s="14"/>
      <c r="K417" s="7"/>
      <c r="L417" s="14"/>
      <c r="M417" s="14"/>
      <c r="N417" s="14"/>
      <c r="O417" s="14"/>
      <c r="P417" s="14"/>
      <c r="Q417" s="14"/>
      <c r="R417" s="14"/>
      <c r="S417" s="14"/>
      <c r="T417" s="14"/>
      <c r="U417" s="14"/>
      <c r="V417" s="272"/>
      <c r="W417" s="272"/>
      <c r="X417" s="14"/>
      <c r="Y417" s="14"/>
      <c r="Z417" s="14"/>
      <c r="AA417" s="14"/>
      <c r="AB417" s="14"/>
      <c r="AC417" s="14"/>
      <c r="AD417" s="14"/>
      <c r="AE417" s="14"/>
      <c r="AF417" s="14"/>
      <c r="AG417" s="14"/>
      <c r="AH417" s="14"/>
      <c r="AI417" s="7"/>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row>
    <row r="418">
      <c r="A418" s="271"/>
      <c r="B418" s="271"/>
      <c r="C418" s="271"/>
      <c r="D418" s="271"/>
      <c r="E418" s="249"/>
      <c r="F418" s="249"/>
      <c r="G418" s="7"/>
      <c r="H418" s="7"/>
      <c r="I418" s="7"/>
      <c r="J418" s="14"/>
      <c r="K418" s="7"/>
      <c r="L418" s="14"/>
      <c r="M418" s="14"/>
      <c r="N418" s="14"/>
      <c r="O418" s="14"/>
      <c r="P418" s="14"/>
      <c r="Q418" s="14"/>
      <c r="R418" s="14"/>
      <c r="S418" s="14"/>
      <c r="T418" s="14"/>
      <c r="U418" s="14"/>
      <c r="V418" s="272"/>
      <c r="W418" s="272"/>
      <c r="X418" s="14"/>
      <c r="Y418" s="14"/>
      <c r="Z418" s="14"/>
      <c r="AA418" s="14"/>
      <c r="AB418" s="14"/>
      <c r="AC418" s="14"/>
      <c r="AD418" s="14"/>
      <c r="AE418" s="14"/>
      <c r="AF418" s="14"/>
      <c r="AG418" s="14"/>
      <c r="AH418" s="14"/>
      <c r="AI418" s="7"/>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row>
    <row r="419">
      <c r="A419" s="271"/>
      <c r="B419" s="271"/>
      <c r="C419" s="271"/>
      <c r="D419" s="271"/>
      <c r="E419" s="249"/>
      <c r="F419" s="249"/>
      <c r="G419" s="7"/>
      <c r="H419" s="7"/>
      <c r="I419" s="7"/>
      <c r="J419" s="14"/>
      <c r="K419" s="7"/>
      <c r="L419" s="14"/>
      <c r="M419" s="14"/>
      <c r="N419" s="14"/>
      <c r="O419" s="14"/>
      <c r="P419" s="14"/>
      <c r="Q419" s="14"/>
      <c r="R419" s="14"/>
      <c r="S419" s="14"/>
      <c r="T419" s="14"/>
      <c r="U419" s="14"/>
      <c r="V419" s="272"/>
      <c r="W419" s="272"/>
      <c r="X419" s="14"/>
      <c r="Y419" s="14"/>
      <c r="Z419" s="14"/>
      <c r="AA419" s="14"/>
      <c r="AB419" s="14"/>
      <c r="AC419" s="14"/>
      <c r="AD419" s="14"/>
      <c r="AE419" s="14"/>
      <c r="AF419" s="14"/>
      <c r="AG419" s="14"/>
      <c r="AH419" s="14"/>
      <c r="AI419" s="7"/>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row>
    <row r="420">
      <c r="A420" s="271"/>
      <c r="B420" s="271"/>
      <c r="C420" s="271"/>
      <c r="D420" s="271"/>
      <c r="E420" s="249"/>
      <c r="F420" s="249"/>
      <c r="G420" s="7"/>
      <c r="H420" s="7"/>
      <c r="I420" s="7"/>
      <c r="J420" s="14"/>
      <c r="K420" s="7"/>
      <c r="L420" s="14"/>
      <c r="M420" s="14"/>
      <c r="N420" s="14"/>
      <c r="O420" s="14"/>
      <c r="P420" s="14"/>
      <c r="Q420" s="14"/>
      <c r="R420" s="14"/>
      <c r="S420" s="14"/>
      <c r="T420" s="14"/>
      <c r="U420" s="14"/>
      <c r="V420" s="272"/>
      <c r="W420" s="272"/>
      <c r="X420" s="14"/>
      <c r="Y420" s="14"/>
      <c r="Z420" s="14"/>
      <c r="AA420" s="14"/>
      <c r="AB420" s="14"/>
      <c r="AC420" s="14"/>
      <c r="AD420" s="14"/>
      <c r="AE420" s="14"/>
      <c r="AF420" s="14"/>
      <c r="AG420" s="14"/>
      <c r="AH420" s="14"/>
      <c r="AI420" s="7"/>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row>
    <row r="421">
      <c r="A421" s="271"/>
      <c r="B421" s="271"/>
      <c r="C421" s="271"/>
      <c r="D421" s="271"/>
      <c r="E421" s="249"/>
      <c r="F421" s="249"/>
      <c r="G421" s="7"/>
      <c r="H421" s="7"/>
      <c r="I421" s="7"/>
      <c r="J421" s="14"/>
      <c r="K421" s="7"/>
      <c r="L421" s="14"/>
      <c r="M421" s="14"/>
      <c r="N421" s="14"/>
      <c r="O421" s="14"/>
      <c r="P421" s="14"/>
      <c r="Q421" s="14"/>
      <c r="R421" s="14"/>
      <c r="S421" s="14"/>
      <c r="T421" s="14"/>
      <c r="U421" s="14"/>
      <c r="V421" s="272"/>
      <c r="W421" s="272"/>
      <c r="X421" s="14"/>
      <c r="Y421" s="14"/>
      <c r="Z421" s="14"/>
      <c r="AA421" s="14"/>
      <c r="AB421" s="14"/>
      <c r="AC421" s="14"/>
      <c r="AD421" s="14"/>
      <c r="AE421" s="14"/>
      <c r="AF421" s="14"/>
      <c r="AG421" s="14"/>
      <c r="AH421" s="14"/>
      <c r="AI421" s="7"/>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row>
    <row r="422">
      <c r="A422" s="271"/>
      <c r="B422" s="271"/>
      <c r="C422" s="271"/>
      <c r="D422" s="271"/>
      <c r="E422" s="249"/>
      <c r="F422" s="249"/>
      <c r="G422" s="7"/>
      <c r="H422" s="7"/>
      <c r="I422" s="7"/>
      <c r="J422" s="14"/>
      <c r="K422" s="7"/>
      <c r="L422" s="14"/>
      <c r="M422" s="14"/>
      <c r="N422" s="14"/>
      <c r="O422" s="14"/>
      <c r="P422" s="14"/>
      <c r="Q422" s="14"/>
      <c r="R422" s="14"/>
      <c r="S422" s="14"/>
      <c r="T422" s="14"/>
      <c r="U422" s="14"/>
      <c r="V422" s="272"/>
      <c r="W422" s="272"/>
      <c r="X422" s="14"/>
      <c r="Y422" s="14"/>
      <c r="Z422" s="14"/>
      <c r="AA422" s="14"/>
      <c r="AB422" s="14"/>
      <c r="AC422" s="14"/>
      <c r="AD422" s="14"/>
      <c r="AE422" s="14"/>
      <c r="AF422" s="14"/>
      <c r="AG422" s="14"/>
      <c r="AH422" s="14"/>
      <c r="AI422" s="7"/>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row>
    <row r="423">
      <c r="A423" s="271"/>
      <c r="B423" s="271"/>
      <c r="C423" s="271"/>
      <c r="D423" s="271"/>
      <c r="E423" s="249"/>
      <c r="F423" s="249"/>
      <c r="G423" s="7"/>
      <c r="H423" s="7"/>
      <c r="I423" s="7"/>
      <c r="J423" s="14"/>
      <c r="K423" s="7"/>
      <c r="L423" s="14"/>
      <c r="M423" s="14"/>
      <c r="N423" s="14"/>
      <c r="O423" s="14"/>
      <c r="P423" s="14"/>
      <c r="Q423" s="14"/>
      <c r="R423" s="14"/>
      <c r="S423" s="14"/>
      <c r="T423" s="14"/>
      <c r="U423" s="14"/>
      <c r="V423" s="272"/>
      <c r="W423" s="272"/>
      <c r="X423" s="14"/>
      <c r="Y423" s="14"/>
      <c r="Z423" s="14"/>
      <c r="AA423" s="14"/>
      <c r="AB423" s="14"/>
      <c r="AC423" s="14"/>
      <c r="AD423" s="14"/>
      <c r="AE423" s="14"/>
      <c r="AF423" s="14"/>
      <c r="AG423" s="14"/>
      <c r="AH423" s="14"/>
      <c r="AI423" s="7"/>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row>
    <row r="424">
      <c r="A424" s="271"/>
      <c r="B424" s="271"/>
      <c r="C424" s="271"/>
      <c r="D424" s="271"/>
      <c r="E424" s="249"/>
      <c r="F424" s="249"/>
      <c r="G424" s="7"/>
      <c r="H424" s="7"/>
      <c r="I424" s="7"/>
      <c r="J424" s="14"/>
      <c r="K424" s="7"/>
      <c r="L424" s="14"/>
      <c r="M424" s="14"/>
      <c r="N424" s="14"/>
      <c r="O424" s="14"/>
      <c r="P424" s="14"/>
      <c r="Q424" s="14"/>
      <c r="R424" s="14"/>
      <c r="S424" s="14"/>
      <c r="T424" s="14"/>
      <c r="U424" s="14"/>
      <c r="V424" s="272"/>
      <c r="W424" s="272"/>
      <c r="X424" s="14"/>
      <c r="Y424" s="14"/>
      <c r="Z424" s="14"/>
      <c r="AA424" s="14"/>
      <c r="AB424" s="14"/>
      <c r="AC424" s="14"/>
      <c r="AD424" s="14"/>
      <c r="AE424" s="14"/>
      <c r="AF424" s="14"/>
      <c r="AG424" s="14"/>
      <c r="AH424" s="14"/>
      <c r="AI424" s="7"/>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row>
    <row r="425">
      <c r="A425" s="271"/>
      <c r="B425" s="271"/>
      <c r="C425" s="271"/>
      <c r="D425" s="271"/>
      <c r="E425" s="249"/>
      <c r="F425" s="249"/>
      <c r="G425" s="7"/>
      <c r="H425" s="7"/>
      <c r="I425" s="7"/>
      <c r="J425" s="14"/>
      <c r="K425" s="7"/>
      <c r="L425" s="14"/>
      <c r="M425" s="14"/>
      <c r="N425" s="14"/>
      <c r="O425" s="14"/>
      <c r="P425" s="14"/>
      <c r="Q425" s="14"/>
      <c r="R425" s="14"/>
      <c r="S425" s="14"/>
      <c r="T425" s="14"/>
      <c r="U425" s="14"/>
      <c r="V425" s="272"/>
      <c r="W425" s="272"/>
      <c r="X425" s="14"/>
      <c r="Y425" s="14"/>
      <c r="Z425" s="14"/>
      <c r="AA425" s="14"/>
      <c r="AB425" s="14"/>
      <c r="AC425" s="14"/>
      <c r="AD425" s="14"/>
      <c r="AE425" s="14"/>
      <c r="AF425" s="14"/>
      <c r="AG425" s="14"/>
      <c r="AH425" s="14"/>
      <c r="AI425" s="7"/>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row>
    <row r="426">
      <c r="A426" s="271"/>
      <c r="B426" s="271"/>
      <c r="C426" s="271"/>
      <c r="D426" s="271"/>
      <c r="E426" s="249"/>
      <c r="F426" s="249"/>
      <c r="G426" s="7"/>
      <c r="H426" s="7"/>
      <c r="I426" s="7"/>
      <c r="J426" s="14"/>
      <c r="K426" s="7"/>
      <c r="L426" s="14"/>
      <c r="M426" s="14"/>
      <c r="N426" s="14"/>
      <c r="O426" s="14"/>
      <c r="P426" s="14"/>
      <c r="Q426" s="14"/>
      <c r="R426" s="14"/>
      <c r="S426" s="14"/>
      <c r="T426" s="14"/>
      <c r="U426" s="14"/>
      <c r="V426" s="272"/>
      <c r="W426" s="272"/>
      <c r="X426" s="14"/>
      <c r="Y426" s="14"/>
      <c r="Z426" s="14"/>
      <c r="AA426" s="14"/>
      <c r="AB426" s="14"/>
      <c r="AC426" s="14"/>
      <c r="AD426" s="14"/>
      <c r="AE426" s="14"/>
      <c r="AF426" s="14"/>
      <c r="AG426" s="14"/>
      <c r="AH426" s="14"/>
      <c r="AI426" s="7"/>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row>
    <row r="427">
      <c r="A427" s="271"/>
      <c r="B427" s="271"/>
      <c r="C427" s="271"/>
      <c r="D427" s="271"/>
      <c r="E427" s="249"/>
      <c r="F427" s="249"/>
      <c r="G427" s="7"/>
      <c r="H427" s="7"/>
      <c r="I427" s="7"/>
      <c r="J427" s="14"/>
      <c r="K427" s="7"/>
      <c r="L427" s="14"/>
      <c r="M427" s="14"/>
      <c r="N427" s="14"/>
      <c r="O427" s="14"/>
      <c r="P427" s="14"/>
      <c r="Q427" s="14"/>
      <c r="R427" s="14"/>
      <c r="S427" s="14"/>
      <c r="T427" s="14"/>
      <c r="U427" s="14"/>
      <c r="V427" s="272"/>
      <c r="W427" s="272"/>
      <c r="X427" s="14"/>
      <c r="Y427" s="14"/>
      <c r="Z427" s="14"/>
      <c r="AA427" s="14"/>
      <c r="AB427" s="14"/>
      <c r="AC427" s="14"/>
      <c r="AD427" s="14"/>
      <c r="AE427" s="14"/>
      <c r="AF427" s="14"/>
      <c r="AG427" s="14"/>
      <c r="AH427" s="14"/>
      <c r="AI427" s="7"/>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row>
    <row r="428">
      <c r="A428" s="271"/>
      <c r="B428" s="271"/>
      <c r="C428" s="271"/>
      <c r="D428" s="271"/>
      <c r="E428" s="249"/>
      <c r="F428" s="249"/>
      <c r="G428" s="7"/>
      <c r="H428" s="7"/>
      <c r="I428" s="7"/>
      <c r="J428" s="14"/>
      <c r="K428" s="7"/>
      <c r="L428" s="14"/>
      <c r="M428" s="14"/>
      <c r="N428" s="14"/>
      <c r="O428" s="14"/>
      <c r="P428" s="14"/>
      <c r="Q428" s="14"/>
      <c r="R428" s="14"/>
      <c r="S428" s="14"/>
      <c r="T428" s="14"/>
      <c r="U428" s="14"/>
      <c r="V428" s="272"/>
      <c r="W428" s="272"/>
      <c r="X428" s="14"/>
      <c r="Y428" s="14"/>
      <c r="Z428" s="14"/>
      <c r="AA428" s="14"/>
      <c r="AB428" s="14"/>
      <c r="AC428" s="14"/>
      <c r="AD428" s="14"/>
      <c r="AE428" s="14"/>
      <c r="AF428" s="14"/>
      <c r="AG428" s="14"/>
      <c r="AH428" s="14"/>
      <c r="AI428" s="7"/>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row>
    <row r="429">
      <c r="A429" s="271"/>
      <c r="B429" s="271"/>
      <c r="C429" s="271"/>
      <c r="D429" s="271"/>
      <c r="E429" s="249"/>
      <c r="F429" s="249"/>
      <c r="G429" s="7"/>
      <c r="H429" s="7"/>
      <c r="I429" s="7"/>
      <c r="J429" s="14"/>
      <c r="K429" s="7"/>
      <c r="L429" s="14"/>
      <c r="M429" s="14"/>
      <c r="N429" s="14"/>
      <c r="O429" s="14"/>
      <c r="P429" s="14"/>
      <c r="Q429" s="14"/>
      <c r="R429" s="14"/>
      <c r="S429" s="14"/>
      <c r="T429" s="14"/>
      <c r="U429" s="14"/>
      <c r="V429" s="272"/>
      <c r="W429" s="272"/>
      <c r="X429" s="14"/>
      <c r="Y429" s="14"/>
      <c r="Z429" s="14"/>
      <c r="AA429" s="14"/>
      <c r="AB429" s="14"/>
      <c r="AC429" s="14"/>
      <c r="AD429" s="14"/>
      <c r="AE429" s="14"/>
      <c r="AF429" s="14"/>
      <c r="AG429" s="14"/>
      <c r="AH429" s="14"/>
      <c r="AI429" s="7"/>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row>
    <row r="430">
      <c r="A430" s="14"/>
      <c r="B430" s="14"/>
      <c r="C430" s="14"/>
      <c r="D430" s="14"/>
      <c r="E430" s="7"/>
      <c r="F430" s="7"/>
      <c r="G430" s="7"/>
      <c r="H430" s="7"/>
      <c r="I430" s="7"/>
      <c r="J430" s="14"/>
      <c r="K430" s="7"/>
      <c r="L430" s="14"/>
      <c r="M430" s="14"/>
      <c r="N430" s="14"/>
      <c r="O430" s="14"/>
      <c r="P430" s="14"/>
      <c r="Q430" s="14"/>
      <c r="R430" s="14"/>
      <c r="S430" s="14"/>
      <c r="T430" s="14"/>
      <c r="U430" s="14"/>
      <c r="V430" s="272"/>
      <c r="W430" s="272"/>
      <c r="X430" s="14"/>
      <c r="Y430" s="14"/>
      <c r="Z430" s="14"/>
      <c r="AA430" s="14"/>
      <c r="AB430" s="14"/>
      <c r="AC430" s="14"/>
      <c r="AD430" s="14"/>
      <c r="AE430" s="14"/>
      <c r="AF430" s="14"/>
      <c r="AG430" s="14"/>
      <c r="AH430" s="14"/>
      <c r="AI430" s="7"/>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row>
    <row r="431">
      <c r="A431" s="14"/>
      <c r="B431" s="14"/>
      <c r="C431" s="14"/>
      <c r="D431" s="14"/>
      <c r="E431" s="7"/>
      <c r="F431" s="7"/>
      <c r="G431" s="7"/>
      <c r="H431" s="7"/>
      <c r="I431" s="7"/>
      <c r="J431" s="14"/>
      <c r="K431" s="7"/>
      <c r="L431" s="14"/>
      <c r="M431" s="14"/>
      <c r="N431" s="14"/>
      <c r="O431" s="14"/>
      <c r="P431" s="14"/>
      <c r="Q431" s="14"/>
      <c r="R431" s="14"/>
      <c r="S431" s="14"/>
      <c r="T431" s="14"/>
      <c r="U431" s="14"/>
      <c r="V431" s="272"/>
      <c r="W431" s="272"/>
      <c r="X431" s="14"/>
      <c r="Y431" s="14"/>
      <c r="Z431" s="14"/>
      <c r="AA431" s="14"/>
      <c r="AB431" s="14"/>
      <c r="AC431" s="14"/>
      <c r="AD431" s="14"/>
      <c r="AE431" s="14"/>
      <c r="AF431" s="14"/>
      <c r="AG431" s="14"/>
      <c r="AH431" s="14"/>
      <c r="AI431" s="7"/>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row>
    <row r="432">
      <c r="A432" s="14"/>
      <c r="B432" s="14"/>
      <c r="C432" s="14"/>
      <c r="D432" s="14"/>
      <c r="E432" s="7"/>
      <c r="F432" s="7"/>
      <c r="G432" s="7"/>
      <c r="H432" s="7"/>
      <c r="I432" s="7"/>
      <c r="J432" s="14"/>
      <c r="K432" s="7"/>
      <c r="L432" s="14"/>
      <c r="M432" s="14"/>
      <c r="N432" s="14"/>
      <c r="O432" s="14"/>
      <c r="P432" s="14"/>
      <c r="Q432" s="14"/>
      <c r="R432" s="14"/>
      <c r="S432" s="14"/>
      <c r="T432" s="14"/>
      <c r="U432" s="14"/>
      <c r="V432" s="272"/>
      <c r="W432" s="272"/>
      <c r="X432" s="14"/>
      <c r="Y432" s="14"/>
      <c r="Z432" s="14"/>
      <c r="AA432" s="14"/>
      <c r="AB432" s="14"/>
      <c r="AC432" s="14"/>
      <c r="AD432" s="14"/>
      <c r="AE432" s="14"/>
      <c r="AF432" s="14"/>
      <c r="AG432" s="14"/>
      <c r="AH432" s="14"/>
      <c r="AI432" s="7"/>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row>
    <row r="433">
      <c r="A433" s="14"/>
      <c r="B433" s="14"/>
      <c r="C433" s="14"/>
      <c r="D433" s="14"/>
      <c r="E433" s="7"/>
      <c r="F433" s="7"/>
      <c r="G433" s="7"/>
      <c r="H433" s="7"/>
      <c r="I433" s="7"/>
      <c r="J433" s="14"/>
      <c r="K433" s="7"/>
      <c r="L433" s="14"/>
      <c r="M433" s="14"/>
      <c r="N433" s="14"/>
      <c r="O433" s="14"/>
      <c r="P433" s="14"/>
      <c r="Q433" s="14"/>
      <c r="R433" s="14"/>
      <c r="S433" s="14"/>
      <c r="T433" s="14"/>
      <c r="U433" s="14"/>
      <c r="V433" s="272"/>
      <c r="W433" s="272"/>
      <c r="X433" s="14"/>
      <c r="Y433" s="14"/>
      <c r="Z433" s="14"/>
      <c r="AA433" s="14"/>
      <c r="AB433" s="14"/>
      <c r="AC433" s="14"/>
      <c r="AD433" s="14"/>
      <c r="AE433" s="14"/>
      <c r="AF433" s="14"/>
      <c r="AG433" s="14"/>
      <c r="AH433" s="14"/>
      <c r="AI433" s="7"/>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row>
    <row r="434">
      <c r="A434" s="14"/>
      <c r="B434" s="14"/>
      <c r="C434" s="14"/>
      <c r="D434" s="14"/>
      <c r="E434" s="7"/>
      <c r="F434" s="7"/>
      <c r="G434" s="7"/>
      <c r="H434" s="7"/>
      <c r="I434" s="7"/>
      <c r="J434" s="14"/>
      <c r="K434" s="7"/>
      <c r="L434" s="14"/>
      <c r="M434" s="14"/>
      <c r="N434" s="14"/>
      <c r="O434" s="14"/>
      <c r="P434" s="14"/>
      <c r="Q434" s="14"/>
      <c r="R434" s="14"/>
      <c r="S434" s="14"/>
      <c r="T434" s="14"/>
      <c r="U434" s="14"/>
      <c r="V434" s="272"/>
      <c r="W434" s="272"/>
      <c r="X434" s="14"/>
      <c r="Y434" s="14"/>
      <c r="Z434" s="14"/>
      <c r="AA434" s="14"/>
      <c r="AB434" s="14"/>
      <c r="AC434" s="14"/>
      <c r="AD434" s="14"/>
      <c r="AE434" s="14"/>
      <c r="AF434" s="14"/>
      <c r="AG434" s="14"/>
      <c r="AH434" s="14"/>
      <c r="AI434" s="7"/>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row>
    <row r="435">
      <c r="A435" s="14"/>
      <c r="B435" s="14"/>
      <c r="C435" s="14"/>
      <c r="D435" s="14"/>
      <c r="E435" s="7"/>
      <c r="F435" s="7"/>
      <c r="G435" s="7"/>
      <c r="H435" s="7"/>
      <c r="I435" s="7"/>
      <c r="J435" s="14"/>
      <c r="K435" s="7"/>
      <c r="L435" s="14"/>
      <c r="M435" s="14"/>
      <c r="N435" s="14"/>
      <c r="O435" s="14"/>
      <c r="P435" s="14"/>
      <c r="Q435" s="14"/>
      <c r="R435" s="14"/>
      <c r="S435" s="14"/>
      <c r="T435" s="14"/>
      <c r="U435" s="14"/>
      <c r="V435" s="272"/>
      <c r="W435" s="272"/>
      <c r="X435" s="14"/>
      <c r="Y435" s="14"/>
      <c r="Z435" s="14"/>
      <c r="AA435" s="14"/>
      <c r="AB435" s="14"/>
      <c r="AC435" s="14"/>
      <c r="AD435" s="14"/>
      <c r="AE435" s="14"/>
      <c r="AF435" s="14"/>
      <c r="AG435" s="14"/>
      <c r="AH435" s="14"/>
      <c r="AI435" s="7"/>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row>
    <row r="436">
      <c r="A436" s="14"/>
      <c r="B436" s="14"/>
      <c r="C436" s="14"/>
      <c r="D436" s="14"/>
      <c r="E436" s="7"/>
      <c r="F436" s="7"/>
      <c r="G436" s="7"/>
      <c r="H436" s="7"/>
      <c r="I436" s="7"/>
      <c r="J436" s="14"/>
      <c r="K436" s="7"/>
      <c r="L436" s="14"/>
      <c r="M436" s="14"/>
      <c r="N436" s="14"/>
      <c r="O436" s="14"/>
      <c r="P436" s="14"/>
      <c r="Q436" s="14"/>
      <c r="R436" s="14"/>
      <c r="S436" s="14"/>
      <c r="T436" s="14"/>
      <c r="U436" s="14"/>
      <c r="V436" s="272"/>
      <c r="W436" s="272"/>
      <c r="X436" s="14"/>
      <c r="Y436" s="14"/>
      <c r="Z436" s="14"/>
      <c r="AA436" s="14"/>
      <c r="AB436" s="14"/>
      <c r="AC436" s="14"/>
      <c r="AD436" s="14"/>
      <c r="AE436" s="14"/>
      <c r="AF436" s="14"/>
      <c r="AG436" s="14"/>
      <c r="AH436" s="14"/>
      <c r="AI436" s="7"/>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row>
    <row r="437">
      <c r="A437" s="14"/>
      <c r="B437" s="14"/>
      <c r="C437" s="14"/>
      <c r="D437" s="14"/>
      <c r="E437" s="7"/>
      <c r="F437" s="7"/>
      <c r="G437" s="7"/>
      <c r="H437" s="7"/>
      <c r="I437" s="7"/>
      <c r="J437" s="14"/>
      <c r="K437" s="7"/>
      <c r="L437" s="14"/>
      <c r="M437" s="14"/>
      <c r="N437" s="14"/>
      <c r="O437" s="14"/>
      <c r="P437" s="14"/>
      <c r="Q437" s="14"/>
      <c r="R437" s="14"/>
      <c r="S437" s="14"/>
      <c r="T437" s="14"/>
      <c r="U437" s="14"/>
      <c r="V437" s="272"/>
      <c r="W437" s="272"/>
      <c r="X437" s="14"/>
      <c r="Y437" s="14"/>
      <c r="Z437" s="14"/>
      <c r="AA437" s="14"/>
      <c r="AB437" s="14"/>
      <c r="AC437" s="14"/>
      <c r="AD437" s="14"/>
      <c r="AE437" s="14"/>
      <c r="AF437" s="14"/>
      <c r="AG437" s="14"/>
      <c r="AH437" s="14"/>
      <c r="AI437" s="7"/>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row>
    <row r="438">
      <c r="A438" s="14"/>
      <c r="B438" s="14"/>
      <c r="C438" s="14"/>
      <c r="D438" s="14"/>
      <c r="E438" s="7"/>
      <c r="F438" s="7"/>
      <c r="G438" s="7"/>
      <c r="H438" s="7"/>
      <c r="I438" s="7"/>
      <c r="J438" s="14"/>
      <c r="K438" s="7"/>
      <c r="L438" s="14"/>
      <c r="M438" s="14"/>
      <c r="N438" s="14"/>
      <c r="O438" s="14"/>
      <c r="P438" s="14"/>
      <c r="Q438" s="14"/>
      <c r="R438" s="14"/>
      <c r="S438" s="14"/>
      <c r="T438" s="14"/>
      <c r="U438" s="14"/>
      <c r="V438" s="272"/>
      <c r="W438" s="272"/>
      <c r="X438" s="14"/>
      <c r="Y438" s="14"/>
      <c r="Z438" s="14"/>
      <c r="AA438" s="14"/>
      <c r="AB438" s="14"/>
      <c r="AC438" s="14"/>
      <c r="AD438" s="14"/>
      <c r="AE438" s="14"/>
      <c r="AF438" s="14"/>
      <c r="AG438" s="14"/>
      <c r="AH438" s="14"/>
      <c r="AI438" s="7"/>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row>
    <row r="439">
      <c r="A439" s="14"/>
      <c r="B439" s="14"/>
      <c r="C439" s="14"/>
      <c r="D439" s="14"/>
      <c r="E439" s="7"/>
      <c r="F439" s="7"/>
      <c r="G439" s="7"/>
      <c r="H439" s="7"/>
      <c r="I439" s="7"/>
      <c r="J439" s="14"/>
      <c r="K439" s="7"/>
      <c r="L439" s="14"/>
      <c r="M439" s="14"/>
      <c r="N439" s="14"/>
      <c r="O439" s="14"/>
      <c r="P439" s="14"/>
      <c r="Q439" s="14"/>
      <c r="R439" s="14"/>
      <c r="S439" s="14"/>
      <c r="T439" s="14"/>
      <c r="U439" s="14"/>
      <c r="V439" s="272"/>
      <c r="W439" s="272"/>
      <c r="X439" s="14"/>
      <c r="Y439" s="14"/>
      <c r="Z439" s="14"/>
      <c r="AA439" s="14"/>
      <c r="AB439" s="14"/>
      <c r="AC439" s="14"/>
      <c r="AD439" s="14"/>
      <c r="AE439" s="14"/>
      <c r="AF439" s="14"/>
      <c r="AG439" s="14"/>
      <c r="AH439" s="14"/>
      <c r="AI439" s="7"/>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row>
    <row r="440">
      <c r="A440" s="14"/>
      <c r="B440" s="14"/>
      <c r="C440" s="14"/>
      <c r="D440" s="14"/>
      <c r="E440" s="7"/>
      <c r="F440" s="7"/>
      <c r="G440" s="7"/>
      <c r="H440" s="7"/>
      <c r="I440" s="7"/>
      <c r="J440" s="14"/>
      <c r="K440" s="7"/>
      <c r="L440" s="14"/>
      <c r="M440" s="14"/>
      <c r="N440" s="14"/>
      <c r="O440" s="14"/>
      <c r="P440" s="14"/>
      <c r="Q440" s="14"/>
      <c r="R440" s="14"/>
      <c r="S440" s="14"/>
      <c r="T440" s="14"/>
      <c r="U440" s="14"/>
      <c r="V440" s="272"/>
      <c r="W440" s="272"/>
      <c r="X440" s="14"/>
      <c r="Y440" s="14"/>
      <c r="Z440" s="14"/>
      <c r="AA440" s="14"/>
      <c r="AB440" s="14"/>
      <c r="AC440" s="14"/>
      <c r="AD440" s="14"/>
      <c r="AE440" s="14"/>
      <c r="AF440" s="14"/>
      <c r="AG440" s="14"/>
      <c r="AH440" s="14"/>
      <c r="AI440" s="7"/>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row>
    <row r="441">
      <c r="A441" s="14"/>
      <c r="B441" s="14"/>
      <c r="C441" s="14"/>
      <c r="D441" s="14"/>
      <c r="E441" s="7"/>
      <c r="F441" s="7"/>
      <c r="G441" s="7"/>
      <c r="H441" s="7"/>
      <c r="I441" s="7"/>
      <c r="J441" s="14"/>
      <c r="K441" s="7"/>
      <c r="L441" s="14"/>
      <c r="M441" s="14"/>
      <c r="N441" s="14"/>
      <c r="O441" s="14"/>
      <c r="P441" s="14"/>
      <c r="Q441" s="14"/>
      <c r="R441" s="14"/>
      <c r="S441" s="14"/>
      <c r="T441" s="14"/>
      <c r="U441" s="14"/>
      <c r="V441" s="272"/>
      <c r="W441" s="272"/>
      <c r="X441" s="14"/>
      <c r="Y441" s="14"/>
      <c r="Z441" s="14"/>
      <c r="AA441" s="14"/>
      <c r="AB441" s="14"/>
      <c r="AC441" s="14"/>
      <c r="AD441" s="14"/>
      <c r="AE441" s="14"/>
      <c r="AF441" s="14"/>
      <c r="AG441" s="14"/>
      <c r="AH441" s="14"/>
      <c r="AI441" s="7"/>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row>
    <row r="442">
      <c r="A442" s="14"/>
      <c r="B442" s="14"/>
      <c r="C442" s="14"/>
      <c r="D442" s="14"/>
      <c r="E442" s="7"/>
      <c r="F442" s="7"/>
      <c r="G442" s="7"/>
      <c r="H442" s="7"/>
      <c r="I442" s="7"/>
      <c r="J442" s="14"/>
      <c r="K442" s="7"/>
      <c r="L442" s="14"/>
      <c r="M442" s="14"/>
      <c r="N442" s="14"/>
      <c r="O442" s="14"/>
      <c r="P442" s="14"/>
      <c r="Q442" s="14"/>
      <c r="R442" s="14"/>
      <c r="S442" s="14"/>
      <c r="T442" s="14"/>
      <c r="U442" s="14"/>
      <c r="V442" s="272"/>
      <c r="W442" s="272"/>
      <c r="X442" s="14"/>
      <c r="Y442" s="14"/>
      <c r="Z442" s="14"/>
      <c r="AA442" s="14"/>
      <c r="AB442" s="14"/>
      <c r="AC442" s="14"/>
      <c r="AD442" s="14"/>
      <c r="AE442" s="14"/>
      <c r="AF442" s="14"/>
      <c r="AG442" s="14"/>
      <c r="AH442" s="14"/>
      <c r="AI442" s="7"/>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row>
    <row r="443">
      <c r="A443" s="14"/>
      <c r="B443" s="14"/>
      <c r="C443" s="14"/>
      <c r="D443" s="14"/>
      <c r="E443" s="7"/>
      <c r="F443" s="7"/>
      <c r="G443" s="7"/>
      <c r="H443" s="7"/>
      <c r="I443" s="7"/>
      <c r="J443" s="14"/>
      <c r="K443" s="7"/>
      <c r="L443" s="14"/>
      <c r="M443" s="14"/>
      <c r="N443" s="14"/>
      <c r="O443" s="14"/>
      <c r="P443" s="14"/>
      <c r="Q443" s="14"/>
      <c r="R443" s="14"/>
      <c r="S443" s="14"/>
      <c r="T443" s="14"/>
      <c r="U443" s="14"/>
      <c r="V443" s="272"/>
      <c r="W443" s="272"/>
      <c r="X443" s="14"/>
      <c r="Y443" s="14"/>
      <c r="Z443" s="14"/>
      <c r="AA443" s="14"/>
      <c r="AB443" s="14"/>
      <c r="AC443" s="14"/>
      <c r="AD443" s="14"/>
      <c r="AE443" s="14"/>
      <c r="AF443" s="14"/>
      <c r="AG443" s="14"/>
      <c r="AH443" s="14"/>
      <c r="AI443" s="7"/>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row>
    <row r="444">
      <c r="A444" s="14"/>
      <c r="B444" s="14"/>
      <c r="C444" s="14"/>
      <c r="D444" s="14"/>
      <c r="E444" s="7"/>
      <c r="F444" s="7"/>
      <c r="G444" s="7"/>
      <c r="H444" s="7"/>
      <c r="I444" s="7"/>
      <c r="J444" s="14"/>
      <c r="K444" s="7"/>
      <c r="L444" s="14"/>
      <c r="M444" s="14"/>
      <c r="N444" s="14"/>
      <c r="O444" s="14"/>
      <c r="P444" s="14"/>
      <c r="Q444" s="14"/>
      <c r="R444" s="14"/>
      <c r="S444" s="14"/>
      <c r="T444" s="14"/>
      <c r="U444" s="14"/>
      <c r="V444" s="272"/>
      <c r="W444" s="272"/>
      <c r="X444" s="14"/>
      <c r="Y444" s="14"/>
      <c r="Z444" s="14"/>
      <c r="AA444" s="14"/>
      <c r="AB444" s="14"/>
      <c r="AC444" s="14"/>
      <c r="AD444" s="14"/>
      <c r="AE444" s="14"/>
      <c r="AF444" s="14"/>
      <c r="AG444" s="14"/>
      <c r="AH444" s="14"/>
      <c r="AI444" s="7"/>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row>
    <row r="445">
      <c r="A445" s="14"/>
      <c r="B445" s="14"/>
      <c r="C445" s="14"/>
      <c r="D445" s="14"/>
      <c r="E445" s="7"/>
      <c r="F445" s="7"/>
      <c r="G445" s="7"/>
      <c r="H445" s="7"/>
      <c r="I445" s="7"/>
      <c r="J445" s="14"/>
      <c r="K445" s="7"/>
      <c r="L445" s="14"/>
      <c r="M445" s="14"/>
      <c r="N445" s="14"/>
      <c r="O445" s="14"/>
      <c r="P445" s="14"/>
      <c r="Q445" s="14"/>
      <c r="R445" s="14"/>
      <c r="S445" s="14"/>
      <c r="T445" s="14"/>
      <c r="U445" s="14"/>
      <c r="V445" s="272"/>
      <c r="W445" s="272"/>
      <c r="X445" s="14"/>
      <c r="Y445" s="14"/>
      <c r="Z445" s="14"/>
      <c r="AA445" s="14"/>
      <c r="AB445" s="14"/>
      <c r="AC445" s="14"/>
      <c r="AD445" s="14"/>
      <c r="AE445" s="14"/>
      <c r="AF445" s="14"/>
      <c r="AG445" s="14"/>
      <c r="AH445" s="14"/>
      <c r="AI445" s="7"/>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row>
    <row r="446">
      <c r="A446" s="14"/>
      <c r="B446" s="14"/>
      <c r="C446" s="14"/>
      <c r="D446" s="14"/>
      <c r="E446" s="7"/>
      <c r="F446" s="7"/>
      <c r="G446" s="7"/>
      <c r="H446" s="7"/>
      <c r="I446" s="7"/>
      <c r="J446" s="14"/>
      <c r="K446" s="7"/>
      <c r="L446" s="14"/>
      <c r="M446" s="14"/>
      <c r="N446" s="14"/>
      <c r="O446" s="14"/>
      <c r="P446" s="14"/>
      <c r="Q446" s="14"/>
      <c r="R446" s="14"/>
      <c r="S446" s="14"/>
      <c r="T446" s="14"/>
      <c r="U446" s="14"/>
      <c r="V446" s="272"/>
      <c r="W446" s="272"/>
      <c r="X446" s="14"/>
      <c r="Y446" s="14"/>
      <c r="Z446" s="14"/>
      <c r="AA446" s="14"/>
      <c r="AB446" s="14"/>
      <c r="AC446" s="14"/>
      <c r="AD446" s="14"/>
      <c r="AE446" s="14"/>
      <c r="AF446" s="14"/>
      <c r="AG446" s="14"/>
      <c r="AH446" s="14"/>
      <c r="AI446" s="7"/>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row>
    <row r="447">
      <c r="A447" s="14"/>
      <c r="B447" s="14"/>
      <c r="C447" s="14"/>
      <c r="D447" s="14"/>
      <c r="E447" s="7"/>
      <c r="F447" s="7"/>
      <c r="G447" s="7"/>
      <c r="H447" s="7"/>
      <c r="I447" s="7"/>
      <c r="J447" s="14"/>
      <c r="K447" s="7"/>
      <c r="L447" s="14"/>
      <c r="M447" s="14"/>
      <c r="N447" s="14"/>
      <c r="O447" s="14"/>
      <c r="P447" s="14"/>
      <c r="Q447" s="14"/>
      <c r="R447" s="14"/>
      <c r="S447" s="14"/>
      <c r="T447" s="14"/>
      <c r="U447" s="14"/>
      <c r="V447" s="272"/>
      <c r="W447" s="272"/>
      <c r="X447" s="14"/>
      <c r="Y447" s="14"/>
      <c r="Z447" s="14"/>
      <c r="AA447" s="14"/>
      <c r="AB447" s="14"/>
      <c r="AC447" s="14"/>
      <c r="AD447" s="14"/>
      <c r="AE447" s="14"/>
      <c r="AF447" s="14"/>
      <c r="AG447" s="14"/>
      <c r="AH447" s="14"/>
      <c r="AI447" s="7"/>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row>
    <row r="448">
      <c r="A448" s="14"/>
      <c r="B448" s="14"/>
      <c r="C448" s="14"/>
      <c r="D448" s="14"/>
      <c r="E448" s="7"/>
      <c r="F448" s="7"/>
      <c r="G448" s="7"/>
      <c r="H448" s="7"/>
      <c r="I448" s="7"/>
      <c r="J448" s="14"/>
      <c r="K448" s="7"/>
      <c r="L448" s="14"/>
      <c r="M448" s="14"/>
      <c r="N448" s="14"/>
      <c r="O448" s="14"/>
      <c r="P448" s="14"/>
      <c r="Q448" s="14"/>
      <c r="R448" s="14"/>
      <c r="S448" s="14"/>
      <c r="T448" s="14"/>
      <c r="U448" s="14"/>
      <c r="V448" s="272"/>
      <c r="W448" s="272"/>
      <c r="X448" s="14"/>
      <c r="Y448" s="14"/>
      <c r="Z448" s="14"/>
      <c r="AA448" s="14"/>
      <c r="AB448" s="14"/>
      <c r="AC448" s="14"/>
      <c r="AD448" s="14"/>
      <c r="AE448" s="14"/>
      <c r="AF448" s="14"/>
      <c r="AG448" s="14"/>
      <c r="AH448" s="14"/>
      <c r="AI448" s="7"/>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row>
    <row r="449">
      <c r="A449" s="14"/>
      <c r="B449" s="14"/>
      <c r="C449" s="14"/>
      <c r="D449" s="14"/>
      <c r="E449" s="7"/>
      <c r="F449" s="7"/>
      <c r="G449" s="7"/>
      <c r="H449" s="7"/>
      <c r="I449" s="7"/>
      <c r="J449" s="14"/>
      <c r="K449" s="7"/>
      <c r="L449" s="14"/>
      <c r="M449" s="14"/>
      <c r="N449" s="14"/>
      <c r="O449" s="14"/>
      <c r="P449" s="14"/>
      <c r="Q449" s="14"/>
      <c r="R449" s="14"/>
      <c r="S449" s="14"/>
      <c r="T449" s="14"/>
      <c r="U449" s="14"/>
      <c r="V449" s="272"/>
      <c r="W449" s="272"/>
      <c r="X449" s="14"/>
      <c r="Y449" s="14"/>
      <c r="Z449" s="14"/>
      <c r="AA449" s="14"/>
      <c r="AB449" s="14"/>
      <c r="AC449" s="14"/>
      <c r="AD449" s="14"/>
      <c r="AE449" s="14"/>
      <c r="AF449" s="14"/>
      <c r="AG449" s="14"/>
      <c r="AH449" s="14"/>
      <c r="AI449" s="7"/>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row>
    <row r="450">
      <c r="A450" s="14"/>
      <c r="B450" s="14"/>
      <c r="C450" s="14"/>
      <c r="D450" s="14"/>
      <c r="E450" s="7"/>
      <c r="F450" s="7"/>
      <c r="G450" s="7"/>
      <c r="H450" s="7"/>
      <c r="I450" s="7"/>
      <c r="J450" s="14"/>
      <c r="K450" s="7"/>
      <c r="L450" s="14"/>
      <c r="M450" s="14"/>
      <c r="N450" s="14"/>
      <c r="O450" s="14"/>
      <c r="P450" s="14"/>
      <c r="Q450" s="14"/>
      <c r="R450" s="14"/>
      <c r="S450" s="14"/>
      <c r="T450" s="14"/>
      <c r="U450" s="14"/>
      <c r="V450" s="272"/>
      <c r="W450" s="272"/>
      <c r="X450" s="14"/>
      <c r="Y450" s="14"/>
      <c r="Z450" s="14"/>
      <c r="AA450" s="14"/>
      <c r="AB450" s="14"/>
      <c r="AC450" s="14"/>
      <c r="AD450" s="14"/>
      <c r="AE450" s="14"/>
      <c r="AF450" s="14"/>
      <c r="AG450" s="14"/>
      <c r="AH450" s="14"/>
      <c r="AI450" s="7"/>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row>
    <row r="451">
      <c r="A451" s="14"/>
      <c r="B451" s="14"/>
      <c r="C451" s="14"/>
      <c r="D451" s="14"/>
      <c r="E451" s="7"/>
      <c r="F451" s="7"/>
      <c r="G451" s="7"/>
      <c r="H451" s="7"/>
      <c r="I451" s="7"/>
      <c r="J451" s="14"/>
      <c r="K451" s="7"/>
      <c r="L451" s="14"/>
      <c r="M451" s="14"/>
      <c r="N451" s="14"/>
      <c r="O451" s="14"/>
      <c r="P451" s="14"/>
      <c r="Q451" s="14"/>
      <c r="R451" s="14"/>
      <c r="S451" s="14"/>
      <c r="T451" s="14"/>
      <c r="U451" s="14"/>
      <c r="V451" s="272"/>
      <c r="W451" s="272"/>
      <c r="X451" s="14"/>
      <c r="Y451" s="14"/>
      <c r="Z451" s="14"/>
      <c r="AA451" s="14"/>
      <c r="AB451" s="14"/>
      <c r="AC451" s="14"/>
      <c r="AD451" s="14"/>
      <c r="AE451" s="14"/>
      <c r="AF451" s="14"/>
      <c r="AG451" s="14"/>
      <c r="AH451" s="14"/>
      <c r="AI451" s="7"/>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row>
    <row r="452">
      <c r="A452" s="14"/>
      <c r="B452" s="14"/>
      <c r="C452" s="14"/>
      <c r="D452" s="14"/>
      <c r="E452" s="7"/>
      <c r="F452" s="7"/>
      <c r="G452" s="7"/>
      <c r="H452" s="7"/>
      <c r="I452" s="7"/>
      <c r="J452" s="14"/>
      <c r="K452" s="7"/>
      <c r="L452" s="14"/>
      <c r="M452" s="14"/>
      <c r="N452" s="14"/>
      <c r="O452" s="14"/>
      <c r="P452" s="14"/>
      <c r="Q452" s="14"/>
      <c r="R452" s="14"/>
      <c r="S452" s="14"/>
      <c r="T452" s="14"/>
      <c r="U452" s="14"/>
      <c r="V452" s="272"/>
      <c r="W452" s="272"/>
      <c r="X452" s="14"/>
      <c r="Y452" s="14"/>
      <c r="Z452" s="14"/>
      <c r="AA452" s="14"/>
      <c r="AB452" s="14"/>
      <c r="AC452" s="14"/>
      <c r="AD452" s="14"/>
      <c r="AE452" s="14"/>
      <c r="AF452" s="14"/>
      <c r="AG452" s="14"/>
      <c r="AH452" s="14"/>
      <c r="AI452" s="7"/>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row>
    <row r="453">
      <c r="A453" s="14"/>
      <c r="B453" s="14"/>
      <c r="C453" s="14"/>
      <c r="D453" s="14"/>
      <c r="E453" s="7"/>
      <c r="F453" s="7"/>
      <c r="G453" s="7"/>
      <c r="H453" s="7"/>
      <c r="I453" s="7"/>
      <c r="J453" s="14"/>
      <c r="K453" s="7"/>
      <c r="L453" s="14"/>
      <c r="M453" s="14"/>
      <c r="N453" s="14"/>
      <c r="O453" s="14"/>
      <c r="P453" s="14"/>
      <c r="Q453" s="14"/>
      <c r="R453" s="14"/>
      <c r="S453" s="14"/>
      <c r="T453" s="14"/>
      <c r="U453" s="14"/>
      <c r="V453" s="272"/>
      <c r="W453" s="272"/>
      <c r="X453" s="14"/>
      <c r="Y453" s="14"/>
      <c r="Z453" s="14"/>
      <c r="AA453" s="14"/>
      <c r="AB453" s="14"/>
      <c r="AC453" s="14"/>
      <c r="AD453" s="14"/>
      <c r="AE453" s="14"/>
      <c r="AF453" s="14"/>
      <c r="AG453" s="14"/>
      <c r="AH453" s="14"/>
      <c r="AI453" s="7"/>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row>
    <row r="454">
      <c r="A454" s="14"/>
      <c r="B454" s="14"/>
      <c r="C454" s="14"/>
      <c r="D454" s="14"/>
      <c r="E454" s="7"/>
      <c r="F454" s="7"/>
      <c r="G454" s="7"/>
      <c r="H454" s="7"/>
      <c r="I454" s="7"/>
      <c r="J454" s="14"/>
      <c r="K454" s="7"/>
      <c r="L454" s="14"/>
      <c r="M454" s="14"/>
      <c r="N454" s="14"/>
      <c r="O454" s="14"/>
      <c r="P454" s="14"/>
      <c r="Q454" s="14"/>
      <c r="R454" s="14"/>
      <c r="S454" s="14"/>
      <c r="T454" s="14"/>
      <c r="U454" s="14"/>
      <c r="V454" s="272"/>
      <c r="W454" s="272"/>
      <c r="X454" s="14"/>
      <c r="Y454" s="14"/>
      <c r="Z454" s="14"/>
      <c r="AA454" s="14"/>
      <c r="AB454" s="14"/>
      <c r="AC454" s="14"/>
      <c r="AD454" s="14"/>
      <c r="AE454" s="14"/>
      <c r="AF454" s="14"/>
      <c r="AG454" s="14"/>
      <c r="AH454" s="14"/>
      <c r="AI454" s="7"/>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row>
    <row r="455">
      <c r="A455" s="14"/>
      <c r="B455" s="14"/>
      <c r="C455" s="14"/>
      <c r="D455" s="14"/>
      <c r="E455" s="7"/>
      <c r="F455" s="7"/>
      <c r="G455" s="7"/>
      <c r="H455" s="7"/>
      <c r="I455" s="7"/>
      <c r="J455" s="14"/>
      <c r="K455" s="7"/>
      <c r="L455" s="14"/>
      <c r="M455" s="14"/>
      <c r="N455" s="14"/>
      <c r="O455" s="14"/>
      <c r="P455" s="14"/>
      <c r="Q455" s="14"/>
      <c r="R455" s="14"/>
      <c r="S455" s="14"/>
      <c r="T455" s="14"/>
      <c r="U455" s="14"/>
      <c r="V455" s="272"/>
      <c r="W455" s="272"/>
      <c r="X455" s="14"/>
      <c r="Y455" s="14"/>
      <c r="Z455" s="14"/>
      <c r="AA455" s="14"/>
      <c r="AB455" s="14"/>
      <c r="AC455" s="14"/>
      <c r="AD455" s="14"/>
      <c r="AE455" s="14"/>
      <c r="AF455" s="14"/>
      <c r="AG455" s="14"/>
      <c r="AH455" s="14"/>
      <c r="AI455" s="7"/>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row>
    <row r="456">
      <c r="A456" s="14"/>
      <c r="B456" s="14"/>
      <c r="C456" s="14"/>
      <c r="D456" s="14"/>
      <c r="E456" s="7"/>
      <c r="F456" s="7"/>
      <c r="G456" s="7"/>
      <c r="H456" s="7"/>
      <c r="I456" s="7"/>
      <c r="J456" s="14"/>
      <c r="K456" s="7"/>
      <c r="L456" s="14"/>
      <c r="M456" s="14"/>
      <c r="N456" s="14"/>
      <c r="O456" s="14"/>
      <c r="P456" s="14"/>
      <c r="Q456" s="14"/>
      <c r="R456" s="14"/>
      <c r="S456" s="14"/>
      <c r="T456" s="14"/>
      <c r="U456" s="14"/>
      <c r="V456" s="272"/>
      <c r="W456" s="272"/>
      <c r="X456" s="14"/>
      <c r="Y456" s="14"/>
      <c r="Z456" s="14"/>
      <c r="AA456" s="14"/>
      <c r="AB456" s="14"/>
      <c r="AC456" s="14"/>
      <c r="AD456" s="14"/>
      <c r="AE456" s="14"/>
      <c r="AF456" s="14"/>
      <c r="AG456" s="14"/>
      <c r="AH456" s="14"/>
      <c r="AI456" s="7"/>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row>
    <row r="457">
      <c r="A457" s="14"/>
      <c r="B457" s="14"/>
      <c r="C457" s="14"/>
      <c r="D457" s="14"/>
      <c r="E457" s="7"/>
      <c r="F457" s="7"/>
      <c r="G457" s="7"/>
      <c r="H457" s="7"/>
      <c r="I457" s="7"/>
      <c r="J457" s="14"/>
      <c r="K457" s="7"/>
      <c r="L457" s="14"/>
      <c r="M457" s="14"/>
      <c r="N457" s="14"/>
      <c r="O457" s="14"/>
      <c r="P457" s="14"/>
      <c r="Q457" s="14"/>
      <c r="R457" s="14"/>
      <c r="S457" s="14"/>
      <c r="T457" s="14"/>
      <c r="U457" s="14"/>
      <c r="V457" s="272"/>
      <c r="W457" s="272"/>
      <c r="X457" s="14"/>
      <c r="Y457" s="14"/>
      <c r="Z457" s="14"/>
      <c r="AA457" s="14"/>
      <c r="AB457" s="14"/>
      <c r="AC457" s="14"/>
      <c r="AD457" s="14"/>
      <c r="AE457" s="14"/>
      <c r="AF457" s="14"/>
      <c r="AG457" s="14"/>
      <c r="AH457" s="14"/>
      <c r="AI457" s="7"/>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row>
    <row r="458">
      <c r="A458" s="14"/>
      <c r="B458" s="14"/>
      <c r="C458" s="14"/>
      <c r="D458" s="14"/>
      <c r="E458" s="7"/>
      <c r="F458" s="7"/>
      <c r="G458" s="7"/>
      <c r="H458" s="7"/>
      <c r="I458" s="7"/>
      <c r="J458" s="14"/>
      <c r="K458" s="7"/>
      <c r="L458" s="14"/>
      <c r="M458" s="14"/>
      <c r="N458" s="14"/>
      <c r="O458" s="14"/>
      <c r="P458" s="14"/>
      <c r="Q458" s="14"/>
      <c r="R458" s="14"/>
      <c r="S458" s="14"/>
      <c r="T458" s="14"/>
      <c r="U458" s="14"/>
      <c r="V458" s="272"/>
      <c r="W458" s="272"/>
      <c r="X458" s="14"/>
      <c r="Y458" s="14"/>
      <c r="Z458" s="14"/>
      <c r="AA458" s="14"/>
      <c r="AB458" s="14"/>
      <c r="AC458" s="14"/>
      <c r="AD458" s="14"/>
      <c r="AE458" s="14"/>
      <c r="AF458" s="14"/>
      <c r="AG458" s="14"/>
      <c r="AH458" s="14"/>
      <c r="AI458" s="7"/>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row>
    <row r="459">
      <c r="A459" s="14"/>
      <c r="B459" s="14"/>
      <c r="C459" s="14"/>
      <c r="D459" s="14"/>
      <c r="E459" s="7"/>
      <c r="F459" s="7"/>
      <c r="G459" s="7"/>
      <c r="H459" s="7"/>
      <c r="I459" s="7"/>
      <c r="J459" s="14"/>
      <c r="K459" s="7"/>
      <c r="L459" s="14"/>
      <c r="M459" s="14"/>
      <c r="N459" s="14"/>
      <c r="O459" s="14"/>
      <c r="P459" s="14"/>
      <c r="Q459" s="14"/>
      <c r="R459" s="14"/>
      <c r="S459" s="14"/>
      <c r="T459" s="14"/>
      <c r="U459" s="14"/>
      <c r="V459" s="272"/>
      <c r="W459" s="272"/>
      <c r="X459" s="14"/>
      <c r="Y459" s="14"/>
      <c r="Z459" s="14"/>
      <c r="AA459" s="14"/>
      <c r="AB459" s="14"/>
      <c r="AC459" s="14"/>
      <c r="AD459" s="14"/>
      <c r="AE459" s="14"/>
      <c r="AF459" s="14"/>
      <c r="AG459" s="14"/>
      <c r="AH459" s="14"/>
      <c r="AI459" s="7"/>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row>
    <row r="460">
      <c r="A460" s="14"/>
      <c r="B460" s="14"/>
      <c r="C460" s="14"/>
      <c r="D460" s="14"/>
      <c r="E460" s="7"/>
      <c r="F460" s="7"/>
      <c r="G460" s="7"/>
      <c r="H460" s="7"/>
      <c r="I460" s="7"/>
      <c r="J460" s="14"/>
      <c r="K460" s="7"/>
      <c r="L460" s="14"/>
      <c r="M460" s="14"/>
      <c r="N460" s="14"/>
      <c r="O460" s="14"/>
      <c r="P460" s="14"/>
      <c r="Q460" s="14"/>
      <c r="R460" s="14"/>
      <c r="S460" s="14"/>
      <c r="T460" s="14"/>
      <c r="U460" s="14"/>
      <c r="V460" s="272"/>
      <c r="W460" s="272"/>
      <c r="X460" s="14"/>
      <c r="Y460" s="14"/>
      <c r="Z460" s="14"/>
      <c r="AA460" s="14"/>
      <c r="AB460" s="14"/>
      <c r="AC460" s="14"/>
      <c r="AD460" s="14"/>
      <c r="AE460" s="14"/>
      <c r="AF460" s="14"/>
      <c r="AG460" s="14"/>
      <c r="AH460" s="14"/>
      <c r="AI460" s="7"/>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row>
    <row r="461">
      <c r="A461" s="14"/>
      <c r="B461" s="14"/>
      <c r="C461" s="14"/>
      <c r="D461" s="14"/>
      <c r="E461" s="7"/>
      <c r="F461" s="7"/>
      <c r="G461" s="7"/>
      <c r="H461" s="7"/>
      <c r="I461" s="7"/>
      <c r="J461" s="14"/>
      <c r="K461" s="7"/>
      <c r="L461" s="14"/>
      <c r="M461" s="14"/>
      <c r="N461" s="14"/>
      <c r="O461" s="14"/>
      <c r="P461" s="14"/>
      <c r="Q461" s="14"/>
      <c r="R461" s="14"/>
      <c r="S461" s="14"/>
      <c r="T461" s="14"/>
      <c r="U461" s="14"/>
      <c r="V461" s="272"/>
      <c r="W461" s="272"/>
      <c r="X461" s="14"/>
      <c r="Y461" s="14"/>
      <c r="Z461" s="14"/>
      <c r="AA461" s="14"/>
      <c r="AB461" s="14"/>
      <c r="AC461" s="14"/>
      <c r="AD461" s="14"/>
      <c r="AE461" s="14"/>
      <c r="AF461" s="14"/>
      <c r="AG461" s="14"/>
      <c r="AH461" s="14"/>
      <c r="AI461" s="7"/>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row>
    <row r="462">
      <c r="A462" s="14"/>
      <c r="B462" s="14"/>
      <c r="C462" s="14"/>
      <c r="D462" s="14"/>
      <c r="E462" s="7"/>
      <c r="F462" s="7"/>
      <c r="G462" s="7"/>
      <c r="H462" s="7"/>
      <c r="I462" s="7"/>
      <c r="J462" s="14"/>
      <c r="K462" s="7"/>
      <c r="L462" s="14"/>
      <c r="M462" s="14"/>
      <c r="N462" s="14"/>
      <c r="O462" s="14"/>
      <c r="P462" s="14"/>
      <c r="Q462" s="14"/>
      <c r="R462" s="14"/>
      <c r="S462" s="14"/>
      <c r="T462" s="14"/>
      <c r="U462" s="14"/>
      <c r="V462" s="272"/>
      <c r="W462" s="272"/>
      <c r="X462" s="14"/>
      <c r="Y462" s="14"/>
      <c r="Z462" s="14"/>
      <c r="AA462" s="14"/>
      <c r="AB462" s="14"/>
      <c r="AC462" s="14"/>
      <c r="AD462" s="14"/>
      <c r="AE462" s="14"/>
      <c r="AF462" s="14"/>
      <c r="AG462" s="14"/>
      <c r="AH462" s="14"/>
      <c r="AI462" s="7"/>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row>
    <row r="463">
      <c r="A463" s="14"/>
      <c r="B463" s="14"/>
      <c r="C463" s="14"/>
      <c r="D463" s="14"/>
      <c r="E463" s="7"/>
      <c r="F463" s="7"/>
      <c r="G463" s="7"/>
      <c r="H463" s="7"/>
      <c r="I463" s="7"/>
      <c r="J463" s="14"/>
      <c r="K463" s="7"/>
      <c r="L463" s="14"/>
      <c r="M463" s="14"/>
      <c r="N463" s="14"/>
      <c r="O463" s="14"/>
      <c r="P463" s="14"/>
      <c r="Q463" s="14"/>
      <c r="R463" s="14"/>
      <c r="S463" s="14"/>
      <c r="T463" s="14"/>
      <c r="U463" s="14"/>
      <c r="V463" s="272"/>
      <c r="W463" s="272"/>
      <c r="X463" s="14"/>
      <c r="Y463" s="14"/>
      <c r="Z463" s="14"/>
      <c r="AA463" s="14"/>
      <c r="AB463" s="14"/>
      <c r="AC463" s="14"/>
      <c r="AD463" s="14"/>
      <c r="AE463" s="14"/>
      <c r="AF463" s="14"/>
      <c r="AG463" s="14"/>
      <c r="AH463" s="14"/>
      <c r="AI463" s="7"/>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row>
    <row r="464">
      <c r="A464" s="14"/>
      <c r="B464" s="14"/>
      <c r="C464" s="14"/>
      <c r="D464" s="14"/>
      <c r="E464" s="7"/>
      <c r="F464" s="7"/>
      <c r="G464" s="7"/>
      <c r="H464" s="7"/>
      <c r="I464" s="7"/>
      <c r="J464" s="14"/>
      <c r="K464" s="7"/>
      <c r="L464" s="14"/>
      <c r="M464" s="14"/>
      <c r="N464" s="14"/>
      <c r="O464" s="14"/>
      <c r="P464" s="14"/>
      <c r="Q464" s="14"/>
      <c r="R464" s="14"/>
      <c r="S464" s="14"/>
      <c r="T464" s="14"/>
      <c r="U464" s="14"/>
      <c r="V464" s="272"/>
      <c r="W464" s="272"/>
      <c r="X464" s="14"/>
      <c r="Y464" s="14"/>
      <c r="Z464" s="14"/>
      <c r="AA464" s="14"/>
      <c r="AB464" s="14"/>
      <c r="AC464" s="14"/>
      <c r="AD464" s="14"/>
      <c r="AE464" s="14"/>
      <c r="AF464" s="14"/>
      <c r="AG464" s="14"/>
      <c r="AH464" s="14"/>
      <c r="AI464" s="7"/>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row>
    <row r="465">
      <c r="A465" s="14"/>
      <c r="B465" s="14"/>
      <c r="C465" s="14"/>
      <c r="D465" s="14"/>
      <c r="E465" s="7"/>
      <c r="F465" s="7"/>
      <c r="G465" s="7"/>
      <c r="H465" s="7"/>
      <c r="I465" s="7"/>
      <c r="J465" s="14"/>
      <c r="K465" s="7"/>
      <c r="L465" s="14"/>
      <c r="M465" s="14"/>
      <c r="N465" s="14"/>
      <c r="O465" s="14"/>
      <c r="P465" s="14"/>
      <c r="Q465" s="14"/>
      <c r="R465" s="14"/>
      <c r="S465" s="14"/>
      <c r="T465" s="14"/>
      <c r="U465" s="14"/>
      <c r="V465" s="272"/>
      <c r="W465" s="272"/>
      <c r="X465" s="14"/>
      <c r="Y465" s="14"/>
      <c r="Z465" s="14"/>
      <c r="AA465" s="14"/>
      <c r="AB465" s="14"/>
      <c r="AC465" s="14"/>
      <c r="AD465" s="14"/>
      <c r="AE465" s="14"/>
      <c r="AF465" s="14"/>
      <c r="AG465" s="14"/>
      <c r="AH465" s="14"/>
      <c r="AI465" s="7"/>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row>
    <row r="466">
      <c r="A466" s="14"/>
      <c r="B466" s="14"/>
      <c r="C466" s="14"/>
      <c r="D466" s="14"/>
      <c r="E466" s="7"/>
      <c r="F466" s="7"/>
      <c r="G466" s="7"/>
      <c r="H466" s="7"/>
      <c r="I466" s="7"/>
      <c r="J466" s="14"/>
      <c r="K466" s="7"/>
      <c r="L466" s="14"/>
      <c r="M466" s="14"/>
      <c r="N466" s="14"/>
      <c r="O466" s="14"/>
      <c r="P466" s="14"/>
      <c r="Q466" s="14"/>
      <c r="R466" s="14"/>
      <c r="S466" s="14"/>
      <c r="T466" s="14"/>
      <c r="U466" s="14"/>
      <c r="V466" s="272"/>
      <c r="W466" s="272"/>
      <c r="X466" s="14"/>
      <c r="Y466" s="14"/>
      <c r="Z466" s="14"/>
      <c r="AA466" s="14"/>
      <c r="AB466" s="14"/>
      <c r="AC466" s="14"/>
      <c r="AD466" s="14"/>
      <c r="AE466" s="14"/>
      <c r="AF466" s="14"/>
      <c r="AG466" s="14"/>
      <c r="AH466" s="14"/>
      <c r="AI466" s="7"/>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row>
    <row r="467">
      <c r="A467" s="14"/>
      <c r="B467" s="14"/>
      <c r="C467" s="14"/>
      <c r="D467" s="14"/>
      <c r="E467" s="7"/>
      <c r="F467" s="7"/>
      <c r="G467" s="7"/>
      <c r="H467" s="7"/>
      <c r="I467" s="7"/>
      <c r="J467" s="14"/>
      <c r="K467" s="7"/>
      <c r="L467" s="14"/>
      <c r="M467" s="14"/>
      <c r="N467" s="14"/>
      <c r="O467" s="14"/>
      <c r="P467" s="14"/>
      <c r="Q467" s="14"/>
      <c r="R467" s="14"/>
      <c r="S467" s="14"/>
      <c r="T467" s="14"/>
      <c r="U467" s="14"/>
      <c r="V467" s="272"/>
      <c r="W467" s="272"/>
      <c r="X467" s="14"/>
      <c r="Y467" s="14"/>
      <c r="Z467" s="14"/>
      <c r="AA467" s="14"/>
      <c r="AB467" s="14"/>
      <c r="AC467" s="14"/>
      <c r="AD467" s="14"/>
      <c r="AE467" s="14"/>
      <c r="AF467" s="14"/>
      <c r="AG467" s="14"/>
      <c r="AH467" s="14"/>
      <c r="AI467" s="7"/>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row>
    <row r="468">
      <c r="A468" s="14"/>
      <c r="B468" s="14"/>
      <c r="C468" s="14"/>
      <c r="D468" s="14"/>
      <c r="E468" s="7"/>
      <c r="F468" s="7"/>
      <c r="G468" s="7"/>
      <c r="H468" s="7"/>
      <c r="I468" s="7"/>
      <c r="J468" s="14"/>
      <c r="K468" s="7"/>
      <c r="L468" s="14"/>
      <c r="M468" s="14"/>
      <c r="N468" s="14"/>
      <c r="O468" s="14"/>
      <c r="P468" s="14"/>
      <c r="Q468" s="14"/>
      <c r="R468" s="14"/>
      <c r="S468" s="14"/>
      <c r="T468" s="14"/>
      <c r="U468" s="14"/>
      <c r="V468" s="272"/>
      <c r="W468" s="272"/>
      <c r="X468" s="14"/>
      <c r="Y468" s="14"/>
      <c r="Z468" s="14"/>
      <c r="AA468" s="14"/>
      <c r="AB468" s="14"/>
      <c r="AC468" s="14"/>
      <c r="AD468" s="14"/>
      <c r="AE468" s="14"/>
      <c r="AF468" s="14"/>
      <c r="AG468" s="14"/>
      <c r="AH468" s="14"/>
      <c r="AI468" s="7"/>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row>
    <row r="469">
      <c r="A469" s="14"/>
      <c r="B469" s="14"/>
      <c r="C469" s="14"/>
      <c r="D469" s="14"/>
      <c r="E469" s="7"/>
      <c r="F469" s="7"/>
      <c r="G469" s="7"/>
      <c r="H469" s="7"/>
      <c r="I469" s="7"/>
      <c r="J469" s="14"/>
      <c r="K469" s="7"/>
      <c r="L469" s="14"/>
      <c r="M469" s="14"/>
      <c r="N469" s="14"/>
      <c r="O469" s="14"/>
      <c r="P469" s="14"/>
      <c r="Q469" s="14"/>
      <c r="R469" s="14"/>
      <c r="S469" s="14"/>
      <c r="T469" s="14"/>
      <c r="U469" s="14"/>
      <c r="V469" s="272"/>
      <c r="W469" s="272"/>
      <c r="X469" s="14"/>
      <c r="Y469" s="14"/>
      <c r="Z469" s="14"/>
      <c r="AA469" s="14"/>
      <c r="AB469" s="14"/>
      <c r="AC469" s="14"/>
      <c r="AD469" s="14"/>
      <c r="AE469" s="14"/>
      <c r="AF469" s="14"/>
      <c r="AG469" s="14"/>
      <c r="AH469" s="14"/>
      <c r="AI469" s="7"/>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row>
    <row r="470">
      <c r="A470" s="14"/>
      <c r="B470" s="14"/>
      <c r="C470" s="14"/>
      <c r="D470" s="14"/>
      <c r="E470" s="7"/>
      <c r="F470" s="7"/>
      <c r="G470" s="7"/>
      <c r="H470" s="7"/>
      <c r="I470" s="7"/>
      <c r="J470" s="14"/>
      <c r="K470" s="7"/>
      <c r="L470" s="14"/>
      <c r="M470" s="14"/>
      <c r="N470" s="14"/>
      <c r="O470" s="14"/>
      <c r="P470" s="14"/>
      <c r="Q470" s="14"/>
      <c r="R470" s="14"/>
      <c r="S470" s="14"/>
      <c r="T470" s="14"/>
      <c r="U470" s="14"/>
      <c r="V470" s="272"/>
      <c r="W470" s="272"/>
      <c r="X470" s="14"/>
      <c r="Y470" s="14"/>
      <c r="Z470" s="14"/>
      <c r="AA470" s="14"/>
      <c r="AB470" s="14"/>
      <c r="AC470" s="14"/>
      <c r="AD470" s="14"/>
      <c r="AE470" s="14"/>
      <c r="AF470" s="14"/>
      <c r="AG470" s="14"/>
      <c r="AH470" s="14"/>
      <c r="AI470" s="7"/>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row>
    <row r="471">
      <c r="A471" s="14"/>
      <c r="B471" s="14"/>
      <c r="C471" s="14"/>
      <c r="D471" s="14"/>
      <c r="E471" s="7"/>
      <c r="F471" s="7"/>
      <c r="G471" s="7"/>
      <c r="H471" s="7"/>
      <c r="I471" s="7"/>
      <c r="J471" s="14"/>
      <c r="K471" s="7"/>
      <c r="L471" s="14"/>
      <c r="M471" s="14"/>
      <c r="N471" s="14"/>
      <c r="O471" s="14"/>
      <c r="P471" s="14"/>
      <c r="Q471" s="14"/>
      <c r="R471" s="14"/>
      <c r="S471" s="14"/>
      <c r="T471" s="14"/>
      <c r="U471" s="14"/>
      <c r="V471" s="272"/>
      <c r="W471" s="272"/>
      <c r="X471" s="14"/>
      <c r="Y471" s="14"/>
      <c r="Z471" s="14"/>
      <c r="AA471" s="14"/>
      <c r="AB471" s="14"/>
      <c r="AC471" s="14"/>
      <c r="AD471" s="14"/>
      <c r="AE471" s="14"/>
      <c r="AF471" s="14"/>
      <c r="AG471" s="14"/>
      <c r="AH471" s="14"/>
      <c r="AI471" s="7"/>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row>
    <row r="472">
      <c r="A472" s="14"/>
      <c r="B472" s="14"/>
      <c r="C472" s="14"/>
      <c r="D472" s="14"/>
      <c r="E472" s="7"/>
      <c r="F472" s="7"/>
      <c r="G472" s="7"/>
      <c r="H472" s="7"/>
      <c r="I472" s="7"/>
      <c r="J472" s="14"/>
      <c r="K472" s="7"/>
      <c r="L472" s="14"/>
      <c r="M472" s="14"/>
      <c r="N472" s="14"/>
      <c r="O472" s="14"/>
      <c r="P472" s="14"/>
      <c r="Q472" s="14"/>
      <c r="R472" s="14"/>
      <c r="S472" s="14"/>
      <c r="T472" s="14"/>
      <c r="U472" s="14"/>
      <c r="V472" s="272"/>
      <c r="W472" s="272"/>
      <c r="X472" s="14"/>
      <c r="Y472" s="14"/>
      <c r="Z472" s="14"/>
      <c r="AA472" s="14"/>
      <c r="AB472" s="14"/>
      <c r="AC472" s="14"/>
      <c r="AD472" s="14"/>
      <c r="AE472" s="14"/>
      <c r="AF472" s="14"/>
      <c r="AG472" s="14"/>
      <c r="AH472" s="14"/>
      <c r="AI472" s="7"/>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row>
    <row r="473">
      <c r="A473" s="14"/>
      <c r="B473" s="14"/>
      <c r="C473" s="14"/>
      <c r="D473" s="14"/>
      <c r="E473" s="7"/>
      <c r="F473" s="7"/>
      <c r="G473" s="7"/>
      <c r="H473" s="7"/>
      <c r="I473" s="7"/>
      <c r="J473" s="14"/>
      <c r="K473" s="7"/>
      <c r="L473" s="14"/>
      <c r="M473" s="14"/>
      <c r="N473" s="14"/>
      <c r="O473" s="14"/>
      <c r="P473" s="14"/>
      <c r="Q473" s="14"/>
      <c r="R473" s="14"/>
      <c r="S473" s="14"/>
      <c r="T473" s="14"/>
      <c r="U473" s="14"/>
      <c r="V473" s="272"/>
      <c r="W473" s="272"/>
      <c r="X473" s="14"/>
      <c r="Y473" s="14"/>
      <c r="Z473" s="14"/>
      <c r="AA473" s="14"/>
      <c r="AB473" s="14"/>
      <c r="AC473" s="14"/>
      <c r="AD473" s="14"/>
      <c r="AE473" s="14"/>
      <c r="AF473" s="14"/>
      <c r="AG473" s="14"/>
      <c r="AH473" s="14"/>
      <c r="AI473" s="7"/>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row>
    <row r="474">
      <c r="A474" s="14"/>
      <c r="B474" s="14"/>
      <c r="C474" s="14"/>
      <c r="D474" s="14"/>
      <c r="E474" s="7"/>
      <c r="F474" s="7"/>
      <c r="G474" s="7"/>
      <c r="H474" s="7"/>
      <c r="I474" s="7"/>
      <c r="J474" s="14"/>
      <c r="K474" s="7"/>
      <c r="L474" s="14"/>
      <c r="M474" s="14"/>
      <c r="N474" s="14"/>
      <c r="O474" s="14"/>
      <c r="P474" s="14"/>
      <c r="Q474" s="14"/>
      <c r="R474" s="14"/>
      <c r="S474" s="14"/>
      <c r="T474" s="14"/>
      <c r="U474" s="14"/>
      <c r="V474" s="272"/>
      <c r="W474" s="272"/>
      <c r="X474" s="14"/>
      <c r="Y474" s="14"/>
      <c r="Z474" s="14"/>
      <c r="AA474" s="14"/>
      <c r="AB474" s="14"/>
      <c r="AC474" s="14"/>
      <c r="AD474" s="14"/>
      <c r="AE474" s="14"/>
      <c r="AF474" s="14"/>
      <c r="AG474" s="14"/>
      <c r="AH474" s="14"/>
      <c r="AI474" s="7"/>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row>
    <row r="475">
      <c r="A475" s="14"/>
      <c r="B475" s="14"/>
      <c r="C475" s="14"/>
      <c r="D475" s="14"/>
      <c r="E475" s="7"/>
      <c r="F475" s="7"/>
      <c r="G475" s="7"/>
      <c r="H475" s="7"/>
      <c r="I475" s="7"/>
      <c r="J475" s="14"/>
      <c r="K475" s="7"/>
      <c r="L475" s="14"/>
      <c r="M475" s="14"/>
      <c r="N475" s="14"/>
      <c r="O475" s="14"/>
      <c r="P475" s="14"/>
      <c r="Q475" s="14"/>
      <c r="R475" s="14"/>
      <c r="S475" s="14"/>
      <c r="T475" s="14"/>
      <c r="U475" s="14"/>
      <c r="V475" s="272"/>
      <c r="W475" s="272"/>
      <c r="X475" s="14"/>
      <c r="Y475" s="14"/>
      <c r="Z475" s="14"/>
      <c r="AA475" s="14"/>
      <c r="AB475" s="14"/>
      <c r="AC475" s="14"/>
      <c r="AD475" s="14"/>
      <c r="AE475" s="14"/>
      <c r="AF475" s="14"/>
      <c r="AG475" s="14"/>
      <c r="AH475" s="14"/>
      <c r="AI475" s="7"/>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row>
    <row r="476">
      <c r="A476" s="14"/>
      <c r="B476" s="14"/>
      <c r="C476" s="14"/>
      <c r="D476" s="14"/>
      <c r="E476" s="7"/>
      <c r="F476" s="7"/>
      <c r="G476" s="7"/>
      <c r="H476" s="7"/>
      <c r="I476" s="7"/>
      <c r="J476" s="14"/>
      <c r="K476" s="7"/>
      <c r="L476" s="14"/>
      <c r="M476" s="14"/>
      <c r="N476" s="14"/>
      <c r="O476" s="14"/>
      <c r="P476" s="14"/>
      <c r="Q476" s="14"/>
      <c r="R476" s="14"/>
      <c r="S476" s="14"/>
      <c r="T476" s="14"/>
      <c r="U476" s="14"/>
      <c r="V476" s="272"/>
      <c r="W476" s="272"/>
      <c r="X476" s="14"/>
      <c r="Y476" s="14"/>
      <c r="Z476" s="14"/>
      <c r="AA476" s="14"/>
      <c r="AB476" s="14"/>
      <c r="AC476" s="14"/>
      <c r="AD476" s="14"/>
      <c r="AE476" s="14"/>
      <c r="AF476" s="14"/>
      <c r="AG476" s="14"/>
      <c r="AH476" s="14"/>
      <c r="AI476" s="7"/>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row>
    <row r="477">
      <c r="A477" s="14"/>
      <c r="B477" s="14"/>
      <c r="C477" s="14"/>
      <c r="D477" s="14"/>
      <c r="E477" s="7"/>
      <c r="F477" s="7"/>
      <c r="G477" s="7"/>
      <c r="H477" s="7"/>
      <c r="I477" s="7"/>
      <c r="J477" s="14"/>
      <c r="K477" s="7"/>
      <c r="L477" s="14"/>
      <c r="M477" s="14"/>
      <c r="N477" s="14"/>
      <c r="O477" s="14"/>
      <c r="P477" s="14"/>
      <c r="Q477" s="14"/>
      <c r="R477" s="14"/>
      <c r="S477" s="14"/>
      <c r="T477" s="14"/>
      <c r="U477" s="14"/>
      <c r="V477" s="272"/>
      <c r="W477" s="272"/>
      <c r="X477" s="14"/>
      <c r="Y477" s="14"/>
      <c r="Z477" s="14"/>
      <c r="AA477" s="14"/>
      <c r="AB477" s="14"/>
      <c r="AC477" s="14"/>
      <c r="AD477" s="14"/>
      <c r="AE477" s="14"/>
      <c r="AF477" s="14"/>
      <c r="AG477" s="14"/>
      <c r="AH477" s="14"/>
      <c r="AI477" s="7"/>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row>
    <row r="478">
      <c r="A478" s="14"/>
      <c r="B478" s="14"/>
      <c r="C478" s="14"/>
      <c r="D478" s="14"/>
      <c r="E478" s="7"/>
      <c r="F478" s="7"/>
      <c r="G478" s="7"/>
      <c r="H478" s="7"/>
      <c r="I478" s="7"/>
      <c r="J478" s="14"/>
      <c r="K478" s="7"/>
      <c r="L478" s="14"/>
      <c r="M478" s="14"/>
      <c r="N478" s="14"/>
      <c r="O478" s="14"/>
      <c r="P478" s="14"/>
      <c r="Q478" s="14"/>
      <c r="R478" s="14"/>
      <c r="S478" s="14"/>
      <c r="T478" s="14"/>
      <c r="U478" s="14"/>
      <c r="V478" s="272"/>
      <c r="W478" s="272"/>
      <c r="X478" s="14"/>
      <c r="Y478" s="14"/>
      <c r="Z478" s="14"/>
      <c r="AA478" s="14"/>
      <c r="AB478" s="14"/>
      <c r="AC478" s="14"/>
      <c r="AD478" s="14"/>
      <c r="AE478" s="14"/>
      <c r="AF478" s="14"/>
      <c r="AG478" s="14"/>
      <c r="AH478" s="14"/>
      <c r="AI478" s="7"/>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row>
    <row r="479">
      <c r="A479" s="14"/>
      <c r="B479" s="14"/>
      <c r="C479" s="14"/>
      <c r="D479" s="14"/>
      <c r="E479" s="7"/>
      <c r="F479" s="7"/>
      <c r="G479" s="7"/>
      <c r="H479" s="7"/>
      <c r="I479" s="7"/>
      <c r="J479" s="14"/>
      <c r="K479" s="7"/>
      <c r="L479" s="14"/>
      <c r="M479" s="14"/>
      <c r="N479" s="14"/>
      <c r="O479" s="14"/>
      <c r="P479" s="14"/>
      <c r="Q479" s="14"/>
      <c r="R479" s="14"/>
      <c r="S479" s="14"/>
      <c r="T479" s="14"/>
      <c r="U479" s="14"/>
      <c r="V479" s="272"/>
      <c r="W479" s="272"/>
      <c r="X479" s="14"/>
      <c r="Y479" s="14"/>
      <c r="Z479" s="14"/>
      <c r="AA479" s="14"/>
      <c r="AB479" s="14"/>
      <c r="AC479" s="14"/>
      <c r="AD479" s="14"/>
      <c r="AE479" s="14"/>
      <c r="AF479" s="14"/>
      <c r="AG479" s="14"/>
      <c r="AH479" s="14"/>
      <c r="AI479" s="7"/>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row>
    <row r="480">
      <c r="A480" s="14"/>
      <c r="B480" s="14"/>
      <c r="C480" s="14"/>
      <c r="D480" s="14"/>
      <c r="E480" s="7"/>
      <c r="F480" s="7"/>
      <c r="G480" s="7"/>
      <c r="H480" s="7"/>
      <c r="I480" s="7"/>
      <c r="J480" s="14"/>
      <c r="K480" s="7"/>
      <c r="L480" s="14"/>
      <c r="M480" s="14"/>
      <c r="N480" s="14"/>
      <c r="O480" s="14"/>
      <c r="P480" s="14"/>
      <c r="Q480" s="14"/>
      <c r="R480" s="14"/>
      <c r="S480" s="14"/>
      <c r="T480" s="14"/>
      <c r="U480" s="14"/>
      <c r="V480" s="272"/>
      <c r="W480" s="272"/>
      <c r="X480" s="14"/>
      <c r="Y480" s="14"/>
      <c r="Z480" s="14"/>
      <c r="AA480" s="14"/>
      <c r="AB480" s="14"/>
      <c r="AC480" s="14"/>
      <c r="AD480" s="14"/>
      <c r="AE480" s="14"/>
      <c r="AF480" s="14"/>
      <c r="AG480" s="14"/>
      <c r="AH480" s="14"/>
      <c r="AI480" s="7"/>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row>
    <row r="481">
      <c r="A481" s="14"/>
      <c r="B481" s="14"/>
      <c r="C481" s="14"/>
      <c r="D481" s="14"/>
      <c r="E481" s="7"/>
      <c r="F481" s="7"/>
      <c r="G481" s="7"/>
      <c r="H481" s="7"/>
      <c r="I481" s="7"/>
      <c r="J481" s="14"/>
      <c r="K481" s="7"/>
      <c r="L481" s="14"/>
      <c r="M481" s="14"/>
      <c r="N481" s="14"/>
      <c r="O481" s="14"/>
      <c r="P481" s="14"/>
      <c r="Q481" s="14"/>
      <c r="R481" s="14"/>
      <c r="S481" s="14"/>
      <c r="T481" s="14"/>
      <c r="U481" s="14"/>
      <c r="V481" s="272"/>
      <c r="W481" s="272"/>
      <c r="X481" s="14"/>
      <c r="Y481" s="14"/>
      <c r="Z481" s="14"/>
      <c r="AA481" s="14"/>
      <c r="AB481" s="14"/>
      <c r="AC481" s="14"/>
      <c r="AD481" s="14"/>
      <c r="AE481" s="14"/>
      <c r="AF481" s="14"/>
      <c r="AG481" s="14"/>
      <c r="AH481" s="14"/>
      <c r="AI481" s="7"/>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row>
    <row r="482">
      <c r="A482" s="14"/>
      <c r="B482" s="14"/>
      <c r="C482" s="14"/>
      <c r="D482" s="14"/>
      <c r="E482" s="7"/>
      <c r="F482" s="7"/>
      <c r="G482" s="7"/>
      <c r="H482" s="7"/>
      <c r="I482" s="7"/>
      <c r="J482" s="14"/>
      <c r="K482" s="7"/>
      <c r="L482" s="14"/>
      <c r="M482" s="14"/>
      <c r="N482" s="14"/>
      <c r="O482" s="14"/>
      <c r="P482" s="14"/>
      <c r="Q482" s="14"/>
      <c r="R482" s="14"/>
      <c r="S482" s="14"/>
      <c r="T482" s="14"/>
      <c r="U482" s="14"/>
      <c r="V482" s="272"/>
      <c r="W482" s="272"/>
      <c r="X482" s="14"/>
      <c r="Y482" s="14"/>
      <c r="Z482" s="14"/>
      <c r="AA482" s="14"/>
      <c r="AB482" s="14"/>
      <c r="AC482" s="14"/>
      <c r="AD482" s="14"/>
      <c r="AE482" s="14"/>
      <c r="AF482" s="14"/>
      <c r="AG482" s="14"/>
      <c r="AH482" s="14"/>
      <c r="AI482" s="7"/>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row>
    <row r="483">
      <c r="A483" s="14"/>
      <c r="B483" s="14"/>
      <c r="C483" s="14"/>
      <c r="D483" s="14"/>
      <c r="E483" s="7"/>
      <c r="F483" s="7"/>
      <c r="G483" s="7"/>
      <c r="H483" s="7"/>
      <c r="I483" s="7"/>
      <c r="J483" s="14"/>
      <c r="K483" s="7"/>
      <c r="L483" s="14"/>
      <c r="M483" s="14"/>
      <c r="N483" s="14"/>
      <c r="O483" s="14"/>
      <c r="P483" s="14"/>
      <c r="Q483" s="14"/>
      <c r="R483" s="14"/>
      <c r="S483" s="14"/>
      <c r="T483" s="14"/>
      <c r="U483" s="14"/>
      <c r="V483" s="272"/>
      <c r="W483" s="272"/>
      <c r="X483" s="14"/>
      <c r="Y483" s="14"/>
      <c r="Z483" s="14"/>
      <c r="AA483" s="14"/>
      <c r="AB483" s="14"/>
      <c r="AC483" s="14"/>
      <c r="AD483" s="14"/>
      <c r="AE483" s="14"/>
      <c r="AF483" s="14"/>
      <c r="AG483" s="14"/>
      <c r="AH483" s="14"/>
      <c r="AI483" s="7"/>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row>
    <row r="484">
      <c r="A484" s="14"/>
      <c r="B484" s="14"/>
      <c r="C484" s="14"/>
      <c r="D484" s="14"/>
      <c r="E484" s="7"/>
      <c r="F484" s="7"/>
      <c r="G484" s="7"/>
      <c r="H484" s="7"/>
      <c r="I484" s="7"/>
      <c r="J484" s="14"/>
      <c r="K484" s="7"/>
      <c r="L484" s="14"/>
      <c r="M484" s="14"/>
      <c r="N484" s="14"/>
      <c r="O484" s="14"/>
      <c r="P484" s="14"/>
      <c r="Q484" s="14"/>
      <c r="R484" s="14"/>
      <c r="S484" s="14"/>
      <c r="T484" s="14"/>
      <c r="U484" s="14"/>
      <c r="V484" s="272"/>
      <c r="W484" s="272"/>
      <c r="X484" s="14"/>
      <c r="Y484" s="14"/>
      <c r="Z484" s="14"/>
      <c r="AA484" s="14"/>
      <c r="AB484" s="14"/>
      <c r="AC484" s="14"/>
      <c r="AD484" s="14"/>
      <c r="AE484" s="14"/>
      <c r="AF484" s="14"/>
      <c r="AG484" s="14"/>
      <c r="AH484" s="14"/>
      <c r="AI484" s="7"/>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row>
    <row r="485">
      <c r="A485" s="14"/>
      <c r="B485" s="14"/>
      <c r="C485" s="14"/>
      <c r="D485" s="14"/>
      <c r="E485" s="7"/>
      <c r="F485" s="7"/>
      <c r="G485" s="7"/>
      <c r="H485" s="7"/>
      <c r="I485" s="7"/>
      <c r="J485" s="14"/>
      <c r="K485" s="7"/>
      <c r="L485" s="14"/>
      <c r="M485" s="14"/>
      <c r="N485" s="14"/>
      <c r="O485" s="14"/>
      <c r="P485" s="14"/>
      <c r="Q485" s="14"/>
      <c r="R485" s="14"/>
      <c r="S485" s="14"/>
      <c r="T485" s="14"/>
      <c r="U485" s="14"/>
      <c r="V485" s="272"/>
      <c r="W485" s="272"/>
      <c r="X485" s="14"/>
      <c r="Y485" s="14"/>
      <c r="Z485" s="14"/>
      <c r="AA485" s="14"/>
      <c r="AB485" s="14"/>
      <c r="AC485" s="14"/>
      <c r="AD485" s="14"/>
      <c r="AE485" s="14"/>
      <c r="AF485" s="14"/>
      <c r="AG485" s="14"/>
      <c r="AH485" s="14"/>
      <c r="AI485" s="7"/>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row>
    <row r="486">
      <c r="A486" s="14"/>
      <c r="B486" s="14"/>
      <c r="C486" s="14"/>
      <c r="D486" s="14"/>
      <c r="E486" s="7"/>
      <c r="F486" s="7"/>
      <c r="G486" s="7"/>
      <c r="H486" s="7"/>
      <c r="I486" s="7"/>
      <c r="J486" s="14"/>
      <c r="K486" s="7"/>
      <c r="L486" s="14"/>
      <c r="M486" s="14"/>
      <c r="N486" s="14"/>
      <c r="O486" s="14"/>
      <c r="P486" s="14"/>
      <c r="Q486" s="14"/>
      <c r="R486" s="14"/>
      <c r="S486" s="14"/>
      <c r="T486" s="14"/>
      <c r="U486" s="14"/>
      <c r="V486" s="272"/>
      <c r="W486" s="272"/>
      <c r="X486" s="14"/>
      <c r="Y486" s="14"/>
      <c r="Z486" s="14"/>
      <c r="AA486" s="14"/>
      <c r="AB486" s="14"/>
      <c r="AC486" s="14"/>
      <c r="AD486" s="14"/>
      <c r="AE486" s="14"/>
      <c r="AF486" s="14"/>
      <c r="AG486" s="14"/>
      <c r="AH486" s="14"/>
      <c r="AI486" s="7"/>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row>
    <row r="487">
      <c r="A487" s="14"/>
      <c r="B487" s="14"/>
      <c r="C487" s="14"/>
      <c r="D487" s="14"/>
      <c r="E487" s="7"/>
      <c r="F487" s="7"/>
      <c r="G487" s="7"/>
      <c r="H487" s="7"/>
      <c r="I487" s="7"/>
      <c r="J487" s="14"/>
      <c r="K487" s="7"/>
      <c r="L487" s="14"/>
      <c r="M487" s="14"/>
      <c r="N487" s="14"/>
      <c r="O487" s="14"/>
      <c r="P487" s="14"/>
      <c r="Q487" s="14"/>
      <c r="R487" s="14"/>
      <c r="S487" s="14"/>
      <c r="T487" s="14"/>
      <c r="U487" s="14"/>
      <c r="V487" s="272"/>
      <c r="W487" s="272"/>
      <c r="X487" s="14"/>
      <c r="Y487" s="14"/>
      <c r="Z487" s="14"/>
      <c r="AA487" s="14"/>
      <c r="AB487" s="14"/>
      <c r="AC487" s="14"/>
      <c r="AD487" s="14"/>
      <c r="AE487" s="14"/>
      <c r="AF487" s="14"/>
      <c r="AG487" s="14"/>
      <c r="AH487" s="14"/>
      <c r="AI487" s="7"/>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row>
    <row r="488">
      <c r="A488" s="14"/>
      <c r="B488" s="14"/>
      <c r="C488" s="14"/>
      <c r="D488" s="14"/>
      <c r="E488" s="7"/>
      <c r="F488" s="7"/>
      <c r="G488" s="7"/>
      <c r="H488" s="7"/>
      <c r="I488" s="7"/>
      <c r="J488" s="14"/>
      <c r="K488" s="7"/>
      <c r="L488" s="14"/>
      <c r="M488" s="14"/>
      <c r="N488" s="14"/>
      <c r="O488" s="14"/>
      <c r="P488" s="14"/>
      <c r="Q488" s="14"/>
      <c r="R488" s="14"/>
      <c r="S488" s="14"/>
      <c r="T488" s="14"/>
      <c r="U488" s="14"/>
      <c r="V488" s="272"/>
      <c r="W488" s="272"/>
      <c r="X488" s="14"/>
      <c r="Y488" s="14"/>
      <c r="Z488" s="14"/>
      <c r="AA488" s="14"/>
      <c r="AB488" s="14"/>
      <c r="AC488" s="14"/>
      <c r="AD488" s="14"/>
      <c r="AE488" s="14"/>
      <c r="AF488" s="14"/>
      <c r="AG488" s="14"/>
      <c r="AH488" s="14"/>
      <c r="AI488" s="7"/>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row>
    <row r="489">
      <c r="A489" s="14"/>
      <c r="B489" s="14"/>
      <c r="C489" s="14"/>
      <c r="D489" s="14"/>
      <c r="E489" s="7"/>
      <c r="F489" s="7"/>
      <c r="G489" s="7"/>
      <c r="H489" s="7"/>
      <c r="I489" s="7"/>
      <c r="J489" s="14"/>
      <c r="K489" s="7"/>
      <c r="L489" s="14"/>
      <c r="M489" s="14"/>
      <c r="N489" s="14"/>
      <c r="O489" s="14"/>
      <c r="P489" s="14"/>
      <c r="Q489" s="14"/>
      <c r="R489" s="14"/>
      <c r="S489" s="14"/>
      <c r="T489" s="14"/>
      <c r="U489" s="14"/>
      <c r="V489" s="272"/>
      <c r="W489" s="272"/>
      <c r="X489" s="14"/>
      <c r="Y489" s="14"/>
      <c r="Z489" s="14"/>
      <c r="AA489" s="14"/>
      <c r="AB489" s="14"/>
      <c r="AC489" s="14"/>
      <c r="AD489" s="14"/>
      <c r="AE489" s="14"/>
      <c r="AF489" s="14"/>
      <c r="AG489" s="14"/>
      <c r="AH489" s="14"/>
      <c r="AI489" s="7"/>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row>
    <row r="490">
      <c r="A490" s="14"/>
      <c r="B490" s="14"/>
      <c r="C490" s="14"/>
      <c r="D490" s="14"/>
      <c r="E490" s="7"/>
      <c r="F490" s="7"/>
      <c r="G490" s="7"/>
      <c r="H490" s="7"/>
      <c r="I490" s="7"/>
      <c r="J490" s="14"/>
      <c r="K490" s="7"/>
      <c r="L490" s="14"/>
      <c r="M490" s="14"/>
      <c r="N490" s="14"/>
      <c r="O490" s="14"/>
      <c r="P490" s="14"/>
      <c r="Q490" s="14"/>
      <c r="R490" s="14"/>
      <c r="S490" s="14"/>
      <c r="T490" s="14"/>
      <c r="U490" s="14"/>
      <c r="V490" s="272"/>
      <c r="W490" s="272"/>
      <c r="X490" s="14"/>
      <c r="Y490" s="14"/>
      <c r="Z490" s="14"/>
      <c r="AA490" s="14"/>
      <c r="AB490" s="14"/>
      <c r="AC490" s="14"/>
      <c r="AD490" s="14"/>
      <c r="AE490" s="14"/>
      <c r="AF490" s="14"/>
      <c r="AG490" s="14"/>
      <c r="AH490" s="14"/>
      <c r="AI490" s="7"/>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row>
    <row r="491">
      <c r="A491" s="14"/>
      <c r="B491" s="14"/>
      <c r="C491" s="14"/>
      <c r="D491" s="14"/>
      <c r="E491" s="7"/>
      <c r="F491" s="7"/>
      <c r="G491" s="7"/>
      <c r="H491" s="7"/>
      <c r="I491" s="7"/>
      <c r="J491" s="14"/>
      <c r="K491" s="7"/>
      <c r="L491" s="14"/>
      <c r="M491" s="14"/>
      <c r="N491" s="14"/>
      <c r="O491" s="14"/>
      <c r="P491" s="14"/>
      <c r="Q491" s="14"/>
      <c r="R491" s="14"/>
      <c r="S491" s="14"/>
      <c r="T491" s="14"/>
      <c r="U491" s="14"/>
      <c r="V491" s="272"/>
      <c r="W491" s="272"/>
      <c r="X491" s="14"/>
      <c r="Y491" s="14"/>
      <c r="Z491" s="14"/>
      <c r="AA491" s="14"/>
      <c r="AB491" s="14"/>
      <c r="AC491" s="14"/>
      <c r="AD491" s="14"/>
      <c r="AE491" s="14"/>
      <c r="AF491" s="14"/>
      <c r="AG491" s="14"/>
      <c r="AH491" s="14"/>
      <c r="AI491" s="7"/>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row>
    <row r="492">
      <c r="A492" s="14"/>
      <c r="B492" s="14"/>
      <c r="C492" s="14"/>
      <c r="D492" s="14"/>
      <c r="E492" s="7"/>
      <c r="F492" s="7"/>
      <c r="G492" s="7"/>
      <c r="H492" s="7"/>
      <c r="I492" s="7"/>
      <c r="J492" s="14"/>
      <c r="K492" s="7"/>
      <c r="L492" s="14"/>
      <c r="M492" s="14"/>
      <c r="N492" s="14"/>
      <c r="O492" s="14"/>
      <c r="P492" s="14"/>
      <c r="Q492" s="14"/>
      <c r="R492" s="14"/>
      <c r="S492" s="14"/>
      <c r="T492" s="14"/>
      <c r="U492" s="14"/>
      <c r="V492" s="272"/>
      <c r="W492" s="272"/>
      <c r="X492" s="14"/>
      <c r="Y492" s="14"/>
      <c r="Z492" s="14"/>
      <c r="AA492" s="14"/>
      <c r="AB492" s="14"/>
      <c r="AC492" s="14"/>
      <c r="AD492" s="14"/>
      <c r="AE492" s="14"/>
      <c r="AF492" s="14"/>
      <c r="AG492" s="14"/>
      <c r="AH492" s="14"/>
      <c r="AI492" s="7"/>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row>
    <row r="493">
      <c r="A493" s="14"/>
      <c r="B493" s="14"/>
      <c r="C493" s="14"/>
      <c r="D493" s="14"/>
      <c r="E493" s="7"/>
      <c r="F493" s="7"/>
      <c r="G493" s="7"/>
      <c r="H493" s="7"/>
      <c r="I493" s="7"/>
      <c r="J493" s="14"/>
      <c r="K493" s="7"/>
      <c r="L493" s="14"/>
      <c r="M493" s="14"/>
      <c r="N493" s="14"/>
      <c r="O493" s="14"/>
      <c r="P493" s="14"/>
      <c r="Q493" s="14"/>
      <c r="R493" s="14"/>
      <c r="S493" s="14"/>
      <c r="T493" s="14"/>
      <c r="U493" s="14"/>
      <c r="V493" s="272"/>
      <c r="W493" s="272"/>
      <c r="X493" s="14"/>
      <c r="Y493" s="14"/>
      <c r="Z493" s="14"/>
      <c r="AA493" s="14"/>
      <c r="AB493" s="14"/>
      <c r="AC493" s="14"/>
      <c r="AD493" s="14"/>
      <c r="AE493" s="14"/>
      <c r="AF493" s="14"/>
      <c r="AG493" s="14"/>
      <c r="AH493" s="14"/>
      <c r="AI493" s="7"/>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row>
    <row r="494">
      <c r="A494" s="14"/>
      <c r="B494" s="14"/>
      <c r="C494" s="14"/>
      <c r="D494" s="14"/>
      <c r="E494" s="7"/>
      <c r="F494" s="7"/>
      <c r="G494" s="7"/>
      <c r="H494" s="7"/>
      <c r="I494" s="7"/>
      <c r="J494" s="14"/>
      <c r="K494" s="7"/>
      <c r="L494" s="14"/>
      <c r="M494" s="14"/>
      <c r="N494" s="14"/>
      <c r="O494" s="14"/>
      <c r="P494" s="14"/>
      <c r="Q494" s="14"/>
      <c r="R494" s="14"/>
      <c r="S494" s="14"/>
      <c r="T494" s="14"/>
      <c r="U494" s="14"/>
      <c r="V494" s="272"/>
      <c r="W494" s="272"/>
      <c r="X494" s="14"/>
      <c r="Y494" s="14"/>
      <c r="Z494" s="14"/>
      <c r="AA494" s="14"/>
      <c r="AB494" s="14"/>
      <c r="AC494" s="14"/>
      <c r="AD494" s="14"/>
      <c r="AE494" s="14"/>
      <c r="AF494" s="14"/>
      <c r="AG494" s="14"/>
      <c r="AH494" s="14"/>
      <c r="AI494" s="7"/>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row>
    <row r="495">
      <c r="A495" s="14"/>
      <c r="B495" s="14"/>
      <c r="C495" s="14"/>
      <c r="D495" s="14"/>
      <c r="E495" s="7"/>
      <c r="F495" s="7"/>
      <c r="G495" s="7"/>
      <c r="H495" s="7"/>
      <c r="I495" s="7"/>
      <c r="J495" s="14"/>
      <c r="K495" s="7"/>
      <c r="L495" s="14"/>
      <c r="M495" s="14"/>
      <c r="N495" s="14"/>
      <c r="O495" s="14"/>
      <c r="P495" s="14"/>
      <c r="Q495" s="14"/>
      <c r="R495" s="14"/>
      <c r="S495" s="14"/>
      <c r="T495" s="14"/>
      <c r="U495" s="14"/>
      <c r="V495" s="272"/>
      <c r="W495" s="272"/>
      <c r="X495" s="14"/>
      <c r="Y495" s="14"/>
      <c r="Z495" s="14"/>
      <c r="AA495" s="14"/>
      <c r="AB495" s="14"/>
      <c r="AC495" s="14"/>
      <c r="AD495" s="14"/>
      <c r="AE495" s="14"/>
      <c r="AF495" s="14"/>
      <c r="AG495" s="14"/>
      <c r="AH495" s="14"/>
      <c r="AI495" s="7"/>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row>
    <row r="496">
      <c r="A496" s="14"/>
      <c r="B496" s="14"/>
      <c r="C496" s="14"/>
      <c r="D496" s="14"/>
      <c r="E496" s="7"/>
      <c r="F496" s="7"/>
      <c r="G496" s="7"/>
      <c r="H496" s="7"/>
      <c r="I496" s="7"/>
      <c r="J496" s="14"/>
      <c r="K496" s="7"/>
      <c r="L496" s="14"/>
      <c r="M496" s="14"/>
      <c r="N496" s="14"/>
      <c r="O496" s="14"/>
      <c r="P496" s="14"/>
      <c r="Q496" s="14"/>
      <c r="R496" s="14"/>
      <c r="S496" s="14"/>
      <c r="T496" s="14"/>
      <c r="U496" s="14"/>
      <c r="V496" s="272"/>
      <c r="W496" s="272"/>
      <c r="X496" s="14"/>
      <c r="Y496" s="14"/>
      <c r="Z496" s="14"/>
      <c r="AA496" s="14"/>
      <c r="AB496" s="14"/>
      <c r="AC496" s="14"/>
      <c r="AD496" s="14"/>
      <c r="AE496" s="14"/>
      <c r="AF496" s="14"/>
      <c r="AG496" s="14"/>
      <c r="AH496" s="14"/>
      <c r="AI496" s="7"/>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row>
    <row r="497">
      <c r="A497" s="14"/>
      <c r="B497" s="14"/>
      <c r="C497" s="14"/>
      <c r="D497" s="14"/>
      <c r="E497" s="7"/>
      <c r="F497" s="7"/>
      <c r="G497" s="7"/>
      <c r="H497" s="7"/>
      <c r="I497" s="7"/>
      <c r="J497" s="14"/>
      <c r="K497" s="7"/>
      <c r="L497" s="14"/>
      <c r="M497" s="14"/>
      <c r="N497" s="14"/>
      <c r="O497" s="14"/>
      <c r="P497" s="14"/>
      <c r="Q497" s="14"/>
      <c r="R497" s="14"/>
      <c r="S497" s="14"/>
      <c r="T497" s="14"/>
      <c r="U497" s="14"/>
      <c r="V497" s="272"/>
      <c r="W497" s="272"/>
      <c r="X497" s="14"/>
      <c r="Y497" s="14"/>
      <c r="Z497" s="14"/>
      <c r="AA497" s="14"/>
      <c r="AB497" s="14"/>
      <c r="AC497" s="14"/>
      <c r="AD497" s="14"/>
      <c r="AE497" s="14"/>
      <c r="AF497" s="14"/>
      <c r="AG497" s="14"/>
      <c r="AH497" s="14"/>
      <c r="AI497" s="7"/>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row>
    <row r="498">
      <c r="A498" s="14"/>
      <c r="B498" s="14"/>
      <c r="C498" s="14"/>
      <c r="D498" s="14"/>
      <c r="E498" s="7"/>
      <c r="F498" s="7"/>
      <c r="G498" s="7"/>
      <c r="H498" s="7"/>
      <c r="I498" s="7"/>
      <c r="J498" s="14"/>
      <c r="K498" s="7"/>
      <c r="L498" s="14"/>
      <c r="M498" s="14"/>
      <c r="N498" s="14"/>
      <c r="O498" s="14"/>
      <c r="P498" s="14"/>
      <c r="Q498" s="14"/>
      <c r="R498" s="14"/>
      <c r="S498" s="14"/>
      <c r="T498" s="14"/>
      <c r="U498" s="14"/>
      <c r="V498" s="272"/>
      <c r="W498" s="272"/>
      <c r="X498" s="14"/>
      <c r="Y498" s="14"/>
      <c r="Z498" s="14"/>
      <c r="AA498" s="14"/>
      <c r="AB498" s="14"/>
      <c r="AC498" s="14"/>
      <c r="AD498" s="14"/>
      <c r="AE498" s="14"/>
      <c r="AF498" s="14"/>
      <c r="AG498" s="14"/>
      <c r="AH498" s="14"/>
      <c r="AI498" s="7"/>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row>
    <row r="499">
      <c r="A499" s="14"/>
      <c r="B499" s="14"/>
      <c r="C499" s="14"/>
      <c r="D499" s="14"/>
      <c r="E499" s="7"/>
      <c r="F499" s="7"/>
      <c r="G499" s="7"/>
      <c r="H499" s="7"/>
      <c r="I499" s="7"/>
      <c r="J499" s="14"/>
      <c r="K499" s="7"/>
      <c r="L499" s="14"/>
      <c r="M499" s="14"/>
      <c r="N499" s="14"/>
      <c r="O499" s="14"/>
      <c r="P499" s="14"/>
      <c r="Q499" s="14"/>
      <c r="R499" s="14"/>
      <c r="S499" s="14"/>
      <c r="T499" s="14"/>
      <c r="U499" s="14"/>
      <c r="V499" s="272"/>
      <c r="W499" s="272"/>
      <c r="X499" s="14"/>
      <c r="Y499" s="14"/>
      <c r="Z499" s="14"/>
      <c r="AA499" s="14"/>
      <c r="AB499" s="14"/>
      <c r="AC499" s="14"/>
      <c r="AD499" s="14"/>
      <c r="AE499" s="14"/>
      <c r="AF499" s="14"/>
      <c r="AG499" s="14"/>
      <c r="AH499" s="14"/>
      <c r="AI499" s="7"/>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row>
    <row r="500">
      <c r="A500" s="14"/>
      <c r="B500" s="14"/>
      <c r="C500" s="14"/>
      <c r="D500" s="14"/>
      <c r="E500" s="7"/>
      <c r="F500" s="7"/>
      <c r="G500" s="7"/>
      <c r="H500" s="7"/>
      <c r="I500" s="7"/>
      <c r="J500" s="14"/>
      <c r="K500" s="7"/>
      <c r="L500" s="14"/>
      <c r="M500" s="14"/>
      <c r="N500" s="14"/>
      <c r="O500" s="14"/>
      <c r="P500" s="14"/>
      <c r="Q500" s="14"/>
      <c r="R500" s="14"/>
      <c r="S500" s="14"/>
      <c r="T500" s="14"/>
      <c r="U500" s="14"/>
      <c r="V500" s="272"/>
      <c r="W500" s="272"/>
      <c r="X500" s="14"/>
      <c r="Y500" s="14"/>
      <c r="Z500" s="14"/>
      <c r="AA500" s="14"/>
      <c r="AB500" s="14"/>
      <c r="AC500" s="14"/>
      <c r="AD500" s="14"/>
      <c r="AE500" s="14"/>
      <c r="AF500" s="14"/>
      <c r="AG500" s="14"/>
      <c r="AH500" s="14"/>
      <c r="AI500" s="7"/>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row>
    <row r="501">
      <c r="A501" s="14"/>
      <c r="B501" s="14"/>
      <c r="C501" s="14"/>
      <c r="D501" s="14"/>
      <c r="E501" s="7"/>
      <c r="F501" s="7"/>
      <c r="G501" s="7"/>
      <c r="H501" s="7"/>
      <c r="I501" s="7"/>
      <c r="J501" s="14"/>
      <c r="K501" s="7"/>
      <c r="L501" s="14"/>
      <c r="M501" s="14"/>
      <c r="N501" s="14"/>
      <c r="O501" s="14"/>
      <c r="P501" s="14"/>
      <c r="Q501" s="14"/>
      <c r="R501" s="14"/>
      <c r="S501" s="14"/>
      <c r="T501" s="14"/>
      <c r="U501" s="14"/>
      <c r="V501" s="272"/>
      <c r="W501" s="272"/>
      <c r="X501" s="14"/>
      <c r="Y501" s="14"/>
      <c r="Z501" s="14"/>
      <c r="AA501" s="14"/>
      <c r="AB501" s="14"/>
      <c r="AC501" s="14"/>
      <c r="AD501" s="14"/>
      <c r="AE501" s="14"/>
      <c r="AF501" s="14"/>
      <c r="AG501" s="14"/>
      <c r="AH501" s="14"/>
      <c r="AI501" s="7"/>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row>
    <row r="502">
      <c r="A502" s="14"/>
      <c r="B502" s="14"/>
      <c r="C502" s="14"/>
      <c r="D502" s="14"/>
      <c r="E502" s="7"/>
      <c r="F502" s="7"/>
      <c r="G502" s="7"/>
      <c r="H502" s="7"/>
      <c r="I502" s="7"/>
      <c r="J502" s="14"/>
      <c r="K502" s="7"/>
      <c r="L502" s="14"/>
      <c r="M502" s="14"/>
      <c r="N502" s="14"/>
      <c r="O502" s="14"/>
      <c r="P502" s="14"/>
      <c r="Q502" s="14"/>
      <c r="R502" s="14"/>
      <c r="S502" s="14"/>
      <c r="T502" s="14"/>
      <c r="U502" s="14"/>
      <c r="V502" s="272"/>
      <c r="W502" s="272"/>
      <c r="X502" s="14"/>
      <c r="Y502" s="14"/>
      <c r="Z502" s="14"/>
      <c r="AA502" s="14"/>
      <c r="AB502" s="14"/>
      <c r="AC502" s="14"/>
      <c r="AD502" s="14"/>
      <c r="AE502" s="14"/>
      <c r="AF502" s="14"/>
      <c r="AG502" s="14"/>
      <c r="AH502" s="14"/>
      <c r="AI502" s="7"/>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row>
    <row r="503">
      <c r="A503" s="14"/>
      <c r="B503" s="14"/>
      <c r="C503" s="14"/>
      <c r="D503" s="14"/>
      <c r="E503" s="7"/>
      <c r="F503" s="7"/>
      <c r="G503" s="7"/>
      <c r="H503" s="7"/>
      <c r="I503" s="7"/>
      <c r="J503" s="14"/>
      <c r="K503" s="7"/>
      <c r="L503" s="14"/>
      <c r="M503" s="14"/>
      <c r="N503" s="14"/>
      <c r="O503" s="14"/>
      <c r="P503" s="14"/>
      <c r="Q503" s="14"/>
      <c r="R503" s="14"/>
      <c r="S503" s="14"/>
      <c r="T503" s="14"/>
      <c r="U503" s="14"/>
      <c r="V503" s="272"/>
      <c r="W503" s="272"/>
      <c r="X503" s="14"/>
      <c r="Y503" s="14"/>
      <c r="Z503" s="14"/>
      <c r="AA503" s="14"/>
      <c r="AB503" s="14"/>
      <c r="AC503" s="14"/>
      <c r="AD503" s="14"/>
      <c r="AE503" s="14"/>
      <c r="AF503" s="14"/>
      <c r="AG503" s="14"/>
      <c r="AH503" s="14"/>
      <c r="AI503" s="7"/>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row>
    <row r="504">
      <c r="A504" s="14"/>
      <c r="B504" s="14"/>
      <c r="C504" s="14"/>
      <c r="D504" s="14"/>
      <c r="E504" s="7"/>
      <c r="F504" s="7"/>
      <c r="G504" s="7"/>
      <c r="H504" s="7"/>
      <c r="I504" s="7"/>
      <c r="J504" s="14"/>
      <c r="K504" s="7"/>
      <c r="L504" s="14"/>
      <c r="M504" s="14"/>
      <c r="N504" s="14"/>
      <c r="O504" s="14"/>
      <c r="P504" s="14"/>
      <c r="Q504" s="14"/>
      <c r="R504" s="14"/>
      <c r="S504" s="14"/>
      <c r="T504" s="14"/>
      <c r="U504" s="14"/>
      <c r="V504" s="272"/>
      <c r="W504" s="272"/>
      <c r="X504" s="14"/>
      <c r="Y504" s="14"/>
      <c r="Z504" s="14"/>
      <c r="AA504" s="14"/>
      <c r="AB504" s="14"/>
      <c r="AC504" s="14"/>
      <c r="AD504" s="14"/>
      <c r="AE504" s="14"/>
      <c r="AF504" s="14"/>
      <c r="AG504" s="14"/>
      <c r="AH504" s="14"/>
      <c r="AI504" s="7"/>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row>
    <row r="505">
      <c r="A505" s="14"/>
      <c r="B505" s="14"/>
      <c r="C505" s="14"/>
      <c r="D505" s="14"/>
      <c r="E505" s="7"/>
      <c r="F505" s="7"/>
      <c r="G505" s="7"/>
      <c r="H505" s="7"/>
      <c r="I505" s="7"/>
      <c r="J505" s="14"/>
      <c r="K505" s="7"/>
      <c r="L505" s="14"/>
      <c r="M505" s="14"/>
      <c r="N505" s="14"/>
      <c r="O505" s="14"/>
      <c r="P505" s="14"/>
      <c r="Q505" s="14"/>
      <c r="R505" s="14"/>
      <c r="S505" s="14"/>
      <c r="T505" s="14"/>
      <c r="U505" s="14"/>
      <c r="V505" s="272"/>
      <c r="W505" s="272"/>
      <c r="X505" s="14"/>
      <c r="Y505" s="14"/>
      <c r="Z505" s="14"/>
      <c r="AA505" s="14"/>
      <c r="AB505" s="14"/>
      <c r="AC505" s="14"/>
      <c r="AD505" s="14"/>
      <c r="AE505" s="14"/>
      <c r="AF505" s="14"/>
      <c r="AG505" s="14"/>
      <c r="AH505" s="14"/>
      <c r="AI505" s="7"/>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row>
    <row r="506">
      <c r="A506" s="14"/>
      <c r="B506" s="14"/>
      <c r="C506" s="14"/>
      <c r="D506" s="14"/>
      <c r="E506" s="7"/>
      <c r="F506" s="7"/>
      <c r="G506" s="7"/>
      <c r="H506" s="7"/>
      <c r="I506" s="7"/>
      <c r="J506" s="14"/>
      <c r="K506" s="7"/>
      <c r="L506" s="14"/>
      <c r="M506" s="14"/>
      <c r="N506" s="14"/>
      <c r="O506" s="14"/>
      <c r="P506" s="14"/>
      <c r="Q506" s="14"/>
      <c r="R506" s="14"/>
      <c r="S506" s="14"/>
      <c r="T506" s="14"/>
      <c r="U506" s="14"/>
      <c r="V506" s="272"/>
      <c r="W506" s="272"/>
      <c r="X506" s="14"/>
      <c r="Y506" s="14"/>
      <c r="Z506" s="14"/>
      <c r="AA506" s="14"/>
      <c r="AB506" s="14"/>
      <c r="AC506" s="14"/>
      <c r="AD506" s="14"/>
      <c r="AE506" s="14"/>
      <c r="AF506" s="14"/>
      <c r="AG506" s="14"/>
      <c r="AH506" s="14"/>
      <c r="AI506" s="7"/>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row>
    <row r="507">
      <c r="A507" s="14"/>
      <c r="B507" s="14"/>
      <c r="C507" s="14"/>
      <c r="D507" s="14"/>
      <c r="E507" s="7"/>
      <c r="F507" s="7"/>
      <c r="G507" s="7"/>
      <c r="H507" s="7"/>
      <c r="I507" s="7"/>
      <c r="J507" s="14"/>
      <c r="K507" s="7"/>
      <c r="L507" s="14"/>
      <c r="M507" s="14"/>
      <c r="N507" s="14"/>
      <c r="O507" s="14"/>
      <c r="P507" s="14"/>
      <c r="Q507" s="14"/>
      <c r="R507" s="14"/>
      <c r="S507" s="14"/>
      <c r="T507" s="14"/>
      <c r="U507" s="14"/>
      <c r="V507" s="272"/>
      <c r="W507" s="272"/>
      <c r="X507" s="14"/>
      <c r="Y507" s="14"/>
      <c r="Z507" s="14"/>
      <c r="AA507" s="14"/>
      <c r="AB507" s="14"/>
      <c r="AC507" s="14"/>
      <c r="AD507" s="14"/>
      <c r="AE507" s="14"/>
      <c r="AF507" s="14"/>
      <c r="AG507" s="14"/>
      <c r="AH507" s="14"/>
      <c r="AI507" s="7"/>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row>
    <row r="508">
      <c r="A508" s="14"/>
      <c r="B508" s="14"/>
      <c r="C508" s="14"/>
      <c r="D508" s="14"/>
      <c r="E508" s="7"/>
      <c r="F508" s="7"/>
      <c r="G508" s="7"/>
      <c r="H508" s="7"/>
      <c r="I508" s="7"/>
      <c r="J508" s="14"/>
      <c r="K508" s="7"/>
      <c r="L508" s="14"/>
      <c r="M508" s="14"/>
      <c r="N508" s="14"/>
      <c r="O508" s="14"/>
      <c r="P508" s="14"/>
      <c r="Q508" s="14"/>
      <c r="R508" s="14"/>
      <c r="S508" s="14"/>
      <c r="T508" s="14"/>
      <c r="U508" s="14"/>
      <c r="V508" s="272"/>
      <c r="W508" s="272"/>
      <c r="X508" s="14"/>
      <c r="Y508" s="14"/>
      <c r="Z508" s="14"/>
      <c r="AA508" s="14"/>
      <c r="AB508" s="14"/>
      <c r="AC508" s="14"/>
      <c r="AD508" s="14"/>
      <c r="AE508" s="14"/>
      <c r="AF508" s="14"/>
      <c r="AG508" s="14"/>
      <c r="AH508" s="14"/>
      <c r="AI508" s="7"/>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row>
    <row r="509">
      <c r="A509" s="14"/>
      <c r="B509" s="14"/>
      <c r="C509" s="14"/>
      <c r="D509" s="14"/>
      <c r="E509" s="7"/>
      <c r="F509" s="7"/>
      <c r="G509" s="7"/>
      <c r="H509" s="7"/>
      <c r="I509" s="7"/>
      <c r="J509" s="14"/>
      <c r="K509" s="7"/>
      <c r="L509" s="14"/>
      <c r="M509" s="14"/>
      <c r="N509" s="14"/>
      <c r="O509" s="14"/>
      <c r="P509" s="14"/>
      <c r="Q509" s="14"/>
      <c r="R509" s="14"/>
      <c r="S509" s="14"/>
      <c r="T509" s="14"/>
      <c r="U509" s="14"/>
      <c r="V509" s="272"/>
      <c r="W509" s="272"/>
      <c r="X509" s="14"/>
      <c r="Y509" s="14"/>
      <c r="Z509" s="14"/>
      <c r="AA509" s="14"/>
      <c r="AB509" s="14"/>
      <c r="AC509" s="14"/>
      <c r="AD509" s="14"/>
      <c r="AE509" s="14"/>
      <c r="AF509" s="14"/>
      <c r="AG509" s="14"/>
      <c r="AH509" s="14"/>
      <c r="AI509" s="7"/>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row>
    <row r="510">
      <c r="A510" s="14"/>
      <c r="B510" s="14"/>
      <c r="C510" s="14"/>
      <c r="D510" s="14"/>
      <c r="E510" s="7"/>
      <c r="F510" s="7"/>
      <c r="G510" s="7"/>
      <c r="H510" s="7"/>
      <c r="I510" s="7"/>
      <c r="J510" s="14"/>
      <c r="K510" s="7"/>
      <c r="L510" s="14"/>
      <c r="M510" s="14"/>
      <c r="N510" s="14"/>
      <c r="O510" s="14"/>
      <c r="P510" s="14"/>
      <c r="Q510" s="14"/>
      <c r="R510" s="14"/>
      <c r="S510" s="14"/>
      <c r="T510" s="14"/>
      <c r="U510" s="14"/>
      <c r="V510" s="272"/>
      <c r="W510" s="272"/>
      <c r="X510" s="14"/>
      <c r="Y510" s="14"/>
      <c r="Z510" s="14"/>
      <c r="AA510" s="14"/>
      <c r="AB510" s="14"/>
      <c r="AC510" s="14"/>
      <c r="AD510" s="14"/>
      <c r="AE510" s="14"/>
      <c r="AF510" s="14"/>
      <c r="AG510" s="14"/>
      <c r="AH510" s="14"/>
      <c r="AI510" s="7"/>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row>
    <row r="511">
      <c r="A511" s="14"/>
      <c r="B511" s="14"/>
      <c r="C511" s="14"/>
      <c r="D511" s="14"/>
      <c r="E511" s="7"/>
      <c r="F511" s="7"/>
      <c r="G511" s="7"/>
      <c r="H511" s="7"/>
      <c r="I511" s="7"/>
      <c r="J511" s="14"/>
      <c r="K511" s="7"/>
      <c r="L511" s="14"/>
      <c r="M511" s="14"/>
      <c r="N511" s="14"/>
      <c r="O511" s="14"/>
      <c r="P511" s="14"/>
      <c r="Q511" s="14"/>
      <c r="R511" s="14"/>
      <c r="S511" s="14"/>
      <c r="T511" s="14"/>
      <c r="U511" s="14"/>
      <c r="V511" s="272"/>
      <c r="W511" s="272"/>
      <c r="X511" s="14"/>
      <c r="Y511" s="14"/>
      <c r="Z511" s="14"/>
      <c r="AA511" s="14"/>
      <c r="AB511" s="14"/>
      <c r="AC511" s="14"/>
      <c r="AD511" s="14"/>
      <c r="AE511" s="14"/>
      <c r="AF511" s="14"/>
      <c r="AG511" s="14"/>
      <c r="AH511" s="14"/>
      <c r="AI511" s="7"/>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row>
    <row r="512">
      <c r="A512" s="14"/>
      <c r="B512" s="14"/>
      <c r="C512" s="14"/>
      <c r="D512" s="14"/>
      <c r="E512" s="7"/>
      <c r="F512" s="7"/>
      <c r="G512" s="7"/>
      <c r="H512" s="7"/>
      <c r="I512" s="7"/>
      <c r="J512" s="14"/>
      <c r="K512" s="7"/>
      <c r="L512" s="14"/>
      <c r="M512" s="14"/>
      <c r="N512" s="14"/>
      <c r="O512" s="14"/>
      <c r="P512" s="14"/>
      <c r="Q512" s="14"/>
      <c r="R512" s="14"/>
      <c r="S512" s="14"/>
      <c r="T512" s="14"/>
      <c r="U512" s="14"/>
      <c r="V512" s="272"/>
      <c r="W512" s="272"/>
      <c r="X512" s="14"/>
      <c r="Y512" s="14"/>
      <c r="Z512" s="14"/>
      <c r="AA512" s="14"/>
      <c r="AB512" s="14"/>
      <c r="AC512" s="14"/>
      <c r="AD512" s="14"/>
      <c r="AE512" s="14"/>
      <c r="AF512" s="14"/>
      <c r="AG512" s="14"/>
      <c r="AH512" s="14"/>
      <c r="AI512" s="7"/>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row>
    <row r="513">
      <c r="A513" s="14"/>
      <c r="B513" s="14"/>
      <c r="C513" s="14"/>
      <c r="D513" s="14"/>
      <c r="E513" s="7"/>
      <c r="F513" s="7"/>
      <c r="G513" s="7"/>
      <c r="H513" s="7"/>
      <c r="I513" s="7"/>
      <c r="J513" s="14"/>
      <c r="K513" s="7"/>
      <c r="L513" s="14"/>
      <c r="M513" s="14"/>
      <c r="N513" s="14"/>
      <c r="O513" s="14"/>
      <c r="P513" s="14"/>
      <c r="Q513" s="14"/>
      <c r="R513" s="14"/>
      <c r="S513" s="14"/>
      <c r="T513" s="14"/>
      <c r="U513" s="14"/>
      <c r="V513" s="272"/>
      <c r="W513" s="272"/>
      <c r="X513" s="14"/>
      <c r="Y513" s="14"/>
      <c r="Z513" s="14"/>
      <c r="AA513" s="14"/>
      <c r="AB513" s="14"/>
      <c r="AC513" s="14"/>
      <c r="AD513" s="14"/>
      <c r="AE513" s="14"/>
      <c r="AF513" s="14"/>
      <c r="AG513" s="14"/>
      <c r="AH513" s="14"/>
      <c r="AI513" s="7"/>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row>
    <row r="514">
      <c r="A514" s="14"/>
      <c r="B514" s="14"/>
      <c r="C514" s="14"/>
      <c r="D514" s="14"/>
      <c r="E514" s="7"/>
      <c r="F514" s="7"/>
      <c r="G514" s="7"/>
      <c r="H514" s="7"/>
      <c r="I514" s="7"/>
      <c r="J514" s="14"/>
      <c r="K514" s="7"/>
      <c r="L514" s="14"/>
      <c r="M514" s="14"/>
      <c r="N514" s="14"/>
      <c r="O514" s="14"/>
      <c r="P514" s="14"/>
      <c r="Q514" s="14"/>
      <c r="R514" s="14"/>
      <c r="S514" s="14"/>
      <c r="T514" s="14"/>
      <c r="U514" s="14"/>
      <c r="V514" s="272"/>
      <c r="W514" s="272"/>
      <c r="X514" s="14"/>
      <c r="Y514" s="14"/>
      <c r="Z514" s="14"/>
      <c r="AA514" s="14"/>
      <c r="AB514" s="14"/>
      <c r="AC514" s="14"/>
      <c r="AD514" s="14"/>
      <c r="AE514" s="14"/>
      <c r="AF514" s="14"/>
      <c r="AG514" s="14"/>
      <c r="AH514" s="14"/>
      <c r="AI514" s="7"/>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row>
    <row r="515">
      <c r="A515" s="14"/>
      <c r="B515" s="14"/>
      <c r="C515" s="14"/>
      <c r="D515" s="14"/>
      <c r="E515" s="7"/>
      <c r="F515" s="7"/>
      <c r="G515" s="7"/>
      <c r="H515" s="7"/>
      <c r="I515" s="7"/>
      <c r="J515" s="14"/>
      <c r="K515" s="7"/>
      <c r="L515" s="14"/>
      <c r="M515" s="14"/>
      <c r="N515" s="14"/>
      <c r="O515" s="14"/>
      <c r="P515" s="14"/>
      <c r="Q515" s="14"/>
      <c r="R515" s="14"/>
      <c r="S515" s="14"/>
      <c r="T515" s="14"/>
      <c r="U515" s="14"/>
      <c r="V515" s="272"/>
      <c r="W515" s="272"/>
      <c r="X515" s="14"/>
      <c r="Y515" s="14"/>
      <c r="Z515" s="14"/>
      <c r="AA515" s="14"/>
      <c r="AB515" s="14"/>
      <c r="AC515" s="14"/>
      <c r="AD515" s="14"/>
      <c r="AE515" s="14"/>
      <c r="AF515" s="14"/>
      <c r="AG515" s="14"/>
      <c r="AH515" s="14"/>
      <c r="AI515" s="7"/>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row>
    <row r="516">
      <c r="A516" s="14"/>
      <c r="B516" s="14"/>
      <c r="C516" s="14"/>
      <c r="D516" s="14"/>
      <c r="E516" s="7"/>
      <c r="F516" s="7"/>
      <c r="G516" s="7"/>
      <c r="H516" s="7"/>
      <c r="I516" s="7"/>
      <c r="J516" s="14"/>
      <c r="K516" s="7"/>
      <c r="L516" s="14"/>
      <c r="M516" s="14"/>
      <c r="N516" s="14"/>
      <c r="O516" s="14"/>
      <c r="P516" s="14"/>
      <c r="Q516" s="14"/>
      <c r="R516" s="14"/>
      <c r="S516" s="14"/>
      <c r="T516" s="14"/>
      <c r="U516" s="14"/>
      <c r="V516" s="272"/>
      <c r="W516" s="272"/>
      <c r="X516" s="14"/>
      <c r="Y516" s="14"/>
      <c r="Z516" s="14"/>
      <c r="AA516" s="14"/>
      <c r="AB516" s="14"/>
      <c r="AC516" s="14"/>
      <c r="AD516" s="14"/>
      <c r="AE516" s="14"/>
      <c r="AF516" s="14"/>
      <c r="AG516" s="14"/>
      <c r="AH516" s="14"/>
      <c r="AI516" s="7"/>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row>
    <row r="517">
      <c r="A517" s="14"/>
      <c r="B517" s="14"/>
      <c r="C517" s="14"/>
      <c r="D517" s="14"/>
      <c r="E517" s="7"/>
      <c r="F517" s="7"/>
      <c r="G517" s="7"/>
      <c r="H517" s="7"/>
      <c r="I517" s="7"/>
      <c r="J517" s="14"/>
      <c r="K517" s="7"/>
      <c r="L517" s="14"/>
      <c r="M517" s="14"/>
      <c r="N517" s="14"/>
      <c r="O517" s="14"/>
      <c r="P517" s="14"/>
      <c r="Q517" s="14"/>
      <c r="R517" s="14"/>
      <c r="S517" s="14"/>
      <c r="T517" s="14"/>
      <c r="U517" s="14"/>
      <c r="V517" s="272"/>
      <c r="W517" s="272"/>
      <c r="X517" s="14"/>
      <c r="Y517" s="14"/>
      <c r="Z517" s="14"/>
      <c r="AA517" s="14"/>
      <c r="AB517" s="14"/>
      <c r="AC517" s="14"/>
      <c r="AD517" s="14"/>
      <c r="AE517" s="14"/>
      <c r="AF517" s="14"/>
      <c r="AG517" s="14"/>
      <c r="AH517" s="14"/>
      <c r="AI517" s="7"/>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row>
    <row r="518">
      <c r="A518" s="14"/>
      <c r="B518" s="14"/>
      <c r="C518" s="14"/>
      <c r="D518" s="14"/>
      <c r="E518" s="7"/>
      <c r="F518" s="7"/>
      <c r="G518" s="7"/>
      <c r="H518" s="7"/>
      <c r="I518" s="7"/>
      <c r="J518" s="14"/>
      <c r="K518" s="7"/>
      <c r="L518" s="14"/>
      <c r="M518" s="14"/>
      <c r="N518" s="14"/>
      <c r="O518" s="14"/>
      <c r="P518" s="14"/>
      <c r="Q518" s="14"/>
      <c r="R518" s="14"/>
      <c r="S518" s="14"/>
      <c r="T518" s="14"/>
      <c r="U518" s="14"/>
      <c r="V518" s="272"/>
      <c r="W518" s="272"/>
      <c r="X518" s="14"/>
      <c r="Y518" s="14"/>
      <c r="Z518" s="14"/>
      <c r="AA518" s="14"/>
      <c r="AB518" s="14"/>
      <c r="AC518" s="14"/>
      <c r="AD518" s="14"/>
      <c r="AE518" s="14"/>
      <c r="AF518" s="14"/>
      <c r="AG518" s="14"/>
      <c r="AH518" s="14"/>
      <c r="AI518" s="7"/>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row>
    <row r="519">
      <c r="A519" s="14"/>
      <c r="B519" s="14"/>
      <c r="C519" s="14"/>
      <c r="D519" s="14"/>
      <c r="E519" s="7"/>
      <c r="F519" s="7"/>
      <c r="G519" s="7"/>
      <c r="H519" s="7"/>
      <c r="I519" s="7"/>
      <c r="J519" s="14"/>
      <c r="K519" s="7"/>
      <c r="L519" s="14"/>
      <c r="M519" s="14"/>
      <c r="N519" s="14"/>
      <c r="O519" s="14"/>
      <c r="P519" s="14"/>
      <c r="Q519" s="14"/>
      <c r="R519" s="14"/>
      <c r="S519" s="14"/>
      <c r="T519" s="14"/>
      <c r="U519" s="14"/>
      <c r="V519" s="272"/>
      <c r="W519" s="272"/>
      <c r="X519" s="14"/>
      <c r="Y519" s="14"/>
      <c r="Z519" s="14"/>
      <c r="AA519" s="14"/>
      <c r="AB519" s="14"/>
      <c r="AC519" s="14"/>
      <c r="AD519" s="14"/>
      <c r="AE519" s="14"/>
      <c r="AF519" s="14"/>
      <c r="AG519" s="14"/>
      <c r="AH519" s="14"/>
      <c r="AI519" s="7"/>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row>
    <row r="520">
      <c r="A520" s="14"/>
      <c r="B520" s="14"/>
      <c r="C520" s="14"/>
      <c r="D520" s="14"/>
      <c r="E520" s="7"/>
      <c r="F520" s="7"/>
      <c r="G520" s="7"/>
      <c r="H520" s="7"/>
      <c r="I520" s="7"/>
      <c r="J520" s="14"/>
      <c r="K520" s="7"/>
      <c r="L520" s="14"/>
      <c r="M520" s="14"/>
      <c r="N520" s="14"/>
      <c r="O520" s="14"/>
      <c r="P520" s="14"/>
      <c r="Q520" s="14"/>
      <c r="R520" s="14"/>
      <c r="S520" s="14"/>
      <c r="T520" s="14"/>
      <c r="U520" s="14"/>
      <c r="V520" s="272"/>
      <c r="W520" s="272"/>
      <c r="X520" s="14"/>
      <c r="Y520" s="14"/>
      <c r="Z520" s="14"/>
      <c r="AA520" s="14"/>
      <c r="AB520" s="14"/>
      <c r="AC520" s="14"/>
      <c r="AD520" s="14"/>
      <c r="AE520" s="14"/>
      <c r="AF520" s="14"/>
      <c r="AG520" s="14"/>
      <c r="AH520" s="14"/>
      <c r="AI520" s="7"/>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row>
    <row r="521">
      <c r="A521" s="14"/>
      <c r="B521" s="14"/>
      <c r="C521" s="14"/>
      <c r="D521" s="14"/>
      <c r="E521" s="7"/>
      <c r="F521" s="7"/>
      <c r="G521" s="7"/>
      <c r="H521" s="7"/>
      <c r="I521" s="7"/>
      <c r="J521" s="14"/>
      <c r="K521" s="7"/>
      <c r="L521" s="14"/>
      <c r="M521" s="14"/>
      <c r="N521" s="14"/>
      <c r="O521" s="14"/>
      <c r="P521" s="14"/>
      <c r="Q521" s="14"/>
      <c r="R521" s="14"/>
      <c r="S521" s="14"/>
      <c r="T521" s="14"/>
      <c r="U521" s="14"/>
      <c r="V521" s="272"/>
      <c r="W521" s="272"/>
      <c r="X521" s="14"/>
      <c r="Y521" s="14"/>
      <c r="Z521" s="14"/>
      <c r="AA521" s="14"/>
      <c r="AB521" s="14"/>
      <c r="AC521" s="14"/>
      <c r="AD521" s="14"/>
      <c r="AE521" s="14"/>
      <c r="AF521" s="14"/>
      <c r="AG521" s="14"/>
      <c r="AH521" s="14"/>
      <c r="AI521" s="7"/>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row>
    <row r="522">
      <c r="A522" s="14"/>
      <c r="B522" s="14"/>
      <c r="C522" s="14"/>
      <c r="D522" s="14"/>
      <c r="E522" s="7"/>
      <c r="F522" s="7"/>
      <c r="G522" s="7"/>
      <c r="H522" s="7"/>
      <c r="I522" s="7"/>
      <c r="J522" s="14"/>
      <c r="K522" s="7"/>
      <c r="L522" s="14"/>
      <c r="M522" s="14"/>
      <c r="N522" s="14"/>
      <c r="O522" s="14"/>
      <c r="P522" s="14"/>
      <c r="Q522" s="14"/>
      <c r="R522" s="14"/>
      <c r="S522" s="14"/>
      <c r="T522" s="14"/>
      <c r="U522" s="14"/>
      <c r="V522" s="272"/>
      <c r="W522" s="272"/>
      <c r="X522" s="14"/>
      <c r="Y522" s="14"/>
      <c r="Z522" s="14"/>
      <c r="AA522" s="14"/>
      <c r="AB522" s="14"/>
      <c r="AC522" s="14"/>
      <c r="AD522" s="14"/>
      <c r="AE522" s="14"/>
      <c r="AF522" s="14"/>
      <c r="AG522" s="14"/>
      <c r="AH522" s="14"/>
      <c r="AI522" s="7"/>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row>
    <row r="523">
      <c r="A523" s="14"/>
      <c r="B523" s="14"/>
      <c r="C523" s="14"/>
      <c r="D523" s="14"/>
      <c r="E523" s="7"/>
      <c r="F523" s="7"/>
      <c r="G523" s="7"/>
      <c r="H523" s="7"/>
      <c r="I523" s="7"/>
      <c r="J523" s="14"/>
      <c r="K523" s="7"/>
      <c r="L523" s="14"/>
      <c r="M523" s="14"/>
      <c r="N523" s="14"/>
      <c r="O523" s="14"/>
      <c r="P523" s="14"/>
      <c r="Q523" s="14"/>
      <c r="R523" s="14"/>
      <c r="S523" s="14"/>
      <c r="T523" s="14"/>
      <c r="U523" s="14"/>
      <c r="V523" s="272"/>
      <c r="W523" s="272"/>
      <c r="X523" s="14"/>
      <c r="Y523" s="14"/>
      <c r="Z523" s="14"/>
      <c r="AA523" s="14"/>
      <c r="AB523" s="14"/>
      <c r="AC523" s="14"/>
      <c r="AD523" s="14"/>
      <c r="AE523" s="14"/>
      <c r="AF523" s="14"/>
      <c r="AG523" s="14"/>
      <c r="AH523" s="14"/>
      <c r="AI523" s="7"/>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row>
    <row r="524">
      <c r="A524" s="14"/>
      <c r="B524" s="14"/>
      <c r="C524" s="14"/>
      <c r="D524" s="14"/>
      <c r="E524" s="7"/>
      <c r="F524" s="7"/>
      <c r="G524" s="7"/>
      <c r="H524" s="7"/>
      <c r="I524" s="7"/>
      <c r="J524" s="14"/>
      <c r="K524" s="7"/>
      <c r="L524" s="14"/>
      <c r="M524" s="14"/>
      <c r="N524" s="14"/>
      <c r="O524" s="14"/>
      <c r="P524" s="14"/>
      <c r="Q524" s="14"/>
      <c r="R524" s="14"/>
      <c r="S524" s="14"/>
      <c r="T524" s="14"/>
      <c r="U524" s="14"/>
      <c r="V524" s="272"/>
      <c r="W524" s="272"/>
      <c r="X524" s="14"/>
      <c r="Y524" s="14"/>
      <c r="Z524" s="14"/>
      <c r="AA524" s="14"/>
      <c r="AB524" s="14"/>
      <c r="AC524" s="14"/>
      <c r="AD524" s="14"/>
      <c r="AE524" s="14"/>
      <c r="AF524" s="14"/>
      <c r="AG524" s="14"/>
      <c r="AH524" s="14"/>
      <c r="AI524" s="7"/>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row>
    <row r="525">
      <c r="A525" s="14"/>
      <c r="B525" s="14"/>
      <c r="C525" s="14"/>
      <c r="D525" s="14"/>
      <c r="E525" s="7"/>
      <c r="F525" s="7"/>
      <c r="G525" s="7"/>
      <c r="H525" s="7"/>
      <c r="I525" s="7"/>
      <c r="J525" s="14"/>
      <c r="K525" s="7"/>
      <c r="L525" s="14"/>
      <c r="M525" s="14"/>
      <c r="N525" s="14"/>
      <c r="O525" s="14"/>
      <c r="P525" s="14"/>
      <c r="Q525" s="14"/>
      <c r="R525" s="14"/>
      <c r="S525" s="14"/>
      <c r="T525" s="14"/>
      <c r="U525" s="14"/>
      <c r="V525" s="272"/>
      <c r="W525" s="272"/>
      <c r="X525" s="14"/>
      <c r="Y525" s="14"/>
      <c r="Z525" s="14"/>
      <c r="AA525" s="14"/>
      <c r="AB525" s="14"/>
      <c r="AC525" s="14"/>
      <c r="AD525" s="14"/>
      <c r="AE525" s="14"/>
      <c r="AF525" s="14"/>
      <c r="AG525" s="14"/>
      <c r="AH525" s="14"/>
      <c r="AI525" s="7"/>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row>
    <row r="526">
      <c r="A526" s="14"/>
      <c r="B526" s="14"/>
      <c r="C526" s="14"/>
      <c r="D526" s="14"/>
      <c r="E526" s="7"/>
      <c r="F526" s="7"/>
      <c r="G526" s="7"/>
      <c r="H526" s="7"/>
      <c r="I526" s="7"/>
      <c r="J526" s="14"/>
      <c r="K526" s="7"/>
      <c r="L526" s="14"/>
      <c r="M526" s="14"/>
      <c r="N526" s="14"/>
      <c r="O526" s="14"/>
      <c r="P526" s="14"/>
      <c r="Q526" s="14"/>
      <c r="R526" s="14"/>
      <c r="S526" s="14"/>
      <c r="T526" s="14"/>
      <c r="U526" s="14"/>
      <c r="V526" s="272"/>
      <c r="W526" s="272"/>
      <c r="X526" s="14"/>
      <c r="Y526" s="14"/>
      <c r="Z526" s="14"/>
      <c r="AA526" s="14"/>
      <c r="AB526" s="14"/>
      <c r="AC526" s="14"/>
      <c r="AD526" s="14"/>
      <c r="AE526" s="14"/>
      <c r="AF526" s="14"/>
      <c r="AG526" s="14"/>
      <c r="AH526" s="14"/>
      <c r="AI526" s="7"/>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row>
    <row r="527">
      <c r="A527" s="14"/>
      <c r="B527" s="14"/>
      <c r="C527" s="14"/>
      <c r="D527" s="14"/>
      <c r="E527" s="7"/>
      <c r="F527" s="7"/>
      <c r="G527" s="7"/>
      <c r="H527" s="7"/>
      <c r="I527" s="7"/>
      <c r="J527" s="14"/>
      <c r="K527" s="7"/>
      <c r="L527" s="14"/>
      <c r="M527" s="14"/>
      <c r="N527" s="14"/>
      <c r="O527" s="14"/>
      <c r="P527" s="14"/>
      <c r="Q527" s="14"/>
      <c r="R527" s="14"/>
      <c r="S527" s="14"/>
      <c r="T527" s="14"/>
      <c r="U527" s="14"/>
      <c r="V527" s="272"/>
      <c r="W527" s="272"/>
      <c r="X527" s="14"/>
      <c r="Y527" s="14"/>
      <c r="Z527" s="14"/>
      <c r="AA527" s="14"/>
      <c r="AB527" s="14"/>
      <c r="AC527" s="14"/>
      <c r="AD527" s="14"/>
      <c r="AE527" s="14"/>
      <c r="AF527" s="14"/>
      <c r="AG527" s="14"/>
      <c r="AH527" s="14"/>
      <c r="AI527" s="7"/>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row>
    <row r="528">
      <c r="A528" s="14"/>
      <c r="B528" s="14"/>
      <c r="C528" s="14"/>
      <c r="D528" s="14"/>
      <c r="E528" s="7"/>
      <c r="F528" s="7"/>
      <c r="G528" s="7"/>
      <c r="H528" s="7"/>
      <c r="I528" s="7"/>
      <c r="J528" s="14"/>
      <c r="K528" s="7"/>
      <c r="L528" s="14"/>
      <c r="M528" s="14"/>
      <c r="N528" s="14"/>
      <c r="O528" s="14"/>
      <c r="P528" s="14"/>
      <c r="Q528" s="14"/>
      <c r="R528" s="14"/>
      <c r="S528" s="14"/>
      <c r="T528" s="14"/>
      <c r="U528" s="14"/>
      <c r="V528" s="272"/>
      <c r="W528" s="272"/>
      <c r="X528" s="14"/>
      <c r="Y528" s="14"/>
      <c r="Z528" s="14"/>
      <c r="AA528" s="14"/>
      <c r="AB528" s="14"/>
      <c r="AC528" s="14"/>
      <c r="AD528" s="14"/>
      <c r="AE528" s="14"/>
      <c r="AF528" s="14"/>
      <c r="AG528" s="14"/>
      <c r="AH528" s="14"/>
      <c r="AI528" s="7"/>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row>
    <row r="529">
      <c r="A529" s="14"/>
      <c r="B529" s="14"/>
      <c r="C529" s="14"/>
      <c r="D529" s="14"/>
      <c r="E529" s="7"/>
      <c r="F529" s="7"/>
      <c r="G529" s="7"/>
      <c r="H529" s="7"/>
      <c r="I529" s="7"/>
      <c r="J529" s="14"/>
      <c r="K529" s="7"/>
      <c r="L529" s="14"/>
      <c r="M529" s="14"/>
      <c r="N529" s="14"/>
      <c r="O529" s="14"/>
      <c r="P529" s="14"/>
      <c r="Q529" s="14"/>
      <c r="R529" s="14"/>
      <c r="S529" s="14"/>
      <c r="T529" s="14"/>
      <c r="U529" s="14"/>
      <c r="V529" s="272"/>
      <c r="W529" s="272"/>
      <c r="X529" s="14"/>
      <c r="Y529" s="14"/>
      <c r="Z529" s="14"/>
      <c r="AA529" s="14"/>
      <c r="AB529" s="14"/>
      <c r="AC529" s="14"/>
      <c r="AD529" s="14"/>
      <c r="AE529" s="14"/>
      <c r="AF529" s="14"/>
      <c r="AG529" s="14"/>
      <c r="AH529" s="14"/>
      <c r="AI529" s="7"/>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row>
    <row r="530">
      <c r="A530" s="14"/>
      <c r="B530" s="14"/>
      <c r="C530" s="14"/>
      <c r="D530" s="14"/>
      <c r="E530" s="7"/>
      <c r="F530" s="7"/>
      <c r="G530" s="7"/>
      <c r="H530" s="7"/>
      <c r="I530" s="7"/>
      <c r="J530" s="14"/>
      <c r="K530" s="7"/>
      <c r="L530" s="14"/>
      <c r="M530" s="14"/>
      <c r="N530" s="14"/>
      <c r="O530" s="14"/>
      <c r="P530" s="14"/>
      <c r="Q530" s="14"/>
      <c r="R530" s="14"/>
      <c r="S530" s="14"/>
      <c r="T530" s="14"/>
      <c r="U530" s="14"/>
      <c r="V530" s="272"/>
      <c r="W530" s="272"/>
      <c r="X530" s="14"/>
      <c r="Y530" s="14"/>
      <c r="Z530" s="14"/>
      <c r="AA530" s="14"/>
      <c r="AB530" s="14"/>
      <c r="AC530" s="14"/>
      <c r="AD530" s="14"/>
      <c r="AE530" s="14"/>
      <c r="AF530" s="14"/>
      <c r="AG530" s="14"/>
      <c r="AH530" s="14"/>
      <c r="AI530" s="7"/>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row>
    <row r="531">
      <c r="A531" s="14"/>
      <c r="B531" s="14"/>
      <c r="C531" s="14"/>
      <c r="D531" s="14"/>
      <c r="E531" s="7"/>
      <c r="F531" s="7"/>
      <c r="G531" s="7"/>
      <c r="H531" s="7"/>
      <c r="I531" s="7"/>
      <c r="J531" s="14"/>
      <c r="K531" s="7"/>
      <c r="L531" s="14"/>
      <c r="M531" s="14"/>
      <c r="N531" s="14"/>
      <c r="O531" s="14"/>
      <c r="P531" s="14"/>
      <c r="Q531" s="14"/>
      <c r="R531" s="14"/>
      <c r="S531" s="14"/>
      <c r="T531" s="14"/>
      <c r="U531" s="14"/>
      <c r="V531" s="272"/>
      <c r="W531" s="272"/>
      <c r="X531" s="14"/>
      <c r="Y531" s="14"/>
      <c r="Z531" s="14"/>
      <c r="AA531" s="14"/>
      <c r="AB531" s="14"/>
      <c r="AC531" s="14"/>
      <c r="AD531" s="14"/>
      <c r="AE531" s="14"/>
      <c r="AF531" s="14"/>
      <c r="AG531" s="14"/>
      <c r="AH531" s="14"/>
      <c r="AI531" s="7"/>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row>
    <row r="532">
      <c r="A532" s="14"/>
      <c r="B532" s="14"/>
      <c r="C532" s="14"/>
      <c r="D532" s="14"/>
      <c r="E532" s="7"/>
      <c r="F532" s="7"/>
      <c r="G532" s="7"/>
      <c r="H532" s="7"/>
      <c r="I532" s="7"/>
      <c r="J532" s="14"/>
      <c r="K532" s="7"/>
      <c r="L532" s="14"/>
      <c r="M532" s="14"/>
      <c r="N532" s="14"/>
      <c r="O532" s="14"/>
      <c r="P532" s="14"/>
      <c r="Q532" s="14"/>
      <c r="R532" s="14"/>
      <c r="S532" s="14"/>
      <c r="T532" s="14"/>
      <c r="U532" s="14"/>
      <c r="V532" s="272"/>
      <c r="W532" s="272"/>
      <c r="X532" s="14"/>
      <c r="Y532" s="14"/>
      <c r="Z532" s="14"/>
      <c r="AA532" s="14"/>
      <c r="AB532" s="14"/>
      <c r="AC532" s="14"/>
      <c r="AD532" s="14"/>
      <c r="AE532" s="14"/>
      <c r="AF532" s="14"/>
      <c r="AG532" s="14"/>
      <c r="AH532" s="14"/>
      <c r="AI532" s="7"/>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row>
    <row r="533">
      <c r="A533" s="14"/>
      <c r="B533" s="14"/>
      <c r="C533" s="14"/>
      <c r="D533" s="14"/>
      <c r="E533" s="7"/>
      <c r="F533" s="7"/>
      <c r="G533" s="7"/>
      <c r="H533" s="7"/>
      <c r="I533" s="7"/>
      <c r="J533" s="14"/>
      <c r="K533" s="7"/>
      <c r="L533" s="14"/>
      <c r="M533" s="14"/>
      <c r="N533" s="14"/>
      <c r="O533" s="14"/>
      <c r="P533" s="14"/>
      <c r="Q533" s="14"/>
      <c r="R533" s="14"/>
      <c r="S533" s="14"/>
      <c r="T533" s="14"/>
      <c r="U533" s="14"/>
      <c r="V533" s="272"/>
      <c r="W533" s="272"/>
      <c r="X533" s="14"/>
      <c r="Y533" s="14"/>
      <c r="Z533" s="14"/>
      <c r="AA533" s="14"/>
      <c r="AB533" s="14"/>
      <c r="AC533" s="14"/>
      <c r="AD533" s="14"/>
      <c r="AE533" s="14"/>
      <c r="AF533" s="14"/>
      <c r="AG533" s="14"/>
      <c r="AH533" s="14"/>
      <c r="AI533" s="7"/>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row>
    <row r="534">
      <c r="A534" s="14"/>
      <c r="B534" s="14"/>
      <c r="C534" s="14"/>
      <c r="D534" s="14"/>
      <c r="E534" s="7"/>
      <c r="F534" s="7"/>
      <c r="G534" s="7"/>
      <c r="H534" s="7"/>
      <c r="I534" s="7"/>
      <c r="J534" s="14"/>
      <c r="K534" s="7"/>
      <c r="L534" s="14"/>
      <c r="M534" s="14"/>
      <c r="N534" s="14"/>
      <c r="O534" s="14"/>
      <c r="P534" s="14"/>
      <c r="Q534" s="14"/>
      <c r="R534" s="14"/>
      <c r="S534" s="14"/>
      <c r="T534" s="14"/>
      <c r="U534" s="14"/>
      <c r="V534" s="272"/>
      <c r="W534" s="272"/>
      <c r="X534" s="14"/>
      <c r="Y534" s="14"/>
      <c r="Z534" s="14"/>
      <c r="AA534" s="14"/>
      <c r="AB534" s="14"/>
      <c r="AC534" s="14"/>
      <c r="AD534" s="14"/>
      <c r="AE534" s="14"/>
      <c r="AF534" s="14"/>
      <c r="AG534" s="14"/>
      <c r="AH534" s="14"/>
      <c r="AI534" s="7"/>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row>
    <row r="535">
      <c r="A535" s="14"/>
      <c r="B535" s="14"/>
      <c r="C535" s="14"/>
      <c r="D535" s="14"/>
      <c r="E535" s="7"/>
      <c r="F535" s="7"/>
      <c r="G535" s="7"/>
      <c r="H535" s="7"/>
      <c r="I535" s="7"/>
      <c r="J535" s="14"/>
      <c r="K535" s="7"/>
      <c r="L535" s="14"/>
      <c r="M535" s="14"/>
      <c r="N535" s="14"/>
      <c r="O535" s="14"/>
      <c r="P535" s="14"/>
      <c r="Q535" s="14"/>
      <c r="R535" s="14"/>
      <c r="S535" s="14"/>
      <c r="T535" s="14"/>
      <c r="U535" s="14"/>
      <c r="V535" s="272"/>
      <c r="W535" s="272"/>
      <c r="X535" s="14"/>
      <c r="Y535" s="14"/>
      <c r="Z535" s="14"/>
      <c r="AA535" s="14"/>
      <c r="AB535" s="14"/>
      <c r="AC535" s="14"/>
      <c r="AD535" s="14"/>
      <c r="AE535" s="14"/>
      <c r="AF535" s="14"/>
      <c r="AG535" s="14"/>
      <c r="AH535" s="14"/>
      <c r="AI535" s="7"/>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row>
    <row r="536">
      <c r="A536" s="14"/>
      <c r="B536" s="14"/>
      <c r="C536" s="14"/>
      <c r="D536" s="14"/>
      <c r="E536" s="7"/>
      <c r="F536" s="7"/>
      <c r="G536" s="7"/>
      <c r="H536" s="7"/>
      <c r="I536" s="7"/>
      <c r="J536" s="14"/>
      <c r="K536" s="7"/>
      <c r="L536" s="14"/>
      <c r="M536" s="14"/>
      <c r="N536" s="14"/>
      <c r="O536" s="14"/>
      <c r="P536" s="14"/>
      <c r="Q536" s="14"/>
      <c r="R536" s="14"/>
      <c r="S536" s="14"/>
      <c r="T536" s="14"/>
      <c r="U536" s="14"/>
      <c r="V536" s="272"/>
      <c r="W536" s="272"/>
      <c r="X536" s="14"/>
      <c r="Y536" s="14"/>
      <c r="Z536" s="14"/>
      <c r="AA536" s="14"/>
      <c r="AB536" s="14"/>
      <c r="AC536" s="14"/>
      <c r="AD536" s="14"/>
      <c r="AE536" s="14"/>
      <c r="AF536" s="14"/>
      <c r="AG536" s="14"/>
      <c r="AH536" s="14"/>
      <c r="AI536" s="7"/>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row>
    <row r="537">
      <c r="A537" s="14"/>
      <c r="B537" s="14"/>
      <c r="C537" s="14"/>
      <c r="D537" s="14"/>
      <c r="E537" s="7"/>
      <c r="F537" s="7"/>
      <c r="G537" s="7"/>
      <c r="H537" s="7"/>
      <c r="I537" s="7"/>
      <c r="J537" s="14"/>
      <c r="K537" s="7"/>
      <c r="L537" s="14"/>
      <c r="M537" s="14"/>
      <c r="N537" s="14"/>
      <c r="O537" s="14"/>
      <c r="P537" s="14"/>
      <c r="Q537" s="14"/>
      <c r="R537" s="14"/>
      <c r="S537" s="14"/>
      <c r="T537" s="14"/>
      <c r="U537" s="14"/>
      <c r="V537" s="272"/>
      <c r="W537" s="272"/>
      <c r="X537" s="14"/>
      <c r="Y537" s="14"/>
      <c r="Z537" s="14"/>
      <c r="AA537" s="14"/>
      <c r="AB537" s="14"/>
      <c r="AC537" s="14"/>
      <c r="AD537" s="14"/>
      <c r="AE537" s="14"/>
      <c r="AF537" s="14"/>
      <c r="AG537" s="14"/>
      <c r="AH537" s="14"/>
      <c r="AI537" s="7"/>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row>
    <row r="538">
      <c r="A538" s="14"/>
      <c r="B538" s="14"/>
      <c r="C538" s="14"/>
      <c r="D538" s="14"/>
      <c r="E538" s="7"/>
      <c r="F538" s="7"/>
      <c r="G538" s="7"/>
      <c r="H538" s="7"/>
      <c r="I538" s="7"/>
      <c r="J538" s="14"/>
      <c r="K538" s="7"/>
      <c r="L538" s="14"/>
      <c r="M538" s="14"/>
      <c r="N538" s="14"/>
      <c r="O538" s="14"/>
      <c r="P538" s="14"/>
      <c r="Q538" s="14"/>
      <c r="R538" s="14"/>
      <c r="S538" s="14"/>
      <c r="T538" s="14"/>
      <c r="U538" s="14"/>
      <c r="V538" s="272"/>
      <c r="W538" s="272"/>
      <c r="X538" s="14"/>
      <c r="Y538" s="14"/>
      <c r="Z538" s="14"/>
      <c r="AA538" s="14"/>
      <c r="AB538" s="14"/>
      <c r="AC538" s="14"/>
      <c r="AD538" s="14"/>
      <c r="AE538" s="14"/>
      <c r="AF538" s="14"/>
      <c r="AG538" s="14"/>
      <c r="AH538" s="14"/>
      <c r="AI538" s="7"/>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row>
    <row r="539">
      <c r="A539" s="14"/>
      <c r="B539" s="14"/>
      <c r="C539" s="14"/>
      <c r="D539" s="14"/>
      <c r="E539" s="7"/>
      <c r="F539" s="7"/>
      <c r="G539" s="7"/>
      <c r="H539" s="7"/>
      <c r="I539" s="7"/>
      <c r="J539" s="14"/>
      <c r="K539" s="7"/>
      <c r="L539" s="14"/>
      <c r="M539" s="14"/>
      <c r="N539" s="14"/>
      <c r="O539" s="14"/>
      <c r="P539" s="14"/>
      <c r="Q539" s="14"/>
      <c r="R539" s="14"/>
      <c r="S539" s="14"/>
      <c r="T539" s="14"/>
      <c r="U539" s="14"/>
      <c r="V539" s="272"/>
      <c r="W539" s="272"/>
      <c r="X539" s="14"/>
      <c r="Y539" s="14"/>
      <c r="Z539" s="14"/>
      <c r="AA539" s="14"/>
      <c r="AB539" s="14"/>
      <c r="AC539" s="14"/>
      <c r="AD539" s="14"/>
      <c r="AE539" s="14"/>
      <c r="AF539" s="14"/>
      <c r="AG539" s="14"/>
      <c r="AH539" s="14"/>
      <c r="AI539" s="7"/>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row>
    <row r="540">
      <c r="A540" s="14"/>
      <c r="B540" s="14"/>
      <c r="C540" s="14"/>
      <c r="D540" s="14"/>
      <c r="E540" s="7"/>
      <c r="F540" s="7"/>
      <c r="G540" s="7"/>
      <c r="H540" s="7"/>
      <c r="I540" s="7"/>
      <c r="J540" s="14"/>
      <c r="K540" s="7"/>
      <c r="L540" s="14"/>
      <c r="M540" s="14"/>
      <c r="N540" s="14"/>
      <c r="O540" s="14"/>
      <c r="P540" s="14"/>
      <c r="Q540" s="14"/>
      <c r="R540" s="14"/>
      <c r="S540" s="14"/>
      <c r="T540" s="14"/>
      <c r="U540" s="14"/>
      <c r="V540" s="272"/>
      <c r="W540" s="272"/>
      <c r="X540" s="14"/>
      <c r="Y540" s="14"/>
      <c r="Z540" s="14"/>
      <c r="AA540" s="14"/>
      <c r="AB540" s="14"/>
      <c r="AC540" s="14"/>
      <c r="AD540" s="14"/>
      <c r="AE540" s="14"/>
      <c r="AF540" s="14"/>
      <c r="AG540" s="14"/>
      <c r="AH540" s="14"/>
      <c r="AI540" s="7"/>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row>
    <row r="541">
      <c r="A541" s="14"/>
      <c r="B541" s="14"/>
      <c r="C541" s="14"/>
      <c r="D541" s="14"/>
      <c r="E541" s="7"/>
      <c r="F541" s="7"/>
      <c r="G541" s="7"/>
      <c r="H541" s="7"/>
      <c r="I541" s="7"/>
      <c r="J541" s="14"/>
      <c r="K541" s="7"/>
      <c r="L541" s="14"/>
      <c r="M541" s="14"/>
      <c r="N541" s="14"/>
      <c r="O541" s="14"/>
      <c r="P541" s="14"/>
      <c r="Q541" s="14"/>
      <c r="R541" s="14"/>
      <c r="S541" s="14"/>
      <c r="T541" s="14"/>
      <c r="U541" s="14"/>
      <c r="V541" s="272"/>
      <c r="W541" s="272"/>
      <c r="X541" s="14"/>
      <c r="Y541" s="14"/>
      <c r="Z541" s="14"/>
      <c r="AA541" s="14"/>
      <c r="AB541" s="14"/>
      <c r="AC541" s="14"/>
      <c r="AD541" s="14"/>
      <c r="AE541" s="14"/>
      <c r="AF541" s="14"/>
      <c r="AG541" s="14"/>
      <c r="AH541" s="14"/>
      <c r="AI541" s="7"/>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row>
    <row r="542">
      <c r="A542" s="14"/>
      <c r="B542" s="14"/>
      <c r="C542" s="14"/>
      <c r="D542" s="14"/>
      <c r="E542" s="7"/>
      <c r="F542" s="7"/>
      <c r="G542" s="7"/>
      <c r="H542" s="7"/>
      <c r="I542" s="7"/>
      <c r="J542" s="14"/>
      <c r="K542" s="7"/>
      <c r="L542" s="14"/>
      <c r="M542" s="14"/>
      <c r="N542" s="14"/>
      <c r="O542" s="14"/>
      <c r="P542" s="14"/>
      <c r="Q542" s="14"/>
      <c r="R542" s="14"/>
      <c r="S542" s="14"/>
      <c r="T542" s="14"/>
      <c r="U542" s="14"/>
      <c r="V542" s="272"/>
      <c r="W542" s="272"/>
      <c r="X542" s="14"/>
      <c r="Y542" s="14"/>
      <c r="Z542" s="14"/>
      <c r="AA542" s="14"/>
      <c r="AB542" s="14"/>
      <c r="AC542" s="14"/>
      <c r="AD542" s="14"/>
      <c r="AE542" s="14"/>
      <c r="AF542" s="14"/>
      <c r="AG542" s="14"/>
      <c r="AH542" s="14"/>
      <c r="AI542" s="7"/>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row>
    <row r="543">
      <c r="A543" s="14"/>
      <c r="B543" s="14"/>
      <c r="C543" s="14"/>
      <c r="D543" s="14"/>
      <c r="E543" s="7"/>
      <c r="F543" s="7"/>
      <c r="G543" s="7"/>
      <c r="H543" s="7"/>
      <c r="I543" s="7"/>
      <c r="J543" s="14"/>
      <c r="K543" s="7"/>
      <c r="L543" s="14"/>
      <c r="M543" s="14"/>
      <c r="N543" s="14"/>
      <c r="O543" s="14"/>
      <c r="P543" s="14"/>
      <c r="Q543" s="14"/>
      <c r="R543" s="14"/>
      <c r="S543" s="14"/>
      <c r="T543" s="14"/>
      <c r="U543" s="14"/>
      <c r="V543" s="272"/>
      <c r="W543" s="272"/>
      <c r="X543" s="14"/>
      <c r="Y543" s="14"/>
      <c r="Z543" s="14"/>
      <c r="AA543" s="14"/>
      <c r="AB543" s="14"/>
      <c r="AC543" s="14"/>
      <c r="AD543" s="14"/>
      <c r="AE543" s="14"/>
      <c r="AF543" s="14"/>
      <c r="AG543" s="14"/>
      <c r="AH543" s="14"/>
      <c r="AI543" s="7"/>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row>
    <row r="544">
      <c r="A544" s="14"/>
      <c r="B544" s="14"/>
      <c r="C544" s="14"/>
      <c r="D544" s="14"/>
      <c r="E544" s="7"/>
      <c r="F544" s="7"/>
      <c r="G544" s="7"/>
      <c r="H544" s="7"/>
      <c r="I544" s="7"/>
      <c r="J544" s="14"/>
      <c r="K544" s="7"/>
      <c r="L544" s="14"/>
      <c r="M544" s="14"/>
      <c r="N544" s="14"/>
      <c r="O544" s="14"/>
      <c r="P544" s="14"/>
      <c r="Q544" s="14"/>
      <c r="R544" s="14"/>
      <c r="S544" s="14"/>
      <c r="T544" s="14"/>
      <c r="U544" s="14"/>
      <c r="V544" s="272"/>
      <c r="W544" s="272"/>
      <c r="X544" s="14"/>
      <c r="Y544" s="14"/>
      <c r="Z544" s="14"/>
      <c r="AA544" s="14"/>
      <c r="AB544" s="14"/>
      <c r="AC544" s="14"/>
      <c r="AD544" s="14"/>
      <c r="AE544" s="14"/>
      <c r="AF544" s="14"/>
      <c r="AG544" s="14"/>
      <c r="AH544" s="14"/>
      <c r="AI544" s="7"/>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row>
    <row r="545">
      <c r="A545" s="14"/>
      <c r="B545" s="14"/>
      <c r="C545" s="14"/>
      <c r="D545" s="14"/>
      <c r="E545" s="7"/>
      <c r="F545" s="7"/>
      <c r="G545" s="7"/>
      <c r="H545" s="7"/>
      <c r="I545" s="7"/>
      <c r="J545" s="14"/>
      <c r="K545" s="7"/>
      <c r="L545" s="14"/>
      <c r="M545" s="14"/>
      <c r="N545" s="14"/>
      <c r="O545" s="14"/>
      <c r="P545" s="14"/>
      <c r="Q545" s="14"/>
      <c r="R545" s="14"/>
      <c r="S545" s="14"/>
      <c r="T545" s="14"/>
      <c r="U545" s="14"/>
      <c r="V545" s="272"/>
      <c r="W545" s="272"/>
      <c r="X545" s="14"/>
      <c r="Y545" s="14"/>
      <c r="Z545" s="14"/>
      <c r="AA545" s="14"/>
      <c r="AB545" s="14"/>
      <c r="AC545" s="14"/>
      <c r="AD545" s="14"/>
      <c r="AE545" s="14"/>
      <c r="AF545" s="14"/>
      <c r="AG545" s="14"/>
      <c r="AH545" s="14"/>
      <c r="AI545" s="7"/>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row>
    <row r="546">
      <c r="A546" s="14"/>
      <c r="B546" s="14"/>
      <c r="C546" s="14"/>
      <c r="D546" s="14"/>
      <c r="E546" s="7"/>
      <c r="F546" s="7"/>
      <c r="G546" s="7"/>
      <c r="H546" s="7"/>
      <c r="I546" s="7"/>
      <c r="J546" s="14"/>
      <c r="K546" s="7"/>
      <c r="L546" s="14"/>
      <c r="M546" s="14"/>
      <c r="N546" s="14"/>
      <c r="O546" s="14"/>
      <c r="P546" s="14"/>
      <c r="Q546" s="14"/>
      <c r="R546" s="14"/>
      <c r="S546" s="14"/>
      <c r="T546" s="14"/>
      <c r="U546" s="14"/>
      <c r="V546" s="272"/>
      <c r="W546" s="272"/>
      <c r="X546" s="14"/>
      <c r="Y546" s="14"/>
      <c r="Z546" s="14"/>
      <c r="AA546" s="14"/>
      <c r="AB546" s="14"/>
      <c r="AC546" s="14"/>
      <c r="AD546" s="14"/>
      <c r="AE546" s="14"/>
      <c r="AF546" s="14"/>
      <c r="AG546" s="14"/>
      <c r="AH546" s="14"/>
      <c r="AI546" s="7"/>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row>
    <row r="547">
      <c r="A547" s="14"/>
      <c r="B547" s="14"/>
      <c r="C547" s="14"/>
      <c r="D547" s="14"/>
      <c r="E547" s="7"/>
      <c r="F547" s="7"/>
      <c r="G547" s="7"/>
      <c r="H547" s="7"/>
      <c r="I547" s="7"/>
      <c r="J547" s="14"/>
      <c r="K547" s="7"/>
      <c r="L547" s="14"/>
      <c r="M547" s="14"/>
      <c r="N547" s="14"/>
      <c r="O547" s="14"/>
      <c r="P547" s="14"/>
      <c r="Q547" s="14"/>
      <c r="R547" s="14"/>
      <c r="S547" s="14"/>
      <c r="T547" s="14"/>
      <c r="U547" s="14"/>
      <c r="V547" s="272"/>
      <c r="W547" s="272"/>
      <c r="X547" s="14"/>
      <c r="Y547" s="14"/>
      <c r="Z547" s="14"/>
      <c r="AA547" s="14"/>
      <c r="AB547" s="14"/>
      <c r="AC547" s="14"/>
      <c r="AD547" s="14"/>
      <c r="AE547" s="14"/>
      <c r="AF547" s="14"/>
      <c r="AG547" s="14"/>
      <c r="AH547" s="14"/>
      <c r="AI547" s="7"/>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row>
    <row r="548">
      <c r="A548" s="14"/>
      <c r="B548" s="14"/>
      <c r="C548" s="14"/>
      <c r="D548" s="14"/>
      <c r="E548" s="7"/>
      <c r="F548" s="7"/>
      <c r="G548" s="7"/>
      <c r="H548" s="7"/>
      <c r="I548" s="7"/>
      <c r="J548" s="14"/>
      <c r="K548" s="7"/>
      <c r="L548" s="14"/>
      <c r="M548" s="14"/>
      <c r="N548" s="14"/>
      <c r="O548" s="14"/>
      <c r="P548" s="14"/>
      <c r="Q548" s="14"/>
      <c r="R548" s="14"/>
      <c r="S548" s="14"/>
      <c r="T548" s="14"/>
      <c r="U548" s="14"/>
      <c r="V548" s="272"/>
      <c r="W548" s="272"/>
      <c r="X548" s="14"/>
      <c r="Y548" s="14"/>
      <c r="Z548" s="14"/>
      <c r="AA548" s="14"/>
      <c r="AB548" s="14"/>
      <c r="AC548" s="14"/>
      <c r="AD548" s="14"/>
      <c r="AE548" s="14"/>
      <c r="AF548" s="14"/>
      <c r="AG548" s="14"/>
      <c r="AH548" s="14"/>
      <c r="AI548" s="7"/>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row>
    <row r="549">
      <c r="A549" s="14"/>
      <c r="B549" s="14"/>
      <c r="C549" s="14"/>
      <c r="D549" s="14"/>
      <c r="E549" s="7"/>
      <c r="F549" s="7"/>
      <c r="G549" s="7"/>
      <c r="H549" s="7"/>
      <c r="I549" s="7"/>
      <c r="J549" s="14"/>
      <c r="K549" s="7"/>
      <c r="L549" s="14"/>
      <c r="M549" s="14"/>
      <c r="N549" s="14"/>
      <c r="O549" s="14"/>
      <c r="P549" s="14"/>
      <c r="Q549" s="14"/>
      <c r="R549" s="14"/>
      <c r="S549" s="14"/>
      <c r="T549" s="14"/>
      <c r="U549" s="14"/>
      <c r="V549" s="272"/>
      <c r="W549" s="272"/>
      <c r="X549" s="14"/>
      <c r="Y549" s="14"/>
      <c r="Z549" s="14"/>
      <c r="AA549" s="14"/>
      <c r="AB549" s="14"/>
      <c r="AC549" s="14"/>
      <c r="AD549" s="14"/>
      <c r="AE549" s="14"/>
      <c r="AF549" s="14"/>
      <c r="AG549" s="14"/>
      <c r="AH549" s="14"/>
      <c r="AI549" s="7"/>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row>
    <row r="550">
      <c r="A550" s="14"/>
      <c r="B550" s="14"/>
      <c r="C550" s="14"/>
      <c r="D550" s="14"/>
      <c r="E550" s="7"/>
      <c r="F550" s="7"/>
      <c r="G550" s="7"/>
      <c r="H550" s="7"/>
      <c r="I550" s="7"/>
      <c r="J550" s="14"/>
      <c r="K550" s="7"/>
      <c r="L550" s="14"/>
      <c r="M550" s="14"/>
      <c r="N550" s="14"/>
      <c r="O550" s="14"/>
      <c r="P550" s="14"/>
      <c r="Q550" s="14"/>
      <c r="R550" s="14"/>
      <c r="S550" s="14"/>
      <c r="T550" s="14"/>
      <c r="U550" s="14"/>
      <c r="V550" s="272"/>
      <c r="W550" s="272"/>
      <c r="X550" s="14"/>
      <c r="Y550" s="14"/>
      <c r="Z550" s="14"/>
      <c r="AA550" s="14"/>
      <c r="AB550" s="14"/>
      <c r="AC550" s="14"/>
      <c r="AD550" s="14"/>
      <c r="AE550" s="14"/>
      <c r="AF550" s="14"/>
      <c r="AG550" s="14"/>
      <c r="AH550" s="14"/>
      <c r="AI550" s="7"/>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row>
    <row r="551">
      <c r="A551" s="14"/>
      <c r="B551" s="14"/>
      <c r="C551" s="14"/>
      <c r="D551" s="14"/>
      <c r="E551" s="7"/>
      <c r="F551" s="7"/>
      <c r="G551" s="7"/>
      <c r="H551" s="7"/>
      <c r="I551" s="7"/>
      <c r="J551" s="14"/>
      <c r="K551" s="7"/>
      <c r="L551" s="14"/>
      <c r="M551" s="14"/>
      <c r="N551" s="14"/>
      <c r="O551" s="14"/>
      <c r="P551" s="14"/>
      <c r="Q551" s="14"/>
      <c r="R551" s="14"/>
      <c r="S551" s="14"/>
      <c r="T551" s="14"/>
      <c r="U551" s="14"/>
      <c r="V551" s="272"/>
      <c r="W551" s="272"/>
      <c r="X551" s="14"/>
      <c r="Y551" s="14"/>
      <c r="Z551" s="14"/>
      <c r="AA551" s="14"/>
      <c r="AB551" s="14"/>
      <c r="AC551" s="14"/>
      <c r="AD551" s="14"/>
      <c r="AE551" s="14"/>
      <c r="AF551" s="14"/>
      <c r="AG551" s="14"/>
      <c r="AH551" s="14"/>
      <c r="AI551" s="7"/>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row>
    <row r="552">
      <c r="A552" s="14"/>
      <c r="B552" s="14"/>
      <c r="C552" s="14"/>
      <c r="D552" s="14"/>
      <c r="E552" s="7"/>
      <c r="F552" s="7"/>
      <c r="G552" s="7"/>
      <c r="H552" s="7"/>
      <c r="I552" s="7"/>
      <c r="J552" s="14"/>
      <c r="K552" s="7"/>
      <c r="L552" s="14"/>
      <c r="M552" s="14"/>
      <c r="N552" s="14"/>
      <c r="O552" s="14"/>
      <c r="P552" s="14"/>
      <c r="Q552" s="14"/>
      <c r="R552" s="14"/>
      <c r="S552" s="14"/>
      <c r="T552" s="14"/>
      <c r="U552" s="14"/>
      <c r="V552" s="272"/>
      <c r="W552" s="272"/>
      <c r="X552" s="14"/>
      <c r="Y552" s="14"/>
      <c r="Z552" s="14"/>
      <c r="AA552" s="14"/>
      <c r="AB552" s="14"/>
      <c r="AC552" s="14"/>
      <c r="AD552" s="14"/>
      <c r="AE552" s="14"/>
      <c r="AF552" s="14"/>
      <c r="AG552" s="14"/>
      <c r="AH552" s="14"/>
      <c r="AI552" s="7"/>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row>
    <row r="553">
      <c r="A553" s="14"/>
      <c r="B553" s="14"/>
      <c r="C553" s="14"/>
      <c r="D553" s="14"/>
      <c r="E553" s="7"/>
      <c r="F553" s="7"/>
      <c r="G553" s="7"/>
      <c r="H553" s="7"/>
      <c r="I553" s="7"/>
      <c r="J553" s="14"/>
      <c r="K553" s="7"/>
      <c r="L553" s="14"/>
      <c r="M553" s="14"/>
      <c r="N553" s="14"/>
      <c r="O553" s="14"/>
      <c r="P553" s="14"/>
      <c r="Q553" s="14"/>
      <c r="R553" s="14"/>
      <c r="S553" s="14"/>
      <c r="T553" s="14"/>
      <c r="U553" s="14"/>
      <c r="V553" s="272"/>
      <c r="W553" s="272"/>
      <c r="X553" s="14"/>
      <c r="Y553" s="14"/>
      <c r="Z553" s="14"/>
      <c r="AA553" s="14"/>
      <c r="AB553" s="14"/>
      <c r="AC553" s="14"/>
      <c r="AD553" s="14"/>
      <c r="AE553" s="14"/>
      <c r="AF553" s="14"/>
      <c r="AG553" s="14"/>
      <c r="AH553" s="14"/>
      <c r="AI553" s="7"/>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row>
    <row r="554">
      <c r="A554" s="14"/>
      <c r="B554" s="14"/>
      <c r="C554" s="14"/>
      <c r="D554" s="14"/>
      <c r="E554" s="7"/>
      <c r="F554" s="7"/>
      <c r="G554" s="7"/>
      <c r="H554" s="7"/>
      <c r="I554" s="7"/>
      <c r="J554" s="14"/>
      <c r="K554" s="7"/>
      <c r="L554" s="14"/>
      <c r="M554" s="14"/>
      <c r="N554" s="14"/>
      <c r="O554" s="14"/>
      <c r="P554" s="14"/>
      <c r="Q554" s="14"/>
      <c r="R554" s="14"/>
      <c r="S554" s="14"/>
      <c r="T554" s="14"/>
      <c r="U554" s="14"/>
      <c r="V554" s="272"/>
      <c r="W554" s="272"/>
      <c r="X554" s="14"/>
      <c r="Y554" s="14"/>
      <c r="Z554" s="14"/>
      <c r="AA554" s="14"/>
      <c r="AB554" s="14"/>
      <c r="AC554" s="14"/>
      <c r="AD554" s="14"/>
      <c r="AE554" s="14"/>
      <c r="AF554" s="14"/>
      <c r="AG554" s="14"/>
      <c r="AH554" s="14"/>
      <c r="AI554" s="7"/>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row>
    <row r="555">
      <c r="A555" s="14"/>
      <c r="B555" s="14"/>
      <c r="C555" s="14"/>
      <c r="D555" s="14"/>
      <c r="E555" s="7"/>
      <c r="F555" s="7"/>
      <c r="G555" s="7"/>
      <c r="H555" s="7"/>
      <c r="I555" s="7"/>
      <c r="J555" s="14"/>
      <c r="K555" s="7"/>
      <c r="L555" s="14"/>
      <c r="M555" s="14"/>
      <c r="N555" s="14"/>
      <c r="O555" s="14"/>
      <c r="P555" s="14"/>
      <c r="Q555" s="14"/>
      <c r="R555" s="14"/>
      <c r="S555" s="14"/>
      <c r="T555" s="14"/>
      <c r="U555" s="14"/>
      <c r="V555" s="272"/>
      <c r="W555" s="272"/>
      <c r="X555" s="14"/>
      <c r="Y555" s="14"/>
      <c r="Z555" s="14"/>
      <c r="AA555" s="14"/>
      <c r="AB555" s="14"/>
      <c r="AC555" s="14"/>
      <c r="AD555" s="14"/>
      <c r="AE555" s="14"/>
      <c r="AF555" s="14"/>
      <c r="AG555" s="14"/>
      <c r="AH555" s="14"/>
      <c r="AI555" s="7"/>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row>
    <row r="556">
      <c r="A556" s="14"/>
      <c r="B556" s="14"/>
      <c r="C556" s="14"/>
      <c r="D556" s="14"/>
      <c r="E556" s="7"/>
      <c r="F556" s="7"/>
      <c r="G556" s="7"/>
      <c r="H556" s="7"/>
      <c r="I556" s="7"/>
      <c r="J556" s="14"/>
      <c r="K556" s="7"/>
      <c r="L556" s="14"/>
      <c r="M556" s="14"/>
      <c r="N556" s="14"/>
      <c r="O556" s="14"/>
      <c r="P556" s="14"/>
      <c r="Q556" s="14"/>
      <c r="R556" s="14"/>
      <c r="S556" s="14"/>
      <c r="T556" s="14"/>
      <c r="U556" s="14"/>
      <c r="V556" s="272"/>
      <c r="W556" s="272"/>
      <c r="X556" s="14"/>
      <c r="Y556" s="14"/>
      <c r="Z556" s="14"/>
      <c r="AA556" s="14"/>
      <c r="AB556" s="14"/>
      <c r="AC556" s="14"/>
      <c r="AD556" s="14"/>
      <c r="AE556" s="14"/>
      <c r="AF556" s="14"/>
      <c r="AG556" s="14"/>
      <c r="AH556" s="14"/>
      <c r="AI556" s="7"/>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row>
    <row r="557">
      <c r="A557" s="14"/>
      <c r="B557" s="14"/>
      <c r="C557" s="14"/>
      <c r="D557" s="14"/>
      <c r="E557" s="7"/>
      <c r="F557" s="7"/>
      <c r="G557" s="7"/>
      <c r="H557" s="7"/>
      <c r="I557" s="7"/>
      <c r="J557" s="14"/>
      <c r="K557" s="7"/>
      <c r="L557" s="14"/>
      <c r="M557" s="14"/>
      <c r="N557" s="14"/>
      <c r="O557" s="14"/>
      <c r="P557" s="14"/>
      <c r="Q557" s="14"/>
      <c r="R557" s="14"/>
      <c r="S557" s="14"/>
      <c r="T557" s="14"/>
      <c r="U557" s="14"/>
      <c r="V557" s="272"/>
      <c r="W557" s="272"/>
      <c r="X557" s="14"/>
      <c r="Y557" s="14"/>
      <c r="Z557" s="14"/>
      <c r="AA557" s="14"/>
      <c r="AB557" s="14"/>
      <c r="AC557" s="14"/>
      <c r="AD557" s="14"/>
      <c r="AE557" s="14"/>
      <c r="AF557" s="14"/>
      <c r="AG557" s="14"/>
      <c r="AH557" s="14"/>
      <c r="AI557" s="7"/>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row>
    <row r="558">
      <c r="A558" s="14"/>
      <c r="B558" s="14"/>
      <c r="C558" s="14"/>
      <c r="D558" s="14"/>
      <c r="E558" s="7"/>
      <c r="F558" s="7"/>
      <c r="G558" s="7"/>
      <c r="H558" s="7"/>
      <c r="I558" s="7"/>
      <c r="J558" s="14"/>
      <c r="K558" s="7"/>
      <c r="L558" s="14"/>
      <c r="M558" s="14"/>
      <c r="N558" s="14"/>
      <c r="O558" s="14"/>
      <c r="P558" s="14"/>
      <c r="Q558" s="14"/>
      <c r="R558" s="14"/>
      <c r="S558" s="14"/>
      <c r="T558" s="14"/>
      <c r="U558" s="14"/>
      <c r="V558" s="272"/>
      <c r="W558" s="272"/>
      <c r="X558" s="14"/>
      <c r="Y558" s="14"/>
      <c r="Z558" s="14"/>
      <c r="AA558" s="14"/>
      <c r="AB558" s="14"/>
      <c r="AC558" s="14"/>
      <c r="AD558" s="14"/>
      <c r="AE558" s="14"/>
      <c r="AF558" s="14"/>
      <c r="AG558" s="14"/>
      <c r="AH558" s="14"/>
      <c r="AI558" s="7"/>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row>
    <row r="559">
      <c r="A559" s="14"/>
      <c r="B559" s="14"/>
      <c r="C559" s="14"/>
      <c r="D559" s="14"/>
      <c r="E559" s="7"/>
      <c r="F559" s="7"/>
      <c r="G559" s="7"/>
      <c r="H559" s="7"/>
      <c r="I559" s="7"/>
      <c r="J559" s="14"/>
      <c r="K559" s="7"/>
      <c r="L559" s="14"/>
      <c r="M559" s="14"/>
      <c r="N559" s="14"/>
      <c r="O559" s="14"/>
      <c r="P559" s="14"/>
      <c r="Q559" s="14"/>
      <c r="R559" s="14"/>
      <c r="S559" s="14"/>
      <c r="T559" s="14"/>
      <c r="U559" s="14"/>
      <c r="V559" s="272"/>
      <c r="W559" s="272"/>
      <c r="X559" s="14"/>
      <c r="Y559" s="14"/>
      <c r="Z559" s="14"/>
      <c r="AA559" s="14"/>
      <c r="AB559" s="14"/>
      <c r="AC559" s="14"/>
      <c r="AD559" s="14"/>
      <c r="AE559" s="14"/>
      <c r="AF559" s="14"/>
      <c r="AG559" s="14"/>
      <c r="AH559" s="14"/>
      <c r="AI559" s="7"/>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row>
    <row r="560">
      <c r="A560" s="14"/>
      <c r="B560" s="14"/>
      <c r="C560" s="14"/>
      <c r="D560" s="14"/>
      <c r="E560" s="7"/>
      <c r="F560" s="7"/>
      <c r="G560" s="7"/>
      <c r="H560" s="7"/>
      <c r="I560" s="7"/>
      <c r="J560" s="14"/>
      <c r="K560" s="7"/>
      <c r="L560" s="14"/>
      <c r="M560" s="14"/>
      <c r="N560" s="14"/>
      <c r="O560" s="14"/>
      <c r="P560" s="14"/>
      <c r="Q560" s="14"/>
      <c r="R560" s="14"/>
      <c r="S560" s="14"/>
      <c r="T560" s="14"/>
      <c r="U560" s="14"/>
      <c r="V560" s="272"/>
      <c r="W560" s="272"/>
      <c r="X560" s="14"/>
      <c r="Y560" s="14"/>
      <c r="Z560" s="14"/>
      <c r="AA560" s="14"/>
      <c r="AB560" s="14"/>
      <c r="AC560" s="14"/>
      <c r="AD560" s="14"/>
      <c r="AE560" s="14"/>
      <c r="AF560" s="14"/>
      <c r="AG560" s="14"/>
      <c r="AH560" s="14"/>
      <c r="AI560" s="7"/>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row>
    <row r="561">
      <c r="A561" s="14"/>
      <c r="B561" s="14"/>
      <c r="C561" s="14"/>
      <c r="D561" s="14"/>
      <c r="E561" s="7"/>
      <c r="F561" s="7"/>
      <c r="G561" s="7"/>
      <c r="H561" s="7"/>
      <c r="I561" s="7"/>
      <c r="J561" s="14"/>
      <c r="K561" s="7"/>
      <c r="L561" s="14"/>
      <c r="M561" s="14"/>
      <c r="N561" s="14"/>
      <c r="O561" s="14"/>
      <c r="P561" s="14"/>
      <c r="Q561" s="14"/>
      <c r="R561" s="14"/>
      <c r="S561" s="14"/>
      <c r="T561" s="14"/>
      <c r="U561" s="14"/>
      <c r="V561" s="272"/>
      <c r="W561" s="272"/>
      <c r="X561" s="14"/>
      <c r="Y561" s="14"/>
      <c r="Z561" s="14"/>
      <c r="AA561" s="14"/>
      <c r="AB561" s="14"/>
      <c r="AC561" s="14"/>
      <c r="AD561" s="14"/>
      <c r="AE561" s="14"/>
      <c r="AF561" s="14"/>
      <c r="AG561" s="14"/>
      <c r="AH561" s="14"/>
      <c r="AI561" s="7"/>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row>
    <row r="562">
      <c r="A562" s="14"/>
      <c r="B562" s="14"/>
      <c r="C562" s="14"/>
      <c r="D562" s="14"/>
      <c r="E562" s="7"/>
      <c r="F562" s="7"/>
      <c r="G562" s="7"/>
      <c r="H562" s="7"/>
      <c r="I562" s="7"/>
      <c r="J562" s="14"/>
      <c r="K562" s="7"/>
      <c r="L562" s="14"/>
      <c r="M562" s="14"/>
      <c r="N562" s="14"/>
      <c r="O562" s="14"/>
      <c r="P562" s="14"/>
      <c r="Q562" s="14"/>
      <c r="R562" s="14"/>
      <c r="S562" s="14"/>
      <c r="T562" s="14"/>
      <c r="U562" s="14"/>
      <c r="V562" s="272"/>
      <c r="W562" s="272"/>
      <c r="X562" s="14"/>
      <c r="Y562" s="14"/>
      <c r="Z562" s="14"/>
      <c r="AA562" s="14"/>
      <c r="AB562" s="14"/>
      <c r="AC562" s="14"/>
      <c r="AD562" s="14"/>
      <c r="AE562" s="14"/>
      <c r="AF562" s="14"/>
      <c r="AG562" s="14"/>
      <c r="AH562" s="14"/>
      <c r="AI562" s="7"/>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row>
    <row r="563">
      <c r="A563" s="14"/>
      <c r="B563" s="14"/>
      <c r="C563" s="14"/>
      <c r="D563" s="14"/>
      <c r="E563" s="7"/>
      <c r="F563" s="7"/>
      <c r="G563" s="7"/>
      <c r="H563" s="7"/>
      <c r="I563" s="7"/>
      <c r="J563" s="14"/>
      <c r="K563" s="7"/>
      <c r="L563" s="14"/>
      <c r="M563" s="14"/>
      <c r="N563" s="14"/>
      <c r="O563" s="14"/>
      <c r="P563" s="14"/>
      <c r="Q563" s="14"/>
      <c r="R563" s="14"/>
      <c r="S563" s="14"/>
      <c r="T563" s="14"/>
      <c r="U563" s="14"/>
      <c r="V563" s="272"/>
      <c r="W563" s="272"/>
      <c r="X563" s="14"/>
      <c r="Y563" s="14"/>
      <c r="Z563" s="14"/>
      <c r="AA563" s="14"/>
      <c r="AB563" s="14"/>
      <c r="AC563" s="14"/>
      <c r="AD563" s="14"/>
      <c r="AE563" s="14"/>
      <c r="AF563" s="14"/>
      <c r="AG563" s="14"/>
      <c r="AH563" s="14"/>
      <c r="AI563" s="7"/>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row>
    <row r="564">
      <c r="A564" s="14"/>
      <c r="B564" s="14"/>
      <c r="C564" s="14"/>
      <c r="D564" s="14"/>
      <c r="E564" s="7"/>
      <c r="F564" s="7"/>
      <c r="G564" s="7"/>
      <c r="H564" s="7"/>
      <c r="I564" s="7"/>
      <c r="J564" s="14"/>
      <c r="K564" s="7"/>
      <c r="L564" s="14"/>
      <c r="M564" s="14"/>
      <c r="N564" s="14"/>
      <c r="O564" s="14"/>
      <c r="P564" s="14"/>
      <c r="Q564" s="14"/>
      <c r="R564" s="14"/>
      <c r="S564" s="14"/>
      <c r="T564" s="14"/>
      <c r="U564" s="14"/>
      <c r="V564" s="272"/>
      <c r="W564" s="272"/>
      <c r="X564" s="14"/>
      <c r="Y564" s="14"/>
      <c r="Z564" s="14"/>
      <c r="AA564" s="14"/>
      <c r="AB564" s="14"/>
      <c r="AC564" s="14"/>
      <c r="AD564" s="14"/>
      <c r="AE564" s="14"/>
      <c r="AF564" s="14"/>
      <c r="AG564" s="14"/>
      <c r="AH564" s="14"/>
      <c r="AI564" s="7"/>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row>
    <row r="565">
      <c r="A565" s="14"/>
      <c r="B565" s="14"/>
      <c r="C565" s="14"/>
      <c r="D565" s="14"/>
      <c r="E565" s="7"/>
      <c r="F565" s="7"/>
      <c r="G565" s="7"/>
      <c r="H565" s="7"/>
      <c r="I565" s="7"/>
      <c r="J565" s="14"/>
      <c r="K565" s="7"/>
      <c r="L565" s="14"/>
      <c r="M565" s="14"/>
      <c r="N565" s="14"/>
      <c r="O565" s="14"/>
      <c r="P565" s="14"/>
      <c r="Q565" s="14"/>
      <c r="R565" s="14"/>
      <c r="S565" s="14"/>
      <c r="T565" s="14"/>
      <c r="U565" s="14"/>
      <c r="V565" s="272"/>
      <c r="W565" s="272"/>
      <c r="X565" s="14"/>
      <c r="Y565" s="14"/>
      <c r="Z565" s="14"/>
      <c r="AA565" s="14"/>
      <c r="AB565" s="14"/>
      <c r="AC565" s="14"/>
      <c r="AD565" s="14"/>
      <c r="AE565" s="14"/>
      <c r="AF565" s="14"/>
      <c r="AG565" s="14"/>
      <c r="AH565" s="14"/>
      <c r="AI565" s="7"/>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row>
    <row r="566">
      <c r="A566" s="14"/>
      <c r="B566" s="14"/>
      <c r="C566" s="14"/>
      <c r="D566" s="14"/>
      <c r="E566" s="7"/>
      <c r="F566" s="7"/>
      <c r="G566" s="7"/>
      <c r="H566" s="7"/>
      <c r="I566" s="7"/>
      <c r="J566" s="14"/>
      <c r="K566" s="7"/>
      <c r="L566" s="14"/>
      <c r="M566" s="14"/>
      <c r="N566" s="14"/>
      <c r="O566" s="14"/>
      <c r="P566" s="14"/>
      <c r="Q566" s="14"/>
      <c r="R566" s="14"/>
      <c r="S566" s="14"/>
      <c r="T566" s="14"/>
      <c r="U566" s="14"/>
      <c r="V566" s="272"/>
      <c r="W566" s="272"/>
      <c r="X566" s="14"/>
      <c r="Y566" s="14"/>
      <c r="Z566" s="14"/>
      <c r="AA566" s="14"/>
      <c r="AB566" s="14"/>
      <c r="AC566" s="14"/>
      <c r="AD566" s="14"/>
      <c r="AE566" s="14"/>
      <c r="AF566" s="14"/>
      <c r="AG566" s="14"/>
      <c r="AH566" s="14"/>
      <c r="AI566" s="7"/>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row>
    <row r="567">
      <c r="A567" s="14"/>
      <c r="B567" s="14"/>
      <c r="C567" s="14"/>
      <c r="D567" s="14"/>
      <c r="E567" s="7"/>
      <c r="F567" s="7"/>
      <c r="G567" s="7"/>
      <c r="H567" s="7"/>
      <c r="I567" s="7"/>
      <c r="J567" s="14"/>
      <c r="K567" s="7"/>
      <c r="L567" s="14"/>
      <c r="M567" s="14"/>
      <c r="N567" s="14"/>
      <c r="O567" s="14"/>
      <c r="P567" s="14"/>
      <c r="Q567" s="14"/>
      <c r="R567" s="14"/>
      <c r="S567" s="14"/>
      <c r="T567" s="14"/>
      <c r="U567" s="14"/>
      <c r="V567" s="272"/>
      <c r="W567" s="272"/>
      <c r="X567" s="14"/>
      <c r="Y567" s="14"/>
      <c r="Z567" s="14"/>
      <c r="AA567" s="14"/>
      <c r="AB567" s="14"/>
      <c r="AC567" s="14"/>
      <c r="AD567" s="14"/>
      <c r="AE567" s="14"/>
      <c r="AF567" s="14"/>
      <c r="AG567" s="14"/>
      <c r="AH567" s="14"/>
      <c r="AI567" s="7"/>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row>
    <row r="568">
      <c r="A568" s="14"/>
      <c r="B568" s="14"/>
      <c r="C568" s="14"/>
      <c r="D568" s="14"/>
      <c r="E568" s="7"/>
      <c r="F568" s="7"/>
      <c r="G568" s="7"/>
      <c r="H568" s="7"/>
      <c r="I568" s="7"/>
      <c r="J568" s="14"/>
      <c r="K568" s="7"/>
      <c r="L568" s="14"/>
      <c r="M568" s="14"/>
      <c r="N568" s="14"/>
      <c r="O568" s="14"/>
      <c r="P568" s="14"/>
      <c r="Q568" s="14"/>
      <c r="R568" s="14"/>
      <c r="S568" s="14"/>
      <c r="T568" s="14"/>
      <c r="U568" s="14"/>
      <c r="V568" s="272"/>
      <c r="W568" s="272"/>
      <c r="X568" s="14"/>
      <c r="Y568" s="14"/>
      <c r="Z568" s="14"/>
      <c r="AA568" s="14"/>
      <c r="AB568" s="14"/>
      <c r="AC568" s="14"/>
      <c r="AD568" s="14"/>
      <c r="AE568" s="14"/>
      <c r="AF568" s="14"/>
      <c r="AG568" s="14"/>
      <c r="AH568" s="14"/>
      <c r="AI568" s="7"/>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row>
    <row r="569">
      <c r="A569" s="14"/>
      <c r="B569" s="14"/>
      <c r="C569" s="14"/>
      <c r="D569" s="14"/>
      <c r="E569" s="7"/>
      <c r="F569" s="7"/>
      <c r="G569" s="7"/>
      <c r="H569" s="7"/>
      <c r="I569" s="7"/>
      <c r="J569" s="14"/>
      <c r="K569" s="7"/>
      <c r="L569" s="14"/>
      <c r="M569" s="14"/>
      <c r="N569" s="14"/>
      <c r="O569" s="14"/>
      <c r="P569" s="14"/>
      <c r="Q569" s="14"/>
      <c r="R569" s="14"/>
      <c r="S569" s="14"/>
      <c r="T569" s="14"/>
      <c r="U569" s="14"/>
      <c r="V569" s="272"/>
      <c r="W569" s="272"/>
      <c r="X569" s="14"/>
      <c r="Y569" s="14"/>
      <c r="Z569" s="14"/>
      <c r="AA569" s="14"/>
      <c r="AB569" s="14"/>
      <c r="AC569" s="14"/>
      <c r="AD569" s="14"/>
      <c r="AE569" s="14"/>
      <c r="AF569" s="14"/>
      <c r="AG569" s="14"/>
      <c r="AH569" s="14"/>
      <c r="AI569" s="7"/>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row>
    <row r="570">
      <c r="A570" s="14"/>
      <c r="B570" s="14"/>
      <c r="C570" s="14"/>
      <c r="D570" s="14"/>
      <c r="E570" s="7"/>
      <c r="F570" s="7"/>
      <c r="G570" s="7"/>
      <c r="H570" s="7"/>
      <c r="I570" s="7"/>
      <c r="J570" s="14"/>
      <c r="K570" s="7"/>
      <c r="L570" s="14"/>
      <c r="M570" s="14"/>
      <c r="N570" s="14"/>
      <c r="O570" s="14"/>
      <c r="P570" s="14"/>
      <c r="Q570" s="14"/>
      <c r="R570" s="14"/>
      <c r="S570" s="14"/>
      <c r="T570" s="14"/>
      <c r="U570" s="14"/>
      <c r="V570" s="272"/>
      <c r="W570" s="272"/>
      <c r="X570" s="14"/>
      <c r="Y570" s="14"/>
      <c r="Z570" s="14"/>
      <c r="AA570" s="14"/>
      <c r="AB570" s="14"/>
      <c r="AC570" s="14"/>
      <c r="AD570" s="14"/>
      <c r="AE570" s="14"/>
      <c r="AF570" s="14"/>
      <c r="AG570" s="14"/>
      <c r="AH570" s="14"/>
      <c r="AI570" s="7"/>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row>
    <row r="571">
      <c r="A571" s="14"/>
      <c r="B571" s="14"/>
      <c r="C571" s="14"/>
      <c r="D571" s="14"/>
      <c r="E571" s="7"/>
      <c r="F571" s="7"/>
      <c r="G571" s="7"/>
      <c r="H571" s="7"/>
      <c r="I571" s="7"/>
      <c r="J571" s="14"/>
      <c r="K571" s="7"/>
      <c r="L571" s="14"/>
      <c r="M571" s="14"/>
      <c r="N571" s="14"/>
      <c r="O571" s="14"/>
      <c r="P571" s="14"/>
      <c r="Q571" s="14"/>
      <c r="R571" s="14"/>
      <c r="S571" s="14"/>
      <c r="T571" s="14"/>
      <c r="U571" s="14"/>
      <c r="V571" s="272"/>
      <c r="W571" s="272"/>
      <c r="X571" s="14"/>
      <c r="Y571" s="14"/>
      <c r="Z571" s="14"/>
      <c r="AA571" s="14"/>
      <c r="AB571" s="14"/>
      <c r="AC571" s="14"/>
      <c r="AD571" s="14"/>
      <c r="AE571" s="14"/>
      <c r="AF571" s="14"/>
      <c r="AG571" s="14"/>
      <c r="AH571" s="14"/>
      <c r="AI571" s="7"/>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row>
    <row r="572">
      <c r="A572" s="14"/>
      <c r="B572" s="14"/>
      <c r="C572" s="14"/>
      <c r="D572" s="14"/>
      <c r="E572" s="7"/>
      <c r="F572" s="7"/>
      <c r="G572" s="7"/>
      <c r="H572" s="7"/>
      <c r="I572" s="7"/>
      <c r="J572" s="14"/>
      <c r="K572" s="7"/>
      <c r="L572" s="14"/>
      <c r="M572" s="14"/>
      <c r="N572" s="14"/>
      <c r="O572" s="14"/>
      <c r="P572" s="14"/>
      <c r="Q572" s="14"/>
      <c r="R572" s="14"/>
      <c r="S572" s="14"/>
      <c r="T572" s="14"/>
      <c r="U572" s="14"/>
      <c r="V572" s="272"/>
      <c r="W572" s="272"/>
      <c r="X572" s="14"/>
      <c r="Y572" s="14"/>
      <c r="Z572" s="14"/>
      <c r="AA572" s="14"/>
      <c r="AB572" s="14"/>
      <c r="AC572" s="14"/>
      <c r="AD572" s="14"/>
      <c r="AE572" s="14"/>
      <c r="AF572" s="14"/>
      <c r="AG572" s="14"/>
      <c r="AH572" s="14"/>
      <c r="AI572" s="7"/>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row>
    <row r="573">
      <c r="A573" s="14"/>
      <c r="B573" s="14"/>
      <c r="C573" s="14"/>
      <c r="D573" s="14"/>
      <c r="E573" s="7"/>
      <c r="F573" s="7"/>
      <c r="G573" s="7"/>
      <c r="H573" s="7"/>
      <c r="I573" s="7"/>
      <c r="J573" s="14"/>
      <c r="K573" s="7"/>
      <c r="L573" s="14"/>
      <c r="M573" s="14"/>
      <c r="N573" s="14"/>
      <c r="O573" s="14"/>
      <c r="P573" s="14"/>
      <c r="Q573" s="14"/>
      <c r="R573" s="14"/>
      <c r="S573" s="14"/>
      <c r="T573" s="14"/>
      <c r="U573" s="14"/>
      <c r="V573" s="272"/>
      <c r="W573" s="272"/>
      <c r="X573" s="14"/>
      <c r="Y573" s="14"/>
      <c r="Z573" s="14"/>
      <c r="AA573" s="14"/>
      <c r="AB573" s="14"/>
      <c r="AC573" s="14"/>
      <c r="AD573" s="14"/>
      <c r="AE573" s="14"/>
      <c r="AF573" s="14"/>
      <c r="AG573" s="14"/>
      <c r="AH573" s="14"/>
      <c r="AI573" s="7"/>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row>
    <row r="574">
      <c r="A574" s="14"/>
      <c r="B574" s="14"/>
      <c r="C574" s="14"/>
      <c r="D574" s="14"/>
      <c r="E574" s="7"/>
      <c r="F574" s="7"/>
      <c r="G574" s="7"/>
      <c r="H574" s="7"/>
      <c r="I574" s="7"/>
      <c r="J574" s="14"/>
      <c r="K574" s="7"/>
      <c r="L574" s="14"/>
      <c r="M574" s="14"/>
      <c r="N574" s="14"/>
      <c r="O574" s="14"/>
      <c r="P574" s="14"/>
      <c r="Q574" s="14"/>
      <c r="R574" s="14"/>
      <c r="S574" s="14"/>
      <c r="T574" s="14"/>
      <c r="U574" s="14"/>
      <c r="V574" s="272"/>
      <c r="W574" s="272"/>
      <c r="X574" s="14"/>
      <c r="Y574" s="14"/>
      <c r="Z574" s="14"/>
      <c r="AA574" s="14"/>
      <c r="AB574" s="14"/>
      <c r="AC574" s="14"/>
      <c r="AD574" s="14"/>
      <c r="AE574" s="14"/>
      <c r="AF574" s="14"/>
      <c r="AG574" s="14"/>
      <c r="AH574" s="14"/>
      <c r="AI574" s="7"/>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row>
    <row r="575">
      <c r="A575" s="14"/>
      <c r="B575" s="14"/>
      <c r="C575" s="14"/>
      <c r="D575" s="14"/>
      <c r="E575" s="7"/>
      <c r="F575" s="7"/>
      <c r="G575" s="7"/>
      <c r="H575" s="7"/>
      <c r="I575" s="7"/>
      <c r="J575" s="14"/>
      <c r="K575" s="7"/>
      <c r="L575" s="14"/>
      <c r="M575" s="14"/>
      <c r="N575" s="14"/>
      <c r="O575" s="14"/>
      <c r="P575" s="14"/>
      <c r="Q575" s="14"/>
      <c r="R575" s="14"/>
      <c r="S575" s="14"/>
      <c r="T575" s="14"/>
      <c r="U575" s="14"/>
      <c r="V575" s="272"/>
      <c r="W575" s="272"/>
      <c r="X575" s="14"/>
      <c r="Y575" s="14"/>
      <c r="Z575" s="14"/>
      <c r="AA575" s="14"/>
      <c r="AB575" s="14"/>
      <c r="AC575" s="14"/>
      <c r="AD575" s="14"/>
      <c r="AE575" s="14"/>
      <c r="AF575" s="14"/>
      <c r="AG575" s="14"/>
      <c r="AH575" s="14"/>
      <c r="AI575" s="7"/>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row>
    <row r="576">
      <c r="A576" s="14"/>
      <c r="B576" s="14"/>
      <c r="C576" s="14"/>
      <c r="D576" s="14"/>
      <c r="E576" s="7"/>
      <c r="F576" s="7"/>
      <c r="G576" s="7"/>
      <c r="H576" s="7"/>
      <c r="I576" s="7"/>
      <c r="J576" s="14"/>
      <c r="K576" s="7"/>
      <c r="L576" s="14"/>
      <c r="M576" s="14"/>
      <c r="N576" s="14"/>
      <c r="O576" s="14"/>
      <c r="P576" s="14"/>
      <c r="Q576" s="14"/>
      <c r="R576" s="14"/>
      <c r="S576" s="14"/>
      <c r="T576" s="14"/>
      <c r="U576" s="14"/>
      <c r="V576" s="272"/>
      <c r="W576" s="272"/>
      <c r="X576" s="14"/>
      <c r="Y576" s="14"/>
      <c r="Z576" s="14"/>
      <c r="AA576" s="14"/>
      <c r="AB576" s="14"/>
      <c r="AC576" s="14"/>
      <c r="AD576" s="14"/>
      <c r="AE576" s="14"/>
      <c r="AF576" s="14"/>
      <c r="AG576" s="14"/>
      <c r="AH576" s="14"/>
      <c r="AI576" s="7"/>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row>
    <row r="577">
      <c r="A577" s="14"/>
      <c r="B577" s="14"/>
      <c r="C577" s="14"/>
      <c r="D577" s="14"/>
      <c r="E577" s="7"/>
      <c r="F577" s="7"/>
      <c r="G577" s="7"/>
      <c r="H577" s="7"/>
      <c r="I577" s="7"/>
      <c r="J577" s="14"/>
      <c r="K577" s="7"/>
      <c r="L577" s="14"/>
      <c r="M577" s="14"/>
      <c r="N577" s="14"/>
      <c r="O577" s="14"/>
      <c r="P577" s="14"/>
      <c r="Q577" s="14"/>
      <c r="R577" s="14"/>
      <c r="S577" s="14"/>
      <c r="T577" s="14"/>
      <c r="U577" s="14"/>
      <c r="V577" s="272"/>
      <c r="W577" s="272"/>
      <c r="X577" s="14"/>
      <c r="Y577" s="14"/>
      <c r="Z577" s="14"/>
      <c r="AA577" s="14"/>
      <c r="AB577" s="14"/>
      <c r="AC577" s="14"/>
      <c r="AD577" s="14"/>
      <c r="AE577" s="14"/>
      <c r="AF577" s="14"/>
      <c r="AG577" s="14"/>
      <c r="AH577" s="14"/>
      <c r="AI577" s="7"/>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row>
    <row r="578">
      <c r="A578" s="14"/>
      <c r="B578" s="14"/>
      <c r="C578" s="14"/>
      <c r="D578" s="14"/>
      <c r="E578" s="7"/>
      <c r="F578" s="7"/>
      <c r="G578" s="7"/>
      <c r="H578" s="7"/>
      <c r="I578" s="7"/>
      <c r="J578" s="14"/>
      <c r="K578" s="7"/>
      <c r="L578" s="14"/>
      <c r="M578" s="14"/>
      <c r="N578" s="14"/>
      <c r="O578" s="14"/>
      <c r="P578" s="14"/>
      <c r="Q578" s="14"/>
      <c r="R578" s="14"/>
      <c r="S578" s="14"/>
      <c r="T578" s="14"/>
      <c r="U578" s="14"/>
      <c r="V578" s="272"/>
      <c r="W578" s="272"/>
      <c r="X578" s="14"/>
      <c r="Y578" s="14"/>
      <c r="Z578" s="14"/>
      <c r="AA578" s="14"/>
      <c r="AB578" s="14"/>
      <c r="AC578" s="14"/>
      <c r="AD578" s="14"/>
      <c r="AE578" s="14"/>
      <c r="AF578" s="14"/>
      <c r="AG578" s="14"/>
      <c r="AH578" s="14"/>
      <c r="AI578" s="7"/>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row>
    <row r="579">
      <c r="A579" s="14"/>
      <c r="B579" s="14"/>
      <c r="C579" s="14"/>
      <c r="D579" s="14"/>
      <c r="E579" s="7"/>
      <c r="F579" s="7"/>
      <c r="G579" s="7"/>
      <c r="H579" s="7"/>
      <c r="I579" s="7"/>
      <c r="J579" s="14"/>
      <c r="K579" s="7"/>
      <c r="L579" s="14"/>
      <c r="M579" s="14"/>
      <c r="N579" s="14"/>
      <c r="O579" s="14"/>
      <c r="P579" s="14"/>
      <c r="Q579" s="14"/>
      <c r="R579" s="14"/>
      <c r="S579" s="14"/>
      <c r="T579" s="14"/>
      <c r="U579" s="14"/>
      <c r="V579" s="272"/>
      <c r="W579" s="272"/>
      <c r="X579" s="14"/>
      <c r="Y579" s="14"/>
      <c r="Z579" s="14"/>
      <c r="AA579" s="14"/>
      <c r="AB579" s="14"/>
      <c r="AC579" s="14"/>
      <c r="AD579" s="14"/>
      <c r="AE579" s="14"/>
      <c r="AF579" s="14"/>
      <c r="AG579" s="14"/>
      <c r="AH579" s="14"/>
      <c r="AI579" s="7"/>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row>
    <row r="580">
      <c r="A580" s="14"/>
      <c r="B580" s="14"/>
      <c r="C580" s="14"/>
      <c r="D580" s="14"/>
      <c r="E580" s="7"/>
      <c r="F580" s="7"/>
      <c r="G580" s="7"/>
      <c r="H580" s="7"/>
      <c r="I580" s="7"/>
      <c r="J580" s="14"/>
      <c r="K580" s="7"/>
      <c r="L580" s="14"/>
      <c r="M580" s="14"/>
      <c r="N580" s="14"/>
      <c r="O580" s="14"/>
      <c r="P580" s="14"/>
      <c r="Q580" s="14"/>
      <c r="R580" s="14"/>
      <c r="S580" s="14"/>
      <c r="T580" s="14"/>
      <c r="U580" s="14"/>
      <c r="V580" s="272"/>
      <c r="W580" s="272"/>
      <c r="X580" s="14"/>
      <c r="Y580" s="14"/>
      <c r="Z580" s="14"/>
      <c r="AA580" s="14"/>
      <c r="AB580" s="14"/>
      <c r="AC580" s="14"/>
      <c r="AD580" s="14"/>
      <c r="AE580" s="14"/>
      <c r="AF580" s="14"/>
      <c r="AG580" s="14"/>
      <c r="AH580" s="14"/>
      <c r="AI580" s="7"/>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row>
    <row r="581">
      <c r="A581" s="14"/>
      <c r="B581" s="14"/>
      <c r="C581" s="14"/>
      <c r="D581" s="14"/>
      <c r="E581" s="7"/>
      <c r="F581" s="7"/>
      <c r="G581" s="7"/>
      <c r="H581" s="7"/>
      <c r="I581" s="7"/>
      <c r="J581" s="14"/>
      <c r="K581" s="7"/>
      <c r="L581" s="14"/>
      <c r="M581" s="14"/>
      <c r="N581" s="14"/>
      <c r="O581" s="14"/>
      <c r="P581" s="14"/>
      <c r="Q581" s="14"/>
      <c r="R581" s="14"/>
      <c r="S581" s="14"/>
      <c r="T581" s="14"/>
      <c r="U581" s="14"/>
      <c r="V581" s="272"/>
      <c r="W581" s="272"/>
      <c r="X581" s="14"/>
      <c r="Y581" s="14"/>
      <c r="Z581" s="14"/>
      <c r="AA581" s="14"/>
      <c r="AB581" s="14"/>
      <c r="AC581" s="14"/>
      <c r="AD581" s="14"/>
      <c r="AE581" s="14"/>
      <c r="AF581" s="14"/>
      <c r="AG581" s="14"/>
      <c r="AH581" s="14"/>
      <c r="AI581" s="7"/>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row>
    <row r="582">
      <c r="A582" s="14"/>
      <c r="B582" s="14"/>
      <c r="C582" s="14"/>
      <c r="D582" s="14"/>
      <c r="E582" s="7"/>
      <c r="F582" s="7"/>
      <c r="G582" s="7"/>
      <c r="H582" s="7"/>
      <c r="I582" s="7"/>
      <c r="J582" s="14"/>
      <c r="K582" s="7"/>
      <c r="L582" s="14"/>
      <c r="M582" s="14"/>
      <c r="N582" s="14"/>
      <c r="O582" s="14"/>
      <c r="P582" s="14"/>
      <c r="Q582" s="14"/>
      <c r="R582" s="14"/>
      <c r="S582" s="14"/>
      <c r="T582" s="14"/>
      <c r="U582" s="14"/>
      <c r="V582" s="272"/>
      <c r="W582" s="272"/>
      <c r="X582" s="14"/>
      <c r="Y582" s="14"/>
      <c r="Z582" s="14"/>
      <c r="AA582" s="14"/>
      <c r="AB582" s="14"/>
      <c r="AC582" s="14"/>
      <c r="AD582" s="14"/>
      <c r="AE582" s="14"/>
      <c r="AF582" s="14"/>
      <c r="AG582" s="14"/>
      <c r="AH582" s="14"/>
      <c r="AI582" s="7"/>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row>
    <row r="583">
      <c r="A583" s="14"/>
      <c r="B583" s="14"/>
      <c r="C583" s="14"/>
      <c r="D583" s="14"/>
      <c r="E583" s="7"/>
      <c r="F583" s="7"/>
      <c r="G583" s="7"/>
      <c r="H583" s="7"/>
      <c r="I583" s="7"/>
      <c r="J583" s="14"/>
      <c r="K583" s="7"/>
      <c r="L583" s="14"/>
      <c r="M583" s="14"/>
      <c r="N583" s="14"/>
      <c r="O583" s="14"/>
      <c r="P583" s="14"/>
      <c r="Q583" s="14"/>
      <c r="R583" s="14"/>
      <c r="S583" s="14"/>
      <c r="T583" s="14"/>
      <c r="U583" s="14"/>
      <c r="V583" s="272"/>
      <c r="W583" s="272"/>
      <c r="X583" s="14"/>
      <c r="Y583" s="14"/>
      <c r="Z583" s="14"/>
      <c r="AA583" s="14"/>
      <c r="AB583" s="14"/>
      <c r="AC583" s="14"/>
      <c r="AD583" s="14"/>
      <c r="AE583" s="14"/>
      <c r="AF583" s="14"/>
      <c r="AG583" s="14"/>
      <c r="AH583" s="14"/>
      <c r="AI583" s="7"/>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row>
    <row r="584">
      <c r="A584" s="14"/>
      <c r="B584" s="14"/>
      <c r="C584" s="14"/>
      <c r="D584" s="14"/>
      <c r="E584" s="7"/>
      <c r="F584" s="7"/>
      <c r="G584" s="7"/>
      <c r="H584" s="7"/>
      <c r="I584" s="7"/>
      <c r="J584" s="14"/>
      <c r="K584" s="7"/>
      <c r="L584" s="14"/>
      <c r="M584" s="14"/>
      <c r="N584" s="14"/>
      <c r="O584" s="14"/>
      <c r="P584" s="14"/>
      <c r="Q584" s="14"/>
      <c r="R584" s="14"/>
      <c r="S584" s="14"/>
      <c r="T584" s="14"/>
      <c r="U584" s="14"/>
      <c r="V584" s="272"/>
      <c r="W584" s="272"/>
      <c r="X584" s="14"/>
      <c r="Y584" s="14"/>
      <c r="Z584" s="14"/>
      <c r="AA584" s="14"/>
      <c r="AB584" s="14"/>
      <c r="AC584" s="14"/>
      <c r="AD584" s="14"/>
      <c r="AE584" s="14"/>
      <c r="AF584" s="14"/>
      <c r="AG584" s="14"/>
      <c r="AH584" s="14"/>
      <c r="AI584" s="7"/>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row>
    <row r="585">
      <c r="A585" s="14"/>
      <c r="B585" s="14"/>
      <c r="C585" s="14"/>
      <c r="D585" s="14"/>
      <c r="E585" s="7"/>
      <c r="F585" s="7"/>
      <c r="G585" s="7"/>
      <c r="H585" s="7"/>
      <c r="I585" s="7"/>
      <c r="J585" s="14"/>
      <c r="K585" s="7"/>
      <c r="L585" s="14"/>
      <c r="M585" s="14"/>
      <c r="N585" s="14"/>
      <c r="O585" s="14"/>
      <c r="P585" s="14"/>
      <c r="Q585" s="14"/>
      <c r="R585" s="14"/>
      <c r="S585" s="14"/>
      <c r="T585" s="14"/>
      <c r="U585" s="14"/>
      <c r="V585" s="272"/>
      <c r="W585" s="272"/>
      <c r="X585" s="14"/>
      <c r="Y585" s="14"/>
      <c r="Z585" s="14"/>
      <c r="AA585" s="14"/>
      <c r="AB585" s="14"/>
      <c r="AC585" s="14"/>
      <c r="AD585" s="14"/>
      <c r="AE585" s="14"/>
      <c r="AF585" s="14"/>
      <c r="AG585" s="14"/>
      <c r="AH585" s="14"/>
      <c r="AI585" s="7"/>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row>
    <row r="586">
      <c r="A586" s="14"/>
      <c r="B586" s="14"/>
      <c r="C586" s="14"/>
      <c r="D586" s="14"/>
      <c r="E586" s="7"/>
      <c r="F586" s="7"/>
      <c r="G586" s="7"/>
      <c r="H586" s="7"/>
      <c r="I586" s="7"/>
      <c r="J586" s="14"/>
      <c r="K586" s="7"/>
      <c r="L586" s="14"/>
      <c r="M586" s="14"/>
      <c r="N586" s="14"/>
      <c r="O586" s="14"/>
      <c r="P586" s="14"/>
      <c r="Q586" s="14"/>
      <c r="R586" s="14"/>
      <c r="S586" s="14"/>
      <c r="T586" s="14"/>
      <c r="U586" s="14"/>
      <c r="V586" s="272"/>
      <c r="W586" s="272"/>
      <c r="X586" s="14"/>
      <c r="Y586" s="14"/>
      <c r="Z586" s="14"/>
      <c r="AA586" s="14"/>
      <c r="AB586" s="14"/>
      <c r="AC586" s="14"/>
      <c r="AD586" s="14"/>
      <c r="AE586" s="14"/>
      <c r="AF586" s="14"/>
      <c r="AG586" s="14"/>
      <c r="AH586" s="14"/>
      <c r="AI586" s="7"/>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row>
    <row r="587">
      <c r="A587" s="14"/>
      <c r="B587" s="14"/>
      <c r="C587" s="14"/>
      <c r="D587" s="14"/>
      <c r="E587" s="7"/>
      <c r="F587" s="7"/>
      <c r="G587" s="7"/>
      <c r="H587" s="7"/>
      <c r="I587" s="7"/>
      <c r="J587" s="14"/>
      <c r="K587" s="7"/>
      <c r="L587" s="14"/>
      <c r="M587" s="14"/>
      <c r="N587" s="14"/>
      <c r="O587" s="14"/>
      <c r="P587" s="14"/>
      <c r="Q587" s="14"/>
      <c r="R587" s="14"/>
      <c r="S587" s="14"/>
      <c r="T587" s="14"/>
      <c r="U587" s="14"/>
      <c r="V587" s="272"/>
      <c r="W587" s="272"/>
      <c r="X587" s="14"/>
      <c r="Y587" s="14"/>
      <c r="Z587" s="14"/>
      <c r="AA587" s="14"/>
      <c r="AB587" s="14"/>
      <c r="AC587" s="14"/>
      <c r="AD587" s="14"/>
      <c r="AE587" s="14"/>
      <c r="AF587" s="14"/>
      <c r="AG587" s="14"/>
      <c r="AH587" s="14"/>
      <c r="AI587" s="7"/>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row>
    <row r="588">
      <c r="A588" s="14"/>
      <c r="B588" s="14"/>
      <c r="C588" s="14"/>
      <c r="D588" s="14"/>
      <c r="E588" s="7"/>
      <c r="F588" s="7"/>
      <c r="G588" s="7"/>
      <c r="H588" s="7"/>
      <c r="I588" s="7"/>
      <c r="J588" s="14"/>
      <c r="K588" s="7"/>
      <c r="L588" s="14"/>
      <c r="M588" s="14"/>
      <c r="N588" s="14"/>
      <c r="O588" s="14"/>
      <c r="P588" s="14"/>
      <c r="Q588" s="14"/>
      <c r="R588" s="14"/>
      <c r="S588" s="14"/>
      <c r="T588" s="14"/>
      <c r="U588" s="14"/>
      <c r="V588" s="272"/>
      <c r="W588" s="272"/>
      <c r="X588" s="14"/>
      <c r="Y588" s="14"/>
      <c r="Z588" s="14"/>
      <c r="AA588" s="14"/>
      <c r="AB588" s="14"/>
      <c r="AC588" s="14"/>
      <c r="AD588" s="14"/>
      <c r="AE588" s="14"/>
      <c r="AF588" s="14"/>
      <c r="AG588" s="14"/>
      <c r="AH588" s="14"/>
      <c r="AI588" s="7"/>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row>
    <row r="589">
      <c r="A589" s="14"/>
      <c r="B589" s="14"/>
      <c r="C589" s="14"/>
      <c r="D589" s="14"/>
      <c r="E589" s="7"/>
      <c r="F589" s="7"/>
      <c r="G589" s="7"/>
      <c r="H589" s="7"/>
      <c r="I589" s="7"/>
      <c r="J589" s="14"/>
      <c r="K589" s="7"/>
      <c r="L589" s="14"/>
      <c r="M589" s="14"/>
      <c r="N589" s="14"/>
      <c r="O589" s="14"/>
      <c r="P589" s="14"/>
      <c r="Q589" s="14"/>
      <c r="R589" s="14"/>
      <c r="S589" s="14"/>
      <c r="T589" s="14"/>
      <c r="U589" s="14"/>
      <c r="V589" s="272"/>
      <c r="W589" s="272"/>
      <c r="X589" s="14"/>
      <c r="Y589" s="14"/>
      <c r="Z589" s="14"/>
      <c r="AA589" s="14"/>
      <c r="AB589" s="14"/>
      <c r="AC589" s="14"/>
      <c r="AD589" s="14"/>
      <c r="AE589" s="14"/>
      <c r="AF589" s="14"/>
      <c r="AG589" s="14"/>
      <c r="AH589" s="14"/>
      <c r="AI589" s="7"/>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row>
    <row r="590">
      <c r="A590" s="14"/>
      <c r="B590" s="14"/>
      <c r="C590" s="14"/>
      <c r="D590" s="14"/>
      <c r="E590" s="7"/>
      <c r="F590" s="7"/>
      <c r="G590" s="7"/>
      <c r="H590" s="7"/>
      <c r="I590" s="7"/>
      <c r="J590" s="14"/>
      <c r="K590" s="7"/>
      <c r="L590" s="14"/>
      <c r="M590" s="14"/>
      <c r="N590" s="14"/>
      <c r="O590" s="14"/>
      <c r="P590" s="14"/>
      <c r="Q590" s="14"/>
      <c r="R590" s="14"/>
      <c r="S590" s="14"/>
      <c r="T590" s="14"/>
      <c r="U590" s="14"/>
      <c r="V590" s="272"/>
      <c r="W590" s="272"/>
      <c r="X590" s="14"/>
      <c r="Y590" s="14"/>
      <c r="Z590" s="14"/>
      <c r="AA590" s="14"/>
      <c r="AB590" s="14"/>
      <c r="AC590" s="14"/>
      <c r="AD590" s="14"/>
      <c r="AE590" s="14"/>
      <c r="AF590" s="14"/>
      <c r="AG590" s="14"/>
      <c r="AH590" s="14"/>
      <c r="AI590" s="7"/>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row>
    <row r="591">
      <c r="A591" s="14"/>
      <c r="B591" s="14"/>
      <c r="C591" s="14"/>
      <c r="D591" s="14"/>
      <c r="E591" s="7"/>
      <c r="F591" s="7"/>
      <c r="G591" s="7"/>
      <c r="H591" s="7"/>
      <c r="I591" s="7"/>
      <c r="J591" s="14"/>
      <c r="K591" s="7"/>
      <c r="L591" s="14"/>
      <c r="M591" s="14"/>
      <c r="N591" s="14"/>
      <c r="O591" s="14"/>
      <c r="P591" s="14"/>
      <c r="Q591" s="14"/>
      <c r="R591" s="14"/>
      <c r="S591" s="14"/>
      <c r="T591" s="14"/>
      <c r="U591" s="14"/>
      <c r="V591" s="272"/>
      <c r="W591" s="272"/>
      <c r="X591" s="14"/>
      <c r="Y591" s="14"/>
      <c r="Z591" s="14"/>
      <c r="AA591" s="14"/>
      <c r="AB591" s="14"/>
      <c r="AC591" s="14"/>
      <c r="AD591" s="14"/>
      <c r="AE591" s="14"/>
      <c r="AF591" s="14"/>
      <c r="AG591" s="14"/>
      <c r="AH591" s="14"/>
      <c r="AI591" s="7"/>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row>
    <row r="592">
      <c r="A592" s="14"/>
      <c r="B592" s="14"/>
      <c r="C592" s="14"/>
      <c r="D592" s="14"/>
      <c r="E592" s="7"/>
      <c r="F592" s="7"/>
      <c r="G592" s="7"/>
      <c r="H592" s="7"/>
      <c r="I592" s="7"/>
      <c r="J592" s="14"/>
      <c r="K592" s="7"/>
      <c r="L592" s="14"/>
      <c r="M592" s="14"/>
      <c r="N592" s="14"/>
      <c r="O592" s="14"/>
      <c r="P592" s="14"/>
      <c r="Q592" s="14"/>
      <c r="R592" s="14"/>
      <c r="S592" s="14"/>
      <c r="T592" s="14"/>
      <c r="U592" s="14"/>
      <c r="V592" s="272"/>
      <c r="W592" s="272"/>
      <c r="X592" s="14"/>
      <c r="Y592" s="14"/>
      <c r="Z592" s="14"/>
      <c r="AA592" s="14"/>
      <c r="AB592" s="14"/>
      <c r="AC592" s="14"/>
      <c r="AD592" s="14"/>
      <c r="AE592" s="14"/>
      <c r="AF592" s="14"/>
      <c r="AG592" s="14"/>
      <c r="AH592" s="14"/>
      <c r="AI592" s="7"/>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row>
    <row r="593">
      <c r="A593" s="14"/>
      <c r="B593" s="14"/>
      <c r="C593" s="14"/>
      <c r="D593" s="14"/>
      <c r="E593" s="7"/>
      <c r="F593" s="7"/>
      <c r="G593" s="7"/>
      <c r="H593" s="7"/>
      <c r="I593" s="7"/>
      <c r="J593" s="14"/>
      <c r="K593" s="7"/>
      <c r="L593" s="14"/>
      <c r="M593" s="14"/>
      <c r="N593" s="14"/>
      <c r="O593" s="14"/>
      <c r="P593" s="14"/>
      <c r="Q593" s="14"/>
      <c r="R593" s="14"/>
      <c r="S593" s="14"/>
      <c r="T593" s="14"/>
      <c r="U593" s="14"/>
      <c r="V593" s="272"/>
      <c r="W593" s="272"/>
      <c r="X593" s="14"/>
      <c r="Y593" s="14"/>
      <c r="Z593" s="14"/>
      <c r="AA593" s="14"/>
      <c r="AB593" s="14"/>
      <c r="AC593" s="14"/>
      <c r="AD593" s="14"/>
      <c r="AE593" s="14"/>
      <c r="AF593" s="14"/>
      <c r="AG593" s="14"/>
      <c r="AH593" s="14"/>
      <c r="AI593" s="7"/>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row>
    <row r="594">
      <c r="A594" s="14"/>
      <c r="B594" s="14"/>
      <c r="C594" s="14"/>
      <c r="D594" s="14"/>
      <c r="E594" s="7"/>
      <c r="F594" s="7"/>
      <c r="G594" s="7"/>
      <c r="H594" s="7"/>
      <c r="I594" s="7"/>
      <c r="J594" s="14"/>
      <c r="K594" s="7"/>
      <c r="L594" s="14"/>
      <c r="M594" s="14"/>
      <c r="N594" s="14"/>
      <c r="O594" s="14"/>
      <c r="P594" s="14"/>
      <c r="Q594" s="14"/>
      <c r="R594" s="14"/>
      <c r="S594" s="14"/>
      <c r="T594" s="14"/>
      <c r="U594" s="14"/>
      <c r="V594" s="272"/>
      <c r="W594" s="272"/>
      <c r="X594" s="14"/>
      <c r="Y594" s="14"/>
      <c r="Z594" s="14"/>
      <c r="AA594" s="14"/>
      <c r="AB594" s="14"/>
      <c r="AC594" s="14"/>
      <c r="AD594" s="14"/>
      <c r="AE594" s="14"/>
      <c r="AF594" s="14"/>
      <c r="AG594" s="14"/>
      <c r="AH594" s="14"/>
      <c r="AI594" s="7"/>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row>
    <row r="595">
      <c r="A595" s="14"/>
      <c r="B595" s="14"/>
      <c r="C595" s="14"/>
      <c r="D595" s="14"/>
      <c r="E595" s="7"/>
      <c r="F595" s="7"/>
      <c r="G595" s="7"/>
      <c r="H595" s="7"/>
      <c r="I595" s="7"/>
      <c r="J595" s="14"/>
      <c r="K595" s="7"/>
      <c r="L595" s="14"/>
      <c r="M595" s="14"/>
      <c r="N595" s="14"/>
      <c r="O595" s="14"/>
      <c r="P595" s="14"/>
      <c r="Q595" s="14"/>
      <c r="R595" s="14"/>
      <c r="S595" s="14"/>
      <c r="T595" s="14"/>
      <c r="U595" s="14"/>
      <c r="V595" s="272"/>
      <c r="W595" s="272"/>
      <c r="X595" s="14"/>
      <c r="Y595" s="14"/>
      <c r="Z595" s="14"/>
      <c r="AA595" s="14"/>
      <c r="AB595" s="14"/>
      <c r="AC595" s="14"/>
      <c r="AD595" s="14"/>
      <c r="AE595" s="14"/>
      <c r="AF595" s="14"/>
      <c r="AG595" s="14"/>
      <c r="AH595" s="14"/>
      <c r="AI595" s="7"/>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row>
    <row r="596">
      <c r="A596" s="14"/>
      <c r="B596" s="14"/>
      <c r="C596" s="14"/>
      <c r="D596" s="14"/>
      <c r="E596" s="7"/>
      <c r="F596" s="7"/>
      <c r="G596" s="7"/>
      <c r="H596" s="7"/>
      <c r="I596" s="7"/>
      <c r="J596" s="14"/>
      <c r="K596" s="7"/>
      <c r="L596" s="14"/>
      <c r="M596" s="14"/>
      <c r="N596" s="14"/>
      <c r="O596" s="14"/>
      <c r="P596" s="14"/>
      <c r="Q596" s="14"/>
      <c r="R596" s="14"/>
      <c r="S596" s="14"/>
      <c r="T596" s="14"/>
      <c r="U596" s="14"/>
      <c r="V596" s="272"/>
      <c r="W596" s="272"/>
      <c r="X596" s="14"/>
      <c r="Y596" s="14"/>
      <c r="Z596" s="14"/>
      <c r="AA596" s="14"/>
      <c r="AB596" s="14"/>
      <c r="AC596" s="14"/>
      <c r="AD596" s="14"/>
      <c r="AE596" s="14"/>
      <c r="AF596" s="14"/>
      <c r="AG596" s="14"/>
      <c r="AH596" s="14"/>
      <c r="AI596" s="7"/>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row>
    <row r="597">
      <c r="A597" s="14"/>
      <c r="B597" s="14"/>
      <c r="C597" s="14"/>
      <c r="D597" s="14"/>
      <c r="E597" s="7"/>
      <c r="F597" s="7"/>
      <c r="G597" s="7"/>
      <c r="H597" s="7"/>
      <c r="I597" s="7"/>
      <c r="J597" s="14"/>
      <c r="K597" s="7"/>
      <c r="L597" s="14"/>
      <c r="M597" s="14"/>
      <c r="N597" s="14"/>
      <c r="O597" s="14"/>
      <c r="P597" s="14"/>
      <c r="Q597" s="14"/>
      <c r="R597" s="14"/>
      <c r="S597" s="14"/>
      <c r="T597" s="14"/>
      <c r="U597" s="14"/>
      <c r="V597" s="272"/>
      <c r="W597" s="272"/>
      <c r="X597" s="14"/>
      <c r="Y597" s="14"/>
      <c r="Z597" s="14"/>
      <c r="AA597" s="14"/>
      <c r="AB597" s="14"/>
      <c r="AC597" s="14"/>
      <c r="AD597" s="14"/>
      <c r="AE597" s="14"/>
      <c r="AF597" s="14"/>
      <c r="AG597" s="14"/>
      <c r="AH597" s="14"/>
      <c r="AI597" s="7"/>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row>
    <row r="598">
      <c r="A598" s="14"/>
      <c r="B598" s="14"/>
      <c r="C598" s="14"/>
      <c r="D598" s="14"/>
      <c r="E598" s="7"/>
      <c r="F598" s="7"/>
      <c r="G598" s="7"/>
      <c r="H598" s="7"/>
      <c r="I598" s="7"/>
      <c r="J598" s="14"/>
      <c r="K598" s="7"/>
      <c r="L598" s="14"/>
      <c r="M598" s="14"/>
      <c r="N598" s="14"/>
      <c r="O598" s="14"/>
      <c r="P598" s="14"/>
      <c r="Q598" s="14"/>
      <c r="R598" s="14"/>
      <c r="S598" s="14"/>
      <c r="T598" s="14"/>
      <c r="U598" s="14"/>
      <c r="V598" s="272"/>
      <c r="W598" s="272"/>
      <c r="X598" s="14"/>
      <c r="Y598" s="14"/>
      <c r="Z598" s="14"/>
      <c r="AA598" s="14"/>
      <c r="AB598" s="14"/>
      <c r="AC598" s="14"/>
      <c r="AD598" s="14"/>
      <c r="AE598" s="14"/>
      <c r="AF598" s="14"/>
      <c r="AG598" s="14"/>
      <c r="AH598" s="14"/>
      <c r="AI598" s="7"/>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row>
    <row r="599">
      <c r="A599" s="14"/>
      <c r="B599" s="14"/>
      <c r="C599" s="14"/>
      <c r="D599" s="14"/>
      <c r="E599" s="7"/>
      <c r="F599" s="7"/>
      <c r="G599" s="7"/>
      <c r="H599" s="7"/>
      <c r="I599" s="7"/>
      <c r="J599" s="14"/>
      <c r="K599" s="7"/>
      <c r="L599" s="14"/>
      <c r="M599" s="14"/>
      <c r="N599" s="14"/>
      <c r="O599" s="14"/>
      <c r="P599" s="14"/>
      <c r="Q599" s="14"/>
      <c r="R599" s="14"/>
      <c r="S599" s="14"/>
      <c r="T599" s="14"/>
      <c r="U599" s="14"/>
      <c r="V599" s="272"/>
      <c r="W599" s="272"/>
      <c r="X599" s="14"/>
      <c r="Y599" s="14"/>
      <c r="Z599" s="14"/>
      <c r="AA599" s="14"/>
      <c r="AB599" s="14"/>
      <c r="AC599" s="14"/>
      <c r="AD599" s="14"/>
      <c r="AE599" s="14"/>
      <c r="AF599" s="14"/>
      <c r="AG599" s="14"/>
      <c r="AH599" s="14"/>
      <c r="AI599" s="7"/>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row>
    <row r="600">
      <c r="A600" s="14"/>
      <c r="B600" s="14"/>
      <c r="C600" s="14"/>
      <c r="D600" s="14"/>
      <c r="E600" s="7"/>
      <c r="F600" s="7"/>
      <c r="G600" s="7"/>
      <c r="H600" s="7"/>
      <c r="I600" s="7"/>
      <c r="J600" s="14"/>
      <c r="K600" s="7"/>
      <c r="L600" s="14"/>
      <c r="M600" s="14"/>
      <c r="N600" s="14"/>
      <c r="O600" s="14"/>
      <c r="P600" s="14"/>
      <c r="Q600" s="14"/>
      <c r="R600" s="14"/>
      <c r="S600" s="14"/>
      <c r="T600" s="14"/>
      <c r="U600" s="14"/>
      <c r="V600" s="272"/>
      <c r="W600" s="272"/>
      <c r="X600" s="14"/>
      <c r="Y600" s="14"/>
      <c r="Z600" s="14"/>
      <c r="AA600" s="14"/>
      <c r="AB600" s="14"/>
      <c r="AC600" s="14"/>
      <c r="AD600" s="14"/>
      <c r="AE600" s="14"/>
      <c r="AF600" s="14"/>
      <c r="AG600" s="14"/>
      <c r="AH600" s="14"/>
      <c r="AI600" s="7"/>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row>
    <row r="601">
      <c r="A601" s="14"/>
      <c r="B601" s="14"/>
      <c r="C601" s="14"/>
      <c r="D601" s="14"/>
      <c r="E601" s="7"/>
      <c r="F601" s="7"/>
      <c r="G601" s="7"/>
      <c r="H601" s="7"/>
      <c r="I601" s="7"/>
      <c r="J601" s="14"/>
      <c r="K601" s="7"/>
      <c r="L601" s="14"/>
      <c r="M601" s="14"/>
      <c r="N601" s="14"/>
      <c r="O601" s="14"/>
      <c r="P601" s="14"/>
      <c r="Q601" s="14"/>
      <c r="R601" s="14"/>
      <c r="S601" s="14"/>
      <c r="T601" s="14"/>
      <c r="U601" s="14"/>
      <c r="V601" s="272"/>
      <c r="W601" s="272"/>
      <c r="X601" s="14"/>
      <c r="Y601" s="14"/>
      <c r="Z601" s="14"/>
      <c r="AA601" s="14"/>
      <c r="AB601" s="14"/>
      <c r="AC601" s="14"/>
      <c r="AD601" s="14"/>
      <c r="AE601" s="14"/>
      <c r="AF601" s="14"/>
      <c r="AG601" s="14"/>
      <c r="AH601" s="14"/>
      <c r="AI601" s="7"/>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row>
    <row r="602">
      <c r="A602" s="14"/>
      <c r="B602" s="14"/>
      <c r="C602" s="14"/>
      <c r="D602" s="14"/>
      <c r="E602" s="7"/>
      <c r="F602" s="7"/>
      <c r="G602" s="7"/>
      <c r="H602" s="7"/>
      <c r="I602" s="7"/>
      <c r="J602" s="14"/>
      <c r="K602" s="7"/>
      <c r="L602" s="14"/>
      <c r="M602" s="14"/>
      <c r="N602" s="14"/>
      <c r="O602" s="14"/>
      <c r="P602" s="14"/>
      <c r="Q602" s="14"/>
      <c r="R602" s="14"/>
      <c r="S602" s="14"/>
      <c r="T602" s="14"/>
      <c r="U602" s="14"/>
      <c r="V602" s="272"/>
      <c r="W602" s="272"/>
      <c r="X602" s="14"/>
      <c r="Y602" s="14"/>
      <c r="Z602" s="14"/>
      <c r="AA602" s="14"/>
      <c r="AB602" s="14"/>
      <c r="AC602" s="14"/>
      <c r="AD602" s="14"/>
      <c r="AE602" s="14"/>
      <c r="AF602" s="14"/>
      <c r="AG602" s="14"/>
      <c r="AH602" s="14"/>
      <c r="AI602" s="7"/>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row>
    <row r="603">
      <c r="A603" s="14"/>
      <c r="B603" s="14"/>
      <c r="C603" s="14"/>
      <c r="D603" s="14"/>
      <c r="E603" s="7"/>
      <c r="F603" s="7"/>
      <c r="G603" s="7"/>
      <c r="H603" s="7"/>
      <c r="I603" s="7"/>
      <c r="J603" s="14"/>
      <c r="K603" s="7"/>
      <c r="L603" s="14"/>
      <c r="M603" s="14"/>
      <c r="N603" s="14"/>
      <c r="O603" s="14"/>
      <c r="P603" s="14"/>
      <c r="Q603" s="14"/>
      <c r="R603" s="14"/>
      <c r="S603" s="14"/>
      <c r="T603" s="14"/>
      <c r="U603" s="14"/>
      <c r="V603" s="272"/>
      <c r="W603" s="272"/>
      <c r="X603" s="14"/>
      <c r="Y603" s="14"/>
      <c r="Z603" s="14"/>
      <c r="AA603" s="14"/>
      <c r="AB603" s="14"/>
      <c r="AC603" s="14"/>
      <c r="AD603" s="14"/>
      <c r="AE603" s="14"/>
      <c r="AF603" s="14"/>
      <c r="AG603" s="14"/>
      <c r="AH603" s="14"/>
      <c r="AI603" s="7"/>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row>
    <row r="604">
      <c r="A604" s="14"/>
      <c r="B604" s="14"/>
      <c r="C604" s="14"/>
      <c r="D604" s="14"/>
      <c r="E604" s="7"/>
      <c r="F604" s="7"/>
      <c r="G604" s="7"/>
      <c r="H604" s="7"/>
      <c r="I604" s="7"/>
      <c r="J604" s="14"/>
      <c r="K604" s="7"/>
      <c r="L604" s="14"/>
      <c r="M604" s="14"/>
      <c r="N604" s="14"/>
      <c r="O604" s="14"/>
      <c r="P604" s="14"/>
      <c r="Q604" s="14"/>
      <c r="R604" s="14"/>
      <c r="S604" s="14"/>
      <c r="T604" s="14"/>
      <c r="U604" s="14"/>
      <c r="V604" s="272"/>
      <c r="W604" s="272"/>
      <c r="X604" s="14"/>
      <c r="Y604" s="14"/>
      <c r="Z604" s="14"/>
      <c r="AA604" s="14"/>
      <c r="AB604" s="14"/>
      <c r="AC604" s="14"/>
      <c r="AD604" s="14"/>
      <c r="AE604" s="14"/>
      <c r="AF604" s="14"/>
      <c r="AG604" s="14"/>
      <c r="AH604" s="14"/>
      <c r="AI604" s="7"/>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row>
    <row r="605">
      <c r="A605" s="14"/>
      <c r="B605" s="14"/>
      <c r="C605" s="14"/>
      <c r="D605" s="14"/>
      <c r="E605" s="7"/>
      <c r="F605" s="7"/>
      <c r="G605" s="7"/>
      <c r="H605" s="7"/>
      <c r="I605" s="7"/>
      <c r="J605" s="14"/>
      <c r="K605" s="7"/>
      <c r="L605" s="14"/>
      <c r="M605" s="14"/>
      <c r="N605" s="14"/>
      <c r="O605" s="14"/>
      <c r="P605" s="14"/>
      <c r="Q605" s="14"/>
      <c r="R605" s="14"/>
      <c r="S605" s="14"/>
      <c r="T605" s="14"/>
      <c r="U605" s="14"/>
      <c r="V605" s="272"/>
      <c r="W605" s="272"/>
      <c r="X605" s="14"/>
      <c r="Y605" s="14"/>
      <c r="Z605" s="14"/>
      <c r="AA605" s="14"/>
      <c r="AB605" s="14"/>
      <c r="AC605" s="14"/>
      <c r="AD605" s="14"/>
      <c r="AE605" s="14"/>
      <c r="AF605" s="14"/>
      <c r="AG605" s="14"/>
      <c r="AH605" s="14"/>
      <c r="AI605" s="7"/>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row>
    <row r="606">
      <c r="A606" s="14"/>
      <c r="B606" s="14"/>
      <c r="C606" s="14"/>
      <c r="D606" s="14"/>
      <c r="E606" s="7"/>
      <c r="F606" s="7"/>
      <c r="G606" s="7"/>
      <c r="H606" s="7"/>
      <c r="I606" s="7"/>
      <c r="J606" s="14"/>
      <c r="K606" s="7"/>
      <c r="L606" s="14"/>
      <c r="M606" s="14"/>
      <c r="N606" s="14"/>
      <c r="O606" s="14"/>
      <c r="P606" s="14"/>
      <c r="Q606" s="14"/>
      <c r="R606" s="14"/>
      <c r="S606" s="14"/>
      <c r="T606" s="14"/>
      <c r="U606" s="14"/>
      <c r="V606" s="272"/>
      <c r="W606" s="272"/>
      <c r="X606" s="14"/>
      <c r="Y606" s="14"/>
      <c r="Z606" s="14"/>
      <c r="AA606" s="14"/>
      <c r="AB606" s="14"/>
      <c r="AC606" s="14"/>
      <c r="AD606" s="14"/>
      <c r="AE606" s="14"/>
      <c r="AF606" s="14"/>
      <c r="AG606" s="14"/>
      <c r="AH606" s="14"/>
      <c r="AI606" s="7"/>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row>
    <row r="607">
      <c r="A607" s="14"/>
      <c r="B607" s="14"/>
      <c r="C607" s="14"/>
      <c r="D607" s="14"/>
      <c r="E607" s="7"/>
      <c r="F607" s="7"/>
      <c r="G607" s="7"/>
      <c r="H607" s="7"/>
      <c r="I607" s="7"/>
      <c r="J607" s="14"/>
      <c r="K607" s="7"/>
      <c r="L607" s="14"/>
      <c r="M607" s="14"/>
      <c r="N607" s="14"/>
      <c r="O607" s="14"/>
      <c r="P607" s="14"/>
      <c r="Q607" s="14"/>
      <c r="R607" s="14"/>
      <c r="S607" s="14"/>
      <c r="T607" s="14"/>
      <c r="U607" s="14"/>
      <c r="V607" s="272"/>
      <c r="W607" s="272"/>
      <c r="X607" s="14"/>
      <c r="Y607" s="14"/>
      <c r="Z607" s="14"/>
      <c r="AA607" s="14"/>
      <c r="AB607" s="14"/>
      <c r="AC607" s="14"/>
      <c r="AD607" s="14"/>
      <c r="AE607" s="14"/>
      <c r="AF607" s="14"/>
      <c r="AG607" s="14"/>
      <c r="AH607" s="14"/>
      <c r="AI607" s="7"/>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row>
    <row r="608">
      <c r="A608" s="14"/>
      <c r="B608" s="14"/>
      <c r="C608" s="14"/>
      <c r="D608" s="14"/>
      <c r="E608" s="7"/>
      <c r="F608" s="7"/>
      <c r="G608" s="7"/>
      <c r="H608" s="7"/>
      <c r="I608" s="7"/>
      <c r="J608" s="14"/>
      <c r="K608" s="7"/>
      <c r="L608" s="14"/>
      <c r="M608" s="14"/>
      <c r="N608" s="14"/>
      <c r="O608" s="14"/>
      <c r="P608" s="14"/>
      <c r="Q608" s="14"/>
      <c r="R608" s="14"/>
      <c r="S608" s="14"/>
      <c r="T608" s="14"/>
      <c r="U608" s="14"/>
      <c r="V608" s="272"/>
      <c r="W608" s="272"/>
      <c r="X608" s="14"/>
      <c r="Y608" s="14"/>
      <c r="Z608" s="14"/>
      <c r="AA608" s="14"/>
      <c r="AB608" s="14"/>
      <c r="AC608" s="14"/>
      <c r="AD608" s="14"/>
      <c r="AE608" s="14"/>
      <c r="AF608" s="14"/>
      <c r="AG608" s="14"/>
      <c r="AH608" s="14"/>
      <c r="AI608" s="7"/>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row>
    <row r="609">
      <c r="A609" s="14"/>
      <c r="B609" s="14"/>
      <c r="C609" s="14"/>
      <c r="D609" s="14"/>
      <c r="E609" s="7"/>
      <c r="F609" s="7"/>
      <c r="G609" s="7"/>
      <c r="H609" s="7"/>
      <c r="I609" s="7"/>
      <c r="J609" s="14"/>
      <c r="K609" s="7"/>
      <c r="L609" s="14"/>
      <c r="M609" s="14"/>
      <c r="N609" s="14"/>
      <c r="O609" s="14"/>
      <c r="P609" s="14"/>
      <c r="Q609" s="14"/>
      <c r="R609" s="14"/>
      <c r="S609" s="14"/>
      <c r="T609" s="14"/>
      <c r="U609" s="14"/>
      <c r="V609" s="272"/>
      <c r="W609" s="272"/>
      <c r="X609" s="14"/>
      <c r="Y609" s="14"/>
      <c r="Z609" s="14"/>
      <c r="AA609" s="14"/>
      <c r="AB609" s="14"/>
      <c r="AC609" s="14"/>
      <c r="AD609" s="14"/>
      <c r="AE609" s="14"/>
      <c r="AF609" s="14"/>
      <c r="AG609" s="14"/>
      <c r="AH609" s="14"/>
      <c r="AI609" s="7"/>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row>
    <row r="610">
      <c r="A610" s="14"/>
      <c r="B610" s="14"/>
      <c r="C610" s="14"/>
      <c r="D610" s="14"/>
      <c r="E610" s="7"/>
      <c r="F610" s="7"/>
      <c r="G610" s="7"/>
      <c r="H610" s="7"/>
      <c r="I610" s="7"/>
      <c r="J610" s="14"/>
      <c r="K610" s="7"/>
      <c r="L610" s="14"/>
      <c r="M610" s="14"/>
      <c r="N610" s="14"/>
      <c r="O610" s="14"/>
      <c r="P610" s="14"/>
      <c r="Q610" s="14"/>
      <c r="R610" s="14"/>
      <c r="S610" s="14"/>
      <c r="T610" s="14"/>
      <c r="U610" s="14"/>
      <c r="V610" s="272"/>
      <c r="W610" s="272"/>
      <c r="X610" s="14"/>
      <c r="Y610" s="14"/>
      <c r="Z610" s="14"/>
      <c r="AA610" s="14"/>
      <c r="AB610" s="14"/>
      <c r="AC610" s="14"/>
      <c r="AD610" s="14"/>
      <c r="AE610" s="14"/>
      <c r="AF610" s="14"/>
      <c r="AG610" s="14"/>
      <c r="AH610" s="14"/>
      <c r="AI610" s="7"/>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row>
    <row r="611">
      <c r="A611" s="14"/>
      <c r="B611" s="14"/>
      <c r="C611" s="14"/>
      <c r="D611" s="14"/>
      <c r="E611" s="7"/>
      <c r="F611" s="7"/>
      <c r="G611" s="7"/>
      <c r="H611" s="7"/>
      <c r="I611" s="7"/>
      <c r="J611" s="14"/>
      <c r="K611" s="7"/>
      <c r="L611" s="14"/>
      <c r="M611" s="14"/>
      <c r="N611" s="14"/>
      <c r="O611" s="14"/>
      <c r="P611" s="14"/>
      <c r="Q611" s="14"/>
      <c r="R611" s="14"/>
      <c r="S611" s="14"/>
      <c r="T611" s="14"/>
      <c r="U611" s="14"/>
      <c r="V611" s="272"/>
      <c r="W611" s="272"/>
      <c r="X611" s="14"/>
      <c r="Y611" s="14"/>
      <c r="Z611" s="14"/>
      <c r="AA611" s="14"/>
      <c r="AB611" s="14"/>
      <c r="AC611" s="14"/>
      <c r="AD611" s="14"/>
      <c r="AE611" s="14"/>
      <c r="AF611" s="14"/>
      <c r="AG611" s="14"/>
      <c r="AH611" s="14"/>
      <c r="AI611" s="7"/>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row>
    <row r="612">
      <c r="A612" s="14"/>
      <c r="B612" s="14"/>
      <c r="C612" s="14"/>
      <c r="D612" s="14"/>
      <c r="E612" s="7"/>
      <c r="F612" s="7"/>
      <c r="G612" s="7"/>
      <c r="H612" s="7"/>
      <c r="I612" s="7"/>
      <c r="J612" s="14"/>
      <c r="K612" s="7"/>
      <c r="L612" s="14"/>
      <c r="M612" s="14"/>
      <c r="N612" s="14"/>
      <c r="O612" s="14"/>
      <c r="P612" s="14"/>
      <c r="Q612" s="14"/>
      <c r="R612" s="14"/>
      <c r="S612" s="14"/>
      <c r="T612" s="14"/>
      <c r="U612" s="14"/>
      <c r="V612" s="272"/>
      <c r="W612" s="272"/>
      <c r="X612" s="14"/>
      <c r="Y612" s="14"/>
      <c r="Z612" s="14"/>
      <c r="AA612" s="14"/>
      <c r="AB612" s="14"/>
      <c r="AC612" s="14"/>
      <c r="AD612" s="14"/>
      <c r="AE612" s="14"/>
      <c r="AF612" s="14"/>
      <c r="AG612" s="14"/>
      <c r="AH612" s="14"/>
      <c r="AI612" s="7"/>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row>
    <row r="613">
      <c r="A613" s="14"/>
      <c r="B613" s="14"/>
      <c r="C613" s="14"/>
      <c r="D613" s="14"/>
      <c r="E613" s="7"/>
      <c r="F613" s="7"/>
      <c r="G613" s="7"/>
      <c r="H613" s="7"/>
      <c r="I613" s="7"/>
      <c r="J613" s="14"/>
      <c r="K613" s="7"/>
      <c r="L613" s="14"/>
      <c r="M613" s="14"/>
      <c r="N613" s="14"/>
      <c r="O613" s="14"/>
      <c r="P613" s="14"/>
      <c r="Q613" s="14"/>
      <c r="R613" s="14"/>
      <c r="S613" s="14"/>
      <c r="T613" s="14"/>
      <c r="U613" s="14"/>
      <c r="V613" s="272"/>
      <c r="W613" s="272"/>
      <c r="X613" s="14"/>
      <c r="Y613" s="14"/>
      <c r="Z613" s="14"/>
      <c r="AA613" s="14"/>
      <c r="AB613" s="14"/>
      <c r="AC613" s="14"/>
      <c r="AD613" s="14"/>
      <c r="AE613" s="14"/>
      <c r="AF613" s="14"/>
      <c r="AG613" s="14"/>
      <c r="AH613" s="14"/>
      <c r="AI613" s="7"/>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row>
    <row r="614">
      <c r="A614" s="14"/>
      <c r="B614" s="14"/>
      <c r="C614" s="14"/>
      <c r="D614" s="14"/>
      <c r="E614" s="7"/>
      <c r="F614" s="7"/>
      <c r="G614" s="7"/>
      <c r="H614" s="7"/>
      <c r="I614" s="7"/>
      <c r="J614" s="14"/>
      <c r="K614" s="7"/>
      <c r="L614" s="14"/>
      <c r="M614" s="14"/>
      <c r="N614" s="14"/>
      <c r="O614" s="14"/>
      <c r="P614" s="14"/>
      <c r="Q614" s="14"/>
      <c r="R614" s="14"/>
      <c r="S614" s="14"/>
      <c r="T614" s="14"/>
      <c r="U614" s="14"/>
      <c r="V614" s="272"/>
      <c r="W614" s="272"/>
      <c r="X614" s="14"/>
      <c r="Y614" s="14"/>
      <c r="Z614" s="14"/>
      <c r="AA614" s="14"/>
      <c r="AB614" s="14"/>
      <c r="AC614" s="14"/>
      <c r="AD614" s="14"/>
      <c r="AE614" s="14"/>
      <c r="AF614" s="14"/>
      <c r="AG614" s="14"/>
      <c r="AH614" s="14"/>
      <c r="AI614" s="7"/>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row>
    <row r="615">
      <c r="A615" s="14"/>
      <c r="B615" s="14"/>
      <c r="C615" s="14"/>
      <c r="D615" s="14"/>
      <c r="E615" s="7"/>
      <c r="F615" s="7"/>
      <c r="G615" s="7"/>
      <c r="H615" s="7"/>
      <c r="I615" s="7"/>
      <c r="J615" s="14"/>
      <c r="K615" s="7"/>
      <c r="L615" s="14"/>
      <c r="M615" s="14"/>
      <c r="N615" s="14"/>
      <c r="O615" s="14"/>
      <c r="P615" s="14"/>
      <c r="Q615" s="14"/>
      <c r="R615" s="14"/>
      <c r="S615" s="14"/>
      <c r="T615" s="14"/>
      <c r="U615" s="14"/>
      <c r="V615" s="272"/>
      <c r="W615" s="272"/>
      <c r="X615" s="14"/>
      <c r="Y615" s="14"/>
      <c r="Z615" s="14"/>
      <c r="AA615" s="14"/>
      <c r="AB615" s="14"/>
      <c r="AC615" s="14"/>
      <c r="AD615" s="14"/>
      <c r="AE615" s="14"/>
      <c r="AF615" s="14"/>
      <c r="AG615" s="14"/>
      <c r="AH615" s="14"/>
      <c r="AI615" s="7"/>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row>
    <row r="616">
      <c r="A616" s="14"/>
      <c r="B616" s="14"/>
      <c r="C616" s="14"/>
      <c r="D616" s="14"/>
      <c r="E616" s="7"/>
      <c r="F616" s="7"/>
      <c r="G616" s="7"/>
      <c r="H616" s="7"/>
      <c r="I616" s="7"/>
      <c r="J616" s="14"/>
      <c r="K616" s="7"/>
      <c r="L616" s="14"/>
      <c r="M616" s="14"/>
      <c r="N616" s="14"/>
      <c r="O616" s="14"/>
      <c r="P616" s="14"/>
      <c r="Q616" s="14"/>
      <c r="R616" s="14"/>
      <c r="S616" s="14"/>
      <c r="T616" s="14"/>
      <c r="U616" s="14"/>
      <c r="V616" s="272"/>
      <c r="W616" s="272"/>
      <c r="X616" s="14"/>
      <c r="Y616" s="14"/>
      <c r="Z616" s="14"/>
      <c r="AA616" s="14"/>
      <c r="AB616" s="14"/>
      <c r="AC616" s="14"/>
      <c r="AD616" s="14"/>
      <c r="AE616" s="14"/>
      <c r="AF616" s="14"/>
      <c r="AG616" s="14"/>
      <c r="AH616" s="14"/>
      <c r="AI616" s="7"/>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row>
    <row r="617">
      <c r="A617" s="14"/>
      <c r="B617" s="14"/>
      <c r="C617" s="14"/>
      <c r="D617" s="14"/>
      <c r="E617" s="7"/>
      <c r="F617" s="7"/>
      <c r="G617" s="7"/>
      <c r="H617" s="7"/>
      <c r="I617" s="7"/>
      <c r="J617" s="14"/>
      <c r="K617" s="7"/>
      <c r="L617" s="14"/>
      <c r="M617" s="14"/>
      <c r="N617" s="14"/>
      <c r="O617" s="14"/>
      <c r="P617" s="14"/>
      <c r="Q617" s="14"/>
      <c r="R617" s="14"/>
      <c r="S617" s="14"/>
      <c r="T617" s="14"/>
      <c r="U617" s="14"/>
      <c r="V617" s="272"/>
      <c r="W617" s="272"/>
      <c r="X617" s="14"/>
      <c r="Y617" s="14"/>
      <c r="Z617" s="14"/>
      <c r="AA617" s="14"/>
      <c r="AB617" s="14"/>
      <c r="AC617" s="14"/>
      <c r="AD617" s="14"/>
      <c r="AE617" s="14"/>
      <c r="AF617" s="14"/>
      <c r="AG617" s="14"/>
      <c r="AH617" s="14"/>
      <c r="AI617" s="7"/>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row>
    <row r="618">
      <c r="A618" s="14"/>
      <c r="B618" s="14"/>
      <c r="C618" s="14"/>
      <c r="D618" s="14"/>
      <c r="E618" s="7"/>
      <c r="F618" s="7"/>
      <c r="G618" s="7"/>
      <c r="H618" s="7"/>
      <c r="I618" s="7"/>
      <c r="J618" s="14"/>
      <c r="K618" s="7"/>
      <c r="L618" s="14"/>
      <c r="M618" s="14"/>
      <c r="N618" s="14"/>
      <c r="O618" s="14"/>
      <c r="P618" s="14"/>
      <c r="Q618" s="14"/>
      <c r="R618" s="14"/>
      <c r="S618" s="14"/>
      <c r="T618" s="14"/>
      <c r="U618" s="14"/>
      <c r="V618" s="272"/>
      <c r="W618" s="272"/>
      <c r="X618" s="14"/>
      <c r="Y618" s="14"/>
      <c r="Z618" s="14"/>
      <c r="AA618" s="14"/>
      <c r="AB618" s="14"/>
      <c r="AC618" s="14"/>
      <c r="AD618" s="14"/>
      <c r="AE618" s="14"/>
      <c r="AF618" s="14"/>
      <c r="AG618" s="14"/>
      <c r="AH618" s="14"/>
      <c r="AI618" s="7"/>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row>
    <row r="619">
      <c r="A619" s="14"/>
      <c r="B619" s="14"/>
      <c r="C619" s="14"/>
      <c r="D619" s="14"/>
      <c r="E619" s="7"/>
      <c r="F619" s="7"/>
      <c r="G619" s="7"/>
      <c r="H619" s="7"/>
      <c r="I619" s="7"/>
      <c r="J619" s="14"/>
      <c r="K619" s="7"/>
      <c r="L619" s="14"/>
      <c r="M619" s="14"/>
      <c r="N619" s="14"/>
      <c r="O619" s="14"/>
      <c r="P619" s="14"/>
      <c r="Q619" s="14"/>
      <c r="R619" s="14"/>
      <c r="S619" s="14"/>
      <c r="T619" s="14"/>
      <c r="U619" s="14"/>
      <c r="V619" s="272"/>
      <c r="W619" s="272"/>
      <c r="X619" s="14"/>
      <c r="Y619" s="14"/>
      <c r="Z619" s="14"/>
      <c r="AA619" s="14"/>
      <c r="AB619" s="14"/>
      <c r="AC619" s="14"/>
      <c r="AD619" s="14"/>
      <c r="AE619" s="14"/>
      <c r="AF619" s="14"/>
      <c r="AG619" s="14"/>
      <c r="AH619" s="14"/>
      <c r="AI619" s="7"/>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row>
    <row r="620">
      <c r="A620" s="14"/>
      <c r="B620" s="14"/>
      <c r="C620" s="14"/>
      <c r="D620" s="14"/>
      <c r="E620" s="7"/>
      <c r="F620" s="7"/>
      <c r="G620" s="7"/>
      <c r="H620" s="7"/>
      <c r="I620" s="7"/>
      <c r="J620" s="14"/>
      <c r="K620" s="7"/>
      <c r="L620" s="14"/>
      <c r="M620" s="14"/>
      <c r="N620" s="14"/>
      <c r="O620" s="14"/>
      <c r="P620" s="14"/>
      <c r="Q620" s="14"/>
      <c r="R620" s="14"/>
      <c r="S620" s="14"/>
      <c r="T620" s="14"/>
      <c r="U620" s="14"/>
      <c r="V620" s="272"/>
      <c r="W620" s="272"/>
      <c r="X620" s="14"/>
      <c r="Y620" s="14"/>
      <c r="Z620" s="14"/>
      <c r="AA620" s="14"/>
      <c r="AB620" s="14"/>
      <c r="AC620" s="14"/>
      <c r="AD620" s="14"/>
      <c r="AE620" s="14"/>
      <c r="AF620" s="14"/>
      <c r="AG620" s="14"/>
      <c r="AH620" s="14"/>
      <c r="AI620" s="7"/>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row>
    <row r="621">
      <c r="A621" s="14"/>
      <c r="B621" s="14"/>
      <c r="C621" s="14"/>
      <c r="D621" s="14"/>
      <c r="E621" s="7"/>
      <c r="F621" s="7"/>
      <c r="G621" s="7"/>
      <c r="H621" s="7"/>
      <c r="I621" s="7"/>
      <c r="J621" s="14"/>
      <c r="K621" s="7"/>
      <c r="L621" s="14"/>
      <c r="M621" s="14"/>
      <c r="N621" s="14"/>
      <c r="O621" s="14"/>
      <c r="P621" s="14"/>
      <c r="Q621" s="14"/>
      <c r="R621" s="14"/>
      <c r="S621" s="14"/>
      <c r="T621" s="14"/>
      <c r="U621" s="14"/>
      <c r="V621" s="272"/>
      <c r="W621" s="272"/>
      <c r="X621" s="14"/>
      <c r="Y621" s="14"/>
      <c r="Z621" s="14"/>
      <c r="AA621" s="14"/>
      <c r="AB621" s="14"/>
      <c r="AC621" s="14"/>
      <c r="AD621" s="14"/>
      <c r="AE621" s="14"/>
      <c r="AF621" s="14"/>
      <c r="AG621" s="14"/>
      <c r="AH621" s="14"/>
      <c r="AI621" s="7"/>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row>
    <row r="622">
      <c r="A622" s="14"/>
      <c r="B622" s="14"/>
      <c r="C622" s="14"/>
      <c r="D622" s="14"/>
      <c r="E622" s="7"/>
      <c r="F622" s="7"/>
      <c r="G622" s="7"/>
      <c r="H622" s="7"/>
      <c r="I622" s="7"/>
      <c r="J622" s="14"/>
      <c r="K622" s="7"/>
      <c r="L622" s="14"/>
      <c r="M622" s="14"/>
      <c r="N622" s="14"/>
      <c r="O622" s="14"/>
      <c r="P622" s="14"/>
      <c r="Q622" s="14"/>
      <c r="R622" s="14"/>
      <c r="S622" s="14"/>
      <c r="T622" s="14"/>
      <c r="U622" s="14"/>
      <c r="V622" s="272"/>
      <c r="W622" s="272"/>
      <c r="X622" s="14"/>
      <c r="Y622" s="14"/>
      <c r="Z622" s="14"/>
      <c r="AA622" s="14"/>
      <c r="AB622" s="14"/>
      <c r="AC622" s="14"/>
      <c r="AD622" s="14"/>
      <c r="AE622" s="14"/>
      <c r="AF622" s="14"/>
      <c r="AG622" s="14"/>
      <c r="AH622" s="14"/>
      <c r="AI622" s="7"/>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row>
    <row r="623">
      <c r="A623" s="14"/>
      <c r="B623" s="14"/>
      <c r="C623" s="14"/>
      <c r="D623" s="14"/>
      <c r="E623" s="7"/>
      <c r="F623" s="7"/>
      <c r="G623" s="7"/>
      <c r="H623" s="7"/>
      <c r="I623" s="7"/>
      <c r="J623" s="14"/>
      <c r="K623" s="7"/>
      <c r="L623" s="14"/>
      <c r="M623" s="14"/>
      <c r="N623" s="14"/>
      <c r="O623" s="14"/>
      <c r="P623" s="14"/>
      <c r="Q623" s="14"/>
      <c r="R623" s="14"/>
      <c r="S623" s="14"/>
      <c r="T623" s="14"/>
      <c r="U623" s="14"/>
      <c r="V623" s="272"/>
      <c r="W623" s="272"/>
      <c r="X623" s="14"/>
      <c r="Y623" s="14"/>
      <c r="Z623" s="14"/>
      <c r="AA623" s="14"/>
      <c r="AB623" s="14"/>
      <c r="AC623" s="14"/>
      <c r="AD623" s="14"/>
      <c r="AE623" s="14"/>
      <c r="AF623" s="14"/>
      <c r="AG623" s="14"/>
      <c r="AH623" s="14"/>
      <c r="AI623" s="7"/>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row>
    <row r="624">
      <c r="A624" s="14"/>
      <c r="B624" s="14"/>
      <c r="C624" s="14"/>
      <c r="D624" s="14"/>
      <c r="E624" s="7"/>
      <c r="F624" s="7"/>
      <c r="G624" s="7"/>
      <c r="H624" s="7"/>
      <c r="I624" s="7"/>
      <c r="J624" s="14"/>
      <c r="K624" s="7"/>
      <c r="L624" s="14"/>
      <c r="M624" s="14"/>
      <c r="N624" s="14"/>
      <c r="O624" s="14"/>
      <c r="P624" s="14"/>
      <c r="Q624" s="14"/>
      <c r="R624" s="14"/>
      <c r="S624" s="14"/>
      <c r="T624" s="14"/>
      <c r="U624" s="14"/>
      <c r="V624" s="272"/>
      <c r="W624" s="272"/>
      <c r="X624" s="14"/>
      <c r="Y624" s="14"/>
      <c r="Z624" s="14"/>
      <c r="AA624" s="14"/>
      <c r="AB624" s="14"/>
      <c r="AC624" s="14"/>
      <c r="AD624" s="14"/>
      <c r="AE624" s="14"/>
      <c r="AF624" s="14"/>
      <c r="AG624" s="14"/>
      <c r="AH624" s="14"/>
      <c r="AI624" s="7"/>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row>
    <row r="625">
      <c r="A625" s="14"/>
      <c r="B625" s="14"/>
      <c r="C625" s="14"/>
      <c r="D625" s="14"/>
      <c r="E625" s="7"/>
      <c r="F625" s="7"/>
      <c r="G625" s="7"/>
      <c r="H625" s="7"/>
      <c r="I625" s="7"/>
      <c r="J625" s="14"/>
      <c r="K625" s="7"/>
      <c r="L625" s="14"/>
      <c r="M625" s="14"/>
      <c r="N625" s="14"/>
      <c r="O625" s="14"/>
      <c r="P625" s="14"/>
      <c r="Q625" s="14"/>
      <c r="R625" s="14"/>
      <c r="S625" s="14"/>
      <c r="T625" s="14"/>
      <c r="U625" s="14"/>
      <c r="V625" s="272"/>
      <c r="W625" s="272"/>
      <c r="X625" s="14"/>
      <c r="Y625" s="14"/>
      <c r="Z625" s="14"/>
      <c r="AA625" s="14"/>
      <c r="AB625" s="14"/>
      <c r="AC625" s="14"/>
      <c r="AD625" s="14"/>
      <c r="AE625" s="14"/>
      <c r="AF625" s="14"/>
      <c r="AG625" s="14"/>
      <c r="AH625" s="14"/>
      <c r="AI625" s="7"/>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row>
    <row r="626">
      <c r="A626" s="14"/>
      <c r="B626" s="14"/>
      <c r="C626" s="14"/>
      <c r="D626" s="14"/>
      <c r="E626" s="7"/>
      <c r="F626" s="7"/>
      <c r="G626" s="7"/>
      <c r="H626" s="7"/>
      <c r="I626" s="7"/>
      <c r="J626" s="14"/>
      <c r="K626" s="7"/>
      <c r="L626" s="14"/>
      <c r="M626" s="14"/>
      <c r="N626" s="14"/>
      <c r="O626" s="14"/>
      <c r="P626" s="14"/>
      <c r="Q626" s="14"/>
      <c r="R626" s="14"/>
      <c r="S626" s="14"/>
      <c r="T626" s="14"/>
      <c r="U626" s="14"/>
      <c r="V626" s="272"/>
      <c r="W626" s="272"/>
      <c r="X626" s="14"/>
      <c r="Y626" s="14"/>
      <c r="Z626" s="14"/>
      <c r="AA626" s="14"/>
      <c r="AB626" s="14"/>
      <c r="AC626" s="14"/>
      <c r="AD626" s="14"/>
      <c r="AE626" s="14"/>
      <c r="AF626" s="14"/>
      <c r="AG626" s="14"/>
      <c r="AH626" s="14"/>
      <c r="AI626" s="7"/>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row>
    <row r="627">
      <c r="A627" s="14"/>
      <c r="B627" s="14"/>
      <c r="C627" s="14"/>
      <c r="D627" s="14"/>
      <c r="E627" s="7"/>
      <c r="F627" s="7"/>
      <c r="G627" s="7"/>
      <c r="H627" s="7"/>
      <c r="I627" s="7"/>
      <c r="J627" s="14"/>
      <c r="K627" s="7"/>
      <c r="L627" s="14"/>
      <c r="M627" s="14"/>
      <c r="N627" s="14"/>
      <c r="O627" s="14"/>
      <c r="P627" s="14"/>
      <c r="Q627" s="14"/>
      <c r="R627" s="14"/>
      <c r="S627" s="14"/>
      <c r="T627" s="14"/>
      <c r="U627" s="14"/>
      <c r="V627" s="272"/>
      <c r="W627" s="272"/>
      <c r="X627" s="14"/>
      <c r="Y627" s="14"/>
      <c r="Z627" s="14"/>
      <c r="AA627" s="14"/>
      <c r="AB627" s="14"/>
      <c r="AC627" s="14"/>
      <c r="AD627" s="14"/>
      <c r="AE627" s="14"/>
      <c r="AF627" s="14"/>
      <c r="AG627" s="14"/>
      <c r="AH627" s="14"/>
      <c r="AI627" s="7"/>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row>
    <row r="628">
      <c r="A628" s="14"/>
      <c r="B628" s="14"/>
      <c r="C628" s="14"/>
      <c r="D628" s="14"/>
      <c r="E628" s="7"/>
      <c r="F628" s="7"/>
      <c r="G628" s="7"/>
      <c r="H628" s="7"/>
      <c r="I628" s="7"/>
      <c r="J628" s="14"/>
      <c r="K628" s="7"/>
      <c r="L628" s="14"/>
      <c r="M628" s="14"/>
      <c r="N628" s="14"/>
      <c r="O628" s="14"/>
      <c r="P628" s="14"/>
      <c r="Q628" s="14"/>
      <c r="R628" s="14"/>
      <c r="S628" s="14"/>
      <c r="T628" s="14"/>
      <c r="U628" s="14"/>
      <c r="V628" s="272"/>
      <c r="W628" s="272"/>
      <c r="X628" s="14"/>
      <c r="Y628" s="14"/>
      <c r="Z628" s="14"/>
      <c r="AA628" s="14"/>
      <c r="AB628" s="14"/>
      <c r="AC628" s="14"/>
      <c r="AD628" s="14"/>
      <c r="AE628" s="14"/>
      <c r="AF628" s="14"/>
      <c r="AG628" s="14"/>
      <c r="AH628" s="14"/>
      <c r="AI628" s="7"/>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row>
    <row r="629">
      <c r="A629" s="14"/>
      <c r="B629" s="14"/>
      <c r="C629" s="14"/>
      <c r="D629" s="14"/>
      <c r="E629" s="7"/>
      <c r="F629" s="7"/>
      <c r="G629" s="7"/>
      <c r="H629" s="7"/>
      <c r="I629" s="7"/>
      <c r="J629" s="14"/>
      <c r="K629" s="7"/>
      <c r="L629" s="14"/>
      <c r="M629" s="14"/>
      <c r="N629" s="14"/>
      <c r="O629" s="14"/>
      <c r="P629" s="14"/>
      <c r="Q629" s="14"/>
      <c r="R629" s="14"/>
      <c r="S629" s="14"/>
      <c r="T629" s="14"/>
      <c r="U629" s="14"/>
      <c r="V629" s="272"/>
      <c r="W629" s="272"/>
      <c r="X629" s="14"/>
      <c r="Y629" s="14"/>
      <c r="Z629" s="14"/>
      <c r="AA629" s="14"/>
      <c r="AB629" s="14"/>
      <c r="AC629" s="14"/>
      <c r="AD629" s="14"/>
      <c r="AE629" s="14"/>
      <c r="AF629" s="14"/>
      <c r="AG629" s="14"/>
      <c r="AH629" s="14"/>
      <c r="AI629" s="7"/>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row>
    <row r="630">
      <c r="A630" s="14"/>
      <c r="B630" s="14"/>
      <c r="C630" s="14"/>
      <c r="D630" s="14"/>
      <c r="E630" s="7"/>
      <c r="F630" s="7"/>
      <c r="G630" s="7"/>
      <c r="H630" s="7"/>
      <c r="I630" s="7"/>
      <c r="J630" s="14"/>
      <c r="K630" s="7"/>
      <c r="L630" s="14"/>
      <c r="M630" s="14"/>
      <c r="N630" s="14"/>
      <c r="O630" s="14"/>
      <c r="P630" s="14"/>
      <c r="Q630" s="14"/>
      <c r="R630" s="14"/>
      <c r="S630" s="14"/>
      <c r="T630" s="14"/>
      <c r="U630" s="14"/>
      <c r="V630" s="272"/>
      <c r="W630" s="272"/>
      <c r="X630" s="14"/>
      <c r="Y630" s="14"/>
      <c r="Z630" s="14"/>
      <c r="AA630" s="14"/>
      <c r="AB630" s="14"/>
      <c r="AC630" s="14"/>
      <c r="AD630" s="14"/>
      <c r="AE630" s="14"/>
      <c r="AF630" s="14"/>
      <c r="AG630" s="14"/>
      <c r="AH630" s="14"/>
      <c r="AI630" s="7"/>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row>
    <row r="631">
      <c r="A631" s="14"/>
      <c r="B631" s="14"/>
      <c r="C631" s="14"/>
      <c r="D631" s="14"/>
      <c r="E631" s="7"/>
      <c r="F631" s="7"/>
      <c r="G631" s="7"/>
      <c r="H631" s="7"/>
      <c r="I631" s="7"/>
      <c r="J631" s="14"/>
      <c r="K631" s="7"/>
      <c r="L631" s="14"/>
      <c r="M631" s="14"/>
      <c r="N631" s="14"/>
      <c r="O631" s="14"/>
      <c r="P631" s="14"/>
      <c r="Q631" s="14"/>
      <c r="R631" s="14"/>
      <c r="S631" s="14"/>
      <c r="T631" s="14"/>
      <c r="U631" s="14"/>
      <c r="V631" s="272"/>
      <c r="W631" s="272"/>
      <c r="X631" s="14"/>
      <c r="Y631" s="14"/>
      <c r="Z631" s="14"/>
      <c r="AA631" s="14"/>
      <c r="AB631" s="14"/>
      <c r="AC631" s="14"/>
      <c r="AD631" s="14"/>
      <c r="AE631" s="14"/>
      <c r="AF631" s="14"/>
      <c r="AG631" s="14"/>
      <c r="AH631" s="14"/>
      <c r="AI631" s="7"/>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row>
    <row r="632">
      <c r="A632" s="14"/>
      <c r="B632" s="14"/>
      <c r="C632" s="14"/>
      <c r="D632" s="14"/>
      <c r="E632" s="7"/>
      <c r="F632" s="7"/>
      <c r="G632" s="7"/>
      <c r="H632" s="7"/>
      <c r="I632" s="7"/>
      <c r="J632" s="14"/>
      <c r="K632" s="7"/>
      <c r="L632" s="14"/>
      <c r="M632" s="14"/>
      <c r="N632" s="14"/>
      <c r="O632" s="14"/>
      <c r="P632" s="14"/>
      <c r="Q632" s="14"/>
      <c r="R632" s="14"/>
      <c r="S632" s="14"/>
      <c r="T632" s="14"/>
      <c r="U632" s="14"/>
      <c r="V632" s="272"/>
      <c r="W632" s="272"/>
      <c r="X632" s="14"/>
      <c r="Y632" s="14"/>
      <c r="Z632" s="14"/>
      <c r="AA632" s="14"/>
      <c r="AB632" s="14"/>
      <c r="AC632" s="14"/>
      <c r="AD632" s="14"/>
      <c r="AE632" s="14"/>
      <c r="AF632" s="14"/>
      <c r="AG632" s="14"/>
      <c r="AH632" s="14"/>
      <c r="AI632" s="7"/>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row>
    <row r="633">
      <c r="A633" s="14"/>
      <c r="B633" s="14"/>
      <c r="C633" s="14"/>
      <c r="D633" s="14"/>
      <c r="E633" s="7"/>
      <c r="F633" s="7"/>
      <c r="G633" s="7"/>
      <c r="H633" s="7"/>
      <c r="I633" s="7"/>
      <c r="J633" s="14"/>
      <c r="K633" s="7"/>
      <c r="L633" s="14"/>
      <c r="M633" s="14"/>
      <c r="N633" s="14"/>
      <c r="O633" s="14"/>
      <c r="P633" s="14"/>
      <c r="Q633" s="14"/>
      <c r="R633" s="14"/>
      <c r="S633" s="14"/>
      <c r="T633" s="14"/>
      <c r="U633" s="14"/>
      <c r="V633" s="272"/>
      <c r="W633" s="272"/>
      <c r="X633" s="14"/>
      <c r="Y633" s="14"/>
      <c r="Z633" s="14"/>
      <c r="AA633" s="14"/>
      <c r="AB633" s="14"/>
      <c r="AC633" s="14"/>
      <c r="AD633" s="14"/>
      <c r="AE633" s="14"/>
      <c r="AF633" s="14"/>
      <c r="AG633" s="14"/>
      <c r="AH633" s="14"/>
      <c r="AI633" s="7"/>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row>
    <row r="634">
      <c r="A634" s="14"/>
      <c r="B634" s="14"/>
      <c r="C634" s="14"/>
      <c r="D634" s="14"/>
      <c r="E634" s="7"/>
      <c r="F634" s="7"/>
      <c r="G634" s="7"/>
      <c r="H634" s="7"/>
      <c r="I634" s="7"/>
      <c r="J634" s="14"/>
      <c r="K634" s="7"/>
      <c r="L634" s="14"/>
      <c r="M634" s="14"/>
      <c r="N634" s="14"/>
      <c r="O634" s="14"/>
      <c r="P634" s="14"/>
      <c r="Q634" s="14"/>
      <c r="R634" s="14"/>
      <c r="S634" s="14"/>
      <c r="T634" s="14"/>
      <c r="U634" s="14"/>
      <c r="V634" s="272"/>
      <c r="W634" s="272"/>
      <c r="X634" s="14"/>
      <c r="Y634" s="14"/>
      <c r="Z634" s="14"/>
      <c r="AA634" s="14"/>
      <c r="AB634" s="14"/>
      <c r="AC634" s="14"/>
      <c r="AD634" s="14"/>
      <c r="AE634" s="14"/>
      <c r="AF634" s="14"/>
      <c r="AG634" s="14"/>
      <c r="AH634" s="14"/>
      <c r="AI634" s="7"/>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row>
    <row r="635">
      <c r="A635" s="14"/>
      <c r="B635" s="14"/>
      <c r="C635" s="14"/>
      <c r="D635" s="14"/>
      <c r="E635" s="7"/>
      <c r="F635" s="7"/>
      <c r="G635" s="7"/>
      <c r="H635" s="7"/>
      <c r="I635" s="7"/>
      <c r="J635" s="14"/>
      <c r="K635" s="7"/>
      <c r="L635" s="14"/>
      <c r="M635" s="14"/>
      <c r="N635" s="14"/>
      <c r="O635" s="14"/>
      <c r="P635" s="14"/>
      <c r="Q635" s="14"/>
      <c r="R635" s="14"/>
      <c r="S635" s="14"/>
      <c r="T635" s="14"/>
      <c r="U635" s="14"/>
      <c r="V635" s="272"/>
      <c r="W635" s="272"/>
      <c r="X635" s="14"/>
      <c r="Y635" s="14"/>
      <c r="Z635" s="14"/>
      <c r="AA635" s="14"/>
      <c r="AB635" s="14"/>
      <c r="AC635" s="14"/>
      <c r="AD635" s="14"/>
      <c r="AE635" s="14"/>
      <c r="AF635" s="14"/>
      <c r="AG635" s="14"/>
      <c r="AH635" s="14"/>
      <c r="AI635" s="7"/>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row>
    <row r="636">
      <c r="A636" s="14"/>
      <c r="B636" s="14"/>
      <c r="C636" s="14"/>
      <c r="D636" s="14"/>
      <c r="E636" s="7"/>
      <c r="F636" s="7"/>
      <c r="G636" s="7"/>
      <c r="H636" s="7"/>
      <c r="I636" s="7"/>
      <c r="J636" s="14"/>
      <c r="K636" s="7"/>
      <c r="L636" s="14"/>
      <c r="M636" s="14"/>
      <c r="N636" s="14"/>
      <c r="O636" s="14"/>
      <c r="P636" s="14"/>
      <c r="Q636" s="14"/>
      <c r="R636" s="14"/>
      <c r="S636" s="14"/>
      <c r="T636" s="14"/>
      <c r="U636" s="14"/>
      <c r="V636" s="272"/>
      <c r="W636" s="272"/>
      <c r="X636" s="14"/>
      <c r="Y636" s="14"/>
      <c r="Z636" s="14"/>
      <c r="AA636" s="14"/>
      <c r="AB636" s="14"/>
      <c r="AC636" s="14"/>
      <c r="AD636" s="14"/>
      <c r="AE636" s="14"/>
      <c r="AF636" s="14"/>
      <c r="AG636" s="14"/>
      <c r="AH636" s="14"/>
      <c r="AI636" s="7"/>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row>
    <row r="637">
      <c r="A637" s="14"/>
      <c r="B637" s="14"/>
      <c r="C637" s="14"/>
      <c r="D637" s="14"/>
      <c r="E637" s="7"/>
      <c r="F637" s="7"/>
      <c r="G637" s="7"/>
      <c r="H637" s="7"/>
      <c r="I637" s="7"/>
      <c r="J637" s="14"/>
      <c r="K637" s="7"/>
      <c r="L637" s="14"/>
      <c r="M637" s="14"/>
      <c r="N637" s="14"/>
      <c r="O637" s="14"/>
      <c r="P637" s="14"/>
      <c r="Q637" s="14"/>
      <c r="R637" s="14"/>
      <c r="S637" s="14"/>
      <c r="T637" s="14"/>
      <c r="U637" s="14"/>
      <c r="V637" s="272"/>
      <c r="W637" s="272"/>
      <c r="X637" s="14"/>
      <c r="Y637" s="14"/>
      <c r="Z637" s="14"/>
      <c r="AA637" s="14"/>
      <c r="AB637" s="14"/>
      <c r="AC637" s="14"/>
      <c r="AD637" s="14"/>
      <c r="AE637" s="14"/>
      <c r="AF637" s="14"/>
      <c r="AG637" s="14"/>
      <c r="AH637" s="14"/>
      <c r="AI637" s="7"/>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row>
    <row r="638">
      <c r="A638" s="14"/>
      <c r="B638" s="14"/>
      <c r="C638" s="14"/>
      <c r="D638" s="14"/>
      <c r="E638" s="7"/>
      <c r="F638" s="7"/>
      <c r="G638" s="7"/>
      <c r="H638" s="7"/>
      <c r="I638" s="7"/>
      <c r="J638" s="14"/>
      <c r="K638" s="7"/>
      <c r="L638" s="14"/>
      <c r="M638" s="14"/>
      <c r="N638" s="14"/>
      <c r="O638" s="14"/>
      <c r="P638" s="14"/>
      <c r="Q638" s="14"/>
      <c r="R638" s="14"/>
      <c r="S638" s="14"/>
      <c r="T638" s="14"/>
      <c r="U638" s="14"/>
      <c r="V638" s="272"/>
      <c r="W638" s="272"/>
      <c r="X638" s="14"/>
      <c r="Y638" s="14"/>
      <c r="Z638" s="14"/>
      <c r="AA638" s="14"/>
      <c r="AB638" s="14"/>
      <c r="AC638" s="14"/>
      <c r="AD638" s="14"/>
      <c r="AE638" s="14"/>
      <c r="AF638" s="14"/>
      <c r="AG638" s="14"/>
      <c r="AH638" s="14"/>
      <c r="AI638" s="7"/>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row>
    <row r="639">
      <c r="A639" s="14"/>
      <c r="B639" s="14"/>
      <c r="C639" s="14"/>
      <c r="D639" s="14"/>
      <c r="E639" s="7"/>
      <c r="F639" s="7"/>
      <c r="G639" s="7"/>
      <c r="H639" s="7"/>
      <c r="I639" s="7"/>
      <c r="J639" s="14"/>
      <c r="K639" s="7"/>
      <c r="L639" s="14"/>
      <c r="M639" s="14"/>
      <c r="N639" s="14"/>
      <c r="O639" s="14"/>
      <c r="P639" s="14"/>
      <c r="Q639" s="14"/>
      <c r="R639" s="14"/>
      <c r="S639" s="14"/>
      <c r="T639" s="14"/>
      <c r="U639" s="14"/>
      <c r="V639" s="272"/>
      <c r="W639" s="272"/>
      <c r="X639" s="14"/>
      <c r="Y639" s="14"/>
      <c r="Z639" s="14"/>
      <c r="AA639" s="14"/>
      <c r="AB639" s="14"/>
      <c r="AC639" s="14"/>
      <c r="AD639" s="14"/>
      <c r="AE639" s="14"/>
      <c r="AF639" s="14"/>
      <c r="AG639" s="14"/>
      <c r="AH639" s="14"/>
      <c r="AI639" s="7"/>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row>
    <row r="640">
      <c r="A640" s="14"/>
      <c r="B640" s="14"/>
      <c r="C640" s="14"/>
      <c r="D640" s="14"/>
      <c r="E640" s="7"/>
      <c r="F640" s="7"/>
      <c r="G640" s="7"/>
      <c r="H640" s="7"/>
      <c r="I640" s="7"/>
      <c r="J640" s="14"/>
      <c r="K640" s="7"/>
      <c r="L640" s="14"/>
      <c r="M640" s="14"/>
      <c r="N640" s="14"/>
      <c r="O640" s="14"/>
      <c r="P640" s="14"/>
      <c r="Q640" s="14"/>
      <c r="R640" s="14"/>
      <c r="S640" s="14"/>
      <c r="T640" s="14"/>
      <c r="U640" s="14"/>
      <c r="V640" s="272"/>
      <c r="W640" s="272"/>
      <c r="X640" s="14"/>
      <c r="Y640" s="14"/>
      <c r="Z640" s="14"/>
      <c r="AA640" s="14"/>
      <c r="AB640" s="14"/>
      <c r="AC640" s="14"/>
      <c r="AD640" s="14"/>
      <c r="AE640" s="14"/>
      <c r="AF640" s="14"/>
      <c r="AG640" s="14"/>
      <c r="AH640" s="14"/>
      <c r="AI640" s="7"/>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row>
    <row r="641">
      <c r="A641" s="14"/>
      <c r="B641" s="14"/>
      <c r="C641" s="14"/>
      <c r="D641" s="14"/>
      <c r="E641" s="7"/>
      <c r="F641" s="7"/>
      <c r="G641" s="7"/>
      <c r="H641" s="7"/>
      <c r="I641" s="7"/>
      <c r="J641" s="14"/>
      <c r="K641" s="7"/>
      <c r="L641" s="14"/>
      <c r="M641" s="14"/>
      <c r="N641" s="14"/>
      <c r="O641" s="14"/>
      <c r="P641" s="14"/>
      <c r="Q641" s="14"/>
      <c r="R641" s="14"/>
      <c r="S641" s="14"/>
      <c r="T641" s="14"/>
      <c r="U641" s="14"/>
      <c r="V641" s="272"/>
      <c r="W641" s="272"/>
      <c r="X641" s="14"/>
      <c r="Y641" s="14"/>
      <c r="Z641" s="14"/>
      <c r="AA641" s="14"/>
      <c r="AB641" s="14"/>
      <c r="AC641" s="14"/>
      <c r="AD641" s="14"/>
      <c r="AE641" s="14"/>
      <c r="AF641" s="14"/>
      <c r="AG641" s="14"/>
      <c r="AH641" s="14"/>
      <c r="AI641" s="7"/>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row>
    <row r="642">
      <c r="A642" s="14"/>
      <c r="B642" s="14"/>
      <c r="C642" s="14"/>
      <c r="D642" s="14"/>
      <c r="E642" s="7"/>
      <c r="F642" s="7"/>
      <c r="G642" s="7"/>
      <c r="H642" s="7"/>
      <c r="I642" s="7"/>
      <c r="J642" s="14"/>
      <c r="K642" s="7"/>
      <c r="L642" s="14"/>
      <c r="M642" s="14"/>
      <c r="N642" s="14"/>
      <c r="O642" s="14"/>
      <c r="P642" s="14"/>
      <c r="Q642" s="14"/>
      <c r="R642" s="14"/>
      <c r="S642" s="14"/>
      <c r="T642" s="14"/>
      <c r="U642" s="14"/>
      <c r="V642" s="272"/>
      <c r="W642" s="272"/>
      <c r="X642" s="14"/>
      <c r="Y642" s="14"/>
      <c r="Z642" s="14"/>
      <c r="AA642" s="14"/>
      <c r="AB642" s="14"/>
      <c r="AC642" s="14"/>
      <c r="AD642" s="14"/>
      <c r="AE642" s="14"/>
      <c r="AF642" s="14"/>
      <c r="AG642" s="14"/>
      <c r="AH642" s="14"/>
      <c r="AI642" s="7"/>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row>
    <row r="643">
      <c r="A643" s="14"/>
      <c r="B643" s="14"/>
      <c r="C643" s="14"/>
      <c r="D643" s="14"/>
      <c r="E643" s="7"/>
      <c r="F643" s="7"/>
      <c r="G643" s="7"/>
      <c r="H643" s="7"/>
      <c r="I643" s="7"/>
      <c r="J643" s="14"/>
      <c r="K643" s="7"/>
      <c r="L643" s="14"/>
      <c r="M643" s="14"/>
      <c r="N643" s="14"/>
      <c r="O643" s="14"/>
      <c r="P643" s="14"/>
      <c r="Q643" s="14"/>
      <c r="R643" s="14"/>
      <c r="S643" s="14"/>
      <c r="T643" s="14"/>
      <c r="U643" s="14"/>
      <c r="V643" s="272"/>
      <c r="W643" s="272"/>
      <c r="X643" s="14"/>
      <c r="Y643" s="14"/>
      <c r="Z643" s="14"/>
      <c r="AA643" s="14"/>
      <c r="AB643" s="14"/>
      <c r="AC643" s="14"/>
      <c r="AD643" s="14"/>
      <c r="AE643" s="14"/>
      <c r="AF643" s="14"/>
      <c r="AG643" s="14"/>
      <c r="AH643" s="14"/>
      <c r="AI643" s="7"/>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row>
    <row r="644">
      <c r="A644" s="14"/>
      <c r="B644" s="14"/>
      <c r="C644" s="14"/>
      <c r="D644" s="14"/>
      <c r="E644" s="7"/>
      <c r="F644" s="7"/>
      <c r="G644" s="7"/>
      <c r="H644" s="7"/>
      <c r="I644" s="7"/>
      <c r="J644" s="14"/>
      <c r="K644" s="7"/>
      <c r="L644" s="14"/>
      <c r="M644" s="14"/>
      <c r="N644" s="14"/>
      <c r="O644" s="14"/>
      <c r="P644" s="14"/>
      <c r="Q644" s="14"/>
      <c r="R644" s="14"/>
      <c r="S644" s="14"/>
      <c r="T644" s="14"/>
      <c r="U644" s="14"/>
      <c r="V644" s="272"/>
      <c r="W644" s="272"/>
      <c r="X644" s="14"/>
      <c r="Y644" s="14"/>
      <c r="Z644" s="14"/>
      <c r="AA644" s="14"/>
      <c r="AB644" s="14"/>
      <c r="AC644" s="14"/>
      <c r="AD644" s="14"/>
      <c r="AE644" s="14"/>
      <c r="AF644" s="14"/>
      <c r="AG644" s="14"/>
      <c r="AH644" s="14"/>
      <c r="AI644" s="7"/>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row>
    <row r="645">
      <c r="A645" s="14"/>
      <c r="B645" s="14"/>
      <c r="C645" s="14"/>
      <c r="D645" s="14"/>
      <c r="E645" s="7"/>
      <c r="F645" s="7"/>
      <c r="G645" s="7"/>
      <c r="H645" s="7"/>
      <c r="I645" s="7"/>
      <c r="J645" s="14"/>
      <c r="K645" s="7"/>
      <c r="L645" s="14"/>
      <c r="M645" s="14"/>
      <c r="N645" s="14"/>
      <c r="O645" s="14"/>
      <c r="P645" s="14"/>
      <c r="Q645" s="14"/>
      <c r="R645" s="14"/>
      <c r="S645" s="14"/>
      <c r="T645" s="14"/>
      <c r="U645" s="14"/>
      <c r="V645" s="272"/>
      <c r="W645" s="272"/>
      <c r="X645" s="14"/>
      <c r="Y645" s="14"/>
      <c r="Z645" s="14"/>
      <c r="AA645" s="14"/>
      <c r="AB645" s="14"/>
      <c r="AC645" s="14"/>
      <c r="AD645" s="14"/>
      <c r="AE645" s="14"/>
      <c r="AF645" s="14"/>
      <c r="AG645" s="14"/>
      <c r="AH645" s="14"/>
      <c r="AI645" s="7"/>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row>
    <row r="646">
      <c r="A646" s="14"/>
      <c r="B646" s="14"/>
      <c r="C646" s="14"/>
      <c r="D646" s="14"/>
      <c r="E646" s="7"/>
      <c r="F646" s="7"/>
      <c r="G646" s="7"/>
      <c r="H646" s="7"/>
      <c r="I646" s="7"/>
      <c r="J646" s="14"/>
      <c r="K646" s="7"/>
      <c r="L646" s="14"/>
      <c r="M646" s="14"/>
      <c r="N646" s="14"/>
      <c r="O646" s="14"/>
      <c r="P646" s="14"/>
      <c r="Q646" s="14"/>
      <c r="R646" s="14"/>
      <c r="S646" s="14"/>
      <c r="T646" s="14"/>
      <c r="U646" s="14"/>
      <c r="V646" s="272"/>
      <c r="W646" s="272"/>
      <c r="X646" s="14"/>
      <c r="Y646" s="14"/>
      <c r="Z646" s="14"/>
      <c r="AA646" s="14"/>
      <c r="AB646" s="14"/>
      <c r="AC646" s="14"/>
      <c r="AD646" s="14"/>
      <c r="AE646" s="14"/>
      <c r="AF646" s="14"/>
      <c r="AG646" s="14"/>
      <c r="AH646" s="14"/>
      <c r="AI646" s="7"/>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row>
    <row r="647">
      <c r="A647" s="14"/>
      <c r="B647" s="14"/>
      <c r="C647" s="14"/>
      <c r="D647" s="14"/>
      <c r="E647" s="7"/>
      <c r="F647" s="7"/>
      <c r="G647" s="7"/>
      <c r="H647" s="7"/>
      <c r="I647" s="7"/>
      <c r="J647" s="14"/>
      <c r="K647" s="7"/>
      <c r="L647" s="14"/>
      <c r="M647" s="14"/>
      <c r="N647" s="14"/>
      <c r="O647" s="14"/>
      <c r="P647" s="14"/>
      <c r="Q647" s="14"/>
      <c r="R647" s="14"/>
      <c r="S647" s="14"/>
      <c r="T647" s="14"/>
      <c r="U647" s="14"/>
      <c r="V647" s="272"/>
      <c r="W647" s="272"/>
      <c r="X647" s="14"/>
      <c r="Y647" s="14"/>
      <c r="Z647" s="14"/>
      <c r="AA647" s="14"/>
      <c r="AB647" s="14"/>
      <c r="AC647" s="14"/>
      <c r="AD647" s="14"/>
      <c r="AE647" s="14"/>
      <c r="AF647" s="14"/>
      <c r="AG647" s="14"/>
      <c r="AH647" s="14"/>
      <c r="AI647" s="7"/>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row>
    <row r="648">
      <c r="A648" s="14"/>
      <c r="B648" s="14"/>
      <c r="C648" s="14"/>
      <c r="D648" s="14"/>
      <c r="E648" s="7"/>
      <c r="F648" s="7"/>
      <c r="G648" s="7"/>
      <c r="H648" s="7"/>
      <c r="I648" s="7"/>
      <c r="J648" s="14"/>
      <c r="K648" s="7"/>
      <c r="L648" s="14"/>
      <c r="M648" s="14"/>
      <c r="N648" s="14"/>
      <c r="O648" s="14"/>
      <c r="P648" s="14"/>
      <c r="Q648" s="14"/>
      <c r="R648" s="14"/>
      <c r="S648" s="14"/>
      <c r="T648" s="14"/>
      <c r="U648" s="14"/>
      <c r="V648" s="272"/>
      <c r="W648" s="272"/>
      <c r="X648" s="14"/>
      <c r="Y648" s="14"/>
      <c r="Z648" s="14"/>
      <c r="AA648" s="14"/>
      <c r="AB648" s="14"/>
      <c r="AC648" s="14"/>
      <c r="AD648" s="14"/>
      <c r="AE648" s="14"/>
      <c r="AF648" s="14"/>
      <c r="AG648" s="14"/>
      <c r="AH648" s="14"/>
      <c r="AI648" s="7"/>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row>
    <row r="649">
      <c r="A649" s="14"/>
      <c r="B649" s="14"/>
      <c r="C649" s="14"/>
      <c r="D649" s="14"/>
      <c r="E649" s="7"/>
      <c r="F649" s="7"/>
      <c r="G649" s="7"/>
      <c r="H649" s="7"/>
      <c r="I649" s="7"/>
      <c r="J649" s="14"/>
      <c r="K649" s="7"/>
      <c r="L649" s="14"/>
      <c r="M649" s="14"/>
      <c r="N649" s="14"/>
      <c r="O649" s="14"/>
      <c r="P649" s="14"/>
      <c r="Q649" s="14"/>
      <c r="R649" s="14"/>
      <c r="S649" s="14"/>
      <c r="T649" s="14"/>
      <c r="U649" s="14"/>
      <c r="V649" s="272"/>
      <c r="W649" s="272"/>
      <c r="X649" s="14"/>
      <c r="Y649" s="14"/>
      <c r="Z649" s="14"/>
      <c r="AA649" s="14"/>
      <c r="AB649" s="14"/>
      <c r="AC649" s="14"/>
      <c r="AD649" s="14"/>
      <c r="AE649" s="14"/>
      <c r="AF649" s="14"/>
      <c r="AG649" s="14"/>
      <c r="AH649" s="14"/>
      <c r="AI649" s="7"/>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row>
    <row r="650">
      <c r="A650" s="14"/>
      <c r="B650" s="14"/>
      <c r="C650" s="14"/>
      <c r="D650" s="14"/>
      <c r="E650" s="7"/>
      <c r="F650" s="7"/>
      <c r="G650" s="7"/>
      <c r="H650" s="7"/>
      <c r="I650" s="7"/>
      <c r="J650" s="14"/>
      <c r="K650" s="7"/>
      <c r="L650" s="14"/>
      <c r="M650" s="14"/>
      <c r="N650" s="14"/>
      <c r="O650" s="14"/>
      <c r="P650" s="14"/>
      <c r="Q650" s="14"/>
      <c r="R650" s="14"/>
      <c r="S650" s="14"/>
      <c r="T650" s="14"/>
      <c r="U650" s="14"/>
      <c r="V650" s="272"/>
      <c r="W650" s="272"/>
      <c r="X650" s="14"/>
      <c r="Y650" s="14"/>
      <c r="Z650" s="14"/>
      <c r="AA650" s="14"/>
      <c r="AB650" s="14"/>
      <c r="AC650" s="14"/>
      <c r="AD650" s="14"/>
      <c r="AE650" s="14"/>
      <c r="AF650" s="14"/>
      <c r="AG650" s="14"/>
      <c r="AH650" s="14"/>
      <c r="AI650" s="7"/>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row>
    <row r="651">
      <c r="A651" s="14"/>
      <c r="B651" s="14"/>
      <c r="C651" s="14"/>
      <c r="D651" s="14"/>
      <c r="E651" s="7"/>
      <c r="F651" s="7"/>
      <c r="G651" s="7"/>
      <c r="H651" s="7"/>
      <c r="I651" s="7"/>
      <c r="J651" s="14"/>
      <c r="K651" s="7"/>
      <c r="L651" s="14"/>
      <c r="M651" s="14"/>
      <c r="N651" s="14"/>
      <c r="O651" s="14"/>
      <c r="P651" s="14"/>
      <c r="Q651" s="14"/>
      <c r="R651" s="14"/>
      <c r="S651" s="14"/>
      <c r="T651" s="14"/>
      <c r="U651" s="14"/>
      <c r="V651" s="272"/>
      <c r="W651" s="272"/>
      <c r="X651" s="14"/>
      <c r="Y651" s="14"/>
      <c r="Z651" s="14"/>
      <c r="AA651" s="14"/>
      <c r="AB651" s="14"/>
      <c r="AC651" s="14"/>
      <c r="AD651" s="14"/>
      <c r="AE651" s="14"/>
      <c r="AF651" s="14"/>
      <c r="AG651" s="14"/>
      <c r="AH651" s="14"/>
      <c r="AI651" s="7"/>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row>
    <row r="652">
      <c r="A652" s="14"/>
      <c r="B652" s="14"/>
      <c r="C652" s="14"/>
      <c r="D652" s="14"/>
      <c r="E652" s="7"/>
      <c r="F652" s="7"/>
      <c r="G652" s="7"/>
      <c r="H652" s="7"/>
      <c r="I652" s="7"/>
      <c r="J652" s="14"/>
      <c r="K652" s="7"/>
      <c r="L652" s="14"/>
      <c r="M652" s="14"/>
      <c r="N652" s="14"/>
      <c r="O652" s="14"/>
      <c r="P652" s="14"/>
      <c r="Q652" s="14"/>
      <c r="R652" s="14"/>
      <c r="S652" s="14"/>
      <c r="T652" s="14"/>
      <c r="U652" s="14"/>
      <c r="V652" s="272"/>
      <c r="W652" s="272"/>
      <c r="X652" s="14"/>
      <c r="Y652" s="14"/>
      <c r="Z652" s="14"/>
      <c r="AA652" s="14"/>
      <c r="AB652" s="14"/>
      <c r="AC652" s="14"/>
      <c r="AD652" s="14"/>
      <c r="AE652" s="14"/>
      <c r="AF652" s="14"/>
      <c r="AG652" s="14"/>
      <c r="AH652" s="14"/>
      <c r="AI652" s="7"/>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row>
    <row r="653">
      <c r="A653" s="14"/>
      <c r="B653" s="14"/>
      <c r="C653" s="14"/>
      <c r="D653" s="14"/>
      <c r="E653" s="7"/>
      <c r="F653" s="7"/>
      <c r="G653" s="7"/>
      <c r="H653" s="7"/>
      <c r="I653" s="7"/>
      <c r="J653" s="14"/>
      <c r="K653" s="7"/>
      <c r="L653" s="14"/>
      <c r="M653" s="14"/>
      <c r="N653" s="14"/>
      <c r="O653" s="14"/>
      <c r="P653" s="14"/>
      <c r="Q653" s="14"/>
      <c r="R653" s="14"/>
      <c r="S653" s="14"/>
      <c r="T653" s="14"/>
      <c r="U653" s="14"/>
      <c r="V653" s="272"/>
      <c r="W653" s="272"/>
      <c r="X653" s="14"/>
      <c r="Y653" s="14"/>
      <c r="Z653" s="14"/>
      <c r="AA653" s="14"/>
      <c r="AB653" s="14"/>
      <c r="AC653" s="14"/>
      <c r="AD653" s="14"/>
      <c r="AE653" s="14"/>
      <c r="AF653" s="14"/>
      <c r="AG653" s="14"/>
      <c r="AH653" s="14"/>
      <c r="AI653" s="7"/>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row>
    <row r="654">
      <c r="A654" s="14"/>
      <c r="B654" s="14"/>
      <c r="C654" s="14"/>
      <c r="D654" s="14"/>
      <c r="E654" s="7"/>
      <c r="F654" s="7"/>
      <c r="G654" s="7"/>
      <c r="H654" s="7"/>
      <c r="I654" s="7"/>
      <c r="J654" s="14"/>
      <c r="K654" s="7"/>
      <c r="L654" s="14"/>
      <c r="M654" s="14"/>
      <c r="N654" s="14"/>
      <c r="O654" s="14"/>
      <c r="P654" s="14"/>
      <c r="Q654" s="14"/>
      <c r="R654" s="14"/>
      <c r="S654" s="14"/>
      <c r="T654" s="14"/>
      <c r="U654" s="14"/>
      <c r="V654" s="272"/>
      <c r="W654" s="272"/>
      <c r="X654" s="14"/>
      <c r="Y654" s="14"/>
      <c r="Z654" s="14"/>
      <c r="AA654" s="14"/>
      <c r="AB654" s="14"/>
      <c r="AC654" s="14"/>
      <c r="AD654" s="14"/>
      <c r="AE654" s="14"/>
      <c r="AF654" s="14"/>
      <c r="AG654" s="14"/>
      <c r="AH654" s="14"/>
      <c r="AI654" s="7"/>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row>
    <row r="655">
      <c r="A655" s="14"/>
      <c r="B655" s="14"/>
      <c r="C655" s="14"/>
      <c r="D655" s="14"/>
      <c r="E655" s="7"/>
      <c r="F655" s="7"/>
      <c r="G655" s="7"/>
      <c r="H655" s="7"/>
      <c r="I655" s="7"/>
      <c r="J655" s="14"/>
      <c r="K655" s="7"/>
      <c r="L655" s="14"/>
      <c r="M655" s="14"/>
      <c r="N655" s="14"/>
      <c r="O655" s="14"/>
      <c r="P655" s="14"/>
      <c r="Q655" s="14"/>
      <c r="R655" s="14"/>
      <c r="S655" s="14"/>
      <c r="T655" s="14"/>
      <c r="U655" s="14"/>
      <c r="V655" s="272"/>
      <c r="W655" s="272"/>
      <c r="X655" s="14"/>
      <c r="Y655" s="14"/>
      <c r="Z655" s="14"/>
      <c r="AA655" s="14"/>
      <c r="AB655" s="14"/>
      <c r="AC655" s="14"/>
      <c r="AD655" s="14"/>
      <c r="AE655" s="14"/>
      <c r="AF655" s="14"/>
      <c r="AG655" s="14"/>
      <c r="AH655" s="14"/>
      <c r="AI655" s="7"/>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row>
    <row r="656">
      <c r="A656" s="14"/>
      <c r="B656" s="14"/>
      <c r="C656" s="14"/>
      <c r="D656" s="14"/>
      <c r="E656" s="7"/>
      <c r="F656" s="7"/>
      <c r="G656" s="7"/>
      <c r="H656" s="7"/>
      <c r="I656" s="7"/>
      <c r="J656" s="14"/>
      <c r="K656" s="7"/>
      <c r="L656" s="14"/>
      <c r="M656" s="14"/>
      <c r="N656" s="14"/>
      <c r="O656" s="14"/>
      <c r="P656" s="14"/>
      <c r="Q656" s="14"/>
      <c r="R656" s="14"/>
      <c r="S656" s="14"/>
      <c r="T656" s="14"/>
      <c r="U656" s="14"/>
      <c r="V656" s="272"/>
      <c r="W656" s="272"/>
      <c r="X656" s="14"/>
      <c r="Y656" s="14"/>
      <c r="Z656" s="14"/>
      <c r="AA656" s="14"/>
      <c r="AB656" s="14"/>
      <c r="AC656" s="14"/>
      <c r="AD656" s="14"/>
      <c r="AE656" s="14"/>
      <c r="AF656" s="14"/>
      <c r="AG656" s="14"/>
      <c r="AH656" s="14"/>
      <c r="AI656" s="7"/>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row>
    <row r="657">
      <c r="A657" s="14"/>
      <c r="B657" s="14"/>
      <c r="C657" s="14"/>
      <c r="D657" s="14"/>
      <c r="E657" s="7"/>
      <c r="F657" s="7"/>
      <c r="G657" s="7"/>
      <c r="H657" s="7"/>
      <c r="I657" s="7"/>
      <c r="J657" s="14"/>
      <c r="K657" s="7"/>
      <c r="L657" s="14"/>
      <c r="M657" s="14"/>
      <c r="N657" s="14"/>
      <c r="O657" s="14"/>
      <c r="P657" s="14"/>
      <c r="Q657" s="14"/>
      <c r="R657" s="14"/>
      <c r="S657" s="14"/>
      <c r="T657" s="14"/>
      <c r="U657" s="14"/>
      <c r="V657" s="272"/>
      <c r="W657" s="272"/>
      <c r="X657" s="14"/>
      <c r="Y657" s="14"/>
      <c r="Z657" s="14"/>
      <c r="AA657" s="14"/>
      <c r="AB657" s="14"/>
      <c r="AC657" s="14"/>
      <c r="AD657" s="14"/>
      <c r="AE657" s="14"/>
      <c r="AF657" s="14"/>
      <c r="AG657" s="14"/>
      <c r="AH657" s="14"/>
      <c r="AI657" s="7"/>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row>
    <row r="658">
      <c r="A658" s="14"/>
      <c r="B658" s="14"/>
      <c r="C658" s="14"/>
      <c r="D658" s="14"/>
      <c r="E658" s="7"/>
      <c r="F658" s="7"/>
      <c r="G658" s="7"/>
      <c r="H658" s="7"/>
      <c r="I658" s="7"/>
      <c r="J658" s="14"/>
      <c r="K658" s="7"/>
      <c r="L658" s="14"/>
      <c r="M658" s="14"/>
      <c r="N658" s="14"/>
      <c r="O658" s="14"/>
      <c r="P658" s="14"/>
      <c r="Q658" s="14"/>
      <c r="R658" s="14"/>
      <c r="S658" s="14"/>
      <c r="T658" s="14"/>
      <c r="U658" s="14"/>
      <c r="V658" s="272"/>
      <c r="W658" s="272"/>
      <c r="X658" s="14"/>
      <c r="Y658" s="14"/>
      <c r="Z658" s="14"/>
      <c r="AA658" s="14"/>
      <c r="AB658" s="14"/>
      <c r="AC658" s="14"/>
      <c r="AD658" s="14"/>
      <c r="AE658" s="14"/>
      <c r="AF658" s="14"/>
      <c r="AG658" s="14"/>
      <c r="AH658" s="14"/>
      <c r="AI658" s="7"/>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row>
    <row r="659">
      <c r="A659" s="14"/>
      <c r="B659" s="14"/>
      <c r="C659" s="14"/>
      <c r="D659" s="14"/>
      <c r="E659" s="7"/>
      <c r="F659" s="7"/>
      <c r="G659" s="7"/>
      <c r="H659" s="7"/>
      <c r="I659" s="7"/>
      <c r="J659" s="14"/>
      <c r="K659" s="7"/>
      <c r="L659" s="14"/>
      <c r="M659" s="14"/>
      <c r="N659" s="14"/>
      <c r="O659" s="14"/>
      <c r="P659" s="14"/>
      <c r="Q659" s="14"/>
      <c r="R659" s="14"/>
      <c r="S659" s="14"/>
      <c r="T659" s="14"/>
      <c r="U659" s="14"/>
      <c r="V659" s="272"/>
      <c r="W659" s="272"/>
      <c r="X659" s="14"/>
      <c r="Y659" s="14"/>
      <c r="Z659" s="14"/>
      <c r="AA659" s="14"/>
      <c r="AB659" s="14"/>
      <c r="AC659" s="14"/>
      <c r="AD659" s="14"/>
      <c r="AE659" s="14"/>
      <c r="AF659" s="14"/>
      <c r="AG659" s="14"/>
      <c r="AH659" s="14"/>
      <c r="AI659" s="7"/>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row>
    <row r="660">
      <c r="A660" s="14"/>
      <c r="B660" s="14"/>
      <c r="C660" s="14"/>
      <c r="D660" s="14"/>
      <c r="E660" s="7"/>
      <c r="F660" s="7"/>
      <c r="G660" s="7"/>
      <c r="H660" s="7"/>
      <c r="I660" s="7"/>
      <c r="J660" s="14"/>
      <c r="K660" s="7"/>
      <c r="L660" s="14"/>
      <c r="M660" s="14"/>
      <c r="N660" s="14"/>
      <c r="O660" s="14"/>
      <c r="P660" s="14"/>
      <c r="Q660" s="14"/>
      <c r="R660" s="14"/>
      <c r="S660" s="14"/>
      <c r="T660" s="14"/>
      <c r="U660" s="14"/>
      <c r="V660" s="272"/>
      <c r="W660" s="272"/>
      <c r="X660" s="14"/>
      <c r="Y660" s="14"/>
      <c r="Z660" s="14"/>
      <c r="AA660" s="14"/>
      <c r="AB660" s="14"/>
      <c r="AC660" s="14"/>
      <c r="AD660" s="14"/>
      <c r="AE660" s="14"/>
      <c r="AF660" s="14"/>
      <c r="AG660" s="14"/>
      <c r="AH660" s="14"/>
      <c r="AI660" s="7"/>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row>
    <row r="661">
      <c r="A661" s="14"/>
      <c r="B661" s="14"/>
      <c r="C661" s="14"/>
      <c r="D661" s="14"/>
      <c r="E661" s="7"/>
      <c r="F661" s="7"/>
      <c r="G661" s="7"/>
      <c r="H661" s="7"/>
      <c r="I661" s="7"/>
      <c r="J661" s="14"/>
      <c r="K661" s="7"/>
      <c r="L661" s="14"/>
      <c r="M661" s="14"/>
      <c r="N661" s="14"/>
      <c r="O661" s="14"/>
      <c r="P661" s="14"/>
      <c r="Q661" s="14"/>
      <c r="R661" s="14"/>
      <c r="S661" s="14"/>
      <c r="T661" s="14"/>
      <c r="U661" s="14"/>
      <c r="V661" s="272"/>
      <c r="W661" s="272"/>
      <c r="X661" s="14"/>
      <c r="Y661" s="14"/>
      <c r="Z661" s="14"/>
      <c r="AA661" s="14"/>
      <c r="AB661" s="14"/>
      <c r="AC661" s="14"/>
      <c r="AD661" s="14"/>
      <c r="AE661" s="14"/>
      <c r="AF661" s="14"/>
      <c r="AG661" s="14"/>
      <c r="AH661" s="14"/>
      <c r="AI661" s="7"/>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row>
    <row r="662">
      <c r="A662" s="14"/>
      <c r="B662" s="14"/>
      <c r="C662" s="14"/>
      <c r="D662" s="14"/>
      <c r="E662" s="7"/>
      <c r="F662" s="7"/>
      <c r="G662" s="7"/>
      <c r="H662" s="7"/>
      <c r="I662" s="7"/>
      <c r="J662" s="14"/>
      <c r="K662" s="7"/>
      <c r="L662" s="14"/>
      <c r="M662" s="14"/>
      <c r="N662" s="14"/>
      <c r="O662" s="14"/>
      <c r="P662" s="14"/>
      <c r="Q662" s="14"/>
      <c r="R662" s="14"/>
      <c r="S662" s="14"/>
      <c r="T662" s="14"/>
      <c r="U662" s="14"/>
      <c r="V662" s="272"/>
      <c r="W662" s="272"/>
      <c r="X662" s="14"/>
      <c r="Y662" s="14"/>
      <c r="Z662" s="14"/>
      <c r="AA662" s="14"/>
      <c r="AB662" s="14"/>
      <c r="AC662" s="14"/>
      <c r="AD662" s="14"/>
      <c r="AE662" s="14"/>
      <c r="AF662" s="14"/>
      <c r="AG662" s="14"/>
      <c r="AH662" s="14"/>
      <c r="AI662" s="7"/>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row>
    <row r="663">
      <c r="A663" s="14"/>
      <c r="B663" s="14"/>
      <c r="C663" s="14"/>
      <c r="D663" s="14"/>
      <c r="E663" s="7"/>
      <c r="F663" s="7"/>
      <c r="G663" s="7"/>
      <c r="H663" s="7"/>
      <c r="I663" s="7"/>
      <c r="J663" s="14"/>
      <c r="K663" s="7"/>
      <c r="L663" s="14"/>
      <c r="M663" s="14"/>
      <c r="N663" s="14"/>
      <c r="O663" s="14"/>
      <c r="P663" s="14"/>
      <c r="Q663" s="14"/>
      <c r="R663" s="14"/>
      <c r="S663" s="14"/>
      <c r="T663" s="14"/>
      <c r="U663" s="14"/>
      <c r="V663" s="272"/>
      <c r="W663" s="272"/>
      <c r="X663" s="14"/>
      <c r="Y663" s="14"/>
      <c r="Z663" s="14"/>
      <c r="AA663" s="14"/>
      <c r="AB663" s="14"/>
      <c r="AC663" s="14"/>
      <c r="AD663" s="14"/>
      <c r="AE663" s="14"/>
      <c r="AF663" s="14"/>
      <c r="AG663" s="14"/>
      <c r="AH663" s="14"/>
      <c r="AI663" s="7"/>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row>
    <row r="664">
      <c r="A664" s="14"/>
      <c r="B664" s="14"/>
      <c r="C664" s="14"/>
      <c r="D664" s="14"/>
      <c r="E664" s="7"/>
      <c r="F664" s="7"/>
      <c r="G664" s="7"/>
      <c r="H664" s="7"/>
      <c r="I664" s="7"/>
      <c r="J664" s="14"/>
      <c r="K664" s="7"/>
      <c r="L664" s="14"/>
      <c r="M664" s="14"/>
      <c r="N664" s="14"/>
      <c r="O664" s="14"/>
      <c r="P664" s="14"/>
      <c r="Q664" s="14"/>
      <c r="R664" s="14"/>
      <c r="S664" s="14"/>
      <c r="T664" s="14"/>
      <c r="U664" s="14"/>
      <c r="V664" s="272"/>
      <c r="W664" s="272"/>
      <c r="X664" s="14"/>
      <c r="Y664" s="14"/>
      <c r="Z664" s="14"/>
      <c r="AA664" s="14"/>
      <c r="AB664" s="14"/>
      <c r="AC664" s="14"/>
      <c r="AD664" s="14"/>
      <c r="AE664" s="14"/>
      <c r="AF664" s="14"/>
      <c r="AG664" s="14"/>
      <c r="AH664" s="14"/>
      <c r="AI664" s="7"/>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row>
    <row r="665">
      <c r="A665" s="14"/>
      <c r="B665" s="14"/>
      <c r="C665" s="14"/>
      <c r="D665" s="14"/>
      <c r="E665" s="7"/>
      <c r="F665" s="7"/>
      <c r="G665" s="7"/>
      <c r="H665" s="7"/>
      <c r="I665" s="7"/>
      <c r="J665" s="14"/>
      <c r="K665" s="7"/>
      <c r="L665" s="14"/>
      <c r="M665" s="14"/>
      <c r="N665" s="14"/>
      <c r="O665" s="14"/>
      <c r="P665" s="14"/>
      <c r="Q665" s="14"/>
      <c r="R665" s="14"/>
      <c r="S665" s="14"/>
      <c r="T665" s="14"/>
      <c r="U665" s="14"/>
      <c r="V665" s="272"/>
      <c r="W665" s="272"/>
      <c r="X665" s="14"/>
      <c r="Y665" s="14"/>
      <c r="Z665" s="14"/>
      <c r="AA665" s="14"/>
      <c r="AB665" s="14"/>
      <c r="AC665" s="14"/>
      <c r="AD665" s="14"/>
      <c r="AE665" s="14"/>
      <c r="AF665" s="14"/>
      <c r="AG665" s="14"/>
      <c r="AH665" s="14"/>
      <c r="AI665" s="7"/>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row>
    <row r="666">
      <c r="A666" s="14"/>
      <c r="B666" s="14"/>
      <c r="C666" s="14"/>
      <c r="D666" s="14"/>
      <c r="E666" s="7"/>
      <c r="F666" s="7"/>
      <c r="G666" s="7"/>
      <c r="H666" s="7"/>
      <c r="I666" s="7"/>
      <c r="J666" s="14"/>
      <c r="K666" s="7"/>
      <c r="L666" s="14"/>
      <c r="M666" s="14"/>
      <c r="N666" s="14"/>
      <c r="O666" s="14"/>
      <c r="P666" s="14"/>
      <c r="Q666" s="14"/>
      <c r="R666" s="14"/>
      <c r="S666" s="14"/>
      <c r="T666" s="14"/>
      <c r="U666" s="14"/>
      <c r="V666" s="272"/>
      <c r="W666" s="272"/>
      <c r="X666" s="14"/>
      <c r="Y666" s="14"/>
      <c r="Z666" s="14"/>
      <c r="AA666" s="14"/>
      <c r="AB666" s="14"/>
      <c r="AC666" s="14"/>
      <c r="AD666" s="14"/>
      <c r="AE666" s="14"/>
      <c r="AF666" s="14"/>
      <c r="AG666" s="14"/>
      <c r="AH666" s="14"/>
      <c r="AI666" s="7"/>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row>
    <row r="667">
      <c r="A667" s="14"/>
      <c r="B667" s="14"/>
      <c r="C667" s="14"/>
      <c r="D667" s="14"/>
      <c r="E667" s="7"/>
      <c r="F667" s="7"/>
      <c r="G667" s="7"/>
      <c r="H667" s="7"/>
      <c r="I667" s="7"/>
      <c r="J667" s="14"/>
      <c r="K667" s="7"/>
      <c r="L667" s="14"/>
      <c r="M667" s="14"/>
      <c r="N667" s="14"/>
      <c r="O667" s="14"/>
      <c r="P667" s="14"/>
      <c r="Q667" s="14"/>
      <c r="R667" s="14"/>
      <c r="S667" s="14"/>
      <c r="T667" s="14"/>
      <c r="U667" s="14"/>
      <c r="V667" s="272"/>
      <c r="W667" s="272"/>
      <c r="X667" s="14"/>
      <c r="Y667" s="14"/>
      <c r="Z667" s="14"/>
      <c r="AA667" s="14"/>
      <c r="AB667" s="14"/>
      <c r="AC667" s="14"/>
      <c r="AD667" s="14"/>
      <c r="AE667" s="14"/>
      <c r="AF667" s="14"/>
      <c r="AG667" s="14"/>
      <c r="AH667" s="14"/>
      <c r="AI667" s="7"/>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row>
    <row r="668">
      <c r="A668" s="14"/>
      <c r="B668" s="14"/>
      <c r="C668" s="14"/>
      <c r="D668" s="14"/>
      <c r="E668" s="7"/>
      <c r="F668" s="7"/>
      <c r="G668" s="7"/>
      <c r="H668" s="7"/>
      <c r="I668" s="7"/>
      <c r="J668" s="14"/>
      <c r="K668" s="7"/>
      <c r="L668" s="14"/>
      <c r="M668" s="14"/>
      <c r="N668" s="14"/>
      <c r="O668" s="14"/>
      <c r="P668" s="14"/>
      <c r="Q668" s="14"/>
      <c r="R668" s="14"/>
      <c r="S668" s="14"/>
      <c r="T668" s="14"/>
      <c r="U668" s="14"/>
      <c r="V668" s="272"/>
      <c r="W668" s="272"/>
      <c r="X668" s="14"/>
      <c r="Y668" s="14"/>
      <c r="Z668" s="14"/>
      <c r="AA668" s="14"/>
      <c r="AB668" s="14"/>
      <c r="AC668" s="14"/>
      <c r="AD668" s="14"/>
      <c r="AE668" s="14"/>
      <c r="AF668" s="14"/>
      <c r="AG668" s="14"/>
      <c r="AH668" s="14"/>
      <c r="AI668" s="7"/>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row>
    <row r="669">
      <c r="A669" s="14"/>
      <c r="B669" s="14"/>
      <c r="C669" s="14"/>
      <c r="D669" s="14"/>
      <c r="E669" s="7"/>
      <c r="F669" s="7"/>
      <c r="G669" s="7"/>
      <c r="H669" s="7"/>
      <c r="I669" s="7"/>
      <c r="J669" s="14"/>
      <c r="K669" s="7"/>
      <c r="L669" s="14"/>
      <c r="M669" s="14"/>
      <c r="N669" s="14"/>
      <c r="O669" s="14"/>
      <c r="P669" s="14"/>
      <c r="Q669" s="14"/>
      <c r="R669" s="14"/>
      <c r="S669" s="14"/>
      <c r="T669" s="14"/>
      <c r="U669" s="14"/>
      <c r="V669" s="272"/>
      <c r="W669" s="272"/>
      <c r="X669" s="14"/>
      <c r="Y669" s="14"/>
      <c r="Z669" s="14"/>
      <c r="AA669" s="14"/>
      <c r="AB669" s="14"/>
      <c r="AC669" s="14"/>
      <c r="AD669" s="14"/>
      <c r="AE669" s="14"/>
      <c r="AF669" s="14"/>
      <c r="AG669" s="14"/>
      <c r="AH669" s="14"/>
      <c r="AI669" s="7"/>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row>
    <row r="670">
      <c r="A670" s="14"/>
      <c r="B670" s="14"/>
      <c r="C670" s="14"/>
      <c r="D670" s="14"/>
      <c r="E670" s="7"/>
      <c r="F670" s="7"/>
      <c r="G670" s="7"/>
      <c r="H670" s="7"/>
      <c r="I670" s="7"/>
      <c r="J670" s="14"/>
      <c r="K670" s="7"/>
      <c r="L670" s="14"/>
      <c r="M670" s="14"/>
      <c r="N670" s="14"/>
      <c r="O670" s="14"/>
      <c r="P670" s="14"/>
      <c r="Q670" s="14"/>
      <c r="R670" s="14"/>
      <c r="S670" s="14"/>
      <c r="T670" s="14"/>
      <c r="U670" s="14"/>
      <c r="V670" s="272"/>
      <c r="W670" s="272"/>
      <c r="X670" s="14"/>
      <c r="Y670" s="14"/>
      <c r="Z670" s="14"/>
      <c r="AA670" s="14"/>
      <c r="AB670" s="14"/>
      <c r="AC670" s="14"/>
      <c r="AD670" s="14"/>
      <c r="AE670" s="14"/>
      <c r="AF670" s="14"/>
      <c r="AG670" s="14"/>
      <c r="AH670" s="14"/>
      <c r="AI670" s="7"/>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row>
    <row r="671">
      <c r="A671" s="14"/>
      <c r="B671" s="14"/>
      <c r="C671" s="14"/>
      <c r="D671" s="14"/>
      <c r="E671" s="7"/>
      <c r="F671" s="7"/>
      <c r="G671" s="7"/>
      <c r="H671" s="7"/>
      <c r="I671" s="7"/>
      <c r="J671" s="14"/>
      <c r="K671" s="7"/>
      <c r="L671" s="14"/>
      <c r="M671" s="14"/>
      <c r="N671" s="14"/>
      <c r="O671" s="14"/>
      <c r="P671" s="14"/>
      <c r="Q671" s="14"/>
      <c r="R671" s="14"/>
      <c r="S671" s="14"/>
      <c r="T671" s="14"/>
      <c r="U671" s="14"/>
      <c r="V671" s="272"/>
      <c r="W671" s="272"/>
      <c r="X671" s="14"/>
      <c r="Y671" s="14"/>
      <c r="Z671" s="14"/>
      <c r="AA671" s="14"/>
      <c r="AB671" s="14"/>
      <c r="AC671" s="14"/>
      <c r="AD671" s="14"/>
      <c r="AE671" s="14"/>
      <c r="AF671" s="14"/>
      <c r="AG671" s="14"/>
      <c r="AH671" s="14"/>
      <c r="AI671" s="7"/>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row>
    <row r="672">
      <c r="A672" s="14"/>
      <c r="B672" s="14"/>
      <c r="C672" s="14"/>
      <c r="D672" s="14"/>
      <c r="E672" s="7"/>
      <c r="F672" s="7"/>
      <c r="G672" s="7"/>
      <c r="H672" s="7"/>
      <c r="I672" s="7"/>
      <c r="J672" s="14"/>
      <c r="K672" s="7"/>
      <c r="L672" s="14"/>
      <c r="M672" s="14"/>
      <c r="N672" s="14"/>
      <c r="O672" s="14"/>
      <c r="P672" s="14"/>
      <c r="Q672" s="14"/>
      <c r="R672" s="14"/>
      <c r="S672" s="14"/>
      <c r="T672" s="14"/>
      <c r="U672" s="14"/>
      <c r="V672" s="272"/>
      <c r="W672" s="272"/>
      <c r="X672" s="14"/>
      <c r="Y672" s="14"/>
      <c r="Z672" s="14"/>
      <c r="AA672" s="14"/>
      <c r="AB672" s="14"/>
      <c r="AC672" s="14"/>
      <c r="AD672" s="14"/>
      <c r="AE672" s="14"/>
      <c r="AF672" s="14"/>
      <c r="AG672" s="14"/>
      <c r="AH672" s="14"/>
      <c r="AI672" s="7"/>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row>
    <row r="673">
      <c r="A673" s="14"/>
      <c r="B673" s="14"/>
      <c r="C673" s="14"/>
      <c r="D673" s="14"/>
      <c r="E673" s="7"/>
      <c r="F673" s="7"/>
      <c r="G673" s="7"/>
      <c r="H673" s="7"/>
      <c r="I673" s="7"/>
      <c r="J673" s="14"/>
      <c r="K673" s="7"/>
      <c r="L673" s="14"/>
      <c r="M673" s="14"/>
      <c r="N673" s="14"/>
      <c r="O673" s="14"/>
      <c r="P673" s="14"/>
      <c r="Q673" s="14"/>
      <c r="R673" s="14"/>
      <c r="S673" s="14"/>
      <c r="T673" s="14"/>
      <c r="U673" s="14"/>
      <c r="V673" s="272"/>
      <c r="W673" s="272"/>
      <c r="X673" s="14"/>
      <c r="Y673" s="14"/>
      <c r="Z673" s="14"/>
      <c r="AA673" s="14"/>
      <c r="AB673" s="14"/>
      <c r="AC673" s="14"/>
      <c r="AD673" s="14"/>
      <c r="AE673" s="14"/>
      <c r="AF673" s="14"/>
      <c r="AG673" s="14"/>
      <c r="AH673" s="14"/>
      <c r="AI673" s="7"/>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row>
    <row r="674">
      <c r="A674" s="14"/>
      <c r="B674" s="14"/>
      <c r="C674" s="14"/>
      <c r="D674" s="14"/>
      <c r="E674" s="7"/>
      <c r="F674" s="7"/>
      <c r="G674" s="7"/>
      <c r="H674" s="7"/>
      <c r="I674" s="7"/>
      <c r="J674" s="14"/>
      <c r="K674" s="7"/>
      <c r="L674" s="14"/>
      <c r="M674" s="14"/>
      <c r="N674" s="14"/>
      <c r="O674" s="14"/>
      <c r="P674" s="14"/>
      <c r="Q674" s="14"/>
      <c r="R674" s="14"/>
      <c r="S674" s="14"/>
      <c r="T674" s="14"/>
      <c r="U674" s="14"/>
      <c r="V674" s="272"/>
      <c r="W674" s="272"/>
      <c r="X674" s="14"/>
      <c r="Y674" s="14"/>
      <c r="Z674" s="14"/>
      <c r="AA674" s="14"/>
      <c r="AB674" s="14"/>
      <c r="AC674" s="14"/>
      <c r="AD674" s="14"/>
      <c r="AE674" s="14"/>
      <c r="AF674" s="14"/>
      <c r="AG674" s="14"/>
      <c r="AH674" s="14"/>
      <c r="AI674" s="7"/>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row>
    <row r="675">
      <c r="A675" s="14"/>
      <c r="B675" s="14"/>
      <c r="C675" s="14"/>
      <c r="D675" s="14"/>
      <c r="E675" s="7"/>
      <c r="F675" s="7"/>
      <c r="G675" s="7"/>
      <c r="H675" s="7"/>
      <c r="I675" s="7"/>
      <c r="J675" s="14"/>
      <c r="K675" s="7"/>
      <c r="L675" s="14"/>
      <c r="M675" s="14"/>
      <c r="N675" s="14"/>
      <c r="O675" s="14"/>
      <c r="P675" s="14"/>
      <c r="Q675" s="14"/>
      <c r="R675" s="14"/>
      <c r="S675" s="14"/>
      <c r="T675" s="14"/>
      <c r="U675" s="14"/>
      <c r="V675" s="272"/>
      <c r="W675" s="272"/>
      <c r="X675" s="14"/>
      <c r="Y675" s="14"/>
      <c r="Z675" s="14"/>
      <c r="AA675" s="14"/>
      <c r="AB675" s="14"/>
      <c r="AC675" s="14"/>
      <c r="AD675" s="14"/>
      <c r="AE675" s="14"/>
      <c r="AF675" s="14"/>
      <c r="AG675" s="14"/>
      <c r="AH675" s="14"/>
      <c r="AI675" s="7"/>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row>
    <row r="676">
      <c r="A676" s="14"/>
      <c r="B676" s="14"/>
      <c r="C676" s="14"/>
      <c r="D676" s="14"/>
      <c r="E676" s="7"/>
      <c r="F676" s="7"/>
      <c r="G676" s="7"/>
      <c r="H676" s="7"/>
      <c r="I676" s="7"/>
      <c r="J676" s="14"/>
      <c r="K676" s="7"/>
      <c r="L676" s="14"/>
      <c r="M676" s="14"/>
      <c r="N676" s="14"/>
      <c r="O676" s="14"/>
      <c r="P676" s="14"/>
      <c r="Q676" s="14"/>
      <c r="R676" s="14"/>
      <c r="S676" s="14"/>
      <c r="T676" s="14"/>
      <c r="U676" s="14"/>
      <c r="V676" s="272"/>
      <c r="W676" s="272"/>
      <c r="X676" s="14"/>
      <c r="Y676" s="14"/>
      <c r="Z676" s="14"/>
      <c r="AA676" s="14"/>
      <c r="AB676" s="14"/>
      <c r="AC676" s="14"/>
      <c r="AD676" s="14"/>
      <c r="AE676" s="14"/>
      <c r="AF676" s="14"/>
      <c r="AG676" s="14"/>
      <c r="AH676" s="14"/>
      <c r="AI676" s="7"/>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row>
    <row r="677">
      <c r="A677" s="14"/>
      <c r="B677" s="14"/>
      <c r="C677" s="14"/>
      <c r="D677" s="14"/>
      <c r="E677" s="7"/>
      <c r="F677" s="7"/>
      <c r="G677" s="7"/>
      <c r="H677" s="7"/>
      <c r="I677" s="7"/>
      <c r="J677" s="14"/>
      <c r="K677" s="7"/>
      <c r="L677" s="14"/>
      <c r="M677" s="14"/>
      <c r="N677" s="14"/>
      <c r="O677" s="14"/>
      <c r="P677" s="14"/>
      <c r="Q677" s="14"/>
      <c r="R677" s="14"/>
      <c r="S677" s="14"/>
      <c r="T677" s="14"/>
      <c r="U677" s="14"/>
      <c r="V677" s="272"/>
      <c r="W677" s="272"/>
      <c r="X677" s="14"/>
      <c r="Y677" s="14"/>
      <c r="Z677" s="14"/>
      <c r="AA677" s="14"/>
      <c r="AB677" s="14"/>
      <c r="AC677" s="14"/>
      <c r="AD677" s="14"/>
      <c r="AE677" s="14"/>
      <c r="AF677" s="14"/>
      <c r="AG677" s="14"/>
      <c r="AH677" s="14"/>
      <c r="AI677" s="7"/>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row>
    <row r="678">
      <c r="A678" s="14"/>
      <c r="B678" s="14"/>
      <c r="C678" s="14"/>
      <c r="D678" s="14"/>
      <c r="E678" s="7"/>
      <c r="F678" s="7"/>
      <c r="G678" s="7"/>
      <c r="H678" s="7"/>
      <c r="I678" s="7"/>
      <c r="J678" s="14"/>
      <c r="K678" s="7"/>
      <c r="L678" s="14"/>
      <c r="M678" s="14"/>
      <c r="N678" s="14"/>
      <c r="O678" s="14"/>
      <c r="P678" s="14"/>
      <c r="Q678" s="14"/>
      <c r="R678" s="14"/>
      <c r="S678" s="14"/>
      <c r="T678" s="14"/>
      <c r="U678" s="14"/>
      <c r="V678" s="272"/>
      <c r="W678" s="272"/>
      <c r="X678" s="14"/>
      <c r="Y678" s="14"/>
      <c r="Z678" s="14"/>
      <c r="AA678" s="14"/>
      <c r="AB678" s="14"/>
      <c r="AC678" s="14"/>
      <c r="AD678" s="14"/>
      <c r="AE678" s="14"/>
      <c r="AF678" s="14"/>
      <c r="AG678" s="14"/>
      <c r="AH678" s="14"/>
      <c r="AI678" s="7"/>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row>
    <row r="679">
      <c r="A679" s="14"/>
      <c r="B679" s="14"/>
      <c r="C679" s="14"/>
      <c r="D679" s="14"/>
      <c r="E679" s="7"/>
      <c r="F679" s="7"/>
      <c r="G679" s="7"/>
      <c r="H679" s="7"/>
      <c r="I679" s="7"/>
      <c r="J679" s="14"/>
      <c r="K679" s="7"/>
      <c r="L679" s="14"/>
      <c r="M679" s="14"/>
      <c r="N679" s="14"/>
      <c r="O679" s="14"/>
      <c r="P679" s="14"/>
      <c r="Q679" s="14"/>
      <c r="R679" s="14"/>
      <c r="S679" s="14"/>
      <c r="T679" s="14"/>
      <c r="U679" s="14"/>
      <c r="V679" s="272"/>
      <c r="W679" s="272"/>
      <c r="X679" s="14"/>
      <c r="Y679" s="14"/>
      <c r="Z679" s="14"/>
      <c r="AA679" s="14"/>
      <c r="AB679" s="14"/>
      <c r="AC679" s="14"/>
      <c r="AD679" s="14"/>
      <c r="AE679" s="14"/>
      <c r="AF679" s="14"/>
      <c r="AG679" s="14"/>
      <c r="AH679" s="14"/>
      <c r="AI679" s="7"/>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row>
    <row r="680">
      <c r="A680" s="14"/>
      <c r="B680" s="14"/>
      <c r="C680" s="14"/>
      <c r="D680" s="14"/>
      <c r="E680" s="7"/>
      <c r="F680" s="7"/>
      <c r="G680" s="7"/>
      <c r="H680" s="7"/>
      <c r="I680" s="7"/>
      <c r="J680" s="14"/>
      <c r="K680" s="7"/>
      <c r="L680" s="14"/>
      <c r="M680" s="14"/>
      <c r="N680" s="14"/>
      <c r="O680" s="14"/>
      <c r="P680" s="14"/>
      <c r="Q680" s="14"/>
      <c r="R680" s="14"/>
      <c r="S680" s="14"/>
      <c r="T680" s="14"/>
      <c r="U680" s="14"/>
      <c r="V680" s="272"/>
      <c r="W680" s="272"/>
      <c r="X680" s="14"/>
      <c r="Y680" s="14"/>
      <c r="Z680" s="14"/>
      <c r="AA680" s="14"/>
      <c r="AB680" s="14"/>
      <c r="AC680" s="14"/>
      <c r="AD680" s="14"/>
      <c r="AE680" s="14"/>
      <c r="AF680" s="14"/>
      <c r="AG680" s="14"/>
      <c r="AH680" s="14"/>
      <c r="AI680" s="7"/>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row>
    <row r="681">
      <c r="A681" s="14"/>
      <c r="B681" s="14"/>
      <c r="C681" s="14"/>
      <c r="D681" s="14"/>
      <c r="E681" s="7"/>
      <c r="F681" s="7"/>
      <c r="G681" s="7"/>
      <c r="H681" s="7"/>
      <c r="I681" s="7"/>
      <c r="J681" s="14"/>
      <c r="K681" s="7"/>
      <c r="L681" s="14"/>
      <c r="M681" s="14"/>
      <c r="N681" s="14"/>
      <c r="O681" s="14"/>
      <c r="P681" s="14"/>
      <c r="Q681" s="14"/>
      <c r="R681" s="14"/>
      <c r="S681" s="14"/>
      <c r="T681" s="14"/>
      <c r="U681" s="14"/>
      <c r="V681" s="272"/>
      <c r="W681" s="272"/>
      <c r="X681" s="14"/>
      <c r="Y681" s="14"/>
      <c r="Z681" s="14"/>
      <c r="AA681" s="14"/>
      <c r="AB681" s="14"/>
      <c r="AC681" s="14"/>
      <c r="AD681" s="14"/>
      <c r="AE681" s="14"/>
      <c r="AF681" s="14"/>
      <c r="AG681" s="14"/>
      <c r="AH681" s="14"/>
      <c r="AI681" s="7"/>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row>
    <row r="682">
      <c r="A682" s="14"/>
      <c r="B682" s="14"/>
      <c r="C682" s="14"/>
      <c r="D682" s="14"/>
      <c r="E682" s="7"/>
      <c r="F682" s="7"/>
      <c r="G682" s="7"/>
      <c r="H682" s="7"/>
      <c r="I682" s="7"/>
      <c r="J682" s="14"/>
      <c r="K682" s="7"/>
      <c r="L682" s="14"/>
      <c r="M682" s="14"/>
      <c r="N682" s="14"/>
      <c r="O682" s="14"/>
      <c r="P682" s="14"/>
      <c r="Q682" s="14"/>
      <c r="R682" s="14"/>
      <c r="S682" s="14"/>
      <c r="T682" s="14"/>
      <c r="U682" s="14"/>
      <c r="V682" s="272"/>
      <c r="W682" s="272"/>
      <c r="X682" s="14"/>
      <c r="Y682" s="14"/>
      <c r="Z682" s="14"/>
      <c r="AA682" s="14"/>
      <c r="AB682" s="14"/>
      <c r="AC682" s="14"/>
      <c r="AD682" s="14"/>
      <c r="AE682" s="14"/>
      <c r="AF682" s="14"/>
      <c r="AG682" s="14"/>
      <c r="AH682" s="14"/>
      <c r="AI682" s="7"/>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row>
    <row r="683">
      <c r="A683" s="14"/>
      <c r="B683" s="14"/>
      <c r="C683" s="14"/>
      <c r="D683" s="14"/>
      <c r="E683" s="7"/>
      <c r="F683" s="7"/>
      <c r="G683" s="7"/>
      <c r="H683" s="7"/>
      <c r="I683" s="7"/>
      <c r="J683" s="14"/>
      <c r="K683" s="7"/>
      <c r="L683" s="14"/>
      <c r="M683" s="14"/>
      <c r="N683" s="14"/>
      <c r="O683" s="14"/>
      <c r="P683" s="14"/>
      <c r="Q683" s="14"/>
      <c r="R683" s="14"/>
      <c r="S683" s="14"/>
      <c r="T683" s="14"/>
      <c r="U683" s="14"/>
      <c r="V683" s="272"/>
      <c r="W683" s="272"/>
      <c r="X683" s="14"/>
      <c r="Y683" s="14"/>
      <c r="Z683" s="14"/>
      <c r="AA683" s="14"/>
      <c r="AB683" s="14"/>
      <c r="AC683" s="14"/>
      <c r="AD683" s="14"/>
      <c r="AE683" s="14"/>
      <c r="AF683" s="14"/>
      <c r="AG683" s="14"/>
      <c r="AH683" s="14"/>
      <c r="AI683" s="7"/>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row>
    <row r="684">
      <c r="A684" s="14"/>
      <c r="B684" s="14"/>
      <c r="C684" s="14"/>
      <c r="D684" s="14"/>
      <c r="E684" s="7"/>
      <c r="F684" s="7"/>
      <c r="G684" s="7"/>
      <c r="H684" s="7"/>
      <c r="I684" s="7"/>
      <c r="J684" s="14"/>
      <c r="K684" s="7"/>
      <c r="L684" s="14"/>
      <c r="M684" s="14"/>
      <c r="N684" s="14"/>
      <c r="O684" s="14"/>
      <c r="P684" s="14"/>
      <c r="Q684" s="14"/>
      <c r="R684" s="14"/>
      <c r="S684" s="14"/>
      <c r="T684" s="14"/>
      <c r="U684" s="14"/>
      <c r="V684" s="272"/>
      <c r="W684" s="272"/>
      <c r="X684" s="14"/>
      <c r="Y684" s="14"/>
      <c r="Z684" s="14"/>
      <c r="AA684" s="14"/>
      <c r="AB684" s="14"/>
      <c r="AC684" s="14"/>
      <c r="AD684" s="14"/>
      <c r="AE684" s="14"/>
      <c r="AF684" s="14"/>
      <c r="AG684" s="14"/>
      <c r="AH684" s="14"/>
      <c r="AI684" s="7"/>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row>
    <row r="685">
      <c r="A685" s="14"/>
      <c r="B685" s="14"/>
      <c r="C685" s="14"/>
      <c r="D685" s="14"/>
      <c r="E685" s="7"/>
      <c r="F685" s="7"/>
      <c r="G685" s="7"/>
      <c r="H685" s="7"/>
      <c r="I685" s="7"/>
      <c r="J685" s="14"/>
      <c r="K685" s="7"/>
      <c r="L685" s="14"/>
      <c r="M685" s="14"/>
      <c r="N685" s="14"/>
      <c r="O685" s="14"/>
      <c r="P685" s="14"/>
      <c r="Q685" s="14"/>
      <c r="R685" s="14"/>
      <c r="S685" s="14"/>
      <c r="T685" s="14"/>
      <c r="U685" s="14"/>
      <c r="V685" s="272"/>
      <c r="W685" s="272"/>
      <c r="X685" s="14"/>
      <c r="Y685" s="14"/>
      <c r="Z685" s="14"/>
      <c r="AA685" s="14"/>
      <c r="AB685" s="14"/>
      <c r="AC685" s="14"/>
      <c r="AD685" s="14"/>
      <c r="AE685" s="14"/>
      <c r="AF685" s="14"/>
      <c r="AG685" s="14"/>
      <c r="AH685" s="14"/>
      <c r="AI685" s="7"/>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row>
    <row r="686">
      <c r="A686" s="14"/>
      <c r="B686" s="14"/>
      <c r="C686" s="14"/>
      <c r="D686" s="14"/>
      <c r="E686" s="7"/>
      <c r="F686" s="7"/>
      <c r="G686" s="7"/>
      <c r="H686" s="7"/>
      <c r="I686" s="7"/>
      <c r="J686" s="14"/>
      <c r="K686" s="7"/>
      <c r="L686" s="14"/>
      <c r="M686" s="14"/>
      <c r="N686" s="14"/>
      <c r="O686" s="14"/>
      <c r="P686" s="14"/>
      <c r="Q686" s="14"/>
      <c r="R686" s="14"/>
      <c r="S686" s="14"/>
      <c r="T686" s="14"/>
      <c r="U686" s="14"/>
      <c r="V686" s="272"/>
      <c r="W686" s="272"/>
      <c r="X686" s="14"/>
      <c r="Y686" s="14"/>
      <c r="Z686" s="14"/>
      <c r="AA686" s="14"/>
      <c r="AB686" s="14"/>
      <c r="AC686" s="14"/>
      <c r="AD686" s="14"/>
      <c r="AE686" s="14"/>
      <c r="AF686" s="14"/>
      <c r="AG686" s="14"/>
      <c r="AH686" s="14"/>
      <c r="AI686" s="7"/>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row>
    <row r="687">
      <c r="A687" s="14"/>
      <c r="B687" s="14"/>
      <c r="C687" s="14"/>
      <c r="D687" s="14"/>
      <c r="E687" s="7"/>
      <c r="F687" s="7"/>
      <c r="G687" s="7"/>
      <c r="H687" s="7"/>
      <c r="I687" s="7"/>
      <c r="J687" s="14"/>
      <c r="K687" s="7"/>
      <c r="L687" s="14"/>
      <c r="M687" s="14"/>
      <c r="N687" s="14"/>
      <c r="O687" s="14"/>
      <c r="P687" s="14"/>
      <c r="Q687" s="14"/>
      <c r="R687" s="14"/>
      <c r="S687" s="14"/>
      <c r="T687" s="14"/>
      <c r="U687" s="14"/>
      <c r="V687" s="272"/>
      <c r="W687" s="272"/>
      <c r="X687" s="14"/>
      <c r="Y687" s="14"/>
      <c r="Z687" s="14"/>
      <c r="AA687" s="14"/>
      <c r="AB687" s="14"/>
      <c r="AC687" s="14"/>
      <c r="AD687" s="14"/>
      <c r="AE687" s="14"/>
      <c r="AF687" s="14"/>
      <c r="AG687" s="14"/>
      <c r="AH687" s="14"/>
      <c r="AI687" s="7"/>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row>
    <row r="688">
      <c r="A688" s="14"/>
      <c r="B688" s="14"/>
      <c r="C688" s="14"/>
      <c r="D688" s="14"/>
      <c r="E688" s="7"/>
      <c r="F688" s="7"/>
      <c r="G688" s="7"/>
      <c r="H688" s="7"/>
      <c r="I688" s="7"/>
      <c r="J688" s="14"/>
      <c r="K688" s="7"/>
      <c r="L688" s="14"/>
      <c r="M688" s="14"/>
      <c r="N688" s="14"/>
      <c r="O688" s="14"/>
      <c r="P688" s="14"/>
      <c r="Q688" s="14"/>
      <c r="R688" s="14"/>
      <c r="S688" s="14"/>
      <c r="T688" s="14"/>
      <c r="U688" s="14"/>
      <c r="V688" s="272"/>
      <c r="W688" s="272"/>
      <c r="X688" s="14"/>
      <c r="Y688" s="14"/>
      <c r="Z688" s="14"/>
      <c r="AA688" s="14"/>
      <c r="AB688" s="14"/>
      <c r="AC688" s="14"/>
      <c r="AD688" s="14"/>
      <c r="AE688" s="14"/>
      <c r="AF688" s="14"/>
      <c r="AG688" s="14"/>
      <c r="AH688" s="14"/>
      <c r="AI688" s="7"/>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row>
    <row r="689">
      <c r="A689" s="14"/>
      <c r="B689" s="14"/>
      <c r="C689" s="14"/>
      <c r="D689" s="14"/>
      <c r="E689" s="7"/>
      <c r="F689" s="7"/>
      <c r="G689" s="7"/>
      <c r="H689" s="7"/>
      <c r="I689" s="7"/>
      <c r="J689" s="14"/>
      <c r="K689" s="7"/>
      <c r="L689" s="14"/>
      <c r="M689" s="14"/>
      <c r="N689" s="14"/>
      <c r="O689" s="14"/>
      <c r="P689" s="14"/>
      <c r="Q689" s="14"/>
      <c r="R689" s="14"/>
      <c r="S689" s="14"/>
      <c r="T689" s="14"/>
      <c r="U689" s="14"/>
      <c r="V689" s="272"/>
      <c r="W689" s="272"/>
      <c r="X689" s="14"/>
      <c r="Y689" s="14"/>
      <c r="Z689" s="14"/>
      <c r="AA689" s="14"/>
      <c r="AB689" s="14"/>
      <c r="AC689" s="14"/>
      <c r="AD689" s="14"/>
      <c r="AE689" s="14"/>
      <c r="AF689" s="14"/>
      <c r="AG689" s="14"/>
      <c r="AH689" s="14"/>
      <c r="AI689" s="7"/>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row>
    <row r="690">
      <c r="A690" s="14"/>
      <c r="B690" s="14"/>
      <c r="C690" s="14"/>
      <c r="D690" s="14"/>
      <c r="E690" s="7"/>
      <c r="F690" s="7"/>
      <c r="G690" s="7"/>
      <c r="H690" s="7"/>
      <c r="I690" s="7"/>
      <c r="J690" s="14"/>
      <c r="K690" s="7"/>
      <c r="L690" s="14"/>
      <c r="M690" s="14"/>
      <c r="N690" s="14"/>
      <c r="O690" s="14"/>
      <c r="P690" s="14"/>
      <c r="Q690" s="14"/>
      <c r="R690" s="14"/>
      <c r="S690" s="14"/>
      <c r="T690" s="14"/>
      <c r="U690" s="14"/>
      <c r="V690" s="272"/>
      <c r="W690" s="272"/>
      <c r="X690" s="14"/>
      <c r="Y690" s="14"/>
      <c r="Z690" s="14"/>
      <c r="AA690" s="14"/>
      <c r="AB690" s="14"/>
      <c r="AC690" s="14"/>
      <c r="AD690" s="14"/>
      <c r="AE690" s="14"/>
      <c r="AF690" s="14"/>
      <c r="AG690" s="14"/>
      <c r="AH690" s="14"/>
      <c r="AI690" s="7"/>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row>
    <row r="691">
      <c r="A691" s="14"/>
      <c r="B691" s="14"/>
      <c r="C691" s="14"/>
      <c r="D691" s="14"/>
      <c r="E691" s="7"/>
      <c r="F691" s="7"/>
      <c r="G691" s="7"/>
      <c r="H691" s="7"/>
      <c r="I691" s="7"/>
      <c r="J691" s="14"/>
      <c r="K691" s="7"/>
      <c r="L691" s="14"/>
      <c r="M691" s="14"/>
      <c r="N691" s="14"/>
      <c r="O691" s="14"/>
      <c r="P691" s="14"/>
      <c r="Q691" s="14"/>
      <c r="R691" s="14"/>
      <c r="S691" s="14"/>
      <c r="T691" s="14"/>
      <c r="U691" s="14"/>
      <c r="V691" s="272"/>
      <c r="W691" s="272"/>
      <c r="X691" s="14"/>
      <c r="Y691" s="14"/>
      <c r="Z691" s="14"/>
      <c r="AA691" s="14"/>
      <c r="AB691" s="14"/>
      <c r="AC691" s="14"/>
      <c r="AD691" s="14"/>
      <c r="AE691" s="14"/>
      <c r="AF691" s="14"/>
      <c r="AG691" s="14"/>
      <c r="AH691" s="14"/>
      <c r="AI691" s="7"/>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row>
    <row r="692">
      <c r="A692" s="14"/>
      <c r="B692" s="14"/>
      <c r="C692" s="14"/>
      <c r="D692" s="14"/>
      <c r="E692" s="7"/>
      <c r="F692" s="7"/>
      <c r="G692" s="7"/>
      <c r="H692" s="7"/>
      <c r="I692" s="7"/>
      <c r="J692" s="14"/>
      <c r="K692" s="7"/>
      <c r="L692" s="14"/>
      <c r="M692" s="14"/>
      <c r="N692" s="14"/>
      <c r="O692" s="14"/>
      <c r="P692" s="14"/>
      <c r="Q692" s="14"/>
      <c r="R692" s="14"/>
      <c r="S692" s="14"/>
      <c r="T692" s="14"/>
      <c r="U692" s="14"/>
      <c r="V692" s="272"/>
      <c r="W692" s="272"/>
      <c r="X692" s="14"/>
      <c r="Y692" s="14"/>
      <c r="Z692" s="14"/>
      <c r="AA692" s="14"/>
      <c r="AB692" s="14"/>
      <c r="AC692" s="14"/>
      <c r="AD692" s="14"/>
      <c r="AE692" s="14"/>
      <c r="AF692" s="14"/>
      <c r="AG692" s="14"/>
      <c r="AH692" s="14"/>
      <c r="AI692" s="7"/>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row>
    <row r="693">
      <c r="A693" s="14"/>
      <c r="B693" s="14"/>
      <c r="C693" s="14"/>
      <c r="D693" s="14"/>
      <c r="E693" s="7"/>
      <c r="F693" s="7"/>
      <c r="G693" s="7"/>
      <c r="H693" s="7"/>
      <c r="I693" s="7"/>
      <c r="J693" s="14"/>
      <c r="K693" s="7"/>
      <c r="L693" s="14"/>
      <c r="M693" s="14"/>
      <c r="N693" s="14"/>
      <c r="O693" s="14"/>
      <c r="P693" s="14"/>
      <c r="Q693" s="14"/>
      <c r="R693" s="14"/>
      <c r="S693" s="14"/>
      <c r="T693" s="14"/>
      <c r="U693" s="14"/>
      <c r="V693" s="272"/>
      <c r="W693" s="272"/>
      <c r="X693" s="14"/>
      <c r="Y693" s="14"/>
      <c r="Z693" s="14"/>
      <c r="AA693" s="14"/>
      <c r="AB693" s="14"/>
      <c r="AC693" s="14"/>
      <c r="AD693" s="14"/>
      <c r="AE693" s="14"/>
      <c r="AF693" s="14"/>
      <c r="AG693" s="14"/>
      <c r="AH693" s="14"/>
      <c r="AI693" s="7"/>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row>
    <row r="694">
      <c r="A694" s="14"/>
      <c r="B694" s="14"/>
      <c r="C694" s="14"/>
      <c r="D694" s="14"/>
      <c r="E694" s="7"/>
      <c r="F694" s="7"/>
      <c r="G694" s="7"/>
      <c r="H694" s="7"/>
      <c r="I694" s="7"/>
      <c r="J694" s="14"/>
      <c r="K694" s="7"/>
      <c r="L694" s="14"/>
      <c r="M694" s="14"/>
      <c r="N694" s="14"/>
      <c r="O694" s="14"/>
      <c r="P694" s="14"/>
      <c r="Q694" s="14"/>
      <c r="R694" s="14"/>
      <c r="S694" s="14"/>
      <c r="T694" s="14"/>
      <c r="U694" s="14"/>
      <c r="V694" s="272"/>
      <c r="W694" s="272"/>
      <c r="X694" s="14"/>
      <c r="Y694" s="14"/>
      <c r="Z694" s="14"/>
      <c r="AA694" s="14"/>
      <c r="AB694" s="14"/>
      <c r="AC694" s="14"/>
      <c r="AD694" s="14"/>
      <c r="AE694" s="14"/>
      <c r="AF694" s="14"/>
      <c r="AG694" s="14"/>
      <c r="AH694" s="14"/>
      <c r="AI694" s="7"/>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row>
    <row r="695">
      <c r="A695" s="14"/>
      <c r="B695" s="14"/>
      <c r="C695" s="14"/>
      <c r="D695" s="14"/>
      <c r="E695" s="7"/>
      <c r="F695" s="7"/>
      <c r="G695" s="7"/>
      <c r="H695" s="7"/>
      <c r="I695" s="7"/>
      <c r="J695" s="14"/>
      <c r="K695" s="7"/>
      <c r="L695" s="14"/>
      <c r="M695" s="14"/>
      <c r="N695" s="14"/>
      <c r="O695" s="14"/>
      <c r="P695" s="14"/>
      <c r="Q695" s="14"/>
      <c r="R695" s="14"/>
      <c r="S695" s="14"/>
      <c r="T695" s="14"/>
      <c r="U695" s="14"/>
      <c r="V695" s="272"/>
      <c r="W695" s="272"/>
      <c r="X695" s="14"/>
      <c r="Y695" s="14"/>
      <c r="Z695" s="14"/>
      <c r="AA695" s="14"/>
      <c r="AB695" s="14"/>
      <c r="AC695" s="14"/>
      <c r="AD695" s="14"/>
      <c r="AE695" s="14"/>
      <c r="AF695" s="14"/>
      <c r="AG695" s="14"/>
      <c r="AH695" s="14"/>
      <c r="AI695" s="7"/>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row>
    <row r="696">
      <c r="A696" s="14"/>
      <c r="B696" s="14"/>
      <c r="C696" s="14"/>
      <c r="D696" s="14"/>
      <c r="E696" s="7"/>
      <c r="F696" s="7"/>
      <c r="G696" s="7"/>
      <c r="H696" s="7"/>
      <c r="I696" s="7"/>
      <c r="J696" s="14"/>
      <c r="K696" s="7"/>
      <c r="L696" s="14"/>
      <c r="M696" s="14"/>
      <c r="N696" s="14"/>
      <c r="O696" s="14"/>
      <c r="P696" s="14"/>
      <c r="Q696" s="14"/>
      <c r="R696" s="14"/>
      <c r="S696" s="14"/>
      <c r="T696" s="14"/>
      <c r="U696" s="14"/>
      <c r="V696" s="272"/>
      <c r="W696" s="272"/>
      <c r="X696" s="14"/>
      <c r="Y696" s="14"/>
      <c r="Z696" s="14"/>
      <c r="AA696" s="14"/>
      <c r="AB696" s="14"/>
      <c r="AC696" s="14"/>
      <c r="AD696" s="14"/>
      <c r="AE696" s="14"/>
      <c r="AF696" s="14"/>
      <c r="AG696" s="14"/>
      <c r="AH696" s="14"/>
      <c r="AI696" s="7"/>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row>
    <row r="697">
      <c r="A697" s="14"/>
      <c r="B697" s="14"/>
      <c r="C697" s="14"/>
      <c r="D697" s="14"/>
      <c r="E697" s="7"/>
      <c r="F697" s="7"/>
      <c r="G697" s="7"/>
      <c r="H697" s="7"/>
      <c r="I697" s="7"/>
      <c r="J697" s="14"/>
      <c r="K697" s="7"/>
      <c r="L697" s="14"/>
      <c r="M697" s="14"/>
      <c r="N697" s="14"/>
      <c r="O697" s="14"/>
      <c r="P697" s="14"/>
      <c r="Q697" s="14"/>
      <c r="R697" s="14"/>
      <c r="S697" s="14"/>
      <c r="T697" s="14"/>
      <c r="U697" s="14"/>
      <c r="V697" s="272"/>
      <c r="W697" s="272"/>
      <c r="X697" s="14"/>
      <c r="Y697" s="14"/>
      <c r="Z697" s="14"/>
      <c r="AA697" s="14"/>
      <c r="AB697" s="14"/>
      <c r="AC697" s="14"/>
      <c r="AD697" s="14"/>
      <c r="AE697" s="14"/>
      <c r="AF697" s="14"/>
      <c r="AG697" s="14"/>
      <c r="AH697" s="14"/>
      <c r="AI697" s="7"/>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row>
    <row r="698">
      <c r="A698" s="14"/>
      <c r="B698" s="14"/>
      <c r="C698" s="14"/>
      <c r="D698" s="14"/>
      <c r="E698" s="7"/>
      <c r="F698" s="7"/>
      <c r="G698" s="7"/>
      <c r="H698" s="7"/>
      <c r="I698" s="7"/>
      <c r="J698" s="14"/>
      <c r="K698" s="7"/>
      <c r="L698" s="14"/>
      <c r="M698" s="14"/>
      <c r="N698" s="14"/>
      <c r="O698" s="14"/>
      <c r="P698" s="14"/>
      <c r="Q698" s="14"/>
      <c r="R698" s="14"/>
      <c r="S698" s="14"/>
      <c r="T698" s="14"/>
      <c r="U698" s="14"/>
      <c r="V698" s="272"/>
      <c r="W698" s="272"/>
      <c r="X698" s="14"/>
      <c r="Y698" s="14"/>
      <c r="Z698" s="14"/>
      <c r="AA698" s="14"/>
      <c r="AB698" s="14"/>
      <c r="AC698" s="14"/>
      <c r="AD698" s="14"/>
      <c r="AE698" s="14"/>
      <c r="AF698" s="14"/>
      <c r="AG698" s="14"/>
      <c r="AH698" s="14"/>
      <c r="AI698" s="7"/>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row>
    <row r="699">
      <c r="A699" s="14"/>
      <c r="B699" s="14"/>
      <c r="C699" s="14"/>
      <c r="D699" s="14"/>
      <c r="E699" s="7"/>
      <c r="F699" s="7"/>
      <c r="G699" s="7"/>
      <c r="H699" s="7"/>
      <c r="I699" s="7"/>
      <c r="J699" s="14"/>
      <c r="K699" s="7"/>
      <c r="L699" s="14"/>
      <c r="M699" s="14"/>
      <c r="N699" s="14"/>
      <c r="O699" s="14"/>
      <c r="P699" s="14"/>
      <c r="Q699" s="14"/>
      <c r="R699" s="14"/>
      <c r="S699" s="14"/>
      <c r="T699" s="14"/>
      <c r="U699" s="14"/>
      <c r="V699" s="272"/>
      <c r="W699" s="272"/>
      <c r="X699" s="14"/>
      <c r="Y699" s="14"/>
      <c r="Z699" s="14"/>
      <c r="AA699" s="14"/>
      <c r="AB699" s="14"/>
      <c r="AC699" s="14"/>
      <c r="AD699" s="14"/>
      <c r="AE699" s="14"/>
      <c r="AF699" s="14"/>
      <c r="AG699" s="14"/>
      <c r="AH699" s="14"/>
      <c r="AI699" s="7"/>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row>
    <row r="700">
      <c r="A700" s="14"/>
      <c r="B700" s="14"/>
      <c r="C700" s="14"/>
      <c r="D700" s="14"/>
      <c r="E700" s="7"/>
      <c r="F700" s="7"/>
      <c r="G700" s="7"/>
      <c r="H700" s="7"/>
      <c r="I700" s="7"/>
      <c r="J700" s="14"/>
      <c r="K700" s="7"/>
      <c r="L700" s="14"/>
      <c r="M700" s="14"/>
      <c r="N700" s="14"/>
      <c r="O700" s="14"/>
      <c r="P700" s="14"/>
      <c r="Q700" s="14"/>
      <c r="R700" s="14"/>
      <c r="S700" s="14"/>
      <c r="T700" s="14"/>
      <c r="U700" s="14"/>
      <c r="V700" s="272"/>
      <c r="W700" s="272"/>
      <c r="X700" s="14"/>
      <c r="Y700" s="14"/>
      <c r="Z700" s="14"/>
      <c r="AA700" s="14"/>
      <c r="AB700" s="14"/>
      <c r="AC700" s="14"/>
      <c r="AD700" s="14"/>
      <c r="AE700" s="14"/>
      <c r="AF700" s="14"/>
      <c r="AG700" s="14"/>
      <c r="AH700" s="14"/>
      <c r="AI700" s="7"/>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row>
    <row r="701">
      <c r="A701" s="14"/>
      <c r="B701" s="14"/>
      <c r="C701" s="14"/>
      <c r="D701" s="14"/>
      <c r="E701" s="7"/>
      <c r="F701" s="7"/>
      <c r="G701" s="7"/>
      <c r="H701" s="7"/>
      <c r="I701" s="7"/>
      <c r="J701" s="14"/>
      <c r="K701" s="7"/>
      <c r="L701" s="14"/>
      <c r="M701" s="14"/>
      <c r="N701" s="14"/>
      <c r="O701" s="14"/>
      <c r="P701" s="14"/>
      <c r="Q701" s="14"/>
      <c r="R701" s="14"/>
      <c r="S701" s="14"/>
      <c r="T701" s="14"/>
      <c r="U701" s="14"/>
      <c r="V701" s="272"/>
      <c r="W701" s="272"/>
      <c r="X701" s="14"/>
      <c r="Y701" s="14"/>
      <c r="Z701" s="14"/>
      <c r="AA701" s="14"/>
      <c r="AB701" s="14"/>
      <c r="AC701" s="14"/>
      <c r="AD701" s="14"/>
      <c r="AE701" s="14"/>
      <c r="AF701" s="14"/>
      <c r="AG701" s="14"/>
      <c r="AH701" s="14"/>
      <c r="AI701" s="7"/>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row>
    <row r="702">
      <c r="A702" s="14"/>
      <c r="B702" s="14"/>
      <c r="C702" s="14"/>
      <c r="D702" s="14"/>
      <c r="E702" s="7"/>
      <c r="F702" s="7"/>
      <c r="G702" s="7"/>
      <c r="H702" s="7"/>
      <c r="I702" s="7"/>
      <c r="J702" s="14"/>
      <c r="K702" s="7"/>
      <c r="L702" s="14"/>
      <c r="M702" s="14"/>
      <c r="N702" s="14"/>
      <c r="O702" s="14"/>
      <c r="P702" s="14"/>
      <c r="Q702" s="14"/>
      <c r="R702" s="14"/>
      <c r="S702" s="14"/>
      <c r="T702" s="14"/>
      <c r="U702" s="14"/>
      <c r="V702" s="272"/>
      <c r="W702" s="272"/>
      <c r="X702" s="14"/>
      <c r="Y702" s="14"/>
      <c r="Z702" s="14"/>
      <c r="AA702" s="14"/>
      <c r="AB702" s="14"/>
      <c r="AC702" s="14"/>
      <c r="AD702" s="14"/>
      <c r="AE702" s="14"/>
      <c r="AF702" s="14"/>
      <c r="AG702" s="14"/>
      <c r="AH702" s="14"/>
      <c r="AI702" s="7"/>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row>
    <row r="703">
      <c r="A703" s="14"/>
      <c r="B703" s="14"/>
      <c r="C703" s="14"/>
      <c r="D703" s="14"/>
      <c r="E703" s="7"/>
      <c r="F703" s="7"/>
      <c r="G703" s="7"/>
      <c r="H703" s="7"/>
      <c r="I703" s="7"/>
      <c r="J703" s="14"/>
      <c r="K703" s="7"/>
      <c r="L703" s="14"/>
      <c r="M703" s="14"/>
      <c r="N703" s="14"/>
      <c r="O703" s="14"/>
      <c r="P703" s="14"/>
      <c r="Q703" s="14"/>
      <c r="R703" s="14"/>
      <c r="S703" s="14"/>
      <c r="T703" s="14"/>
      <c r="U703" s="14"/>
      <c r="V703" s="272"/>
      <c r="W703" s="272"/>
      <c r="X703" s="14"/>
      <c r="Y703" s="14"/>
      <c r="Z703" s="14"/>
      <c r="AA703" s="14"/>
      <c r="AB703" s="14"/>
      <c r="AC703" s="14"/>
      <c r="AD703" s="14"/>
      <c r="AE703" s="14"/>
      <c r="AF703" s="14"/>
      <c r="AG703" s="14"/>
      <c r="AH703" s="14"/>
      <c r="AI703" s="7"/>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row>
    <row r="704">
      <c r="A704" s="14"/>
      <c r="B704" s="14"/>
      <c r="C704" s="14"/>
      <c r="D704" s="14"/>
      <c r="E704" s="7"/>
      <c r="F704" s="7"/>
      <c r="G704" s="7"/>
      <c r="H704" s="7"/>
      <c r="I704" s="7"/>
      <c r="J704" s="14"/>
      <c r="K704" s="7"/>
      <c r="L704" s="14"/>
      <c r="M704" s="14"/>
      <c r="N704" s="14"/>
      <c r="O704" s="14"/>
      <c r="P704" s="14"/>
      <c r="Q704" s="14"/>
      <c r="R704" s="14"/>
      <c r="S704" s="14"/>
      <c r="T704" s="14"/>
      <c r="U704" s="14"/>
      <c r="V704" s="272"/>
      <c r="W704" s="272"/>
      <c r="X704" s="14"/>
      <c r="Y704" s="14"/>
      <c r="Z704" s="14"/>
      <c r="AA704" s="14"/>
      <c r="AB704" s="14"/>
      <c r="AC704" s="14"/>
      <c r="AD704" s="14"/>
      <c r="AE704" s="14"/>
      <c r="AF704" s="14"/>
      <c r="AG704" s="14"/>
      <c r="AH704" s="14"/>
      <c r="AI704" s="7"/>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row>
    <row r="705">
      <c r="A705" s="14"/>
      <c r="B705" s="14"/>
      <c r="C705" s="14"/>
      <c r="D705" s="14"/>
      <c r="E705" s="7"/>
      <c r="F705" s="7"/>
      <c r="G705" s="7"/>
      <c r="H705" s="7"/>
      <c r="I705" s="7"/>
      <c r="J705" s="14"/>
      <c r="K705" s="7"/>
      <c r="L705" s="14"/>
      <c r="M705" s="14"/>
      <c r="N705" s="14"/>
      <c r="O705" s="14"/>
      <c r="P705" s="14"/>
      <c r="Q705" s="14"/>
      <c r="R705" s="14"/>
      <c r="S705" s="14"/>
      <c r="T705" s="14"/>
      <c r="U705" s="14"/>
      <c r="V705" s="272"/>
      <c r="W705" s="272"/>
      <c r="X705" s="14"/>
      <c r="Y705" s="14"/>
      <c r="Z705" s="14"/>
      <c r="AA705" s="14"/>
      <c r="AB705" s="14"/>
      <c r="AC705" s="14"/>
      <c r="AD705" s="14"/>
      <c r="AE705" s="14"/>
      <c r="AF705" s="14"/>
      <c r="AG705" s="14"/>
      <c r="AH705" s="14"/>
      <c r="AI705" s="7"/>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row>
    <row r="706">
      <c r="A706" s="14"/>
      <c r="B706" s="14"/>
      <c r="C706" s="14"/>
      <c r="D706" s="14"/>
      <c r="E706" s="7"/>
      <c r="F706" s="7"/>
      <c r="G706" s="7"/>
      <c r="H706" s="7"/>
      <c r="I706" s="7"/>
      <c r="J706" s="14"/>
      <c r="K706" s="7"/>
      <c r="L706" s="14"/>
      <c r="M706" s="14"/>
      <c r="N706" s="14"/>
      <c r="O706" s="14"/>
      <c r="P706" s="14"/>
      <c r="Q706" s="14"/>
      <c r="R706" s="14"/>
      <c r="S706" s="14"/>
      <c r="T706" s="14"/>
      <c r="U706" s="14"/>
      <c r="V706" s="272"/>
      <c r="W706" s="272"/>
      <c r="X706" s="14"/>
      <c r="Y706" s="14"/>
      <c r="Z706" s="14"/>
      <c r="AA706" s="14"/>
      <c r="AB706" s="14"/>
      <c r="AC706" s="14"/>
      <c r="AD706" s="14"/>
      <c r="AE706" s="14"/>
      <c r="AF706" s="14"/>
      <c r="AG706" s="14"/>
      <c r="AH706" s="14"/>
      <c r="AI706" s="7"/>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row>
    <row r="707">
      <c r="A707" s="14"/>
      <c r="B707" s="14"/>
      <c r="C707" s="14"/>
      <c r="D707" s="14"/>
      <c r="E707" s="7"/>
      <c r="F707" s="7"/>
      <c r="G707" s="7"/>
      <c r="H707" s="7"/>
      <c r="I707" s="7"/>
      <c r="J707" s="14"/>
      <c r="K707" s="7"/>
      <c r="L707" s="14"/>
      <c r="M707" s="14"/>
      <c r="N707" s="14"/>
      <c r="O707" s="14"/>
      <c r="P707" s="14"/>
      <c r="Q707" s="14"/>
      <c r="R707" s="14"/>
      <c r="S707" s="14"/>
      <c r="T707" s="14"/>
      <c r="U707" s="14"/>
      <c r="V707" s="272"/>
      <c r="W707" s="272"/>
      <c r="X707" s="14"/>
      <c r="Y707" s="14"/>
      <c r="Z707" s="14"/>
      <c r="AA707" s="14"/>
      <c r="AB707" s="14"/>
      <c r="AC707" s="14"/>
      <c r="AD707" s="14"/>
      <c r="AE707" s="14"/>
      <c r="AF707" s="14"/>
      <c r="AG707" s="14"/>
      <c r="AH707" s="14"/>
      <c r="AI707" s="7"/>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row>
    <row r="708">
      <c r="A708" s="14"/>
      <c r="B708" s="14"/>
      <c r="C708" s="14"/>
      <c r="D708" s="14"/>
      <c r="E708" s="7"/>
      <c r="F708" s="7"/>
      <c r="G708" s="7"/>
      <c r="H708" s="7"/>
      <c r="I708" s="7"/>
      <c r="J708" s="14"/>
      <c r="K708" s="7"/>
      <c r="L708" s="14"/>
      <c r="M708" s="14"/>
      <c r="N708" s="14"/>
      <c r="O708" s="14"/>
      <c r="P708" s="14"/>
      <c r="Q708" s="14"/>
      <c r="R708" s="14"/>
      <c r="S708" s="14"/>
      <c r="T708" s="14"/>
      <c r="U708" s="14"/>
      <c r="V708" s="272"/>
      <c r="W708" s="272"/>
      <c r="X708" s="14"/>
      <c r="Y708" s="14"/>
      <c r="Z708" s="14"/>
      <c r="AA708" s="14"/>
      <c r="AB708" s="14"/>
      <c r="AC708" s="14"/>
      <c r="AD708" s="14"/>
      <c r="AE708" s="14"/>
      <c r="AF708" s="14"/>
      <c r="AG708" s="14"/>
      <c r="AH708" s="14"/>
      <c r="AI708" s="7"/>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row>
    <row r="709">
      <c r="A709" s="14"/>
      <c r="B709" s="14"/>
      <c r="C709" s="14"/>
      <c r="D709" s="14"/>
      <c r="E709" s="7"/>
      <c r="F709" s="7"/>
      <c r="G709" s="7"/>
      <c r="H709" s="7"/>
      <c r="I709" s="7"/>
      <c r="J709" s="14"/>
      <c r="K709" s="7"/>
      <c r="L709" s="14"/>
      <c r="M709" s="14"/>
      <c r="N709" s="14"/>
      <c r="O709" s="14"/>
      <c r="P709" s="14"/>
      <c r="Q709" s="14"/>
      <c r="R709" s="14"/>
      <c r="S709" s="14"/>
      <c r="T709" s="14"/>
      <c r="U709" s="14"/>
      <c r="V709" s="272"/>
      <c r="W709" s="272"/>
      <c r="X709" s="14"/>
      <c r="Y709" s="14"/>
      <c r="Z709" s="14"/>
      <c r="AA709" s="14"/>
      <c r="AB709" s="14"/>
      <c r="AC709" s="14"/>
      <c r="AD709" s="14"/>
      <c r="AE709" s="14"/>
      <c r="AF709" s="14"/>
      <c r="AG709" s="14"/>
      <c r="AH709" s="14"/>
      <c r="AI709" s="7"/>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row>
    <row r="710">
      <c r="A710" s="14"/>
      <c r="B710" s="14"/>
      <c r="C710" s="14"/>
      <c r="D710" s="14"/>
      <c r="E710" s="7"/>
      <c r="F710" s="7"/>
      <c r="G710" s="7"/>
      <c r="H710" s="7"/>
      <c r="I710" s="7"/>
      <c r="J710" s="14"/>
      <c r="K710" s="7"/>
      <c r="L710" s="14"/>
      <c r="M710" s="14"/>
      <c r="N710" s="14"/>
      <c r="O710" s="14"/>
      <c r="P710" s="14"/>
      <c r="Q710" s="14"/>
      <c r="R710" s="14"/>
      <c r="S710" s="14"/>
      <c r="T710" s="14"/>
      <c r="U710" s="14"/>
      <c r="V710" s="272"/>
      <c r="W710" s="272"/>
      <c r="X710" s="14"/>
      <c r="Y710" s="14"/>
      <c r="Z710" s="14"/>
      <c r="AA710" s="14"/>
      <c r="AB710" s="14"/>
      <c r="AC710" s="14"/>
      <c r="AD710" s="14"/>
      <c r="AE710" s="14"/>
      <c r="AF710" s="14"/>
      <c r="AG710" s="14"/>
      <c r="AH710" s="14"/>
      <c r="AI710" s="7"/>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row>
    <row r="711">
      <c r="A711" s="14"/>
      <c r="B711" s="14"/>
      <c r="C711" s="14"/>
      <c r="D711" s="14"/>
      <c r="E711" s="7"/>
      <c r="F711" s="7"/>
      <c r="G711" s="7"/>
      <c r="H711" s="7"/>
      <c r="I711" s="7"/>
      <c r="J711" s="14"/>
      <c r="K711" s="7"/>
      <c r="L711" s="14"/>
      <c r="M711" s="14"/>
      <c r="N711" s="14"/>
      <c r="O711" s="14"/>
      <c r="P711" s="14"/>
      <c r="Q711" s="14"/>
      <c r="R711" s="14"/>
      <c r="S711" s="14"/>
      <c r="T711" s="14"/>
      <c r="U711" s="14"/>
      <c r="V711" s="272"/>
      <c r="W711" s="272"/>
      <c r="X711" s="14"/>
      <c r="Y711" s="14"/>
      <c r="Z711" s="14"/>
      <c r="AA711" s="14"/>
      <c r="AB711" s="14"/>
      <c r="AC711" s="14"/>
      <c r="AD711" s="14"/>
      <c r="AE711" s="14"/>
      <c r="AF711" s="14"/>
      <c r="AG711" s="14"/>
      <c r="AH711" s="14"/>
      <c r="AI711" s="7"/>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row>
    <row r="712">
      <c r="A712" s="14"/>
      <c r="B712" s="14"/>
      <c r="C712" s="14"/>
      <c r="D712" s="14"/>
      <c r="E712" s="7"/>
      <c r="F712" s="7"/>
      <c r="G712" s="7"/>
      <c r="H712" s="7"/>
      <c r="I712" s="7"/>
      <c r="J712" s="14"/>
      <c r="K712" s="7"/>
      <c r="L712" s="14"/>
      <c r="M712" s="14"/>
      <c r="N712" s="14"/>
      <c r="O712" s="14"/>
      <c r="P712" s="14"/>
      <c r="Q712" s="14"/>
      <c r="R712" s="14"/>
      <c r="S712" s="14"/>
      <c r="T712" s="14"/>
      <c r="U712" s="14"/>
      <c r="V712" s="272"/>
      <c r="W712" s="272"/>
      <c r="X712" s="14"/>
      <c r="Y712" s="14"/>
      <c r="Z712" s="14"/>
      <c r="AA712" s="14"/>
      <c r="AB712" s="14"/>
      <c r="AC712" s="14"/>
      <c r="AD712" s="14"/>
      <c r="AE712" s="14"/>
      <c r="AF712" s="14"/>
      <c r="AG712" s="14"/>
      <c r="AH712" s="14"/>
      <c r="AI712" s="7"/>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row>
    <row r="713">
      <c r="A713" s="14"/>
      <c r="B713" s="14"/>
      <c r="C713" s="14"/>
      <c r="D713" s="14"/>
      <c r="E713" s="7"/>
      <c r="F713" s="7"/>
      <c r="G713" s="7"/>
      <c r="H713" s="7"/>
      <c r="I713" s="7"/>
      <c r="J713" s="14"/>
      <c r="K713" s="7"/>
      <c r="L713" s="14"/>
      <c r="M713" s="14"/>
      <c r="N713" s="14"/>
      <c r="O713" s="14"/>
      <c r="P713" s="14"/>
      <c r="Q713" s="14"/>
      <c r="R713" s="14"/>
      <c r="S713" s="14"/>
      <c r="T713" s="14"/>
      <c r="U713" s="14"/>
      <c r="V713" s="272"/>
      <c r="W713" s="272"/>
      <c r="X713" s="14"/>
      <c r="Y713" s="14"/>
      <c r="Z713" s="14"/>
      <c r="AA713" s="14"/>
      <c r="AB713" s="14"/>
      <c r="AC713" s="14"/>
      <c r="AD713" s="14"/>
      <c r="AE713" s="14"/>
      <c r="AF713" s="14"/>
      <c r="AG713" s="14"/>
      <c r="AH713" s="14"/>
      <c r="AI713" s="7"/>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row>
    <row r="714">
      <c r="A714" s="14"/>
      <c r="B714" s="14"/>
      <c r="C714" s="14"/>
      <c r="D714" s="14"/>
      <c r="E714" s="7"/>
      <c r="F714" s="7"/>
      <c r="G714" s="7"/>
      <c r="H714" s="7"/>
      <c r="I714" s="7"/>
      <c r="J714" s="14"/>
      <c r="K714" s="7"/>
      <c r="L714" s="14"/>
      <c r="M714" s="14"/>
      <c r="N714" s="14"/>
      <c r="O714" s="14"/>
      <c r="P714" s="14"/>
      <c r="Q714" s="14"/>
      <c r="R714" s="14"/>
      <c r="S714" s="14"/>
      <c r="T714" s="14"/>
      <c r="U714" s="14"/>
      <c r="V714" s="272"/>
      <c r="W714" s="272"/>
      <c r="X714" s="14"/>
      <c r="Y714" s="14"/>
      <c r="Z714" s="14"/>
      <c r="AA714" s="14"/>
      <c r="AB714" s="14"/>
      <c r="AC714" s="14"/>
      <c r="AD714" s="14"/>
      <c r="AE714" s="14"/>
      <c r="AF714" s="14"/>
      <c r="AG714" s="14"/>
      <c r="AH714" s="14"/>
      <c r="AI714" s="7"/>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row>
    <row r="715">
      <c r="A715" s="14"/>
      <c r="B715" s="14"/>
      <c r="C715" s="14"/>
      <c r="D715" s="14"/>
      <c r="E715" s="7"/>
      <c r="F715" s="7"/>
      <c r="G715" s="7"/>
      <c r="H715" s="7"/>
      <c r="I715" s="7"/>
      <c r="J715" s="14"/>
      <c r="K715" s="7"/>
      <c r="L715" s="14"/>
      <c r="M715" s="14"/>
      <c r="N715" s="14"/>
      <c r="O715" s="14"/>
      <c r="P715" s="14"/>
      <c r="Q715" s="14"/>
      <c r="R715" s="14"/>
      <c r="S715" s="14"/>
      <c r="T715" s="14"/>
      <c r="U715" s="14"/>
      <c r="V715" s="272"/>
      <c r="W715" s="272"/>
      <c r="X715" s="14"/>
      <c r="Y715" s="14"/>
      <c r="Z715" s="14"/>
      <c r="AA715" s="14"/>
      <c r="AB715" s="14"/>
      <c r="AC715" s="14"/>
      <c r="AD715" s="14"/>
      <c r="AE715" s="14"/>
      <c r="AF715" s="14"/>
      <c r="AG715" s="14"/>
      <c r="AH715" s="14"/>
      <c r="AI715" s="7"/>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row>
    <row r="716">
      <c r="A716" s="14"/>
      <c r="B716" s="14"/>
      <c r="C716" s="14"/>
      <c r="D716" s="14"/>
      <c r="E716" s="7"/>
      <c r="F716" s="7"/>
      <c r="G716" s="7"/>
      <c r="H716" s="7"/>
      <c r="I716" s="7"/>
      <c r="J716" s="14"/>
      <c r="K716" s="7"/>
      <c r="L716" s="14"/>
      <c r="M716" s="14"/>
      <c r="N716" s="14"/>
      <c r="O716" s="14"/>
      <c r="P716" s="14"/>
      <c r="Q716" s="14"/>
      <c r="R716" s="14"/>
      <c r="S716" s="14"/>
      <c r="T716" s="14"/>
      <c r="U716" s="14"/>
      <c r="V716" s="272"/>
      <c r="W716" s="272"/>
      <c r="X716" s="14"/>
      <c r="Y716" s="14"/>
      <c r="Z716" s="14"/>
      <c r="AA716" s="14"/>
      <c r="AB716" s="14"/>
      <c r="AC716" s="14"/>
      <c r="AD716" s="14"/>
      <c r="AE716" s="14"/>
      <c r="AF716" s="14"/>
      <c r="AG716" s="14"/>
      <c r="AH716" s="14"/>
      <c r="AI716" s="7"/>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row>
    <row r="717">
      <c r="A717" s="14"/>
      <c r="B717" s="14"/>
      <c r="C717" s="14"/>
      <c r="D717" s="14"/>
      <c r="E717" s="7"/>
      <c r="F717" s="7"/>
      <c r="G717" s="7"/>
      <c r="H717" s="7"/>
      <c r="I717" s="7"/>
      <c r="J717" s="14"/>
      <c r="K717" s="7"/>
      <c r="L717" s="14"/>
      <c r="M717" s="14"/>
      <c r="N717" s="14"/>
      <c r="O717" s="14"/>
      <c r="P717" s="14"/>
      <c r="Q717" s="14"/>
      <c r="R717" s="14"/>
      <c r="S717" s="14"/>
      <c r="T717" s="14"/>
      <c r="U717" s="14"/>
      <c r="V717" s="272"/>
      <c r="W717" s="272"/>
      <c r="X717" s="14"/>
      <c r="Y717" s="14"/>
      <c r="Z717" s="14"/>
      <c r="AA717" s="14"/>
      <c r="AB717" s="14"/>
      <c r="AC717" s="14"/>
      <c r="AD717" s="14"/>
      <c r="AE717" s="14"/>
      <c r="AF717" s="14"/>
      <c r="AG717" s="14"/>
      <c r="AH717" s="14"/>
      <c r="AI717" s="7"/>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row>
    <row r="718">
      <c r="A718" s="14"/>
      <c r="B718" s="14"/>
      <c r="C718" s="14"/>
      <c r="D718" s="14"/>
      <c r="E718" s="7"/>
      <c r="F718" s="7"/>
      <c r="G718" s="7"/>
      <c r="H718" s="7"/>
      <c r="I718" s="7"/>
      <c r="J718" s="14"/>
      <c r="K718" s="7"/>
      <c r="L718" s="14"/>
      <c r="M718" s="14"/>
      <c r="N718" s="14"/>
      <c r="O718" s="14"/>
      <c r="P718" s="14"/>
      <c r="Q718" s="14"/>
      <c r="R718" s="14"/>
      <c r="S718" s="14"/>
      <c r="T718" s="14"/>
      <c r="U718" s="14"/>
      <c r="V718" s="272"/>
      <c r="W718" s="272"/>
      <c r="X718" s="14"/>
      <c r="Y718" s="14"/>
      <c r="Z718" s="14"/>
      <c r="AA718" s="14"/>
      <c r="AB718" s="14"/>
      <c r="AC718" s="14"/>
      <c r="AD718" s="14"/>
      <c r="AE718" s="14"/>
      <c r="AF718" s="14"/>
      <c r="AG718" s="14"/>
      <c r="AH718" s="14"/>
      <c r="AI718" s="7"/>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row>
    <row r="719">
      <c r="A719" s="14"/>
      <c r="B719" s="14"/>
      <c r="C719" s="14"/>
      <c r="D719" s="14"/>
      <c r="E719" s="7"/>
      <c r="F719" s="7"/>
      <c r="G719" s="7"/>
      <c r="H719" s="7"/>
      <c r="I719" s="7"/>
      <c r="J719" s="14"/>
      <c r="K719" s="7"/>
      <c r="L719" s="14"/>
      <c r="M719" s="14"/>
      <c r="N719" s="14"/>
      <c r="O719" s="14"/>
      <c r="P719" s="14"/>
      <c r="Q719" s="14"/>
      <c r="R719" s="14"/>
      <c r="S719" s="14"/>
      <c r="T719" s="14"/>
      <c r="U719" s="14"/>
      <c r="V719" s="272"/>
      <c r="W719" s="272"/>
      <c r="X719" s="14"/>
      <c r="Y719" s="14"/>
      <c r="Z719" s="14"/>
      <c r="AA719" s="14"/>
      <c r="AB719" s="14"/>
      <c r="AC719" s="14"/>
      <c r="AD719" s="14"/>
      <c r="AE719" s="14"/>
      <c r="AF719" s="14"/>
      <c r="AG719" s="14"/>
      <c r="AH719" s="14"/>
      <c r="AI719" s="7"/>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row>
    <row r="720">
      <c r="A720" s="14"/>
      <c r="B720" s="14"/>
      <c r="C720" s="14"/>
      <c r="D720" s="14"/>
      <c r="E720" s="7"/>
      <c r="F720" s="7"/>
      <c r="G720" s="7"/>
      <c r="H720" s="7"/>
      <c r="I720" s="7"/>
      <c r="J720" s="14"/>
      <c r="K720" s="7"/>
      <c r="L720" s="14"/>
      <c r="M720" s="14"/>
      <c r="N720" s="14"/>
      <c r="O720" s="14"/>
      <c r="P720" s="14"/>
      <c r="Q720" s="14"/>
      <c r="R720" s="14"/>
      <c r="S720" s="14"/>
      <c r="T720" s="14"/>
      <c r="U720" s="14"/>
      <c r="V720" s="272"/>
      <c r="W720" s="272"/>
      <c r="X720" s="14"/>
      <c r="Y720" s="14"/>
      <c r="Z720" s="14"/>
      <c r="AA720" s="14"/>
      <c r="AB720" s="14"/>
      <c r="AC720" s="14"/>
      <c r="AD720" s="14"/>
      <c r="AE720" s="14"/>
      <c r="AF720" s="14"/>
      <c r="AG720" s="14"/>
      <c r="AH720" s="14"/>
      <c r="AI720" s="7"/>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row>
    <row r="721">
      <c r="A721" s="14"/>
      <c r="B721" s="14"/>
      <c r="C721" s="14"/>
      <c r="D721" s="14"/>
      <c r="E721" s="7"/>
      <c r="F721" s="7"/>
      <c r="G721" s="7"/>
      <c r="H721" s="7"/>
      <c r="I721" s="7"/>
      <c r="J721" s="14"/>
      <c r="K721" s="7"/>
      <c r="L721" s="14"/>
      <c r="M721" s="14"/>
      <c r="N721" s="14"/>
      <c r="O721" s="14"/>
      <c r="P721" s="14"/>
      <c r="Q721" s="14"/>
      <c r="R721" s="14"/>
      <c r="S721" s="14"/>
      <c r="T721" s="14"/>
      <c r="U721" s="14"/>
      <c r="V721" s="272"/>
      <c r="W721" s="272"/>
      <c r="X721" s="14"/>
      <c r="Y721" s="14"/>
      <c r="Z721" s="14"/>
      <c r="AA721" s="14"/>
      <c r="AB721" s="14"/>
      <c r="AC721" s="14"/>
      <c r="AD721" s="14"/>
      <c r="AE721" s="14"/>
      <c r="AF721" s="14"/>
      <c r="AG721" s="14"/>
      <c r="AH721" s="14"/>
      <c r="AI721" s="7"/>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row>
    <row r="722">
      <c r="A722" s="14"/>
      <c r="B722" s="14"/>
      <c r="C722" s="14"/>
      <c r="D722" s="14"/>
      <c r="E722" s="7"/>
      <c r="F722" s="7"/>
      <c r="G722" s="7"/>
      <c r="H722" s="7"/>
      <c r="I722" s="7"/>
      <c r="J722" s="14"/>
      <c r="K722" s="7"/>
      <c r="L722" s="14"/>
      <c r="M722" s="14"/>
      <c r="N722" s="14"/>
      <c r="O722" s="14"/>
      <c r="P722" s="14"/>
      <c r="Q722" s="14"/>
      <c r="R722" s="14"/>
      <c r="S722" s="14"/>
      <c r="T722" s="14"/>
      <c r="U722" s="14"/>
      <c r="V722" s="272"/>
      <c r="W722" s="272"/>
      <c r="X722" s="14"/>
      <c r="Y722" s="14"/>
      <c r="Z722" s="14"/>
      <c r="AA722" s="14"/>
      <c r="AB722" s="14"/>
      <c r="AC722" s="14"/>
      <c r="AD722" s="14"/>
      <c r="AE722" s="14"/>
      <c r="AF722" s="14"/>
      <c r="AG722" s="14"/>
      <c r="AH722" s="14"/>
      <c r="AI722" s="7"/>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row>
    <row r="723">
      <c r="A723" s="14"/>
      <c r="B723" s="14"/>
      <c r="C723" s="14"/>
      <c r="D723" s="14"/>
      <c r="E723" s="7"/>
      <c r="F723" s="7"/>
      <c r="G723" s="7"/>
      <c r="H723" s="7"/>
      <c r="I723" s="7"/>
      <c r="J723" s="14"/>
      <c r="K723" s="7"/>
      <c r="L723" s="14"/>
      <c r="M723" s="14"/>
      <c r="N723" s="14"/>
      <c r="O723" s="14"/>
      <c r="P723" s="14"/>
      <c r="Q723" s="14"/>
      <c r="R723" s="14"/>
      <c r="S723" s="14"/>
      <c r="T723" s="14"/>
      <c r="U723" s="14"/>
      <c r="V723" s="272"/>
      <c r="W723" s="272"/>
      <c r="X723" s="14"/>
      <c r="Y723" s="14"/>
      <c r="Z723" s="14"/>
      <c r="AA723" s="14"/>
      <c r="AB723" s="14"/>
      <c r="AC723" s="14"/>
      <c r="AD723" s="14"/>
      <c r="AE723" s="14"/>
      <c r="AF723" s="14"/>
      <c r="AG723" s="14"/>
      <c r="AH723" s="14"/>
      <c r="AI723" s="7"/>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row>
    <row r="724">
      <c r="A724" s="14"/>
      <c r="B724" s="14"/>
      <c r="C724" s="14"/>
      <c r="D724" s="14"/>
      <c r="E724" s="7"/>
      <c r="F724" s="7"/>
      <c r="G724" s="7"/>
      <c r="H724" s="7"/>
      <c r="I724" s="7"/>
      <c r="J724" s="14"/>
      <c r="K724" s="7"/>
      <c r="L724" s="14"/>
      <c r="M724" s="14"/>
      <c r="N724" s="14"/>
      <c r="O724" s="14"/>
      <c r="P724" s="14"/>
      <c r="Q724" s="14"/>
      <c r="R724" s="14"/>
      <c r="S724" s="14"/>
      <c r="T724" s="14"/>
      <c r="U724" s="14"/>
      <c r="V724" s="272"/>
      <c r="W724" s="272"/>
      <c r="X724" s="14"/>
      <c r="Y724" s="14"/>
      <c r="Z724" s="14"/>
      <c r="AA724" s="14"/>
      <c r="AB724" s="14"/>
      <c r="AC724" s="14"/>
      <c r="AD724" s="14"/>
      <c r="AE724" s="14"/>
      <c r="AF724" s="14"/>
      <c r="AG724" s="14"/>
      <c r="AH724" s="14"/>
      <c r="AI724" s="7"/>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row>
    <row r="725">
      <c r="A725" s="14"/>
      <c r="B725" s="14"/>
      <c r="C725" s="14"/>
      <c r="D725" s="14"/>
      <c r="E725" s="7"/>
      <c r="F725" s="7"/>
      <c r="G725" s="7"/>
      <c r="H725" s="7"/>
      <c r="I725" s="7"/>
      <c r="J725" s="14"/>
      <c r="K725" s="7"/>
      <c r="L725" s="14"/>
      <c r="M725" s="14"/>
      <c r="N725" s="14"/>
      <c r="O725" s="14"/>
      <c r="P725" s="14"/>
      <c r="Q725" s="14"/>
      <c r="R725" s="14"/>
      <c r="S725" s="14"/>
      <c r="T725" s="14"/>
      <c r="U725" s="14"/>
      <c r="V725" s="272"/>
      <c r="W725" s="272"/>
      <c r="X725" s="14"/>
      <c r="Y725" s="14"/>
      <c r="Z725" s="14"/>
      <c r="AA725" s="14"/>
      <c r="AB725" s="14"/>
      <c r="AC725" s="14"/>
      <c r="AD725" s="14"/>
      <c r="AE725" s="14"/>
      <c r="AF725" s="14"/>
      <c r="AG725" s="14"/>
      <c r="AH725" s="14"/>
      <c r="AI725" s="7"/>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row>
    <row r="726">
      <c r="A726" s="14"/>
      <c r="B726" s="14"/>
      <c r="C726" s="14"/>
      <c r="D726" s="14"/>
      <c r="E726" s="7"/>
      <c r="F726" s="7"/>
      <c r="G726" s="7"/>
      <c r="H726" s="7"/>
      <c r="I726" s="7"/>
      <c r="J726" s="14"/>
      <c r="K726" s="7"/>
      <c r="L726" s="14"/>
      <c r="M726" s="14"/>
      <c r="N726" s="14"/>
      <c r="O726" s="14"/>
      <c r="P726" s="14"/>
      <c r="Q726" s="14"/>
      <c r="R726" s="14"/>
      <c r="S726" s="14"/>
      <c r="T726" s="14"/>
      <c r="U726" s="14"/>
      <c r="V726" s="272"/>
      <c r="W726" s="272"/>
      <c r="X726" s="14"/>
      <c r="Y726" s="14"/>
      <c r="Z726" s="14"/>
      <c r="AA726" s="14"/>
      <c r="AB726" s="14"/>
      <c r="AC726" s="14"/>
      <c r="AD726" s="14"/>
      <c r="AE726" s="14"/>
      <c r="AF726" s="14"/>
      <c r="AG726" s="14"/>
      <c r="AH726" s="14"/>
      <c r="AI726" s="7"/>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row>
    <row r="727">
      <c r="A727" s="14"/>
      <c r="B727" s="14"/>
      <c r="C727" s="14"/>
      <c r="D727" s="14"/>
      <c r="E727" s="7"/>
      <c r="F727" s="7"/>
      <c r="G727" s="7"/>
      <c r="H727" s="7"/>
      <c r="I727" s="7"/>
      <c r="J727" s="14"/>
      <c r="K727" s="7"/>
      <c r="L727" s="14"/>
      <c r="M727" s="14"/>
      <c r="N727" s="14"/>
      <c r="O727" s="14"/>
      <c r="P727" s="14"/>
      <c r="Q727" s="14"/>
      <c r="R727" s="14"/>
      <c r="S727" s="14"/>
      <c r="T727" s="14"/>
      <c r="U727" s="14"/>
      <c r="V727" s="272"/>
      <c r="W727" s="272"/>
      <c r="X727" s="14"/>
      <c r="Y727" s="14"/>
      <c r="Z727" s="14"/>
      <c r="AA727" s="14"/>
      <c r="AB727" s="14"/>
      <c r="AC727" s="14"/>
      <c r="AD727" s="14"/>
      <c r="AE727" s="14"/>
      <c r="AF727" s="14"/>
      <c r="AG727" s="14"/>
      <c r="AH727" s="14"/>
      <c r="AI727" s="7"/>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row>
    <row r="728">
      <c r="A728" s="14"/>
      <c r="B728" s="14"/>
      <c r="C728" s="14"/>
      <c r="D728" s="14"/>
      <c r="E728" s="7"/>
      <c r="F728" s="7"/>
      <c r="G728" s="7"/>
      <c r="H728" s="7"/>
      <c r="I728" s="7"/>
      <c r="J728" s="14"/>
      <c r="K728" s="7"/>
      <c r="L728" s="14"/>
      <c r="M728" s="14"/>
      <c r="N728" s="14"/>
      <c r="O728" s="14"/>
      <c r="P728" s="14"/>
      <c r="Q728" s="14"/>
      <c r="R728" s="14"/>
      <c r="S728" s="14"/>
      <c r="T728" s="14"/>
      <c r="U728" s="14"/>
      <c r="V728" s="272"/>
      <c r="W728" s="272"/>
      <c r="X728" s="14"/>
      <c r="Y728" s="14"/>
      <c r="Z728" s="14"/>
      <c r="AA728" s="14"/>
      <c r="AB728" s="14"/>
      <c r="AC728" s="14"/>
      <c r="AD728" s="14"/>
      <c r="AE728" s="14"/>
      <c r="AF728" s="14"/>
      <c r="AG728" s="14"/>
      <c r="AH728" s="14"/>
      <c r="AI728" s="7"/>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row>
    <row r="729">
      <c r="A729" s="14"/>
      <c r="B729" s="14"/>
      <c r="C729" s="14"/>
      <c r="D729" s="14"/>
      <c r="E729" s="7"/>
      <c r="F729" s="7"/>
      <c r="G729" s="7"/>
      <c r="H729" s="7"/>
      <c r="I729" s="7"/>
      <c r="J729" s="14"/>
      <c r="K729" s="7"/>
      <c r="L729" s="14"/>
      <c r="M729" s="14"/>
      <c r="N729" s="14"/>
      <c r="O729" s="14"/>
      <c r="P729" s="14"/>
      <c r="Q729" s="14"/>
      <c r="R729" s="14"/>
      <c r="S729" s="14"/>
      <c r="T729" s="14"/>
      <c r="U729" s="14"/>
      <c r="V729" s="272"/>
      <c r="W729" s="272"/>
      <c r="X729" s="14"/>
      <c r="Y729" s="14"/>
      <c r="Z729" s="14"/>
      <c r="AA729" s="14"/>
      <c r="AB729" s="14"/>
      <c r="AC729" s="14"/>
      <c r="AD729" s="14"/>
      <c r="AE729" s="14"/>
      <c r="AF729" s="14"/>
      <c r="AG729" s="14"/>
      <c r="AH729" s="14"/>
      <c r="AI729" s="7"/>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row>
    <row r="730">
      <c r="A730" s="14"/>
      <c r="B730" s="14"/>
      <c r="C730" s="14"/>
      <c r="D730" s="14"/>
      <c r="E730" s="7"/>
      <c r="F730" s="7"/>
      <c r="G730" s="7"/>
      <c r="H730" s="7"/>
      <c r="I730" s="7"/>
      <c r="J730" s="14"/>
      <c r="K730" s="7"/>
      <c r="L730" s="14"/>
      <c r="M730" s="14"/>
      <c r="N730" s="14"/>
      <c r="O730" s="14"/>
      <c r="P730" s="14"/>
      <c r="Q730" s="14"/>
      <c r="R730" s="14"/>
      <c r="S730" s="14"/>
      <c r="T730" s="14"/>
      <c r="U730" s="14"/>
      <c r="V730" s="272"/>
      <c r="W730" s="272"/>
      <c r="X730" s="14"/>
      <c r="Y730" s="14"/>
      <c r="Z730" s="14"/>
      <c r="AA730" s="14"/>
      <c r="AB730" s="14"/>
      <c r="AC730" s="14"/>
      <c r="AD730" s="14"/>
      <c r="AE730" s="14"/>
      <c r="AF730" s="14"/>
      <c r="AG730" s="14"/>
      <c r="AH730" s="14"/>
      <c r="AI730" s="7"/>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row>
    <row r="731">
      <c r="A731" s="14"/>
      <c r="B731" s="14"/>
      <c r="C731" s="14"/>
      <c r="D731" s="14"/>
      <c r="E731" s="7"/>
      <c r="F731" s="7"/>
      <c r="G731" s="7"/>
      <c r="H731" s="7"/>
      <c r="I731" s="7"/>
      <c r="J731" s="14"/>
      <c r="K731" s="7"/>
      <c r="L731" s="14"/>
      <c r="M731" s="14"/>
      <c r="N731" s="14"/>
      <c r="O731" s="14"/>
      <c r="P731" s="14"/>
      <c r="Q731" s="14"/>
      <c r="R731" s="14"/>
      <c r="S731" s="14"/>
      <c r="T731" s="14"/>
      <c r="U731" s="14"/>
      <c r="V731" s="272"/>
      <c r="W731" s="272"/>
      <c r="X731" s="14"/>
      <c r="Y731" s="14"/>
      <c r="Z731" s="14"/>
      <c r="AA731" s="14"/>
      <c r="AB731" s="14"/>
      <c r="AC731" s="14"/>
      <c r="AD731" s="14"/>
      <c r="AE731" s="14"/>
      <c r="AF731" s="14"/>
      <c r="AG731" s="14"/>
      <c r="AH731" s="14"/>
      <c r="AI731" s="7"/>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row>
    <row r="732">
      <c r="A732" s="14"/>
      <c r="B732" s="14"/>
      <c r="C732" s="14"/>
      <c r="D732" s="14"/>
      <c r="E732" s="7"/>
      <c r="F732" s="7"/>
      <c r="G732" s="7"/>
      <c r="H732" s="7"/>
      <c r="I732" s="7"/>
      <c r="J732" s="14"/>
      <c r="K732" s="7"/>
      <c r="L732" s="14"/>
      <c r="M732" s="14"/>
      <c r="N732" s="14"/>
      <c r="O732" s="14"/>
      <c r="P732" s="14"/>
      <c r="Q732" s="14"/>
      <c r="R732" s="14"/>
      <c r="S732" s="14"/>
      <c r="T732" s="14"/>
      <c r="U732" s="14"/>
      <c r="V732" s="272"/>
      <c r="W732" s="272"/>
      <c r="X732" s="14"/>
      <c r="Y732" s="14"/>
      <c r="Z732" s="14"/>
      <c r="AA732" s="14"/>
      <c r="AB732" s="14"/>
      <c r="AC732" s="14"/>
      <c r="AD732" s="14"/>
      <c r="AE732" s="14"/>
      <c r="AF732" s="14"/>
      <c r="AG732" s="14"/>
      <c r="AH732" s="14"/>
      <c r="AI732" s="7"/>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row>
    <row r="733">
      <c r="A733" s="14"/>
      <c r="B733" s="14"/>
      <c r="C733" s="14"/>
      <c r="D733" s="14"/>
      <c r="E733" s="7"/>
      <c r="F733" s="7"/>
      <c r="G733" s="7"/>
      <c r="H733" s="7"/>
      <c r="I733" s="7"/>
      <c r="J733" s="14"/>
      <c r="K733" s="7"/>
      <c r="L733" s="14"/>
      <c r="M733" s="14"/>
      <c r="N733" s="14"/>
      <c r="O733" s="14"/>
      <c r="P733" s="14"/>
      <c r="Q733" s="14"/>
      <c r="R733" s="14"/>
      <c r="S733" s="14"/>
      <c r="T733" s="14"/>
      <c r="U733" s="14"/>
      <c r="V733" s="272"/>
      <c r="W733" s="272"/>
      <c r="X733" s="14"/>
      <c r="Y733" s="14"/>
      <c r="Z733" s="14"/>
      <c r="AA733" s="14"/>
      <c r="AB733" s="14"/>
      <c r="AC733" s="14"/>
      <c r="AD733" s="14"/>
      <c r="AE733" s="14"/>
      <c r="AF733" s="14"/>
      <c r="AG733" s="14"/>
      <c r="AH733" s="14"/>
      <c r="AI733" s="7"/>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row>
    <row r="734">
      <c r="A734" s="14"/>
      <c r="B734" s="14"/>
      <c r="C734" s="14"/>
      <c r="D734" s="14"/>
      <c r="E734" s="7"/>
      <c r="F734" s="7"/>
      <c r="G734" s="7"/>
      <c r="H734" s="7"/>
      <c r="I734" s="7"/>
      <c r="J734" s="14"/>
      <c r="K734" s="7"/>
      <c r="L734" s="14"/>
      <c r="M734" s="14"/>
      <c r="N734" s="14"/>
      <c r="O734" s="14"/>
      <c r="P734" s="14"/>
      <c r="Q734" s="14"/>
      <c r="R734" s="14"/>
      <c r="S734" s="14"/>
      <c r="T734" s="14"/>
      <c r="U734" s="14"/>
      <c r="V734" s="272"/>
      <c r="W734" s="272"/>
      <c r="X734" s="14"/>
      <c r="Y734" s="14"/>
      <c r="Z734" s="14"/>
      <c r="AA734" s="14"/>
      <c r="AB734" s="14"/>
      <c r="AC734" s="14"/>
      <c r="AD734" s="14"/>
      <c r="AE734" s="14"/>
      <c r="AF734" s="14"/>
      <c r="AG734" s="14"/>
      <c r="AH734" s="14"/>
      <c r="AI734" s="7"/>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row>
    <row r="735">
      <c r="A735" s="14"/>
      <c r="B735" s="14"/>
      <c r="C735" s="14"/>
      <c r="D735" s="14"/>
      <c r="E735" s="7"/>
      <c r="F735" s="7"/>
      <c r="G735" s="7"/>
      <c r="H735" s="7"/>
      <c r="I735" s="7"/>
      <c r="J735" s="14"/>
      <c r="K735" s="7"/>
      <c r="L735" s="14"/>
      <c r="M735" s="14"/>
      <c r="N735" s="14"/>
      <c r="O735" s="14"/>
      <c r="P735" s="14"/>
      <c r="Q735" s="14"/>
      <c r="R735" s="14"/>
      <c r="S735" s="14"/>
      <c r="T735" s="14"/>
      <c r="U735" s="14"/>
      <c r="V735" s="272"/>
      <c r="W735" s="272"/>
      <c r="X735" s="14"/>
      <c r="Y735" s="14"/>
      <c r="Z735" s="14"/>
      <c r="AA735" s="14"/>
      <c r="AB735" s="14"/>
      <c r="AC735" s="14"/>
      <c r="AD735" s="14"/>
      <c r="AE735" s="14"/>
      <c r="AF735" s="14"/>
      <c r="AG735" s="14"/>
      <c r="AH735" s="14"/>
      <c r="AI735" s="7"/>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row>
    <row r="736">
      <c r="A736" s="14"/>
      <c r="B736" s="14"/>
      <c r="C736" s="14"/>
      <c r="D736" s="14"/>
      <c r="E736" s="7"/>
      <c r="F736" s="7"/>
      <c r="G736" s="7"/>
      <c r="H736" s="7"/>
      <c r="I736" s="7"/>
      <c r="J736" s="14"/>
      <c r="K736" s="7"/>
      <c r="L736" s="14"/>
      <c r="M736" s="14"/>
      <c r="N736" s="14"/>
      <c r="O736" s="14"/>
      <c r="P736" s="14"/>
      <c r="Q736" s="14"/>
      <c r="R736" s="14"/>
      <c r="S736" s="14"/>
      <c r="T736" s="14"/>
      <c r="U736" s="14"/>
      <c r="V736" s="272"/>
      <c r="W736" s="272"/>
      <c r="X736" s="14"/>
      <c r="Y736" s="14"/>
      <c r="Z736" s="14"/>
      <c r="AA736" s="14"/>
      <c r="AB736" s="14"/>
      <c r="AC736" s="14"/>
      <c r="AD736" s="14"/>
      <c r="AE736" s="14"/>
      <c r="AF736" s="14"/>
      <c r="AG736" s="14"/>
      <c r="AH736" s="14"/>
      <c r="AI736" s="7"/>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row>
    <row r="737">
      <c r="A737" s="14"/>
      <c r="B737" s="14"/>
      <c r="C737" s="14"/>
      <c r="D737" s="14"/>
      <c r="E737" s="7"/>
      <c r="F737" s="7"/>
      <c r="G737" s="7"/>
      <c r="H737" s="7"/>
      <c r="I737" s="7"/>
      <c r="J737" s="14"/>
      <c r="K737" s="7"/>
      <c r="L737" s="14"/>
      <c r="M737" s="14"/>
      <c r="N737" s="14"/>
      <c r="O737" s="14"/>
      <c r="P737" s="14"/>
      <c r="Q737" s="14"/>
      <c r="R737" s="14"/>
      <c r="S737" s="14"/>
      <c r="T737" s="14"/>
      <c r="U737" s="14"/>
      <c r="V737" s="272"/>
      <c r="W737" s="272"/>
      <c r="X737" s="14"/>
      <c r="Y737" s="14"/>
      <c r="Z737" s="14"/>
      <c r="AA737" s="14"/>
      <c r="AB737" s="14"/>
      <c r="AC737" s="14"/>
      <c r="AD737" s="14"/>
      <c r="AE737" s="14"/>
      <c r="AF737" s="14"/>
      <c r="AG737" s="14"/>
      <c r="AH737" s="14"/>
      <c r="AI737" s="7"/>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row>
    <row r="738">
      <c r="A738" s="14"/>
      <c r="B738" s="14"/>
      <c r="C738" s="14"/>
      <c r="D738" s="14"/>
      <c r="E738" s="7"/>
      <c r="F738" s="7"/>
      <c r="G738" s="7"/>
      <c r="H738" s="7"/>
      <c r="I738" s="7"/>
      <c r="J738" s="14"/>
      <c r="K738" s="7"/>
      <c r="L738" s="14"/>
      <c r="M738" s="14"/>
      <c r="N738" s="14"/>
      <c r="O738" s="14"/>
      <c r="P738" s="14"/>
      <c r="Q738" s="14"/>
      <c r="R738" s="14"/>
      <c r="S738" s="14"/>
      <c r="T738" s="14"/>
      <c r="U738" s="14"/>
      <c r="V738" s="272"/>
      <c r="W738" s="272"/>
      <c r="X738" s="14"/>
      <c r="Y738" s="14"/>
      <c r="Z738" s="14"/>
      <c r="AA738" s="14"/>
      <c r="AB738" s="14"/>
      <c r="AC738" s="14"/>
      <c r="AD738" s="14"/>
      <c r="AE738" s="14"/>
      <c r="AF738" s="14"/>
      <c r="AG738" s="14"/>
      <c r="AH738" s="14"/>
      <c r="AI738" s="7"/>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row>
    <row r="739">
      <c r="A739" s="14"/>
      <c r="B739" s="14"/>
      <c r="C739" s="14"/>
      <c r="D739" s="14"/>
      <c r="E739" s="7"/>
      <c r="F739" s="7"/>
      <c r="G739" s="7"/>
      <c r="H739" s="7"/>
      <c r="I739" s="7"/>
      <c r="J739" s="14"/>
      <c r="K739" s="7"/>
      <c r="L739" s="14"/>
      <c r="M739" s="14"/>
      <c r="N739" s="14"/>
      <c r="O739" s="14"/>
      <c r="P739" s="14"/>
      <c r="Q739" s="14"/>
      <c r="R739" s="14"/>
      <c r="S739" s="14"/>
      <c r="T739" s="14"/>
      <c r="U739" s="14"/>
      <c r="V739" s="272"/>
      <c r="W739" s="272"/>
      <c r="X739" s="14"/>
      <c r="Y739" s="14"/>
      <c r="Z739" s="14"/>
      <c r="AA739" s="14"/>
      <c r="AB739" s="14"/>
      <c r="AC739" s="14"/>
      <c r="AD739" s="14"/>
      <c r="AE739" s="14"/>
      <c r="AF739" s="14"/>
      <c r="AG739" s="14"/>
      <c r="AH739" s="14"/>
      <c r="AI739" s="7"/>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row>
    <row r="740">
      <c r="A740" s="14"/>
      <c r="B740" s="14"/>
      <c r="C740" s="14"/>
      <c r="D740" s="14"/>
      <c r="E740" s="7"/>
      <c r="F740" s="7"/>
      <c r="G740" s="7"/>
      <c r="H740" s="7"/>
      <c r="I740" s="7"/>
      <c r="J740" s="14"/>
      <c r="K740" s="7"/>
      <c r="L740" s="14"/>
      <c r="M740" s="14"/>
      <c r="N740" s="14"/>
      <c r="O740" s="14"/>
      <c r="P740" s="14"/>
      <c r="Q740" s="14"/>
      <c r="R740" s="14"/>
      <c r="S740" s="14"/>
      <c r="T740" s="14"/>
      <c r="U740" s="14"/>
      <c r="V740" s="272"/>
      <c r="W740" s="272"/>
      <c r="X740" s="14"/>
      <c r="Y740" s="14"/>
      <c r="Z740" s="14"/>
      <c r="AA740" s="14"/>
      <c r="AB740" s="14"/>
      <c r="AC740" s="14"/>
      <c r="AD740" s="14"/>
      <c r="AE740" s="14"/>
      <c r="AF740" s="14"/>
      <c r="AG740" s="14"/>
      <c r="AH740" s="14"/>
      <c r="AI740" s="7"/>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row>
    <row r="741">
      <c r="A741" s="14"/>
      <c r="B741" s="14"/>
      <c r="C741" s="14"/>
      <c r="D741" s="14"/>
      <c r="E741" s="7"/>
      <c r="F741" s="7"/>
      <c r="G741" s="7"/>
      <c r="H741" s="7"/>
      <c r="I741" s="7"/>
      <c r="J741" s="14"/>
      <c r="K741" s="7"/>
      <c r="L741" s="14"/>
      <c r="M741" s="14"/>
      <c r="N741" s="14"/>
      <c r="O741" s="14"/>
      <c r="P741" s="14"/>
      <c r="Q741" s="14"/>
      <c r="R741" s="14"/>
      <c r="S741" s="14"/>
      <c r="T741" s="14"/>
      <c r="U741" s="14"/>
      <c r="V741" s="272"/>
      <c r="W741" s="272"/>
      <c r="X741" s="14"/>
      <c r="Y741" s="14"/>
      <c r="Z741" s="14"/>
      <c r="AA741" s="14"/>
      <c r="AB741" s="14"/>
      <c r="AC741" s="14"/>
      <c r="AD741" s="14"/>
      <c r="AE741" s="14"/>
      <c r="AF741" s="14"/>
      <c r="AG741" s="14"/>
      <c r="AH741" s="14"/>
      <c r="AI741" s="7"/>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row>
    <row r="742">
      <c r="A742" s="14"/>
      <c r="B742" s="14"/>
      <c r="C742" s="14"/>
      <c r="D742" s="14"/>
      <c r="E742" s="7"/>
      <c r="F742" s="7"/>
      <c r="G742" s="7"/>
      <c r="H742" s="7"/>
      <c r="I742" s="7"/>
      <c r="J742" s="14"/>
      <c r="K742" s="7"/>
      <c r="L742" s="14"/>
      <c r="M742" s="14"/>
      <c r="N742" s="14"/>
      <c r="O742" s="14"/>
      <c r="P742" s="14"/>
      <c r="Q742" s="14"/>
      <c r="R742" s="14"/>
      <c r="S742" s="14"/>
      <c r="T742" s="14"/>
      <c r="U742" s="14"/>
      <c r="V742" s="272"/>
      <c r="W742" s="272"/>
      <c r="X742" s="14"/>
      <c r="Y742" s="14"/>
      <c r="Z742" s="14"/>
      <c r="AA742" s="14"/>
      <c r="AB742" s="14"/>
      <c r="AC742" s="14"/>
      <c r="AD742" s="14"/>
      <c r="AE742" s="14"/>
      <c r="AF742" s="14"/>
      <c r="AG742" s="14"/>
      <c r="AH742" s="14"/>
      <c r="AI742" s="7"/>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row>
    <row r="743">
      <c r="A743" s="14"/>
      <c r="B743" s="14"/>
      <c r="C743" s="14"/>
      <c r="D743" s="14"/>
      <c r="E743" s="7"/>
      <c r="F743" s="7"/>
      <c r="G743" s="7"/>
      <c r="H743" s="7"/>
      <c r="I743" s="7"/>
      <c r="J743" s="14"/>
      <c r="K743" s="7"/>
      <c r="L743" s="14"/>
      <c r="M743" s="14"/>
      <c r="N743" s="14"/>
      <c r="O743" s="14"/>
      <c r="P743" s="14"/>
      <c r="Q743" s="14"/>
      <c r="R743" s="14"/>
      <c r="S743" s="14"/>
      <c r="T743" s="14"/>
      <c r="U743" s="14"/>
      <c r="V743" s="272"/>
      <c r="W743" s="272"/>
      <c r="X743" s="14"/>
      <c r="Y743" s="14"/>
      <c r="Z743" s="14"/>
      <c r="AA743" s="14"/>
      <c r="AB743" s="14"/>
      <c r="AC743" s="14"/>
      <c r="AD743" s="14"/>
      <c r="AE743" s="14"/>
      <c r="AF743" s="14"/>
      <c r="AG743" s="14"/>
      <c r="AH743" s="14"/>
      <c r="AI743" s="7"/>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row>
    <row r="744">
      <c r="A744" s="14"/>
      <c r="B744" s="14"/>
      <c r="C744" s="14"/>
      <c r="D744" s="14"/>
      <c r="E744" s="7"/>
      <c r="F744" s="7"/>
      <c r="G744" s="7"/>
      <c r="H744" s="7"/>
      <c r="I744" s="7"/>
      <c r="J744" s="14"/>
      <c r="K744" s="7"/>
      <c r="L744" s="14"/>
      <c r="M744" s="14"/>
      <c r="N744" s="14"/>
      <c r="O744" s="14"/>
      <c r="P744" s="14"/>
      <c r="Q744" s="14"/>
      <c r="R744" s="14"/>
      <c r="S744" s="14"/>
      <c r="T744" s="14"/>
      <c r="U744" s="14"/>
      <c r="V744" s="272"/>
      <c r="W744" s="272"/>
      <c r="X744" s="14"/>
      <c r="Y744" s="14"/>
      <c r="Z744" s="14"/>
      <c r="AA744" s="14"/>
      <c r="AB744" s="14"/>
      <c r="AC744" s="14"/>
      <c r="AD744" s="14"/>
      <c r="AE744" s="14"/>
      <c r="AF744" s="14"/>
      <c r="AG744" s="14"/>
      <c r="AH744" s="14"/>
      <c r="AI744" s="7"/>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row>
    <row r="745">
      <c r="A745" s="14"/>
      <c r="B745" s="14"/>
      <c r="C745" s="14"/>
      <c r="D745" s="14"/>
      <c r="E745" s="7"/>
      <c r="F745" s="7"/>
      <c r="G745" s="7"/>
      <c r="H745" s="7"/>
      <c r="I745" s="7"/>
      <c r="J745" s="14"/>
      <c r="K745" s="7"/>
      <c r="L745" s="14"/>
      <c r="M745" s="14"/>
      <c r="N745" s="14"/>
      <c r="O745" s="14"/>
      <c r="P745" s="14"/>
      <c r="Q745" s="14"/>
      <c r="R745" s="14"/>
      <c r="S745" s="14"/>
      <c r="T745" s="14"/>
      <c r="U745" s="14"/>
      <c r="V745" s="272"/>
      <c r="W745" s="272"/>
      <c r="X745" s="14"/>
      <c r="Y745" s="14"/>
      <c r="Z745" s="14"/>
      <c r="AA745" s="14"/>
      <c r="AB745" s="14"/>
      <c r="AC745" s="14"/>
      <c r="AD745" s="14"/>
      <c r="AE745" s="14"/>
      <c r="AF745" s="14"/>
      <c r="AG745" s="14"/>
      <c r="AH745" s="14"/>
      <c r="AI745" s="7"/>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row>
    <row r="746">
      <c r="A746" s="14"/>
      <c r="B746" s="14"/>
      <c r="C746" s="14"/>
      <c r="D746" s="14"/>
      <c r="E746" s="7"/>
      <c r="F746" s="7"/>
      <c r="G746" s="7"/>
      <c r="H746" s="7"/>
      <c r="I746" s="7"/>
      <c r="J746" s="14"/>
      <c r="K746" s="7"/>
      <c r="L746" s="14"/>
      <c r="M746" s="14"/>
      <c r="N746" s="14"/>
      <c r="O746" s="14"/>
      <c r="P746" s="14"/>
      <c r="Q746" s="14"/>
      <c r="R746" s="14"/>
      <c r="S746" s="14"/>
      <c r="T746" s="14"/>
      <c r="U746" s="14"/>
      <c r="V746" s="272"/>
      <c r="W746" s="272"/>
      <c r="X746" s="14"/>
      <c r="Y746" s="14"/>
      <c r="Z746" s="14"/>
      <c r="AA746" s="14"/>
      <c r="AB746" s="14"/>
      <c r="AC746" s="14"/>
      <c r="AD746" s="14"/>
      <c r="AE746" s="14"/>
      <c r="AF746" s="14"/>
      <c r="AG746" s="14"/>
      <c r="AH746" s="14"/>
      <c r="AI746" s="7"/>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row>
    <row r="747">
      <c r="A747" s="14"/>
      <c r="B747" s="14"/>
      <c r="C747" s="14"/>
      <c r="D747" s="14"/>
      <c r="E747" s="7"/>
      <c r="F747" s="7"/>
      <c r="G747" s="7"/>
      <c r="H747" s="7"/>
      <c r="I747" s="7"/>
      <c r="J747" s="14"/>
      <c r="K747" s="7"/>
      <c r="L747" s="14"/>
      <c r="M747" s="14"/>
      <c r="N747" s="14"/>
      <c r="O747" s="14"/>
      <c r="P747" s="14"/>
      <c r="Q747" s="14"/>
      <c r="R747" s="14"/>
      <c r="S747" s="14"/>
      <c r="T747" s="14"/>
      <c r="U747" s="14"/>
      <c r="V747" s="272"/>
      <c r="W747" s="272"/>
      <c r="X747" s="14"/>
      <c r="Y747" s="14"/>
      <c r="Z747" s="14"/>
      <c r="AA747" s="14"/>
      <c r="AB747" s="14"/>
      <c r="AC747" s="14"/>
      <c r="AD747" s="14"/>
      <c r="AE747" s="14"/>
      <c r="AF747" s="14"/>
      <c r="AG747" s="14"/>
      <c r="AH747" s="14"/>
      <c r="AI747" s="7"/>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row>
    <row r="748">
      <c r="A748" s="14"/>
      <c r="B748" s="14"/>
      <c r="C748" s="14"/>
      <c r="D748" s="14"/>
      <c r="E748" s="7"/>
      <c r="F748" s="7"/>
      <c r="G748" s="7"/>
      <c r="H748" s="7"/>
      <c r="I748" s="7"/>
      <c r="J748" s="14"/>
      <c r="K748" s="7"/>
      <c r="L748" s="14"/>
      <c r="M748" s="14"/>
      <c r="N748" s="14"/>
      <c r="O748" s="14"/>
      <c r="P748" s="14"/>
      <c r="Q748" s="14"/>
      <c r="R748" s="14"/>
      <c r="S748" s="14"/>
      <c r="T748" s="14"/>
      <c r="U748" s="14"/>
      <c r="V748" s="272"/>
      <c r="W748" s="272"/>
      <c r="X748" s="14"/>
      <c r="Y748" s="14"/>
      <c r="Z748" s="14"/>
      <c r="AA748" s="14"/>
      <c r="AB748" s="14"/>
      <c r="AC748" s="14"/>
      <c r="AD748" s="14"/>
      <c r="AE748" s="14"/>
      <c r="AF748" s="14"/>
      <c r="AG748" s="14"/>
      <c r="AH748" s="14"/>
      <c r="AI748" s="7"/>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row>
    <row r="749">
      <c r="A749" s="14"/>
      <c r="B749" s="14"/>
      <c r="C749" s="14"/>
      <c r="D749" s="14"/>
      <c r="E749" s="7"/>
      <c r="F749" s="7"/>
      <c r="G749" s="7"/>
      <c r="H749" s="7"/>
      <c r="I749" s="7"/>
      <c r="J749" s="14"/>
      <c r="K749" s="7"/>
      <c r="L749" s="14"/>
      <c r="M749" s="14"/>
      <c r="N749" s="14"/>
      <c r="O749" s="14"/>
      <c r="P749" s="14"/>
      <c r="Q749" s="14"/>
      <c r="R749" s="14"/>
      <c r="S749" s="14"/>
      <c r="T749" s="14"/>
      <c r="U749" s="14"/>
      <c r="V749" s="272"/>
      <c r="W749" s="272"/>
      <c r="X749" s="14"/>
      <c r="Y749" s="14"/>
      <c r="Z749" s="14"/>
      <c r="AA749" s="14"/>
      <c r="AB749" s="14"/>
      <c r="AC749" s="14"/>
      <c r="AD749" s="14"/>
      <c r="AE749" s="14"/>
      <c r="AF749" s="14"/>
      <c r="AG749" s="14"/>
      <c r="AH749" s="14"/>
      <c r="AI749" s="7"/>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row>
    <row r="750">
      <c r="A750" s="14"/>
      <c r="B750" s="14"/>
      <c r="C750" s="14"/>
      <c r="D750" s="14"/>
      <c r="E750" s="7"/>
      <c r="F750" s="7"/>
      <c r="G750" s="7"/>
      <c r="H750" s="7"/>
      <c r="I750" s="7"/>
      <c r="J750" s="14"/>
      <c r="K750" s="7"/>
      <c r="L750" s="14"/>
      <c r="M750" s="14"/>
      <c r="N750" s="14"/>
      <c r="O750" s="14"/>
      <c r="P750" s="14"/>
      <c r="Q750" s="14"/>
      <c r="R750" s="14"/>
      <c r="S750" s="14"/>
      <c r="T750" s="14"/>
      <c r="U750" s="14"/>
      <c r="V750" s="272"/>
      <c r="W750" s="272"/>
      <c r="X750" s="14"/>
      <c r="Y750" s="14"/>
      <c r="Z750" s="14"/>
      <c r="AA750" s="14"/>
      <c r="AB750" s="14"/>
      <c r="AC750" s="14"/>
      <c r="AD750" s="14"/>
      <c r="AE750" s="14"/>
      <c r="AF750" s="14"/>
      <c r="AG750" s="14"/>
      <c r="AH750" s="14"/>
      <c r="AI750" s="7"/>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row>
    <row r="751">
      <c r="A751" s="14"/>
      <c r="B751" s="14"/>
      <c r="C751" s="14"/>
      <c r="D751" s="14"/>
      <c r="E751" s="7"/>
      <c r="F751" s="7"/>
      <c r="G751" s="7"/>
      <c r="H751" s="7"/>
      <c r="I751" s="7"/>
      <c r="J751" s="14"/>
      <c r="K751" s="7"/>
      <c r="L751" s="14"/>
      <c r="M751" s="14"/>
      <c r="N751" s="14"/>
      <c r="O751" s="14"/>
      <c r="P751" s="14"/>
      <c r="Q751" s="14"/>
      <c r="R751" s="14"/>
      <c r="S751" s="14"/>
      <c r="T751" s="14"/>
      <c r="U751" s="14"/>
      <c r="V751" s="272"/>
      <c r="W751" s="272"/>
      <c r="X751" s="14"/>
      <c r="Y751" s="14"/>
      <c r="Z751" s="14"/>
      <c r="AA751" s="14"/>
      <c r="AB751" s="14"/>
      <c r="AC751" s="14"/>
      <c r="AD751" s="14"/>
      <c r="AE751" s="14"/>
      <c r="AF751" s="14"/>
      <c r="AG751" s="14"/>
      <c r="AH751" s="14"/>
      <c r="AI751" s="7"/>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row>
    <row r="752">
      <c r="A752" s="14"/>
      <c r="B752" s="14"/>
      <c r="C752" s="14"/>
      <c r="D752" s="14"/>
      <c r="E752" s="7"/>
      <c r="F752" s="7"/>
      <c r="G752" s="7"/>
      <c r="H752" s="7"/>
      <c r="I752" s="7"/>
      <c r="J752" s="14"/>
      <c r="K752" s="7"/>
      <c r="L752" s="14"/>
      <c r="M752" s="14"/>
      <c r="N752" s="14"/>
      <c r="O752" s="14"/>
      <c r="P752" s="14"/>
      <c r="Q752" s="14"/>
      <c r="R752" s="14"/>
      <c r="S752" s="14"/>
      <c r="T752" s="14"/>
      <c r="U752" s="14"/>
      <c r="V752" s="272"/>
      <c r="W752" s="272"/>
      <c r="X752" s="14"/>
      <c r="Y752" s="14"/>
      <c r="Z752" s="14"/>
      <c r="AA752" s="14"/>
      <c r="AB752" s="14"/>
      <c r="AC752" s="14"/>
      <c r="AD752" s="14"/>
      <c r="AE752" s="14"/>
      <c r="AF752" s="14"/>
      <c r="AG752" s="14"/>
      <c r="AH752" s="14"/>
      <c r="AI752" s="7"/>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row>
    <row r="753">
      <c r="A753" s="14"/>
      <c r="B753" s="14"/>
      <c r="C753" s="14"/>
      <c r="D753" s="14"/>
      <c r="E753" s="7"/>
      <c r="F753" s="7"/>
      <c r="G753" s="7"/>
      <c r="H753" s="7"/>
      <c r="I753" s="7"/>
      <c r="J753" s="14"/>
      <c r="K753" s="7"/>
      <c r="L753" s="14"/>
      <c r="M753" s="14"/>
      <c r="N753" s="14"/>
      <c r="O753" s="14"/>
      <c r="P753" s="14"/>
      <c r="Q753" s="14"/>
      <c r="R753" s="14"/>
      <c r="S753" s="14"/>
      <c r="T753" s="14"/>
      <c r="U753" s="14"/>
      <c r="V753" s="272"/>
      <c r="W753" s="272"/>
      <c r="X753" s="14"/>
      <c r="Y753" s="14"/>
      <c r="Z753" s="14"/>
      <c r="AA753" s="14"/>
      <c r="AB753" s="14"/>
      <c r="AC753" s="14"/>
      <c r="AD753" s="14"/>
      <c r="AE753" s="14"/>
      <c r="AF753" s="14"/>
      <c r="AG753" s="14"/>
      <c r="AH753" s="14"/>
      <c r="AI753" s="7"/>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row>
    <row r="754">
      <c r="A754" s="14"/>
      <c r="B754" s="14"/>
      <c r="C754" s="14"/>
      <c r="D754" s="14"/>
      <c r="E754" s="7"/>
      <c r="F754" s="7"/>
      <c r="G754" s="7"/>
      <c r="H754" s="7"/>
      <c r="I754" s="7"/>
      <c r="J754" s="14"/>
      <c r="K754" s="7"/>
      <c r="L754" s="14"/>
      <c r="M754" s="14"/>
      <c r="N754" s="14"/>
      <c r="O754" s="14"/>
      <c r="P754" s="14"/>
      <c r="Q754" s="14"/>
      <c r="R754" s="14"/>
      <c r="S754" s="14"/>
      <c r="T754" s="14"/>
      <c r="U754" s="14"/>
      <c r="V754" s="272"/>
      <c r="W754" s="272"/>
      <c r="X754" s="14"/>
      <c r="Y754" s="14"/>
      <c r="Z754" s="14"/>
      <c r="AA754" s="14"/>
      <c r="AB754" s="14"/>
      <c r="AC754" s="14"/>
      <c r="AD754" s="14"/>
      <c r="AE754" s="14"/>
      <c r="AF754" s="14"/>
      <c r="AG754" s="14"/>
      <c r="AH754" s="14"/>
      <c r="AI754" s="7"/>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row>
    <row r="755">
      <c r="A755" s="14"/>
      <c r="B755" s="14"/>
      <c r="C755" s="14"/>
      <c r="D755" s="14"/>
      <c r="E755" s="7"/>
      <c r="F755" s="7"/>
      <c r="G755" s="7"/>
      <c r="H755" s="7"/>
      <c r="I755" s="7"/>
      <c r="J755" s="14"/>
      <c r="K755" s="7"/>
      <c r="L755" s="14"/>
      <c r="M755" s="14"/>
      <c r="N755" s="14"/>
      <c r="O755" s="14"/>
      <c r="P755" s="14"/>
      <c r="Q755" s="14"/>
      <c r="R755" s="14"/>
      <c r="S755" s="14"/>
      <c r="T755" s="14"/>
      <c r="U755" s="14"/>
      <c r="V755" s="272"/>
      <c r="W755" s="272"/>
      <c r="X755" s="14"/>
      <c r="Y755" s="14"/>
      <c r="Z755" s="14"/>
      <c r="AA755" s="14"/>
      <c r="AB755" s="14"/>
      <c r="AC755" s="14"/>
      <c r="AD755" s="14"/>
      <c r="AE755" s="14"/>
      <c r="AF755" s="14"/>
      <c r="AG755" s="14"/>
      <c r="AH755" s="14"/>
      <c r="AI755" s="7"/>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row>
    <row r="756">
      <c r="A756" s="14"/>
      <c r="B756" s="14"/>
      <c r="C756" s="14"/>
      <c r="D756" s="14"/>
      <c r="E756" s="7"/>
      <c r="F756" s="7"/>
      <c r="G756" s="7"/>
      <c r="H756" s="7"/>
      <c r="I756" s="7"/>
      <c r="J756" s="14"/>
      <c r="K756" s="7"/>
      <c r="L756" s="14"/>
      <c r="M756" s="14"/>
      <c r="N756" s="14"/>
      <c r="O756" s="14"/>
      <c r="P756" s="14"/>
      <c r="Q756" s="14"/>
      <c r="R756" s="14"/>
      <c r="S756" s="14"/>
      <c r="T756" s="14"/>
      <c r="U756" s="14"/>
      <c r="V756" s="272"/>
      <c r="W756" s="272"/>
      <c r="X756" s="14"/>
      <c r="Y756" s="14"/>
      <c r="Z756" s="14"/>
      <c r="AA756" s="14"/>
      <c r="AB756" s="14"/>
      <c r="AC756" s="14"/>
      <c r="AD756" s="14"/>
      <c r="AE756" s="14"/>
      <c r="AF756" s="14"/>
      <c r="AG756" s="14"/>
      <c r="AH756" s="14"/>
      <c r="AI756" s="7"/>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row>
    <row r="757">
      <c r="A757" s="14"/>
      <c r="B757" s="14"/>
      <c r="C757" s="14"/>
      <c r="D757" s="14"/>
      <c r="E757" s="7"/>
      <c r="F757" s="7"/>
      <c r="G757" s="7"/>
      <c r="H757" s="7"/>
      <c r="I757" s="7"/>
      <c r="J757" s="14"/>
      <c r="K757" s="7"/>
      <c r="L757" s="14"/>
      <c r="M757" s="14"/>
      <c r="N757" s="14"/>
      <c r="O757" s="14"/>
      <c r="P757" s="14"/>
      <c r="Q757" s="14"/>
      <c r="R757" s="14"/>
      <c r="S757" s="14"/>
      <c r="T757" s="14"/>
      <c r="U757" s="14"/>
      <c r="V757" s="272"/>
      <c r="W757" s="272"/>
      <c r="X757" s="14"/>
      <c r="Y757" s="14"/>
      <c r="Z757" s="14"/>
      <c r="AA757" s="14"/>
      <c r="AB757" s="14"/>
      <c r="AC757" s="14"/>
      <c r="AD757" s="14"/>
      <c r="AE757" s="14"/>
      <c r="AF757" s="14"/>
      <c r="AG757" s="14"/>
      <c r="AH757" s="14"/>
      <c r="AI757" s="7"/>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row>
    <row r="758">
      <c r="A758" s="14"/>
      <c r="B758" s="14"/>
      <c r="C758" s="14"/>
      <c r="D758" s="14"/>
      <c r="E758" s="7"/>
      <c r="F758" s="7"/>
      <c r="G758" s="7"/>
      <c r="H758" s="7"/>
      <c r="I758" s="7"/>
      <c r="J758" s="14"/>
      <c r="K758" s="7"/>
      <c r="L758" s="14"/>
      <c r="M758" s="14"/>
      <c r="N758" s="14"/>
      <c r="O758" s="14"/>
      <c r="P758" s="14"/>
      <c r="Q758" s="14"/>
      <c r="R758" s="14"/>
      <c r="S758" s="14"/>
      <c r="T758" s="14"/>
      <c r="U758" s="14"/>
      <c r="V758" s="272"/>
      <c r="W758" s="272"/>
      <c r="X758" s="14"/>
      <c r="Y758" s="14"/>
      <c r="Z758" s="14"/>
      <c r="AA758" s="14"/>
      <c r="AB758" s="14"/>
      <c r="AC758" s="14"/>
      <c r="AD758" s="14"/>
      <c r="AE758" s="14"/>
      <c r="AF758" s="14"/>
      <c r="AG758" s="14"/>
      <c r="AH758" s="14"/>
      <c r="AI758" s="7"/>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row>
    <row r="759">
      <c r="A759" s="14"/>
      <c r="B759" s="14"/>
      <c r="C759" s="14"/>
      <c r="D759" s="14"/>
      <c r="E759" s="7"/>
      <c r="F759" s="7"/>
      <c r="G759" s="7"/>
      <c r="H759" s="7"/>
      <c r="I759" s="7"/>
      <c r="J759" s="14"/>
      <c r="K759" s="7"/>
      <c r="L759" s="14"/>
      <c r="M759" s="14"/>
      <c r="N759" s="14"/>
      <c r="O759" s="14"/>
      <c r="P759" s="14"/>
      <c r="Q759" s="14"/>
      <c r="R759" s="14"/>
      <c r="S759" s="14"/>
      <c r="T759" s="14"/>
      <c r="U759" s="14"/>
      <c r="V759" s="272"/>
      <c r="W759" s="272"/>
      <c r="X759" s="14"/>
      <c r="Y759" s="14"/>
      <c r="Z759" s="14"/>
      <c r="AA759" s="14"/>
      <c r="AB759" s="14"/>
      <c r="AC759" s="14"/>
      <c r="AD759" s="14"/>
      <c r="AE759" s="14"/>
      <c r="AF759" s="14"/>
      <c r="AG759" s="14"/>
      <c r="AH759" s="14"/>
      <c r="AI759" s="7"/>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row>
    <row r="760">
      <c r="A760" s="14"/>
      <c r="B760" s="14"/>
      <c r="C760" s="14"/>
      <c r="D760" s="14"/>
      <c r="E760" s="7"/>
      <c r="F760" s="7"/>
      <c r="G760" s="7"/>
      <c r="H760" s="7"/>
      <c r="I760" s="7"/>
      <c r="J760" s="14"/>
      <c r="K760" s="7"/>
      <c r="L760" s="14"/>
      <c r="M760" s="14"/>
      <c r="N760" s="14"/>
      <c r="O760" s="14"/>
      <c r="P760" s="14"/>
      <c r="Q760" s="14"/>
      <c r="R760" s="14"/>
      <c r="S760" s="14"/>
      <c r="T760" s="14"/>
      <c r="U760" s="14"/>
      <c r="V760" s="272"/>
      <c r="W760" s="272"/>
      <c r="X760" s="14"/>
      <c r="Y760" s="14"/>
      <c r="Z760" s="14"/>
      <c r="AA760" s="14"/>
      <c r="AB760" s="14"/>
      <c r="AC760" s="14"/>
      <c r="AD760" s="14"/>
      <c r="AE760" s="14"/>
      <c r="AF760" s="14"/>
      <c r="AG760" s="14"/>
      <c r="AH760" s="14"/>
      <c r="AI760" s="7"/>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row>
    <row r="761">
      <c r="A761" s="14"/>
      <c r="B761" s="14"/>
      <c r="C761" s="14"/>
      <c r="D761" s="14"/>
      <c r="E761" s="7"/>
      <c r="F761" s="7"/>
      <c r="G761" s="7"/>
      <c r="H761" s="7"/>
      <c r="I761" s="7"/>
      <c r="J761" s="14"/>
      <c r="K761" s="7"/>
      <c r="L761" s="14"/>
      <c r="M761" s="14"/>
      <c r="N761" s="14"/>
      <c r="O761" s="14"/>
      <c r="P761" s="14"/>
      <c r="Q761" s="14"/>
      <c r="R761" s="14"/>
      <c r="S761" s="14"/>
      <c r="T761" s="14"/>
      <c r="U761" s="14"/>
      <c r="V761" s="272"/>
      <c r="W761" s="272"/>
      <c r="X761" s="14"/>
      <c r="Y761" s="14"/>
      <c r="Z761" s="14"/>
      <c r="AA761" s="14"/>
      <c r="AB761" s="14"/>
      <c r="AC761" s="14"/>
      <c r="AD761" s="14"/>
      <c r="AE761" s="14"/>
      <c r="AF761" s="14"/>
      <c r="AG761" s="14"/>
      <c r="AH761" s="14"/>
      <c r="AI761" s="7"/>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row>
    <row r="762">
      <c r="A762" s="14"/>
      <c r="B762" s="14"/>
      <c r="C762" s="14"/>
      <c r="D762" s="14"/>
      <c r="E762" s="7"/>
      <c r="F762" s="7"/>
      <c r="G762" s="7"/>
      <c r="H762" s="7"/>
      <c r="I762" s="7"/>
      <c r="J762" s="14"/>
      <c r="K762" s="7"/>
      <c r="L762" s="14"/>
      <c r="M762" s="14"/>
      <c r="N762" s="14"/>
      <c r="O762" s="14"/>
      <c r="P762" s="14"/>
      <c r="Q762" s="14"/>
      <c r="R762" s="14"/>
      <c r="S762" s="14"/>
      <c r="T762" s="14"/>
      <c r="U762" s="14"/>
      <c r="V762" s="272"/>
      <c r="W762" s="272"/>
      <c r="X762" s="14"/>
      <c r="Y762" s="14"/>
      <c r="Z762" s="14"/>
      <c r="AA762" s="14"/>
      <c r="AB762" s="14"/>
      <c r="AC762" s="14"/>
      <c r="AD762" s="14"/>
      <c r="AE762" s="14"/>
      <c r="AF762" s="14"/>
      <c r="AG762" s="14"/>
      <c r="AH762" s="14"/>
      <c r="AI762" s="7"/>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row>
    <row r="763">
      <c r="A763" s="14"/>
      <c r="B763" s="14"/>
      <c r="C763" s="14"/>
      <c r="D763" s="14"/>
      <c r="E763" s="7"/>
      <c r="F763" s="7"/>
      <c r="G763" s="7"/>
      <c r="H763" s="7"/>
      <c r="I763" s="7"/>
      <c r="J763" s="14"/>
      <c r="K763" s="7"/>
      <c r="L763" s="14"/>
      <c r="M763" s="14"/>
      <c r="N763" s="14"/>
      <c r="O763" s="14"/>
      <c r="P763" s="14"/>
      <c r="Q763" s="14"/>
      <c r="R763" s="14"/>
      <c r="S763" s="14"/>
      <c r="T763" s="14"/>
      <c r="U763" s="14"/>
      <c r="V763" s="272"/>
      <c r="W763" s="272"/>
      <c r="X763" s="14"/>
      <c r="Y763" s="14"/>
      <c r="Z763" s="14"/>
      <c r="AA763" s="14"/>
      <c r="AB763" s="14"/>
      <c r="AC763" s="14"/>
      <c r="AD763" s="14"/>
      <c r="AE763" s="14"/>
      <c r="AF763" s="14"/>
      <c r="AG763" s="14"/>
      <c r="AH763" s="14"/>
      <c r="AI763" s="7"/>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row>
    <row r="764">
      <c r="A764" s="14"/>
      <c r="B764" s="14"/>
      <c r="C764" s="14"/>
      <c r="D764" s="14"/>
      <c r="E764" s="7"/>
      <c r="F764" s="7"/>
      <c r="G764" s="7"/>
      <c r="H764" s="7"/>
      <c r="I764" s="7"/>
      <c r="J764" s="14"/>
      <c r="K764" s="7"/>
      <c r="L764" s="14"/>
      <c r="M764" s="14"/>
      <c r="N764" s="14"/>
      <c r="O764" s="14"/>
      <c r="P764" s="14"/>
      <c r="Q764" s="14"/>
      <c r="R764" s="14"/>
      <c r="S764" s="14"/>
      <c r="T764" s="14"/>
      <c r="U764" s="14"/>
      <c r="V764" s="272"/>
      <c r="W764" s="272"/>
      <c r="X764" s="14"/>
      <c r="Y764" s="14"/>
      <c r="Z764" s="14"/>
      <c r="AA764" s="14"/>
      <c r="AB764" s="14"/>
      <c r="AC764" s="14"/>
      <c r="AD764" s="14"/>
      <c r="AE764" s="14"/>
      <c r="AF764" s="14"/>
      <c r="AG764" s="14"/>
      <c r="AH764" s="14"/>
      <c r="AI764" s="7"/>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row>
    <row r="765">
      <c r="A765" s="14"/>
      <c r="B765" s="14"/>
      <c r="C765" s="14"/>
      <c r="D765" s="14"/>
      <c r="E765" s="7"/>
      <c r="F765" s="7"/>
      <c r="G765" s="7"/>
      <c r="H765" s="7"/>
      <c r="I765" s="7"/>
      <c r="J765" s="14"/>
      <c r="K765" s="7"/>
      <c r="L765" s="14"/>
      <c r="M765" s="14"/>
      <c r="N765" s="14"/>
      <c r="O765" s="14"/>
      <c r="P765" s="14"/>
      <c r="Q765" s="14"/>
      <c r="R765" s="14"/>
      <c r="S765" s="14"/>
      <c r="T765" s="14"/>
      <c r="U765" s="14"/>
      <c r="V765" s="272"/>
      <c r="W765" s="272"/>
      <c r="X765" s="14"/>
      <c r="Y765" s="14"/>
      <c r="Z765" s="14"/>
      <c r="AA765" s="14"/>
      <c r="AB765" s="14"/>
      <c r="AC765" s="14"/>
      <c r="AD765" s="14"/>
      <c r="AE765" s="14"/>
      <c r="AF765" s="14"/>
      <c r="AG765" s="14"/>
      <c r="AH765" s="14"/>
      <c r="AI765" s="7"/>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row>
    <row r="766">
      <c r="A766" s="14"/>
      <c r="B766" s="14"/>
      <c r="C766" s="14"/>
      <c r="D766" s="14"/>
      <c r="E766" s="7"/>
      <c r="F766" s="7"/>
      <c r="G766" s="7"/>
      <c r="H766" s="7"/>
      <c r="I766" s="7"/>
      <c r="J766" s="14"/>
      <c r="K766" s="7"/>
      <c r="L766" s="14"/>
      <c r="M766" s="14"/>
      <c r="N766" s="14"/>
      <c r="O766" s="14"/>
      <c r="P766" s="14"/>
      <c r="Q766" s="14"/>
      <c r="R766" s="14"/>
      <c r="S766" s="14"/>
      <c r="T766" s="14"/>
      <c r="U766" s="14"/>
      <c r="V766" s="272"/>
      <c r="W766" s="272"/>
      <c r="X766" s="14"/>
      <c r="Y766" s="14"/>
      <c r="Z766" s="14"/>
      <c r="AA766" s="14"/>
      <c r="AB766" s="14"/>
      <c r="AC766" s="14"/>
      <c r="AD766" s="14"/>
      <c r="AE766" s="14"/>
      <c r="AF766" s="14"/>
      <c r="AG766" s="14"/>
      <c r="AH766" s="14"/>
      <c r="AI766" s="7"/>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row>
    <row r="767">
      <c r="A767" s="14"/>
      <c r="B767" s="14"/>
      <c r="C767" s="14"/>
      <c r="D767" s="14"/>
      <c r="E767" s="7"/>
      <c r="F767" s="7"/>
      <c r="G767" s="7"/>
      <c r="H767" s="7"/>
      <c r="I767" s="7"/>
      <c r="J767" s="14"/>
      <c r="K767" s="7"/>
      <c r="L767" s="14"/>
      <c r="M767" s="14"/>
      <c r="N767" s="14"/>
      <c r="O767" s="14"/>
      <c r="P767" s="14"/>
      <c r="Q767" s="14"/>
      <c r="R767" s="14"/>
      <c r="S767" s="14"/>
      <c r="T767" s="14"/>
      <c r="U767" s="14"/>
      <c r="V767" s="272"/>
      <c r="W767" s="272"/>
      <c r="X767" s="14"/>
      <c r="Y767" s="14"/>
      <c r="Z767" s="14"/>
      <c r="AA767" s="14"/>
      <c r="AB767" s="14"/>
      <c r="AC767" s="14"/>
      <c r="AD767" s="14"/>
      <c r="AE767" s="14"/>
      <c r="AF767" s="14"/>
      <c r="AG767" s="14"/>
      <c r="AH767" s="14"/>
      <c r="AI767" s="7"/>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row>
    <row r="768">
      <c r="A768" s="14"/>
      <c r="B768" s="14"/>
      <c r="C768" s="14"/>
      <c r="D768" s="14"/>
      <c r="E768" s="7"/>
      <c r="F768" s="7"/>
      <c r="G768" s="7"/>
      <c r="H768" s="7"/>
      <c r="I768" s="7"/>
      <c r="J768" s="14"/>
      <c r="K768" s="7"/>
      <c r="L768" s="14"/>
      <c r="M768" s="14"/>
      <c r="N768" s="14"/>
      <c r="O768" s="14"/>
      <c r="P768" s="14"/>
      <c r="Q768" s="14"/>
      <c r="R768" s="14"/>
      <c r="S768" s="14"/>
      <c r="T768" s="14"/>
      <c r="U768" s="14"/>
      <c r="V768" s="272"/>
      <c r="W768" s="272"/>
      <c r="X768" s="14"/>
      <c r="Y768" s="14"/>
      <c r="Z768" s="14"/>
      <c r="AA768" s="14"/>
      <c r="AB768" s="14"/>
      <c r="AC768" s="14"/>
      <c r="AD768" s="14"/>
      <c r="AE768" s="14"/>
      <c r="AF768" s="14"/>
      <c r="AG768" s="14"/>
      <c r="AH768" s="14"/>
      <c r="AI768" s="7"/>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row>
    <row r="769">
      <c r="A769" s="14"/>
      <c r="B769" s="14"/>
      <c r="C769" s="14"/>
      <c r="D769" s="14"/>
      <c r="E769" s="7"/>
      <c r="F769" s="7"/>
      <c r="G769" s="7"/>
      <c r="H769" s="7"/>
      <c r="I769" s="7"/>
      <c r="J769" s="14"/>
      <c r="K769" s="7"/>
      <c r="L769" s="14"/>
      <c r="M769" s="14"/>
      <c r="N769" s="14"/>
      <c r="O769" s="14"/>
      <c r="P769" s="14"/>
      <c r="Q769" s="14"/>
      <c r="R769" s="14"/>
      <c r="S769" s="14"/>
      <c r="T769" s="14"/>
      <c r="U769" s="14"/>
      <c r="V769" s="272"/>
      <c r="W769" s="272"/>
      <c r="X769" s="14"/>
      <c r="Y769" s="14"/>
      <c r="Z769" s="14"/>
      <c r="AA769" s="14"/>
      <c r="AB769" s="14"/>
      <c r="AC769" s="14"/>
      <c r="AD769" s="14"/>
      <c r="AE769" s="14"/>
      <c r="AF769" s="14"/>
      <c r="AG769" s="14"/>
      <c r="AH769" s="14"/>
      <c r="AI769" s="7"/>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row>
    <row r="770">
      <c r="A770" s="14"/>
      <c r="B770" s="14"/>
      <c r="C770" s="14"/>
      <c r="D770" s="14"/>
      <c r="E770" s="7"/>
      <c r="F770" s="7"/>
      <c r="G770" s="7"/>
      <c r="H770" s="7"/>
      <c r="I770" s="7"/>
      <c r="J770" s="14"/>
      <c r="K770" s="7"/>
      <c r="L770" s="14"/>
      <c r="M770" s="14"/>
      <c r="N770" s="14"/>
      <c r="O770" s="14"/>
      <c r="P770" s="14"/>
      <c r="Q770" s="14"/>
      <c r="R770" s="14"/>
      <c r="S770" s="14"/>
      <c r="T770" s="14"/>
      <c r="U770" s="14"/>
      <c r="V770" s="272"/>
      <c r="W770" s="272"/>
      <c r="X770" s="14"/>
      <c r="Y770" s="14"/>
      <c r="Z770" s="14"/>
      <c r="AA770" s="14"/>
      <c r="AB770" s="14"/>
      <c r="AC770" s="14"/>
      <c r="AD770" s="14"/>
      <c r="AE770" s="14"/>
      <c r="AF770" s="14"/>
      <c r="AG770" s="14"/>
      <c r="AH770" s="14"/>
      <c r="AI770" s="7"/>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row>
    <row r="771">
      <c r="A771" s="14"/>
      <c r="B771" s="14"/>
      <c r="C771" s="14"/>
      <c r="D771" s="14"/>
      <c r="E771" s="7"/>
      <c r="F771" s="7"/>
      <c r="G771" s="7"/>
      <c r="H771" s="7"/>
      <c r="I771" s="7"/>
      <c r="J771" s="14"/>
      <c r="K771" s="7"/>
      <c r="L771" s="14"/>
      <c r="M771" s="14"/>
      <c r="N771" s="14"/>
      <c r="O771" s="14"/>
      <c r="P771" s="14"/>
      <c r="Q771" s="14"/>
      <c r="R771" s="14"/>
      <c r="S771" s="14"/>
      <c r="T771" s="14"/>
      <c r="U771" s="14"/>
      <c r="V771" s="272"/>
      <c r="W771" s="272"/>
      <c r="X771" s="14"/>
      <c r="Y771" s="14"/>
      <c r="Z771" s="14"/>
      <c r="AA771" s="14"/>
      <c r="AB771" s="14"/>
      <c r="AC771" s="14"/>
      <c r="AD771" s="14"/>
      <c r="AE771" s="14"/>
      <c r="AF771" s="14"/>
      <c r="AG771" s="14"/>
      <c r="AH771" s="14"/>
      <c r="AI771" s="7"/>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row>
    <row r="772">
      <c r="A772" s="14"/>
      <c r="B772" s="14"/>
      <c r="C772" s="14"/>
      <c r="D772" s="14"/>
      <c r="E772" s="7"/>
      <c r="F772" s="7"/>
      <c r="G772" s="7"/>
      <c r="H772" s="7"/>
      <c r="I772" s="7"/>
      <c r="J772" s="14"/>
      <c r="K772" s="7"/>
      <c r="L772" s="14"/>
      <c r="M772" s="14"/>
      <c r="N772" s="14"/>
      <c r="O772" s="14"/>
      <c r="P772" s="14"/>
      <c r="Q772" s="14"/>
      <c r="R772" s="14"/>
      <c r="S772" s="14"/>
      <c r="T772" s="14"/>
      <c r="U772" s="14"/>
      <c r="V772" s="272"/>
      <c r="W772" s="272"/>
      <c r="X772" s="14"/>
      <c r="Y772" s="14"/>
      <c r="Z772" s="14"/>
      <c r="AA772" s="14"/>
      <c r="AB772" s="14"/>
      <c r="AC772" s="14"/>
      <c r="AD772" s="14"/>
      <c r="AE772" s="14"/>
      <c r="AF772" s="14"/>
      <c r="AG772" s="14"/>
      <c r="AH772" s="14"/>
      <c r="AI772" s="7"/>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row>
    <row r="773">
      <c r="A773" s="14"/>
      <c r="B773" s="14"/>
      <c r="C773" s="14"/>
      <c r="D773" s="14"/>
      <c r="E773" s="7"/>
      <c r="F773" s="7"/>
      <c r="G773" s="7"/>
      <c r="H773" s="7"/>
      <c r="I773" s="7"/>
      <c r="J773" s="14"/>
      <c r="K773" s="7"/>
      <c r="L773" s="14"/>
      <c r="M773" s="14"/>
      <c r="N773" s="14"/>
      <c r="O773" s="14"/>
      <c r="P773" s="14"/>
      <c r="Q773" s="14"/>
      <c r="R773" s="14"/>
      <c r="S773" s="14"/>
      <c r="T773" s="14"/>
      <c r="U773" s="14"/>
      <c r="V773" s="272"/>
      <c r="W773" s="272"/>
      <c r="X773" s="14"/>
      <c r="Y773" s="14"/>
      <c r="Z773" s="14"/>
      <c r="AA773" s="14"/>
      <c r="AB773" s="14"/>
      <c r="AC773" s="14"/>
      <c r="AD773" s="14"/>
      <c r="AE773" s="14"/>
      <c r="AF773" s="14"/>
      <c r="AG773" s="14"/>
      <c r="AH773" s="14"/>
      <c r="AI773" s="7"/>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row>
    <row r="774">
      <c r="A774" s="14"/>
      <c r="B774" s="14"/>
      <c r="C774" s="14"/>
      <c r="D774" s="14"/>
      <c r="E774" s="7"/>
      <c r="F774" s="7"/>
      <c r="G774" s="7"/>
      <c r="H774" s="7"/>
      <c r="I774" s="7"/>
      <c r="J774" s="14"/>
      <c r="K774" s="7"/>
      <c r="L774" s="14"/>
      <c r="M774" s="14"/>
      <c r="N774" s="14"/>
      <c r="O774" s="14"/>
      <c r="P774" s="14"/>
      <c r="Q774" s="14"/>
      <c r="R774" s="14"/>
      <c r="S774" s="14"/>
      <c r="T774" s="14"/>
      <c r="U774" s="14"/>
      <c r="V774" s="272"/>
      <c r="W774" s="272"/>
      <c r="X774" s="14"/>
      <c r="Y774" s="14"/>
      <c r="Z774" s="14"/>
      <c r="AA774" s="14"/>
      <c r="AB774" s="14"/>
      <c r="AC774" s="14"/>
      <c r="AD774" s="14"/>
      <c r="AE774" s="14"/>
      <c r="AF774" s="14"/>
      <c r="AG774" s="14"/>
      <c r="AH774" s="14"/>
      <c r="AI774" s="7"/>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row>
    <row r="775">
      <c r="A775" s="14"/>
      <c r="B775" s="14"/>
      <c r="C775" s="14"/>
      <c r="D775" s="14"/>
      <c r="E775" s="7"/>
      <c r="F775" s="7"/>
      <c r="G775" s="7"/>
      <c r="H775" s="7"/>
      <c r="I775" s="7"/>
      <c r="J775" s="14"/>
      <c r="K775" s="7"/>
      <c r="L775" s="14"/>
      <c r="M775" s="14"/>
      <c r="N775" s="14"/>
      <c r="O775" s="14"/>
      <c r="P775" s="14"/>
      <c r="Q775" s="14"/>
      <c r="R775" s="14"/>
      <c r="S775" s="14"/>
      <c r="T775" s="14"/>
      <c r="U775" s="14"/>
      <c r="V775" s="272"/>
      <c r="W775" s="272"/>
      <c r="X775" s="14"/>
      <c r="Y775" s="14"/>
      <c r="Z775" s="14"/>
      <c r="AA775" s="14"/>
      <c r="AB775" s="14"/>
      <c r="AC775" s="14"/>
      <c r="AD775" s="14"/>
      <c r="AE775" s="14"/>
      <c r="AF775" s="14"/>
      <c r="AG775" s="14"/>
      <c r="AH775" s="14"/>
      <c r="AI775" s="7"/>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row>
    <row r="776">
      <c r="A776" s="14"/>
      <c r="B776" s="14"/>
      <c r="C776" s="14"/>
      <c r="D776" s="14"/>
      <c r="E776" s="7"/>
      <c r="F776" s="7"/>
      <c r="G776" s="7"/>
      <c r="H776" s="7"/>
      <c r="I776" s="7"/>
      <c r="J776" s="14"/>
      <c r="K776" s="7"/>
      <c r="L776" s="14"/>
      <c r="M776" s="14"/>
      <c r="N776" s="14"/>
      <c r="O776" s="14"/>
      <c r="P776" s="14"/>
      <c r="Q776" s="14"/>
      <c r="R776" s="14"/>
      <c r="S776" s="14"/>
      <c r="T776" s="14"/>
      <c r="U776" s="14"/>
      <c r="V776" s="272"/>
      <c r="W776" s="272"/>
      <c r="X776" s="14"/>
      <c r="Y776" s="14"/>
      <c r="Z776" s="14"/>
      <c r="AA776" s="14"/>
      <c r="AB776" s="14"/>
      <c r="AC776" s="14"/>
      <c r="AD776" s="14"/>
      <c r="AE776" s="14"/>
      <c r="AF776" s="14"/>
      <c r="AG776" s="14"/>
      <c r="AH776" s="14"/>
      <c r="AI776" s="7"/>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row>
    <row r="777">
      <c r="A777" s="14"/>
      <c r="B777" s="14"/>
      <c r="C777" s="14"/>
      <c r="D777" s="14"/>
      <c r="E777" s="7"/>
      <c r="F777" s="7"/>
      <c r="G777" s="7"/>
      <c r="H777" s="7"/>
      <c r="I777" s="7"/>
      <c r="J777" s="14"/>
      <c r="K777" s="7"/>
      <c r="L777" s="14"/>
      <c r="M777" s="14"/>
      <c r="N777" s="14"/>
      <c r="O777" s="14"/>
      <c r="P777" s="14"/>
      <c r="Q777" s="14"/>
      <c r="R777" s="14"/>
      <c r="S777" s="14"/>
      <c r="T777" s="14"/>
      <c r="U777" s="14"/>
      <c r="V777" s="272"/>
      <c r="W777" s="272"/>
      <c r="X777" s="14"/>
      <c r="Y777" s="14"/>
      <c r="Z777" s="14"/>
      <c r="AA777" s="14"/>
      <c r="AB777" s="14"/>
      <c r="AC777" s="14"/>
      <c r="AD777" s="14"/>
      <c r="AE777" s="14"/>
      <c r="AF777" s="14"/>
      <c r="AG777" s="14"/>
      <c r="AH777" s="14"/>
      <c r="AI777" s="7"/>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row>
    <row r="778">
      <c r="A778" s="14"/>
      <c r="B778" s="14"/>
      <c r="C778" s="14"/>
      <c r="D778" s="14"/>
      <c r="E778" s="7"/>
      <c r="F778" s="7"/>
      <c r="G778" s="7"/>
      <c r="H778" s="7"/>
      <c r="I778" s="7"/>
      <c r="J778" s="14"/>
      <c r="K778" s="7"/>
      <c r="L778" s="14"/>
      <c r="M778" s="14"/>
      <c r="N778" s="14"/>
      <c r="O778" s="14"/>
      <c r="P778" s="14"/>
      <c r="Q778" s="14"/>
      <c r="R778" s="14"/>
      <c r="S778" s="14"/>
      <c r="T778" s="14"/>
      <c r="U778" s="14"/>
      <c r="V778" s="272"/>
      <c r="W778" s="272"/>
      <c r="X778" s="14"/>
      <c r="Y778" s="14"/>
      <c r="Z778" s="14"/>
      <c r="AA778" s="14"/>
      <c r="AB778" s="14"/>
      <c r="AC778" s="14"/>
      <c r="AD778" s="14"/>
      <c r="AE778" s="14"/>
      <c r="AF778" s="14"/>
      <c r="AG778" s="14"/>
      <c r="AH778" s="14"/>
      <c r="AI778" s="7"/>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row>
    <row r="779">
      <c r="A779" s="14"/>
      <c r="B779" s="14"/>
      <c r="C779" s="14"/>
      <c r="D779" s="14"/>
      <c r="E779" s="7"/>
      <c r="F779" s="7"/>
      <c r="G779" s="7"/>
      <c r="H779" s="7"/>
      <c r="I779" s="7"/>
      <c r="J779" s="14"/>
      <c r="K779" s="7"/>
      <c r="L779" s="14"/>
      <c r="M779" s="14"/>
      <c r="N779" s="14"/>
      <c r="O779" s="14"/>
      <c r="P779" s="14"/>
      <c r="Q779" s="14"/>
      <c r="R779" s="14"/>
      <c r="S779" s="14"/>
      <c r="T779" s="14"/>
      <c r="U779" s="14"/>
      <c r="V779" s="272"/>
      <c r="W779" s="272"/>
      <c r="X779" s="14"/>
      <c r="Y779" s="14"/>
      <c r="Z779" s="14"/>
      <c r="AA779" s="14"/>
      <c r="AB779" s="14"/>
      <c r="AC779" s="14"/>
      <c r="AD779" s="14"/>
      <c r="AE779" s="14"/>
      <c r="AF779" s="14"/>
      <c r="AG779" s="14"/>
      <c r="AH779" s="14"/>
      <c r="AI779" s="7"/>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row>
    <row r="780">
      <c r="A780" s="14"/>
      <c r="B780" s="14"/>
      <c r="C780" s="14"/>
      <c r="D780" s="14"/>
      <c r="E780" s="7"/>
      <c r="F780" s="7"/>
      <c r="G780" s="7"/>
      <c r="H780" s="7"/>
      <c r="I780" s="7"/>
      <c r="J780" s="14"/>
      <c r="K780" s="7"/>
      <c r="L780" s="14"/>
      <c r="M780" s="14"/>
      <c r="N780" s="14"/>
      <c r="O780" s="14"/>
      <c r="P780" s="14"/>
      <c r="Q780" s="14"/>
      <c r="R780" s="14"/>
      <c r="S780" s="14"/>
      <c r="T780" s="14"/>
      <c r="U780" s="14"/>
      <c r="V780" s="272"/>
      <c r="W780" s="272"/>
      <c r="X780" s="14"/>
      <c r="Y780" s="14"/>
      <c r="Z780" s="14"/>
      <c r="AA780" s="14"/>
      <c r="AB780" s="14"/>
      <c r="AC780" s="14"/>
      <c r="AD780" s="14"/>
      <c r="AE780" s="14"/>
      <c r="AF780" s="14"/>
      <c r="AG780" s="14"/>
      <c r="AH780" s="14"/>
      <c r="AI780" s="7"/>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row>
    <row r="781">
      <c r="A781" s="14"/>
      <c r="B781" s="14"/>
      <c r="C781" s="14"/>
      <c r="D781" s="14"/>
      <c r="E781" s="7"/>
      <c r="F781" s="7"/>
      <c r="G781" s="7"/>
      <c r="H781" s="7"/>
      <c r="I781" s="7"/>
      <c r="J781" s="14"/>
      <c r="K781" s="7"/>
      <c r="L781" s="14"/>
      <c r="M781" s="14"/>
      <c r="N781" s="14"/>
      <c r="O781" s="14"/>
      <c r="P781" s="14"/>
      <c r="Q781" s="14"/>
      <c r="R781" s="14"/>
      <c r="S781" s="14"/>
      <c r="T781" s="14"/>
      <c r="U781" s="14"/>
      <c r="V781" s="272"/>
      <c r="W781" s="272"/>
      <c r="X781" s="14"/>
      <c r="Y781" s="14"/>
      <c r="Z781" s="14"/>
      <c r="AA781" s="14"/>
      <c r="AB781" s="14"/>
      <c r="AC781" s="14"/>
      <c r="AD781" s="14"/>
      <c r="AE781" s="14"/>
      <c r="AF781" s="14"/>
      <c r="AG781" s="14"/>
      <c r="AH781" s="14"/>
      <c r="AI781" s="7"/>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row>
    <row r="782">
      <c r="A782" s="14"/>
      <c r="B782" s="14"/>
      <c r="C782" s="14"/>
      <c r="D782" s="14"/>
      <c r="E782" s="7"/>
      <c r="F782" s="7"/>
      <c r="G782" s="7"/>
      <c r="H782" s="7"/>
      <c r="I782" s="7"/>
      <c r="J782" s="14"/>
      <c r="K782" s="7"/>
      <c r="L782" s="14"/>
      <c r="M782" s="14"/>
      <c r="N782" s="14"/>
      <c r="O782" s="14"/>
      <c r="P782" s="14"/>
      <c r="Q782" s="14"/>
      <c r="R782" s="14"/>
      <c r="S782" s="14"/>
      <c r="T782" s="14"/>
      <c r="U782" s="14"/>
      <c r="V782" s="272"/>
      <c r="W782" s="272"/>
      <c r="X782" s="14"/>
      <c r="Y782" s="14"/>
      <c r="Z782" s="14"/>
      <c r="AA782" s="14"/>
      <c r="AB782" s="14"/>
      <c r="AC782" s="14"/>
      <c r="AD782" s="14"/>
      <c r="AE782" s="14"/>
      <c r="AF782" s="14"/>
      <c r="AG782" s="14"/>
      <c r="AH782" s="14"/>
      <c r="AI782" s="7"/>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row>
    <row r="783">
      <c r="A783" s="14"/>
      <c r="B783" s="14"/>
      <c r="C783" s="14"/>
      <c r="D783" s="14"/>
      <c r="E783" s="7"/>
      <c r="F783" s="7"/>
      <c r="G783" s="7"/>
      <c r="H783" s="7"/>
      <c r="I783" s="7"/>
      <c r="J783" s="14"/>
      <c r="K783" s="7"/>
      <c r="L783" s="14"/>
      <c r="M783" s="14"/>
      <c r="N783" s="14"/>
      <c r="O783" s="14"/>
      <c r="P783" s="14"/>
      <c r="Q783" s="14"/>
      <c r="R783" s="14"/>
      <c r="S783" s="14"/>
      <c r="T783" s="14"/>
      <c r="U783" s="14"/>
      <c r="V783" s="272"/>
      <c r="W783" s="272"/>
      <c r="X783" s="14"/>
      <c r="Y783" s="14"/>
      <c r="Z783" s="14"/>
      <c r="AA783" s="14"/>
      <c r="AB783" s="14"/>
      <c r="AC783" s="14"/>
      <c r="AD783" s="14"/>
      <c r="AE783" s="14"/>
      <c r="AF783" s="14"/>
      <c r="AG783" s="14"/>
      <c r="AH783" s="14"/>
      <c r="AI783" s="7"/>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row>
    <row r="784">
      <c r="A784" s="14"/>
      <c r="B784" s="14"/>
      <c r="C784" s="14"/>
      <c r="D784" s="14"/>
      <c r="E784" s="7"/>
      <c r="F784" s="7"/>
      <c r="G784" s="7"/>
      <c r="H784" s="7"/>
      <c r="I784" s="7"/>
      <c r="J784" s="14"/>
      <c r="K784" s="7"/>
      <c r="L784" s="14"/>
      <c r="M784" s="14"/>
      <c r="N784" s="14"/>
      <c r="O784" s="14"/>
      <c r="P784" s="14"/>
      <c r="Q784" s="14"/>
      <c r="R784" s="14"/>
      <c r="S784" s="14"/>
      <c r="T784" s="14"/>
      <c r="U784" s="14"/>
      <c r="V784" s="272"/>
      <c r="W784" s="272"/>
      <c r="X784" s="14"/>
      <c r="Y784" s="14"/>
      <c r="Z784" s="14"/>
      <c r="AA784" s="14"/>
      <c r="AB784" s="14"/>
      <c r="AC784" s="14"/>
      <c r="AD784" s="14"/>
      <c r="AE784" s="14"/>
      <c r="AF784" s="14"/>
      <c r="AG784" s="14"/>
      <c r="AH784" s="14"/>
      <c r="AI784" s="7"/>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row>
    <row r="785">
      <c r="A785" s="14"/>
      <c r="B785" s="14"/>
      <c r="C785" s="14"/>
      <c r="D785" s="14"/>
      <c r="E785" s="7"/>
      <c r="F785" s="7"/>
      <c r="G785" s="7"/>
      <c r="H785" s="7"/>
      <c r="I785" s="7"/>
      <c r="J785" s="14"/>
      <c r="K785" s="7"/>
      <c r="L785" s="14"/>
      <c r="M785" s="14"/>
      <c r="N785" s="14"/>
      <c r="O785" s="14"/>
      <c r="P785" s="14"/>
      <c r="Q785" s="14"/>
      <c r="R785" s="14"/>
      <c r="S785" s="14"/>
      <c r="T785" s="14"/>
      <c r="U785" s="14"/>
      <c r="V785" s="272"/>
      <c r="W785" s="272"/>
      <c r="X785" s="14"/>
      <c r="Y785" s="14"/>
      <c r="Z785" s="14"/>
      <c r="AA785" s="14"/>
      <c r="AB785" s="14"/>
      <c r="AC785" s="14"/>
      <c r="AD785" s="14"/>
      <c r="AE785" s="14"/>
      <c r="AF785" s="14"/>
      <c r="AG785" s="14"/>
      <c r="AH785" s="14"/>
      <c r="AI785" s="7"/>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row>
    <row r="786">
      <c r="A786" s="14"/>
      <c r="B786" s="14"/>
      <c r="C786" s="14"/>
      <c r="D786" s="14"/>
      <c r="E786" s="7"/>
      <c r="F786" s="7"/>
      <c r="G786" s="7"/>
      <c r="H786" s="7"/>
      <c r="I786" s="7"/>
      <c r="J786" s="14"/>
      <c r="K786" s="7"/>
      <c r="L786" s="14"/>
      <c r="M786" s="14"/>
      <c r="N786" s="14"/>
      <c r="O786" s="14"/>
      <c r="P786" s="14"/>
      <c r="Q786" s="14"/>
      <c r="R786" s="14"/>
      <c r="S786" s="14"/>
      <c r="T786" s="14"/>
      <c r="U786" s="14"/>
      <c r="V786" s="272"/>
      <c r="W786" s="272"/>
      <c r="X786" s="14"/>
      <c r="Y786" s="14"/>
      <c r="Z786" s="14"/>
      <c r="AA786" s="14"/>
      <c r="AB786" s="14"/>
      <c r="AC786" s="14"/>
      <c r="AD786" s="14"/>
      <c r="AE786" s="14"/>
      <c r="AF786" s="14"/>
      <c r="AG786" s="14"/>
      <c r="AH786" s="14"/>
      <c r="AI786" s="7"/>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row>
    <row r="787">
      <c r="A787" s="14"/>
      <c r="B787" s="14"/>
      <c r="C787" s="14"/>
      <c r="D787" s="14"/>
      <c r="E787" s="7"/>
      <c r="F787" s="7"/>
      <c r="G787" s="7"/>
      <c r="H787" s="7"/>
      <c r="I787" s="7"/>
      <c r="J787" s="14"/>
      <c r="K787" s="7"/>
      <c r="L787" s="14"/>
      <c r="M787" s="14"/>
      <c r="N787" s="14"/>
      <c r="O787" s="14"/>
      <c r="P787" s="14"/>
      <c r="Q787" s="14"/>
      <c r="R787" s="14"/>
      <c r="S787" s="14"/>
      <c r="T787" s="14"/>
      <c r="U787" s="14"/>
      <c r="V787" s="272"/>
      <c r="W787" s="272"/>
      <c r="X787" s="14"/>
      <c r="Y787" s="14"/>
      <c r="Z787" s="14"/>
      <c r="AA787" s="14"/>
      <c r="AB787" s="14"/>
      <c r="AC787" s="14"/>
      <c r="AD787" s="14"/>
      <c r="AE787" s="14"/>
      <c r="AF787" s="14"/>
      <c r="AG787" s="14"/>
      <c r="AH787" s="14"/>
      <c r="AI787" s="7"/>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row>
    <row r="788">
      <c r="A788" s="14"/>
      <c r="B788" s="14"/>
      <c r="C788" s="14"/>
      <c r="D788" s="14"/>
      <c r="E788" s="7"/>
      <c r="F788" s="7"/>
      <c r="G788" s="7"/>
      <c r="H788" s="7"/>
      <c r="I788" s="7"/>
      <c r="J788" s="14"/>
      <c r="K788" s="7"/>
      <c r="L788" s="14"/>
      <c r="M788" s="14"/>
      <c r="N788" s="14"/>
      <c r="O788" s="14"/>
      <c r="P788" s="14"/>
      <c r="Q788" s="14"/>
      <c r="R788" s="14"/>
      <c r="S788" s="14"/>
      <c r="T788" s="14"/>
      <c r="U788" s="14"/>
      <c r="V788" s="272"/>
      <c r="W788" s="272"/>
      <c r="X788" s="14"/>
      <c r="Y788" s="14"/>
      <c r="Z788" s="14"/>
      <c r="AA788" s="14"/>
      <c r="AB788" s="14"/>
      <c r="AC788" s="14"/>
      <c r="AD788" s="14"/>
      <c r="AE788" s="14"/>
      <c r="AF788" s="14"/>
      <c r="AG788" s="14"/>
      <c r="AH788" s="14"/>
      <c r="AI788" s="7"/>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row>
    <row r="789">
      <c r="A789" s="14"/>
      <c r="B789" s="14"/>
      <c r="C789" s="14"/>
      <c r="D789" s="14"/>
      <c r="E789" s="7"/>
      <c r="F789" s="7"/>
      <c r="G789" s="7"/>
      <c r="H789" s="7"/>
      <c r="I789" s="7"/>
      <c r="J789" s="14"/>
      <c r="K789" s="7"/>
      <c r="L789" s="14"/>
      <c r="M789" s="14"/>
      <c r="N789" s="14"/>
      <c r="O789" s="14"/>
      <c r="P789" s="14"/>
      <c r="Q789" s="14"/>
      <c r="R789" s="14"/>
      <c r="S789" s="14"/>
      <c r="T789" s="14"/>
      <c r="U789" s="14"/>
      <c r="V789" s="272"/>
      <c r="W789" s="272"/>
      <c r="X789" s="14"/>
      <c r="Y789" s="14"/>
      <c r="Z789" s="14"/>
      <c r="AA789" s="14"/>
      <c r="AB789" s="14"/>
      <c r="AC789" s="14"/>
      <c r="AD789" s="14"/>
      <c r="AE789" s="14"/>
      <c r="AF789" s="14"/>
      <c r="AG789" s="14"/>
      <c r="AH789" s="14"/>
      <c r="AI789" s="7"/>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row>
    <row r="790">
      <c r="A790" s="14"/>
      <c r="B790" s="14"/>
      <c r="C790" s="14"/>
      <c r="D790" s="14"/>
      <c r="E790" s="7"/>
      <c r="F790" s="7"/>
      <c r="G790" s="7"/>
      <c r="H790" s="7"/>
      <c r="I790" s="7"/>
      <c r="J790" s="14"/>
      <c r="K790" s="7"/>
      <c r="L790" s="14"/>
      <c r="M790" s="14"/>
      <c r="N790" s="14"/>
      <c r="O790" s="14"/>
      <c r="P790" s="14"/>
      <c r="Q790" s="14"/>
      <c r="R790" s="14"/>
      <c r="S790" s="14"/>
      <c r="T790" s="14"/>
      <c r="U790" s="14"/>
      <c r="V790" s="272"/>
      <c r="W790" s="272"/>
      <c r="X790" s="14"/>
      <c r="Y790" s="14"/>
      <c r="Z790" s="14"/>
      <c r="AA790" s="14"/>
      <c r="AB790" s="14"/>
      <c r="AC790" s="14"/>
      <c r="AD790" s="14"/>
      <c r="AE790" s="14"/>
      <c r="AF790" s="14"/>
      <c r="AG790" s="14"/>
      <c r="AH790" s="14"/>
      <c r="AI790" s="7"/>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row>
    <row r="791">
      <c r="A791" s="14"/>
      <c r="B791" s="14"/>
      <c r="C791" s="14"/>
      <c r="D791" s="14"/>
      <c r="E791" s="7"/>
      <c r="F791" s="7"/>
      <c r="G791" s="7"/>
      <c r="H791" s="7"/>
      <c r="I791" s="7"/>
      <c r="J791" s="14"/>
      <c r="K791" s="7"/>
      <c r="L791" s="14"/>
      <c r="M791" s="14"/>
      <c r="N791" s="14"/>
      <c r="O791" s="14"/>
      <c r="P791" s="14"/>
      <c r="Q791" s="14"/>
      <c r="R791" s="14"/>
      <c r="S791" s="14"/>
      <c r="T791" s="14"/>
      <c r="U791" s="14"/>
      <c r="V791" s="272"/>
      <c r="W791" s="272"/>
      <c r="X791" s="14"/>
      <c r="Y791" s="14"/>
      <c r="Z791" s="14"/>
      <c r="AA791" s="14"/>
      <c r="AB791" s="14"/>
      <c r="AC791" s="14"/>
      <c r="AD791" s="14"/>
      <c r="AE791" s="14"/>
      <c r="AF791" s="14"/>
      <c r="AG791" s="14"/>
      <c r="AH791" s="14"/>
      <c r="AI791" s="7"/>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row>
    <row r="792">
      <c r="A792" s="14"/>
      <c r="B792" s="14"/>
      <c r="C792" s="14"/>
      <c r="D792" s="14"/>
      <c r="E792" s="7"/>
      <c r="F792" s="7"/>
      <c r="G792" s="7"/>
      <c r="H792" s="7"/>
      <c r="I792" s="7"/>
      <c r="J792" s="14"/>
      <c r="K792" s="7"/>
      <c r="L792" s="14"/>
      <c r="M792" s="14"/>
      <c r="N792" s="14"/>
      <c r="O792" s="14"/>
      <c r="P792" s="14"/>
      <c r="Q792" s="14"/>
      <c r="R792" s="14"/>
      <c r="S792" s="14"/>
      <c r="T792" s="14"/>
      <c r="U792" s="14"/>
      <c r="V792" s="272"/>
      <c r="W792" s="272"/>
      <c r="X792" s="14"/>
      <c r="Y792" s="14"/>
      <c r="Z792" s="14"/>
      <c r="AA792" s="14"/>
      <c r="AB792" s="14"/>
      <c r="AC792" s="14"/>
      <c r="AD792" s="14"/>
      <c r="AE792" s="14"/>
      <c r="AF792" s="14"/>
      <c r="AG792" s="14"/>
      <c r="AH792" s="14"/>
      <c r="AI792" s="7"/>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row>
    <row r="793">
      <c r="A793" s="14"/>
      <c r="B793" s="14"/>
      <c r="C793" s="14"/>
      <c r="D793" s="14"/>
      <c r="E793" s="7"/>
      <c r="F793" s="7"/>
      <c r="G793" s="7"/>
      <c r="H793" s="7"/>
      <c r="I793" s="7"/>
      <c r="J793" s="14"/>
      <c r="K793" s="7"/>
      <c r="L793" s="14"/>
      <c r="M793" s="14"/>
      <c r="N793" s="14"/>
      <c r="O793" s="14"/>
      <c r="P793" s="14"/>
      <c r="Q793" s="14"/>
      <c r="R793" s="14"/>
      <c r="S793" s="14"/>
      <c r="T793" s="14"/>
      <c r="U793" s="14"/>
      <c r="V793" s="272"/>
      <c r="W793" s="272"/>
      <c r="X793" s="14"/>
      <c r="Y793" s="14"/>
      <c r="Z793" s="14"/>
      <c r="AA793" s="14"/>
      <c r="AB793" s="14"/>
      <c r="AC793" s="14"/>
      <c r="AD793" s="14"/>
      <c r="AE793" s="14"/>
      <c r="AF793" s="14"/>
      <c r="AG793" s="14"/>
      <c r="AH793" s="14"/>
      <c r="AI793" s="7"/>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row>
    <row r="794">
      <c r="A794" s="14"/>
      <c r="B794" s="14"/>
      <c r="C794" s="14"/>
      <c r="D794" s="14"/>
      <c r="E794" s="7"/>
      <c r="F794" s="7"/>
      <c r="G794" s="7"/>
      <c r="H794" s="7"/>
      <c r="I794" s="7"/>
      <c r="J794" s="14"/>
      <c r="K794" s="7"/>
      <c r="L794" s="14"/>
      <c r="M794" s="14"/>
      <c r="N794" s="14"/>
      <c r="O794" s="14"/>
      <c r="P794" s="14"/>
      <c r="Q794" s="14"/>
      <c r="R794" s="14"/>
      <c r="S794" s="14"/>
      <c r="T794" s="14"/>
      <c r="U794" s="14"/>
      <c r="V794" s="272"/>
      <c r="W794" s="272"/>
      <c r="X794" s="14"/>
      <c r="Y794" s="14"/>
      <c r="Z794" s="14"/>
      <c r="AA794" s="14"/>
      <c r="AB794" s="14"/>
      <c r="AC794" s="14"/>
      <c r="AD794" s="14"/>
      <c r="AE794" s="14"/>
      <c r="AF794" s="14"/>
      <c r="AG794" s="14"/>
      <c r="AH794" s="14"/>
      <c r="AI794" s="7"/>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row>
    <row r="795">
      <c r="A795" s="14"/>
      <c r="B795" s="14"/>
      <c r="C795" s="14"/>
      <c r="D795" s="14"/>
      <c r="E795" s="7"/>
      <c r="F795" s="7"/>
      <c r="G795" s="7"/>
      <c r="H795" s="7"/>
      <c r="I795" s="7"/>
      <c r="J795" s="14"/>
      <c r="K795" s="7"/>
      <c r="L795" s="14"/>
      <c r="M795" s="14"/>
      <c r="N795" s="14"/>
      <c r="O795" s="14"/>
      <c r="P795" s="14"/>
      <c r="Q795" s="14"/>
      <c r="R795" s="14"/>
      <c r="S795" s="14"/>
      <c r="T795" s="14"/>
      <c r="U795" s="14"/>
      <c r="V795" s="272"/>
      <c r="W795" s="272"/>
      <c r="X795" s="14"/>
      <c r="Y795" s="14"/>
      <c r="Z795" s="14"/>
      <c r="AA795" s="14"/>
      <c r="AB795" s="14"/>
      <c r="AC795" s="14"/>
      <c r="AD795" s="14"/>
      <c r="AE795" s="14"/>
      <c r="AF795" s="14"/>
      <c r="AG795" s="14"/>
      <c r="AH795" s="14"/>
      <c r="AI795" s="7"/>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row>
    <row r="796">
      <c r="A796" s="14"/>
      <c r="B796" s="14"/>
      <c r="C796" s="14"/>
      <c r="D796" s="14"/>
      <c r="E796" s="7"/>
      <c r="F796" s="7"/>
      <c r="G796" s="7"/>
      <c r="H796" s="7"/>
      <c r="I796" s="7"/>
      <c r="J796" s="14"/>
      <c r="K796" s="7"/>
      <c r="L796" s="14"/>
      <c r="M796" s="14"/>
      <c r="N796" s="14"/>
      <c r="O796" s="14"/>
      <c r="P796" s="14"/>
      <c r="Q796" s="14"/>
      <c r="R796" s="14"/>
      <c r="S796" s="14"/>
      <c r="T796" s="14"/>
      <c r="U796" s="14"/>
      <c r="V796" s="272"/>
      <c r="W796" s="272"/>
      <c r="X796" s="14"/>
      <c r="Y796" s="14"/>
      <c r="Z796" s="14"/>
      <c r="AA796" s="14"/>
      <c r="AB796" s="14"/>
      <c r="AC796" s="14"/>
      <c r="AD796" s="14"/>
      <c r="AE796" s="14"/>
      <c r="AF796" s="14"/>
      <c r="AG796" s="14"/>
      <c r="AH796" s="14"/>
      <c r="AI796" s="7"/>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row>
    <row r="797">
      <c r="A797" s="14"/>
      <c r="B797" s="14"/>
      <c r="C797" s="14"/>
      <c r="D797" s="14"/>
      <c r="E797" s="7"/>
      <c r="F797" s="7"/>
      <c r="G797" s="7"/>
      <c r="H797" s="7"/>
      <c r="I797" s="7"/>
      <c r="J797" s="14"/>
      <c r="K797" s="7"/>
      <c r="L797" s="14"/>
      <c r="M797" s="14"/>
      <c r="N797" s="14"/>
      <c r="O797" s="14"/>
      <c r="P797" s="14"/>
      <c r="Q797" s="14"/>
      <c r="R797" s="14"/>
      <c r="S797" s="14"/>
      <c r="T797" s="14"/>
      <c r="U797" s="14"/>
      <c r="V797" s="272"/>
      <c r="W797" s="272"/>
      <c r="X797" s="14"/>
      <c r="Y797" s="14"/>
      <c r="Z797" s="14"/>
      <c r="AA797" s="14"/>
      <c r="AB797" s="14"/>
      <c r="AC797" s="14"/>
      <c r="AD797" s="14"/>
      <c r="AE797" s="14"/>
      <c r="AF797" s="14"/>
      <c r="AG797" s="14"/>
      <c r="AH797" s="14"/>
      <c r="AI797" s="7"/>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row>
    <row r="798">
      <c r="A798" s="14"/>
      <c r="B798" s="14"/>
      <c r="C798" s="14"/>
      <c r="D798" s="14"/>
      <c r="E798" s="7"/>
      <c r="F798" s="7"/>
      <c r="G798" s="7"/>
      <c r="H798" s="7"/>
      <c r="I798" s="7"/>
      <c r="J798" s="14"/>
      <c r="K798" s="7"/>
      <c r="L798" s="14"/>
      <c r="M798" s="14"/>
      <c r="N798" s="14"/>
      <c r="O798" s="14"/>
      <c r="P798" s="14"/>
      <c r="Q798" s="14"/>
      <c r="R798" s="14"/>
      <c r="S798" s="14"/>
      <c r="T798" s="14"/>
      <c r="U798" s="14"/>
      <c r="V798" s="272"/>
      <c r="W798" s="272"/>
      <c r="X798" s="14"/>
      <c r="Y798" s="14"/>
      <c r="Z798" s="14"/>
      <c r="AA798" s="14"/>
      <c r="AB798" s="14"/>
      <c r="AC798" s="14"/>
      <c r="AD798" s="14"/>
      <c r="AE798" s="14"/>
      <c r="AF798" s="14"/>
      <c r="AG798" s="14"/>
      <c r="AH798" s="14"/>
      <c r="AI798" s="7"/>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row>
    <row r="799">
      <c r="A799" s="14"/>
      <c r="B799" s="14"/>
      <c r="C799" s="14"/>
      <c r="D799" s="14"/>
      <c r="E799" s="7"/>
      <c r="F799" s="7"/>
      <c r="G799" s="7"/>
      <c r="H799" s="7"/>
      <c r="I799" s="7"/>
      <c r="J799" s="14"/>
      <c r="K799" s="7"/>
      <c r="L799" s="14"/>
      <c r="M799" s="14"/>
      <c r="N799" s="14"/>
      <c r="O799" s="14"/>
      <c r="P799" s="14"/>
      <c r="Q799" s="14"/>
      <c r="R799" s="14"/>
      <c r="S799" s="14"/>
      <c r="T799" s="14"/>
      <c r="U799" s="14"/>
      <c r="V799" s="272"/>
      <c r="W799" s="272"/>
      <c r="X799" s="14"/>
      <c r="Y799" s="14"/>
      <c r="Z799" s="14"/>
      <c r="AA799" s="14"/>
      <c r="AB799" s="14"/>
      <c r="AC799" s="14"/>
      <c r="AD799" s="14"/>
      <c r="AE799" s="14"/>
      <c r="AF799" s="14"/>
      <c r="AG799" s="14"/>
      <c r="AH799" s="14"/>
      <c r="AI799" s="7"/>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row>
    <row r="800">
      <c r="A800" s="14"/>
      <c r="B800" s="14"/>
      <c r="C800" s="14"/>
      <c r="D800" s="14"/>
      <c r="E800" s="7"/>
      <c r="F800" s="7"/>
      <c r="G800" s="7"/>
      <c r="H800" s="7"/>
      <c r="I800" s="7"/>
      <c r="J800" s="14"/>
      <c r="K800" s="7"/>
      <c r="L800" s="14"/>
      <c r="M800" s="14"/>
      <c r="N800" s="14"/>
      <c r="O800" s="14"/>
      <c r="P800" s="14"/>
      <c r="Q800" s="14"/>
      <c r="R800" s="14"/>
      <c r="S800" s="14"/>
      <c r="T800" s="14"/>
      <c r="U800" s="14"/>
      <c r="V800" s="272"/>
      <c r="W800" s="272"/>
      <c r="X800" s="14"/>
      <c r="Y800" s="14"/>
      <c r="Z800" s="14"/>
      <c r="AA800" s="14"/>
      <c r="AB800" s="14"/>
      <c r="AC800" s="14"/>
      <c r="AD800" s="14"/>
      <c r="AE800" s="14"/>
      <c r="AF800" s="14"/>
      <c r="AG800" s="14"/>
      <c r="AH800" s="14"/>
      <c r="AI800" s="7"/>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row>
    <row r="801">
      <c r="A801" s="14"/>
      <c r="B801" s="14"/>
      <c r="C801" s="14"/>
      <c r="D801" s="14"/>
      <c r="E801" s="7"/>
      <c r="F801" s="7"/>
      <c r="G801" s="7"/>
      <c r="H801" s="7"/>
      <c r="I801" s="7"/>
      <c r="J801" s="14"/>
      <c r="K801" s="7"/>
      <c r="L801" s="14"/>
      <c r="M801" s="14"/>
      <c r="N801" s="14"/>
      <c r="O801" s="14"/>
      <c r="P801" s="14"/>
      <c r="Q801" s="14"/>
      <c r="R801" s="14"/>
      <c r="S801" s="14"/>
      <c r="T801" s="14"/>
      <c r="U801" s="14"/>
      <c r="V801" s="272"/>
      <c r="W801" s="272"/>
      <c r="X801" s="14"/>
      <c r="Y801" s="14"/>
      <c r="Z801" s="14"/>
      <c r="AA801" s="14"/>
      <c r="AB801" s="14"/>
      <c r="AC801" s="14"/>
      <c r="AD801" s="14"/>
      <c r="AE801" s="14"/>
      <c r="AF801" s="14"/>
      <c r="AG801" s="14"/>
      <c r="AH801" s="14"/>
      <c r="AI801" s="7"/>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row>
    <row r="802">
      <c r="A802" s="14"/>
      <c r="B802" s="14"/>
      <c r="C802" s="14"/>
      <c r="D802" s="14"/>
      <c r="E802" s="7"/>
      <c r="F802" s="7"/>
      <c r="G802" s="7"/>
      <c r="H802" s="7"/>
      <c r="I802" s="7"/>
      <c r="J802" s="14"/>
      <c r="K802" s="7"/>
      <c r="L802" s="14"/>
      <c r="M802" s="14"/>
      <c r="N802" s="14"/>
      <c r="O802" s="14"/>
      <c r="P802" s="14"/>
      <c r="Q802" s="14"/>
      <c r="R802" s="14"/>
      <c r="S802" s="14"/>
      <c r="T802" s="14"/>
      <c r="U802" s="14"/>
      <c r="V802" s="272"/>
      <c r="W802" s="272"/>
      <c r="X802" s="14"/>
      <c r="Y802" s="14"/>
      <c r="Z802" s="14"/>
      <c r="AA802" s="14"/>
      <c r="AB802" s="14"/>
      <c r="AC802" s="14"/>
      <c r="AD802" s="14"/>
      <c r="AE802" s="14"/>
      <c r="AF802" s="14"/>
      <c r="AG802" s="14"/>
      <c r="AH802" s="14"/>
      <c r="AI802" s="7"/>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row>
    <row r="803">
      <c r="A803" s="14"/>
      <c r="B803" s="14"/>
      <c r="C803" s="14"/>
      <c r="D803" s="14"/>
      <c r="E803" s="7"/>
      <c r="F803" s="7"/>
      <c r="G803" s="7"/>
      <c r="H803" s="7"/>
      <c r="I803" s="7"/>
      <c r="J803" s="14"/>
      <c r="K803" s="7"/>
      <c r="L803" s="14"/>
      <c r="M803" s="14"/>
      <c r="N803" s="14"/>
      <c r="O803" s="14"/>
      <c r="P803" s="14"/>
      <c r="Q803" s="14"/>
      <c r="R803" s="14"/>
      <c r="S803" s="14"/>
      <c r="T803" s="14"/>
      <c r="U803" s="14"/>
      <c r="V803" s="272"/>
      <c r="W803" s="272"/>
      <c r="X803" s="14"/>
      <c r="Y803" s="14"/>
      <c r="Z803" s="14"/>
      <c r="AA803" s="14"/>
      <c r="AB803" s="14"/>
      <c r="AC803" s="14"/>
      <c r="AD803" s="14"/>
      <c r="AE803" s="14"/>
      <c r="AF803" s="14"/>
      <c r="AG803" s="14"/>
      <c r="AH803" s="14"/>
      <c r="AI803" s="7"/>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row>
    <row r="804">
      <c r="A804" s="14"/>
      <c r="B804" s="14"/>
      <c r="C804" s="14"/>
      <c r="D804" s="14"/>
      <c r="E804" s="7"/>
      <c r="F804" s="7"/>
      <c r="G804" s="7"/>
      <c r="H804" s="7"/>
      <c r="I804" s="7"/>
      <c r="J804" s="14"/>
      <c r="K804" s="7"/>
      <c r="L804" s="14"/>
      <c r="M804" s="14"/>
      <c r="N804" s="14"/>
      <c r="O804" s="14"/>
      <c r="P804" s="14"/>
      <c r="Q804" s="14"/>
      <c r="R804" s="14"/>
      <c r="S804" s="14"/>
      <c r="T804" s="14"/>
      <c r="U804" s="14"/>
      <c r="V804" s="272"/>
      <c r="W804" s="272"/>
      <c r="X804" s="14"/>
      <c r="Y804" s="14"/>
      <c r="Z804" s="14"/>
      <c r="AA804" s="14"/>
      <c r="AB804" s="14"/>
      <c r="AC804" s="14"/>
      <c r="AD804" s="14"/>
      <c r="AE804" s="14"/>
      <c r="AF804" s="14"/>
      <c r="AG804" s="14"/>
      <c r="AH804" s="14"/>
      <c r="AI804" s="7"/>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row>
    <row r="805">
      <c r="A805" s="14"/>
      <c r="B805" s="14"/>
      <c r="C805" s="14"/>
      <c r="D805" s="14"/>
      <c r="E805" s="7"/>
      <c r="F805" s="7"/>
      <c r="G805" s="7"/>
      <c r="H805" s="7"/>
      <c r="I805" s="7"/>
      <c r="J805" s="14"/>
      <c r="K805" s="7"/>
      <c r="L805" s="14"/>
      <c r="M805" s="14"/>
      <c r="N805" s="14"/>
      <c r="O805" s="14"/>
      <c r="P805" s="14"/>
      <c r="Q805" s="14"/>
      <c r="R805" s="14"/>
      <c r="S805" s="14"/>
      <c r="T805" s="14"/>
      <c r="U805" s="14"/>
      <c r="V805" s="272"/>
      <c r="W805" s="272"/>
      <c r="X805" s="14"/>
      <c r="Y805" s="14"/>
      <c r="Z805" s="14"/>
      <c r="AA805" s="14"/>
      <c r="AB805" s="14"/>
      <c r="AC805" s="14"/>
      <c r="AD805" s="14"/>
      <c r="AE805" s="14"/>
      <c r="AF805" s="14"/>
      <c r="AG805" s="14"/>
      <c r="AH805" s="14"/>
      <c r="AI805" s="7"/>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row>
    <row r="806">
      <c r="A806" s="14"/>
      <c r="B806" s="14"/>
      <c r="C806" s="14"/>
      <c r="D806" s="14"/>
      <c r="E806" s="7"/>
      <c r="F806" s="7"/>
      <c r="G806" s="7"/>
      <c r="H806" s="7"/>
      <c r="I806" s="7"/>
      <c r="J806" s="14"/>
      <c r="K806" s="7"/>
      <c r="L806" s="14"/>
      <c r="M806" s="14"/>
      <c r="N806" s="14"/>
      <c r="O806" s="14"/>
      <c r="P806" s="14"/>
      <c r="Q806" s="14"/>
      <c r="R806" s="14"/>
      <c r="S806" s="14"/>
      <c r="T806" s="14"/>
      <c r="U806" s="14"/>
      <c r="V806" s="272"/>
      <c r="W806" s="272"/>
      <c r="X806" s="14"/>
      <c r="Y806" s="14"/>
      <c r="Z806" s="14"/>
      <c r="AA806" s="14"/>
      <c r="AB806" s="14"/>
      <c r="AC806" s="14"/>
      <c r="AD806" s="14"/>
      <c r="AE806" s="14"/>
      <c r="AF806" s="14"/>
      <c r="AG806" s="14"/>
      <c r="AH806" s="14"/>
      <c r="AI806" s="7"/>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row>
    <row r="807">
      <c r="A807" s="14"/>
      <c r="B807" s="14"/>
      <c r="C807" s="14"/>
      <c r="D807" s="14"/>
      <c r="E807" s="7"/>
      <c r="F807" s="7"/>
      <c r="G807" s="7"/>
      <c r="H807" s="7"/>
      <c r="I807" s="7"/>
      <c r="J807" s="14"/>
      <c r="K807" s="7"/>
      <c r="L807" s="14"/>
      <c r="M807" s="14"/>
      <c r="N807" s="14"/>
      <c r="O807" s="14"/>
      <c r="P807" s="14"/>
      <c r="Q807" s="14"/>
      <c r="R807" s="14"/>
      <c r="S807" s="14"/>
      <c r="T807" s="14"/>
      <c r="U807" s="14"/>
      <c r="V807" s="272"/>
      <c r="W807" s="272"/>
      <c r="X807" s="14"/>
      <c r="Y807" s="14"/>
      <c r="Z807" s="14"/>
      <c r="AA807" s="14"/>
      <c r="AB807" s="14"/>
      <c r="AC807" s="14"/>
      <c r="AD807" s="14"/>
      <c r="AE807" s="14"/>
      <c r="AF807" s="14"/>
      <c r="AG807" s="14"/>
      <c r="AH807" s="14"/>
      <c r="AI807" s="7"/>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row>
    <row r="808">
      <c r="A808" s="14"/>
      <c r="B808" s="14"/>
      <c r="C808" s="14"/>
      <c r="D808" s="14"/>
      <c r="E808" s="7"/>
      <c r="F808" s="7"/>
      <c r="G808" s="7"/>
      <c r="H808" s="7"/>
      <c r="I808" s="7"/>
      <c r="J808" s="14"/>
      <c r="K808" s="7"/>
      <c r="L808" s="14"/>
      <c r="M808" s="14"/>
      <c r="N808" s="14"/>
      <c r="O808" s="14"/>
      <c r="P808" s="14"/>
      <c r="Q808" s="14"/>
      <c r="R808" s="14"/>
      <c r="S808" s="14"/>
      <c r="T808" s="14"/>
      <c r="U808" s="14"/>
      <c r="V808" s="272"/>
      <c r="W808" s="272"/>
      <c r="X808" s="14"/>
      <c r="Y808" s="14"/>
      <c r="Z808" s="14"/>
      <c r="AA808" s="14"/>
      <c r="AB808" s="14"/>
      <c r="AC808" s="14"/>
      <c r="AD808" s="14"/>
      <c r="AE808" s="14"/>
      <c r="AF808" s="14"/>
      <c r="AG808" s="14"/>
      <c r="AH808" s="14"/>
      <c r="AI808" s="7"/>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row>
    <row r="809">
      <c r="A809" s="14"/>
      <c r="B809" s="14"/>
      <c r="C809" s="14"/>
      <c r="D809" s="14"/>
      <c r="E809" s="7"/>
      <c r="F809" s="7"/>
      <c r="G809" s="7"/>
      <c r="H809" s="7"/>
      <c r="I809" s="7"/>
      <c r="J809" s="14"/>
      <c r="K809" s="7"/>
      <c r="L809" s="14"/>
      <c r="M809" s="14"/>
      <c r="N809" s="14"/>
      <c r="O809" s="14"/>
      <c r="P809" s="14"/>
      <c r="Q809" s="14"/>
      <c r="R809" s="14"/>
      <c r="S809" s="14"/>
      <c r="T809" s="14"/>
      <c r="U809" s="14"/>
      <c r="V809" s="272"/>
      <c r="W809" s="272"/>
      <c r="X809" s="14"/>
      <c r="Y809" s="14"/>
      <c r="Z809" s="14"/>
      <c r="AA809" s="14"/>
      <c r="AB809" s="14"/>
      <c r="AC809" s="14"/>
      <c r="AD809" s="14"/>
      <c r="AE809" s="14"/>
      <c r="AF809" s="14"/>
      <c r="AG809" s="14"/>
      <c r="AH809" s="14"/>
      <c r="AI809" s="7"/>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row>
    <row r="810">
      <c r="A810" s="14"/>
      <c r="B810" s="14"/>
      <c r="C810" s="14"/>
      <c r="D810" s="14"/>
      <c r="E810" s="7"/>
      <c r="F810" s="7"/>
      <c r="G810" s="7"/>
      <c r="H810" s="7"/>
      <c r="I810" s="7"/>
      <c r="J810" s="14"/>
      <c r="K810" s="7"/>
      <c r="L810" s="14"/>
      <c r="M810" s="14"/>
      <c r="N810" s="14"/>
      <c r="O810" s="14"/>
      <c r="P810" s="14"/>
      <c r="Q810" s="14"/>
      <c r="R810" s="14"/>
      <c r="S810" s="14"/>
      <c r="T810" s="14"/>
      <c r="U810" s="14"/>
      <c r="V810" s="272"/>
      <c r="W810" s="272"/>
      <c r="X810" s="14"/>
      <c r="Y810" s="14"/>
      <c r="Z810" s="14"/>
      <c r="AA810" s="14"/>
      <c r="AB810" s="14"/>
      <c r="AC810" s="14"/>
      <c r="AD810" s="14"/>
      <c r="AE810" s="14"/>
      <c r="AF810" s="14"/>
      <c r="AG810" s="14"/>
      <c r="AH810" s="14"/>
      <c r="AI810" s="7"/>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row>
    <row r="811">
      <c r="A811" s="14"/>
      <c r="B811" s="14"/>
      <c r="C811" s="14"/>
      <c r="D811" s="14"/>
      <c r="E811" s="7"/>
      <c r="F811" s="7"/>
      <c r="G811" s="7"/>
      <c r="H811" s="7"/>
      <c r="I811" s="7"/>
      <c r="J811" s="14"/>
      <c r="K811" s="7"/>
      <c r="L811" s="14"/>
      <c r="M811" s="14"/>
      <c r="N811" s="14"/>
      <c r="O811" s="14"/>
      <c r="P811" s="14"/>
      <c r="Q811" s="14"/>
      <c r="R811" s="14"/>
      <c r="S811" s="14"/>
      <c r="T811" s="14"/>
      <c r="U811" s="14"/>
      <c r="V811" s="272"/>
      <c r="W811" s="272"/>
      <c r="X811" s="14"/>
      <c r="Y811" s="14"/>
      <c r="Z811" s="14"/>
      <c r="AA811" s="14"/>
      <c r="AB811" s="14"/>
      <c r="AC811" s="14"/>
      <c r="AD811" s="14"/>
      <c r="AE811" s="14"/>
      <c r="AF811" s="14"/>
      <c r="AG811" s="14"/>
      <c r="AH811" s="14"/>
      <c r="AI811" s="7"/>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row>
    <row r="812">
      <c r="A812" s="14"/>
      <c r="B812" s="14"/>
      <c r="C812" s="14"/>
      <c r="D812" s="14"/>
      <c r="E812" s="7"/>
      <c r="F812" s="7"/>
      <c r="G812" s="7"/>
      <c r="H812" s="7"/>
      <c r="I812" s="7"/>
      <c r="J812" s="14"/>
      <c r="K812" s="7"/>
      <c r="L812" s="14"/>
      <c r="M812" s="14"/>
      <c r="N812" s="14"/>
      <c r="O812" s="14"/>
      <c r="P812" s="14"/>
      <c r="Q812" s="14"/>
      <c r="R812" s="14"/>
      <c r="S812" s="14"/>
      <c r="T812" s="14"/>
      <c r="U812" s="14"/>
      <c r="V812" s="272"/>
      <c r="W812" s="272"/>
      <c r="X812" s="14"/>
      <c r="Y812" s="14"/>
      <c r="Z812" s="14"/>
      <c r="AA812" s="14"/>
      <c r="AB812" s="14"/>
      <c r="AC812" s="14"/>
      <c r="AD812" s="14"/>
      <c r="AE812" s="14"/>
      <c r="AF812" s="14"/>
      <c r="AG812" s="14"/>
      <c r="AH812" s="14"/>
      <c r="AI812" s="7"/>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row>
    <row r="813">
      <c r="A813" s="14"/>
      <c r="B813" s="14"/>
      <c r="C813" s="14"/>
      <c r="D813" s="14"/>
      <c r="E813" s="7"/>
      <c r="F813" s="7"/>
      <c r="G813" s="7"/>
      <c r="H813" s="7"/>
      <c r="I813" s="7"/>
      <c r="J813" s="14"/>
      <c r="K813" s="7"/>
      <c r="L813" s="14"/>
      <c r="M813" s="14"/>
      <c r="N813" s="14"/>
      <c r="O813" s="14"/>
      <c r="P813" s="14"/>
      <c r="Q813" s="14"/>
      <c r="R813" s="14"/>
      <c r="S813" s="14"/>
      <c r="T813" s="14"/>
      <c r="U813" s="14"/>
      <c r="V813" s="272"/>
      <c r="W813" s="272"/>
      <c r="X813" s="14"/>
      <c r="Y813" s="14"/>
      <c r="Z813" s="14"/>
      <c r="AA813" s="14"/>
      <c r="AB813" s="14"/>
      <c r="AC813" s="14"/>
      <c r="AD813" s="14"/>
      <c r="AE813" s="14"/>
      <c r="AF813" s="14"/>
      <c r="AG813" s="14"/>
      <c r="AH813" s="14"/>
      <c r="AI813" s="7"/>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row>
    <row r="814">
      <c r="A814" s="14"/>
      <c r="B814" s="14"/>
      <c r="C814" s="14"/>
      <c r="D814" s="14"/>
      <c r="E814" s="7"/>
      <c r="F814" s="7"/>
      <c r="G814" s="7"/>
      <c r="H814" s="7"/>
      <c r="I814" s="7"/>
      <c r="J814" s="14"/>
      <c r="K814" s="7"/>
      <c r="L814" s="14"/>
      <c r="M814" s="14"/>
      <c r="N814" s="14"/>
      <c r="O814" s="14"/>
      <c r="P814" s="14"/>
      <c r="Q814" s="14"/>
      <c r="R814" s="14"/>
      <c r="S814" s="14"/>
      <c r="T814" s="14"/>
      <c r="U814" s="14"/>
      <c r="V814" s="272"/>
      <c r="W814" s="272"/>
      <c r="X814" s="14"/>
      <c r="Y814" s="14"/>
      <c r="Z814" s="14"/>
      <c r="AA814" s="14"/>
      <c r="AB814" s="14"/>
      <c r="AC814" s="14"/>
      <c r="AD814" s="14"/>
      <c r="AE814" s="14"/>
      <c r="AF814" s="14"/>
      <c r="AG814" s="14"/>
      <c r="AH814" s="14"/>
      <c r="AI814" s="7"/>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row>
    <row r="815">
      <c r="A815" s="14"/>
      <c r="B815" s="14"/>
      <c r="C815" s="14"/>
      <c r="D815" s="14"/>
      <c r="E815" s="7"/>
      <c r="F815" s="7"/>
      <c r="G815" s="7"/>
      <c r="H815" s="7"/>
      <c r="I815" s="7"/>
      <c r="J815" s="14"/>
      <c r="K815" s="7"/>
      <c r="L815" s="14"/>
      <c r="M815" s="14"/>
      <c r="N815" s="14"/>
      <c r="O815" s="14"/>
      <c r="P815" s="14"/>
      <c r="Q815" s="14"/>
      <c r="R815" s="14"/>
      <c r="S815" s="14"/>
      <c r="T815" s="14"/>
      <c r="U815" s="14"/>
      <c r="V815" s="272"/>
      <c r="W815" s="272"/>
      <c r="X815" s="14"/>
      <c r="Y815" s="14"/>
      <c r="Z815" s="14"/>
      <c r="AA815" s="14"/>
      <c r="AB815" s="14"/>
      <c r="AC815" s="14"/>
      <c r="AD815" s="14"/>
      <c r="AE815" s="14"/>
      <c r="AF815" s="14"/>
      <c r="AG815" s="14"/>
      <c r="AH815" s="14"/>
      <c r="AI815" s="7"/>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row>
    <row r="816">
      <c r="A816" s="14"/>
      <c r="B816" s="14"/>
      <c r="C816" s="14"/>
      <c r="D816" s="14"/>
      <c r="E816" s="7"/>
      <c r="F816" s="7"/>
      <c r="G816" s="7"/>
      <c r="H816" s="7"/>
      <c r="I816" s="7"/>
      <c r="J816" s="14"/>
      <c r="K816" s="7"/>
      <c r="L816" s="14"/>
      <c r="M816" s="14"/>
      <c r="N816" s="14"/>
      <c r="O816" s="14"/>
      <c r="P816" s="14"/>
      <c r="Q816" s="14"/>
      <c r="R816" s="14"/>
      <c r="S816" s="14"/>
      <c r="T816" s="14"/>
      <c r="U816" s="14"/>
      <c r="V816" s="272"/>
      <c r="W816" s="272"/>
      <c r="X816" s="14"/>
      <c r="Y816" s="14"/>
      <c r="Z816" s="14"/>
      <c r="AA816" s="14"/>
      <c r="AB816" s="14"/>
      <c r="AC816" s="14"/>
      <c r="AD816" s="14"/>
      <c r="AE816" s="14"/>
      <c r="AF816" s="14"/>
      <c r="AG816" s="14"/>
      <c r="AH816" s="14"/>
      <c r="AI816" s="7"/>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row>
    <row r="817">
      <c r="A817" s="14"/>
      <c r="B817" s="14"/>
      <c r="C817" s="14"/>
      <c r="D817" s="14"/>
      <c r="E817" s="7"/>
      <c r="F817" s="7"/>
      <c r="G817" s="7"/>
      <c r="H817" s="7"/>
      <c r="I817" s="7"/>
      <c r="J817" s="14"/>
      <c r="K817" s="7"/>
      <c r="L817" s="14"/>
      <c r="M817" s="14"/>
      <c r="N817" s="14"/>
      <c r="O817" s="14"/>
      <c r="P817" s="14"/>
      <c r="Q817" s="14"/>
      <c r="R817" s="14"/>
      <c r="S817" s="14"/>
      <c r="T817" s="14"/>
      <c r="U817" s="14"/>
      <c r="V817" s="272"/>
      <c r="W817" s="272"/>
      <c r="X817" s="14"/>
      <c r="Y817" s="14"/>
      <c r="Z817" s="14"/>
      <c r="AA817" s="14"/>
      <c r="AB817" s="14"/>
      <c r="AC817" s="14"/>
      <c r="AD817" s="14"/>
      <c r="AE817" s="14"/>
      <c r="AF817" s="14"/>
      <c r="AG817" s="14"/>
      <c r="AH817" s="14"/>
      <c r="AI817" s="7"/>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row>
    <row r="818">
      <c r="A818" s="14"/>
      <c r="B818" s="14"/>
      <c r="C818" s="14"/>
      <c r="D818" s="14"/>
      <c r="E818" s="7"/>
      <c r="F818" s="7"/>
      <c r="G818" s="7"/>
      <c r="H818" s="7"/>
      <c r="I818" s="7"/>
      <c r="J818" s="14"/>
      <c r="K818" s="7"/>
      <c r="L818" s="14"/>
      <c r="M818" s="14"/>
      <c r="N818" s="14"/>
      <c r="O818" s="14"/>
      <c r="P818" s="14"/>
      <c r="Q818" s="14"/>
      <c r="R818" s="14"/>
      <c r="S818" s="14"/>
      <c r="T818" s="14"/>
      <c r="U818" s="14"/>
      <c r="V818" s="272"/>
      <c r="W818" s="272"/>
      <c r="X818" s="14"/>
      <c r="Y818" s="14"/>
      <c r="Z818" s="14"/>
      <c r="AA818" s="14"/>
      <c r="AB818" s="14"/>
      <c r="AC818" s="14"/>
      <c r="AD818" s="14"/>
      <c r="AE818" s="14"/>
      <c r="AF818" s="14"/>
      <c r="AG818" s="14"/>
      <c r="AH818" s="14"/>
      <c r="AI818" s="7"/>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row>
    <row r="819">
      <c r="A819" s="14"/>
      <c r="B819" s="14"/>
      <c r="C819" s="14"/>
      <c r="D819" s="14"/>
      <c r="E819" s="7"/>
      <c r="F819" s="7"/>
      <c r="G819" s="7"/>
      <c r="H819" s="7"/>
      <c r="I819" s="7"/>
      <c r="J819" s="14"/>
      <c r="K819" s="7"/>
      <c r="L819" s="14"/>
      <c r="M819" s="14"/>
      <c r="N819" s="14"/>
      <c r="O819" s="14"/>
      <c r="P819" s="14"/>
      <c r="Q819" s="14"/>
      <c r="R819" s="14"/>
      <c r="S819" s="14"/>
      <c r="T819" s="14"/>
      <c r="U819" s="14"/>
      <c r="V819" s="272"/>
      <c r="W819" s="272"/>
      <c r="X819" s="14"/>
      <c r="Y819" s="14"/>
      <c r="Z819" s="14"/>
      <c r="AA819" s="14"/>
      <c r="AB819" s="14"/>
      <c r="AC819" s="14"/>
      <c r="AD819" s="14"/>
      <c r="AE819" s="14"/>
      <c r="AF819" s="14"/>
      <c r="AG819" s="14"/>
      <c r="AH819" s="14"/>
      <c r="AI819" s="7"/>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row>
    <row r="820">
      <c r="A820" s="14"/>
      <c r="B820" s="14"/>
      <c r="C820" s="14"/>
      <c r="D820" s="14"/>
      <c r="E820" s="7"/>
      <c r="F820" s="7"/>
      <c r="G820" s="7"/>
      <c r="H820" s="7"/>
      <c r="I820" s="7"/>
      <c r="J820" s="14"/>
      <c r="K820" s="7"/>
      <c r="L820" s="14"/>
      <c r="M820" s="14"/>
      <c r="N820" s="14"/>
      <c r="O820" s="14"/>
      <c r="P820" s="14"/>
      <c r="Q820" s="14"/>
      <c r="R820" s="14"/>
      <c r="S820" s="14"/>
      <c r="T820" s="14"/>
      <c r="U820" s="14"/>
      <c r="V820" s="272"/>
      <c r="W820" s="272"/>
      <c r="X820" s="14"/>
      <c r="Y820" s="14"/>
      <c r="Z820" s="14"/>
      <c r="AA820" s="14"/>
      <c r="AB820" s="14"/>
      <c r="AC820" s="14"/>
      <c r="AD820" s="14"/>
      <c r="AE820" s="14"/>
      <c r="AF820" s="14"/>
      <c r="AG820" s="14"/>
      <c r="AH820" s="14"/>
      <c r="AI820" s="7"/>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row>
    <row r="821">
      <c r="A821" s="14"/>
      <c r="B821" s="14"/>
      <c r="C821" s="14"/>
      <c r="D821" s="14"/>
      <c r="E821" s="7"/>
      <c r="F821" s="7"/>
      <c r="G821" s="7"/>
      <c r="H821" s="7"/>
      <c r="I821" s="7"/>
      <c r="J821" s="14"/>
      <c r="K821" s="7"/>
      <c r="L821" s="14"/>
      <c r="M821" s="14"/>
      <c r="N821" s="14"/>
      <c r="O821" s="14"/>
      <c r="P821" s="14"/>
      <c r="Q821" s="14"/>
      <c r="R821" s="14"/>
      <c r="S821" s="14"/>
      <c r="T821" s="14"/>
      <c r="U821" s="14"/>
      <c r="V821" s="272"/>
      <c r="W821" s="272"/>
      <c r="X821" s="14"/>
      <c r="Y821" s="14"/>
      <c r="Z821" s="14"/>
      <c r="AA821" s="14"/>
      <c r="AB821" s="14"/>
      <c r="AC821" s="14"/>
      <c r="AD821" s="14"/>
      <c r="AE821" s="14"/>
      <c r="AF821" s="14"/>
      <c r="AG821" s="14"/>
      <c r="AH821" s="14"/>
      <c r="AI821" s="7"/>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row>
    <row r="822">
      <c r="A822" s="14"/>
      <c r="B822" s="14"/>
      <c r="C822" s="14"/>
      <c r="D822" s="14"/>
      <c r="E822" s="7"/>
      <c r="F822" s="7"/>
      <c r="G822" s="7"/>
      <c r="H822" s="7"/>
      <c r="I822" s="7"/>
      <c r="J822" s="14"/>
      <c r="K822" s="7"/>
      <c r="L822" s="14"/>
      <c r="M822" s="14"/>
      <c r="N822" s="14"/>
      <c r="O822" s="14"/>
      <c r="P822" s="14"/>
      <c r="Q822" s="14"/>
      <c r="R822" s="14"/>
      <c r="S822" s="14"/>
      <c r="T822" s="14"/>
      <c r="U822" s="14"/>
      <c r="V822" s="272"/>
      <c r="W822" s="272"/>
      <c r="X822" s="14"/>
      <c r="Y822" s="14"/>
      <c r="Z822" s="14"/>
      <c r="AA822" s="14"/>
      <c r="AB822" s="14"/>
      <c r="AC822" s="14"/>
      <c r="AD822" s="14"/>
      <c r="AE822" s="14"/>
      <c r="AF822" s="14"/>
      <c r="AG822" s="14"/>
      <c r="AH822" s="14"/>
      <c r="AI822" s="7"/>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row>
    <row r="823">
      <c r="A823" s="14"/>
      <c r="B823" s="14"/>
      <c r="C823" s="14"/>
      <c r="D823" s="14"/>
      <c r="E823" s="7"/>
      <c r="F823" s="7"/>
      <c r="G823" s="7"/>
      <c r="H823" s="7"/>
      <c r="I823" s="7"/>
      <c r="J823" s="14"/>
      <c r="K823" s="7"/>
      <c r="L823" s="14"/>
      <c r="M823" s="14"/>
      <c r="N823" s="14"/>
      <c r="O823" s="14"/>
      <c r="P823" s="14"/>
      <c r="Q823" s="14"/>
      <c r="R823" s="14"/>
      <c r="S823" s="14"/>
      <c r="T823" s="14"/>
      <c r="U823" s="14"/>
      <c r="V823" s="272"/>
      <c r="W823" s="272"/>
      <c r="X823" s="14"/>
      <c r="Y823" s="14"/>
      <c r="Z823" s="14"/>
      <c r="AA823" s="14"/>
      <c r="AB823" s="14"/>
      <c r="AC823" s="14"/>
      <c r="AD823" s="14"/>
      <c r="AE823" s="14"/>
      <c r="AF823" s="14"/>
      <c r="AG823" s="14"/>
      <c r="AH823" s="14"/>
      <c r="AI823" s="7"/>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row>
    <row r="824">
      <c r="A824" s="14"/>
      <c r="B824" s="14"/>
      <c r="C824" s="14"/>
      <c r="D824" s="14"/>
      <c r="E824" s="7"/>
      <c r="F824" s="7"/>
      <c r="G824" s="7"/>
      <c r="H824" s="7"/>
      <c r="I824" s="7"/>
      <c r="J824" s="14"/>
      <c r="K824" s="7"/>
      <c r="L824" s="14"/>
      <c r="M824" s="14"/>
      <c r="N824" s="14"/>
      <c r="O824" s="14"/>
      <c r="P824" s="14"/>
      <c r="Q824" s="14"/>
      <c r="R824" s="14"/>
      <c r="S824" s="14"/>
      <c r="T824" s="14"/>
      <c r="U824" s="14"/>
      <c r="V824" s="272"/>
      <c r="W824" s="272"/>
      <c r="X824" s="14"/>
      <c r="Y824" s="14"/>
      <c r="Z824" s="14"/>
      <c r="AA824" s="14"/>
      <c r="AB824" s="14"/>
      <c r="AC824" s="14"/>
      <c r="AD824" s="14"/>
      <c r="AE824" s="14"/>
      <c r="AF824" s="14"/>
      <c r="AG824" s="14"/>
      <c r="AH824" s="14"/>
      <c r="AI824" s="7"/>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row>
    <row r="825">
      <c r="A825" s="14"/>
      <c r="B825" s="14"/>
      <c r="C825" s="14"/>
      <c r="D825" s="14"/>
      <c r="E825" s="7"/>
      <c r="F825" s="7"/>
      <c r="G825" s="7"/>
      <c r="H825" s="7"/>
      <c r="I825" s="7"/>
      <c r="J825" s="14"/>
      <c r="K825" s="7"/>
      <c r="L825" s="14"/>
      <c r="M825" s="14"/>
      <c r="N825" s="14"/>
      <c r="O825" s="14"/>
      <c r="P825" s="14"/>
      <c r="Q825" s="14"/>
      <c r="R825" s="14"/>
      <c r="S825" s="14"/>
      <c r="T825" s="14"/>
      <c r="U825" s="14"/>
      <c r="V825" s="272"/>
      <c r="W825" s="272"/>
      <c r="X825" s="14"/>
      <c r="Y825" s="14"/>
      <c r="Z825" s="14"/>
      <c r="AA825" s="14"/>
      <c r="AB825" s="14"/>
      <c r="AC825" s="14"/>
      <c r="AD825" s="14"/>
      <c r="AE825" s="14"/>
      <c r="AF825" s="14"/>
      <c r="AG825" s="14"/>
      <c r="AH825" s="14"/>
      <c r="AI825" s="7"/>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row>
    <row r="826">
      <c r="A826" s="14"/>
      <c r="B826" s="14"/>
      <c r="C826" s="14"/>
      <c r="D826" s="14"/>
      <c r="E826" s="7"/>
      <c r="F826" s="7"/>
      <c r="G826" s="7"/>
      <c r="H826" s="7"/>
      <c r="I826" s="7"/>
      <c r="J826" s="14"/>
      <c r="K826" s="7"/>
      <c r="L826" s="14"/>
      <c r="M826" s="14"/>
      <c r="N826" s="14"/>
      <c r="O826" s="14"/>
      <c r="P826" s="14"/>
      <c r="Q826" s="14"/>
      <c r="R826" s="14"/>
      <c r="S826" s="14"/>
      <c r="T826" s="14"/>
      <c r="U826" s="14"/>
      <c r="V826" s="272"/>
      <c r="W826" s="272"/>
      <c r="X826" s="14"/>
      <c r="Y826" s="14"/>
      <c r="Z826" s="14"/>
      <c r="AA826" s="14"/>
      <c r="AB826" s="14"/>
      <c r="AC826" s="14"/>
      <c r="AD826" s="14"/>
      <c r="AE826" s="14"/>
      <c r="AF826" s="14"/>
      <c r="AG826" s="14"/>
      <c r="AH826" s="14"/>
      <c r="AI826" s="7"/>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row>
    <row r="827">
      <c r="A827" s="14"/>
      <c r="B827" s="14"/>
      <c r="C827" s="14"/>
      <c r="D827" s="14"/>
      <c r="E827" s="7"/>
      <c r="F827" s="7"/>
      <c r="G827" s="7"/>
      <c r="H827" s="7"/>
      <c r="I827" s="7"/>
      <c r="J827" s="14"/>
      <c r="K827" s="7"/>
      <c r="L827" s="14"/>
      <c r="M827" s="14"/>
      <c r="N827" s="14"/>
      <c r="O827" s="14"/>
      <c r="P827" s="14"/>
      <c r="Q827" s="14"/>
      <c r="R827" s="14"/>
      <c r="S827" s="14"/>
      <c r="T827" s="14"/>
      <c r="U827" s="14"/>
      <c r="V827" s="272"/>
      <c r="W827" s="272"/>
      <c r="X827" s="14"/>
      <c r="Y827" s="14"/>
      <c r="Z827" s="14"/>
      <c r="AA827" s="14"/>
      <c r="AB827" s="14"/>
      <c r="AC827" s="14"/>
      <c r="AD827" s="14"/>
      <c r="AE827" s="14"/>
      <c r="AF827" s="14"/>
      <c r="AG827" s="14"/>
      <c r="AH827" s="14"/>
      <c r="AI827" s="7"/>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row>
    <row r="828">
      <c r="A828" s="14"/>
      <c r="B828" s="14"/>
      <c r="C828" s="14"/>
      <c r="D828" s="14"/>
      <c r="E828" s="7"/>
      <c r="F828" s="7"/>
      <c r="G828" s="7"/>
      <c r="H828" s="7"/>
      <c r="I828" s="7"/>
      <c r="J828" s="14"/>
      <c r="K828" s="7"/>
      <c r="L828" s="14"/>
      <c r="M828" s="14"/>
      <c r="N828" s="14"/>
      <c r="O828" s="14"/>
      <c r="P828" s="14"/>
      <c r="Q828" s="14"/>
      <c r="R828" s="14"/>
      <c r="S828" s="14"/>
      <c r="T828" s="14"/>
      <c r="U828" s="14"/>
      <c r="V828" s="272"/>
      <c r="W828" s="272"/>
      <c r="X828" s="14"/>
      <c r="Y828" s="14"/>
      <c r="Z828" s="14"/>
      <c r="AA828" s="14"/>
      <c r="AB828" s="14"/>
      <c r="AC828" s="14"/>
      <c r="AD828" s="14"/>
      <c r="AE828" s="14"/>
      <c r="AF828" s="14"/>
      <c r="AG828" s="14"/>
      <c r="AH828" s="14"/>
      <c r="AI828" s="7"/>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row>
    <row r="829">
      <c r="A829" s="14"/>
      <c r="B829" s="14"/>
      <c r="C829" s="14"/>
      <c r="D829" s="14"/>
      <c r="E829" s="7"/>
      <c r="F829" s="7"/>
      <c r="G829" s="7"/>
      <c r="H829" s="7"/>
      <c r="I829" s="7"/>
      <c r="J829" s="14"/>
      <c r="K829" s="7"/>
      <c r="L829" s="14"/>
      <c r="M829" s="14"/>
      <c r="N829" s="14"/>
      <c r="O829" s="14"/>
      <c r="P829" s="14"/>
      <c r="Q829" s="14"/>
      <c r="R829" s="14"/>
      <c r="S829" s="14"/>
      <c r="T829" s="14"/>
      <c r="U829" s="14"/>
      <c r="V829" s="272"/>
      <c r="W829" s="272"/>
      <c r="X829" s="14"/>
      <c r="Y829" s="14"/>
      <c r="Z829" s="14"/>
      <c r="AA829" s="14"/>
      <c r="AB829" s="14"/>
      <c r="AC829" s="14"/>
      <c r="AD829" s="14"/>
      <c r="AE829" s="14"/>
      <c r="AF829" s="14"/>
      <c r="AG829" s="14"/>
      <c r="AH829" s="14"/>
      <c r="AI829" s="7"/>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row>
    <row r="830">
      <c r="A830" s="14"/>
      <c r="B830" s="14"/>
      <c r="C830" s="14"/>
      <c r="D830" s="14"/>
      <c r="E830" s="7"/>
      <c r="F830" s="7"/>
      <c r="G830" s="7"/>
      <c r="H830" s="7"/>
      <c r="I830" s="7"/>
      <c r="J830" s="14"/>
      <c r="K830" s="7"/>
      <c r="L830" s="14"/>
      <c r="M830" s="14"/>
      <c r="N830" s="14"/>
      <c r="O830" s="14"/>
      <c r="P830" s="14"/>
      <c r="Q830" s="14"/>
      <c r="R830" s="14"/>
      <c r="S830" s="14"/>
      <c r="T830" s="14"/>
      <c r="U830" s="14"/>
      <c r="V830" s="272"/>
      <c r="W830" s="272"/>
      <c r="X830" s="14"/>
      <c r="Y830" s="14"/>
      <c r="Z830" s="14"/>
      <c r="AA830" s="14"/>
      <c r="AB830" s="14"/>
      <c r="AC830" s="14"/>
      <c r="AD830" s="14"/>
      <c r="AE830" s="14"/>
      <c r="AF830" s="14"/>
      <c r="AG830" s="14"/>
      <c r="AH830" s="14"/>
      <c r="AI830" s="7"/>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row>
    <row r="831">
      <c r="A831" s="14"/>
      <c r="B831" s="14"/>
      <c r="C831" s="14"/>
      <c r="D831" s="14"/>
      <c r="E831" s="7"/>
      <c r="F831" s="7"/>
      <c r="G831" s="7"/>
      <c r="H831" s="7"/>
      <c r="I831" s="7"/>
      <c r="J831" s="14"/>
      <c r="K831" s="7"/>
      <c r="L831" s="14"/>
      <c r="M831" s="14"/>
      <c r="N831" s="14"/>
      <c r="O831" s="14"/>
      <c r="P831" s="14"/>
      <c r="Q831" s="14"/>
      <c r="R831" s="14"/>
      <c r="S831" s="14"/>
      <c r="T831" s="14"/>
      <c r="U831" s="14"/>
      <c r="V831" s="272"/>
      <c r="W831" s="272"/>
      <c r="X831" s="14"/>
      <c r="Y831" s="14"/>
      <c r="Z831" s="14"/>
      <c r="AA831" s="14"/>
      <c r="AB831" s="14"/>
      <c r="AC831" s="14"/>
      <c r="AD831" s="14"/>
      <c r="AE831" s="14"/>
      <c r="AF831" s="14"/>
      <c r="AG831" s="14"/>
      <c r="AH831" s="14"/>
      <c r="AI831" s="7"/>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row>
    <row r="832">
      <c r="A832" s="14"/>
      <c r="B832" s="14"/>
      <c r="C832" s="14"/>
      <c r="D832" s="14"/>
      <c r="E832" s="7"/>
      <c r="F832" s="7"/>
      <c r="G832" s="7"/>
      <c r="H832" s="7"/>
      <c r="I832" s="7"/>
      <c r="J832" s="14"/>
      <c r="K832" s="7"/>
      <c r="L832" s="14"/>
      <c r="M832" s="14"/>
      <c r="N832" s="14"/>
      <c r="O832" s="14"/>
      <c r="P832" s="14"/>
      <c r="Q832" s="14"/>
      <c r="R832" s="14"/>
      <c r="S832" s="14"/>
      <c r="T832" s="14"/>
      <c r="U832" s="14"/>
      <c r="V832" s="272"/>
      <c r="W832" s="272"/>
      <c r="X832" s="14"/>
      <c r="Y832" s="14"/>
      <c r="Z832" s="14"/>
      <c r="AA832" s="14"/>
      <c r="AB832" s="14"/>
      <c r="AC832" s="14"/>
      <c r="AD832" s="14"/>
      <c r="AE832" s="14"/>
      <c r="AF832" s="14"/>
      <c r="AG832" s="14"/>
      <c r="AH832" s="14"/>
      <c r="AI832" s="7"/>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row>
    <row r="833">
      <c r="A833" s="14"/>
      <c r="B833" s="14"/>
      <c r="C833" s="14"/>
      <c r="D833" s="14"/>
      <c r="E833" s="7"/>
      <c r="F833" s="7"/>
      <c r="G833" s="7"/>
      <c r="H833" s="7"/>
      <c r="I833" s="7"/>
      <c r="J833" s="14"/>
      <c r="K833" s="7"/>
      <c r="L833" s="14"/>
      <c r="M833" s="14"/>
      <c r="N833" s="14"/>
      <c r="O833" s="14"/>
      <c r="P833" s="14"/>
      <c r="Q833" s="14"/>
      <c r="R833" s="14"/>
      <c r="S833" s="14"/>
      <c r="T833" s="14"/>
      <c r="U833" s="14"/>
      <c r="V833" s="272"/>
      <c r="W833" s="272"/>
      <c r="X833" s="14"/>
      <c r="Y833" s="14"/>
      <c r="Z833" s="14"/>
      <c r="AA833" s="14"/>
      <c r="AB833" s="14"/>
      <c r="AC833" s="14"/>
      <c r="AD833" s="14"/>
      <c r="AE833" s="14"/>
      <c r="AF833" s="14"/>
      <c r="AG833" s="14"/>
      <c r="AH833" s="14"/>
      <c r="AI833" s="7"/>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row>
    <row r="834">
      <c r="A834" s="14"/>
      <c r="B834" s="14"/>
      <c r="C834" s="14"/>
      <c r="D834" s="14"/>
      <c r="E834" s="7"/>
      <c r="F834" s="7"/>
      <c r="G834" s="7"/>
      <c r="H834" s="7"/>
      <c r="I834" s="7"/>
      <c r="J834" s="14"/>
      <c r="K834" s="7"/>
      <c r="L834" s="14"/>
      <c r="M834" s="14"/>
      <c r="N834" s="14"/>
      <c r="O834" s="14"/>
      <c r="P834" s="14"/>
      <c r="Q834" s="14"/>
      <c r="R834" s="14"/>
      <c r="S834" s="14"/>
      <c r="T834" s="14"/>
      <c r="U834" s="14"/>
      <c r="V834" s="272"/>
      <c r="W834" s="272"/>
      <c r="X834" s="14"/>
      <c r="Y834" s="14"/>
      <c r="Z834" s="14"/>
      <c r="AA834" s="14"/>
      <c r="AB834" s="14"/>
      <c r="AC834" s="14"/>
      <c r="AD834" s="14"/>
      <c r="AE834" s="14"/>
      <c r="AF834" s="14"/>
      <c r="AG834" s="14"/>
      <c r="AH834" s="14"/>
      <c r="AI834" s="7"/>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row>
    <row r="835">
      <c r="A835" s="14"/>
      <c r="B835" s="14"/>
      <c r="C835" s="14"/>
      <c r="D835" s="14"/>
      <c r="E835" s="7"/>
      <c r="F835" s="7"/>
      <c r="G835" s="7"/>
      <c r="H835" s="7"/>
      <c r="I835" s="7"/>
      <c r="J835" s="14"/>
      <c r="K835" s="7"/>
      <c r="L835" s="14"/>
      <c r="M835" s="14"/>
      <c r="N835" s="14"/>
      <c r="O835" s="14"/>
      <c r="P835" s="14"/>
      <c r="Q835" s="14"/>
      <c r="R835" s="14"/>
      <c r="S835" s="14"/>
      <c r="T835" s="14"/>
      <c r="U835" s="14"/>
      <c r="V835" s="272"/>
      <c r="W835" s="272"/>
      <c r="X835" s="14"/>
      <c r="Y835" s="14"/>
      <c r="Z835" s="14"/>
      <c r="AA835" s="14"/>
      <c r="AB835" s="14"/>
      <c r="AC835" s="14"/>
      <c r="AD835" s="14"/>
      <c r="AE835" s="14"/>
      <c r="AF835" s="14"/>
      <c r="AG835" s="14"/>
      <c r="AH835" s="14"/>
      <c r="AI835" s="7"/>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row>
    <row r="836">
      <c r="A836" s="14"/>
      <c r="B836" s="14"/>
      <c r="C836" s="14"/>
      <c r="D836" s="14"/>
      <c r="E836" s="7"/>
      <c r="F836" s="7"/>
      <c r="G836" s="7"/>
      <c r="H836" s="7"/>
      <c r="I836" s="7"/>
      <c r="J836" s="14"/>
      <c r="K836" s="7"/>
      <c r="L836" s="14"/>
      <c r="M836" s="14"/>
      <c r="N836" s="14"/>
      <c r="O836" s="14"/>
      <c r="P836" s="14"/>
      <c r="Q836" s="14"/>
      <c r="R836" s="14"/>
      <c r="S836" s="14"/>
      <c r="T836" s="14"/>
      <c r="U836" s="14"/>
      <c r="V836" s="272"/>
      <c r="W836" s="272"/>
      <c r="X836" s="14"/>
      <c r="Y836" s="14"/>
      <c r="Z836" s="14"/>
      <c r="AA836" s="14"/>
      <c r="AB836" s="14"/>
      <c r="AC836" s="14"/>
      <c r="AD836" s="14"/>
      <c r="AE836" s="14"/>
      <c r="AF836" s="14"/>
      <c r="AG836" s="14"/>
      <c r="AH836" s="14"/>
      <c r="AI836" s="7"/>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row>
    <row r="837">
      <c r="A837" s="14"/>
      <c r="B837" s="14"/>
      <c r="C837" s="14"/>
      <c r="D837" s="14"/>
      <c r="E837" s="7"/>
      <c r="F837" s="7"/>
      <c r="G837" s="7"/>
      <c r="H837" s="7"/>
      <c r="I837" s="7"/>
      <c r="J837" s="14"/>
      <c r="K837" s="7"/>
      <c r="L837" s="14"/>
      <c r="M837" s="14"/>
      <c r="N837" s="14"/>
      <c r="O837" s="14"/>
      <c r="P837" s="14"/>
      <c r="Q837" s="14"/>
      <c r="R837" s="14"/>
      <c r="S837" s="14"/>
      <c r="T837" s="14"/>
      <c r="U837" s="14"/>
      <c r="V837" s="272"/>
      <c r="W837" s="272"/>
      <c r="X837" s="14"/>
      <c r="Y837" s="14"/>
      <c r="Z837" s="14"/>
      <c r="AA837" s="14"/>
      <c r="AB837" s="14"/>
      <c r="AC837" s="14"/>
      <c r="AD837" s="14"/>
      <c r="AE837" s="14"/>
      <c r="AF837" s="14"/>
      <c r="AG837" s="14"/>
      <c r="AH837" s="14"/>
      <c r="AI837" s="7"/>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row>
    <row r="838">
      <c r="A838" s="14"/>
      <c r="B838" s="14"/>
      <c r="C838" s="14"/>
      <c r="D838" s="14"/>
      <c r="E838" s="7"/>
      <c r="F838" s="7"/>
      <c r="G838" s="7"/>
      <c r="H838" s="7"/>
      <c r="I838" s="7"/>
      <c r="J838" s="14"/>
      <c r="K838" s="7"/>
      <c r="L838" s="14"/>
      <c r="M838" s="14"/>
      <c r="N838" s="14"/>
      <c r="O838" s="14"/>
      <c r="P838" s="14"/>
      <c r="Q838" s="14"/>
      <c r="R838" s="14"/>
      <c r="S838" s="14"/>
      <c r="T838" s="14"/>
      <c r="U838" s="14"/>
      <c r="V838" s="272"/>
      <c r="W838" s="272"/>
      <c r="X838" s="14"/>
      <c r="Y838" s="14"/>
      <c r="Z838" s="14"/>
      <c r="AA838" s="14"/>
      <c r="AB838" s="14"/>
      <c r="AC838" s="14"/>
      <c r="AD838" s="14"/>
      <c r="AE838" s="14"/>
      <c r="AF838" s="14"/>
      <c r="AG838" s="14"/>
      <c r="AH838" s="14"/>
      <c r="AI838" s="7"/>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row>
    <row r="839">
      <c r="A839" s="14"/>
      <c r="B839" s="14"/>
      <c r="C839" s="14"/>
      <c r="D839" s="14"/>
      <c r="E839" s="7"/>
      <c r="F839" s="7"/>
      <c r="G839" s="7"/>
      <c r="H839" s="7"/>
      <c r="I839" s="7"/>
      <c r="J839" s="14"/>
      <c r="K839" s="7"/>
      <c r="L839" s="14"/>
      <c r="M839" s="14"/>
      <c r="N839" s="14"/>
      <c r="O839" s="14"/>
      <c r="P839" s="14"/>
      <c r="Q839" s="14"/>
      <c r="R839" s="14"/>
      <c r="S839" s="14"/>
      <c r="T839" s="14"/>
      <c r="U839" s="14"/>
      <c r="V839" s="272"/>
      <c r="W839" s="272"/>
      <c r="X839" s="14"/>
      <c r="Y839" s="14"/>
      <c r="Z839" s="14"/>
      <c r="AA839" s="14"/>
      <c r="AB839" s="14"/>
      <c r="AC839" s="14"/>
      <c r="AD839" s="14"/>
      <c r="AE839" s="14"/>
      <c r="AF839" s="14"/>
      <c r="AG839" s="14"/>
      <c r="AH839" s="14"/>
      <c r="AI839" s="7"/>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row>
    <row r="840">
      <c r="A840" s="14"/>
      <c r="B840" s="14"/>
      <c r="C840" s="14"/>
      <c r="D840" s="14"/>
      <c r="E840" s="7"/>
      <c r="F840" s="7"/>
      <c r="G840" s="7"/>
      <c r="H840" s="7"/>
      <c r="I840" s="7"/>
      <c r="J840" s="14"/>
      <c r="K840" s="7"/>
      <c r="L840" s="14"/>
      <c r="M840" s="14"/>
      <c r="N840" s="14"/>
      <c r="O840" s="14"/>
      <c r="P840" s="14"/>
      <c r="Q840" s="14"/>
      <c r="R840" s="14"/>
      <c r="S840" s="14"/>
      <c r="T840" s="14"/>
      <c r="U840" s="14"/>
      <c r="V840" s="272"/>
      <c r="W840" s="272"/>
      <c r="X840" s="14"/>
      <c r="Y840" s="14"/>
      <c r="Z840" s="14"/>
      <c r="AA840" s="14"/>
      <c r="AB840" s="14"/>
      <c r="AC840" s="14"/>
      <c r="AD840" s="14"/>
      <c r="AE840" s="14"/>
      <c r="AF840" s="14"/>
      <c r="AG840" s="14"/>
      <c r="AH840" s="14"/>
      <c r="AI840" s="7"/>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row>
    <row r="841">
      <c r="A841" s="14"/>
      <c r="B841" s="14"/>
      <c r="C841" s="14"/>
      <c r="D841" s="14"/>
      <c r="E841" s="7"/>
      <c r="F841" s="7"/>
      <c r="G841" s="7"/>
      <c r="H841" s="7"/>
      <c r="I841" s="7"/>
      <c r="J841" s="14"/>
      <c r="K841" s="7"/>
      <c r="L841" s="14"/>
      <c r="M841" s="14"/>
      <c r="N841" s="14"/>
      <c r="O841" s="14"/>
      <c r="P841" s="14"/>
      <c r="Q841" s="14"/>
      <c r="R841" s="14"/>
      <c r="S841" s="14"/>
      <c r="T841" s="14"/>
      <c r="U841" s="14"/>
      <c r="V841" s="272"/>
      <c r="W841" s="272"/>
      <c r="X841" s="14"/>
      <c r="Y841" s="14"/>
      <c r="Z841" s="14"/>
      <c r="AA841" s="14"/>
      <c r="AB841" s="14"/>
      <c r="AC841" s="14"/>
      <c r="AD841" s="14"/>
      <c r="AE841" s="14"/>
      <c r="AF841" s="14"/>
      <c r="AG841" s="14"/>
      <c r="AH841" s="14"/>
      <c r="AI841" s="7"/>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row>
    <row r="842">
      <c r="A842" s="14"/>
      <c r="B842" s="14"/>
      <c r="C842" s="14"/>
      <c r="D842" s="14"/>
      <c r="E842" s="7"/>
      <c r="F842" s="7"/>
      <c r="G842" s="7"/>
      <c r="H842" s="7"/>
      <c r="I842" s="7"/>
      <c r="J842" s="14"/>
      <c r="K842" s="7"/>
      <c r="L842" s="14"/>
      <c r="M842" s="14"/>
      <c r="N842" s="14"/>
      <c r="O842" s="14"/>
      <c r="P842" s="14"/>
      <c r="Q842" s="14"/>
      <c r="R842" s="14"/>
      <c r="S842" s="14"/>
      <c r="T842" s="14"/>
      <c r="U842" s="14"/>
      <c r="V842" s="272"/>
      <c r="W842" s="272"/>
      <c r="X842" s="14"/>
      <c r="Y842" s="14"/>
      <c r="Z842" s="14"/>
      <c r="AA842" s="14"/>
      <c r="AB842" s="14"/>
      <c r="AC842" s="14"/>
      <c r="AD842" s="14"/>
      <c r="AE842" s="14"/>
      <c r="AF842" s="14"/>
      <c r="AG842" s="14"/>
      <c r="AH842" s="14"/>
      <c r="AI842" s="7"/>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row>
    <row r="843">
      <c r="A843" s="14"/>
      <c r="B843" s="14"/>
      <c r="C843" s="14"/>
      <c r="D843" s="14"/>
      <c r="E843" s="7"/>
      <c r="F843" s="7"/>
      <c r="G843" s="7"/>
      <c r="H843" s="7"/>
      <c r="I843" s="7"/>
      <c r="J843" s="14"/>
      <c r="K843" s="7"/>
      <c r="L843" s="14"/>
      <c r="M843" s="14"/>
      <c r="N843" s="14"/>
      <c r="O843" s="14"/>
      <c r="P843" s="14"/>
      <c r="Q843" s="14"/>
      <c r="R843" s="14"/>
      <c r="S843" s="14"/>
      <c r="T843" s="14"/>
      <c r="U843" s="14"/>
      <c r="V843" s="272"/>
      <c r="W843" s="272"/>
      <c r="X843" s="14"/>
      <c r="Y843" s="14"/>
      <c r="Z843" s="14"/>
      <c r="AA843" s="14"/>
      <c r="AB843" s="14"/>
      <c r="AC843" s="14"/>
      <c r="AD843" s="14"/>
      <c r="AE843" s="14"/>
      <c r="AF843" s="14"/>
      <c r="AG843" s="14"/>
      <c r="AH843" s="14"/>
      <c r="AI843" s="7"/>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row>
    <row r="844">
      <c r="A844" s="14"/>
      <c r="B844" s="14"/>
      <c r="C844" s="14"/>
      <c r="D844" s="14"/>
      <c r="E844" s="7"/>
      <c r="F844" s="7"/>
      <c r="G844" s="7"/>
      <c r="H844" s="7"/>
      <c r="I844" s="7"/>
      <c r="J844" s="14"/>
      <c r="K844" s="7"/>
      <c r="L844" s="14"/>
      <c r="M844" s="14"/>
      <c r="N844" s="14"/>
      <c r="O844" s="14"/>
      <c r="P844" s="14"/>
      <c r="Q844" s="14"/>
      <c r="R844" s="14"/>
      <c r="S844" s="14"/>
      <c r="T844" s="14"/>
      <c r="U844" s="14"/>
      <c r="V844" s="272"/>
      <c r="W844" s="272"/>
      <c r="X844" s="14"/>
      <c r="Y844" s="14"/>
      <c r="Z844" s="14"/>
      <c r="AA844" s="14"/>
      <c r="AB844" s="14"/>
      <c r="AC844" s="14"/>
      <c r="AD844" s="14"/>
      <c r="AE844" s="14"/>
      <c r="AF844" s="14"/>
      <c r="AG844" s="14"/>
      <c r="AH844" s="14"/>
      <c r="AI844" s="7"/>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row>
    <row r="845">
      <c r="A845" s="14"/>
      <c r="B845" s="14"/>
      <c r="C845" s="14"/>
      <c r="D845" s="14"/>
      <c r="E845" s="7"/>
      <c r="F845" s="7"/>
      <c r="G845" s="7"/>
      <c r="H845" s="7"/>
      <c r="I845" s="7"/>
      <c r="J845" s="14"/>
      <c r="K845" s="7"/>
      <c r="L845" s="14"/>
      <c r="M845" s="14"/>
      <c r="N845" s="14"/>
      <c r="O845" s="14"/>
      <c r="P845" s="14"/>
      <c r="Q845" s="14"/>
      <c r="R845" s="14"/>
      <c r="S845" s="14"/>
      <c r="T845" s="14"/>
      <c r="U845" s="14"/>
      <c r="V845" s="272"/>
      <c r="W845" s="272"/>
      <c r="X845" s="14"/>
      <c r="Y845" s="14"/>
      <c r="Z845" s="14"/>
      <c r="AA845" s="14"/>
      <c r="AB845" s="14"/>
      <c r="AC845" s="14"/>
      <c r="AD845" s="14"/>
      <c r="AE845" s="14"/>
      <c r="AF845" s="14"/>
      <c r="AG845" s="14"/>
      <c r="AH845" s="14"/>
      <c r="AI845" s="7"/>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row>
    <row r="846">
      <c r="A846" s="14"/>
      <c r="B846" s="14"/>
      <c r="C846" s="14"/>
      <c r="D846" s="14"/>
      <c r="E846" s="7"/>
      <c r="F846" s="7"/>
      <c r="G846" s="7"/>
      <c r="H846" s="7"/>
      <c r="I846" s="7"/>
      <c r="J846" s="14"/>
      <c r="K846" s="7"/>
      <c r="L846" s="14"/>
      <c r="M846" s="14"/>
      <c r="N846" s="14"/>
      <c r="O846" s="14"/>
      <c r="P846" s="14"/>
      <c r="Q846" s="14"/>
      <c r="R846" s="14"/>
      <c r="S846" s="14"/>
      <c r="T846" s="14"/>
      <c r="U846" s="14"/>
      <c r="V846" s="272"/>
      <c r="W846" s="272"/>
      <c r="X846" s="14"/>
      <c r="Y846" s="14"/>
      <c r="Z846" s="14"/>
      <c r="AA846" s="14"/>
      <c r="AB846" s="14"/>
      <c r="AC846" s="14"/>
      <c r="AD846" s="14"/>
      <c r="AE846" s="14"/>
      <c r="AF846" s="14"/>
      <c r="AG846" s="14"/>
      <c r="AH846" s="14"/>
      <c r="AI846" s="7"/>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row>
    <row r="847">
      <c r="A847" s="14"/>
      <c r="B847" s="14"/>
      <c r="C847" s="14"/>
      <c r="D847" s="14"/>
      <c r="E847" s="7"/>
      <c r="F847" s="7"/>
      <c r="G847" s="7"/>
      <c r="H847" s="7"/>
      <c r="I847" s="7"/>
      <c r="J847" s="14"/>
      <c r="K847" s="7"/>
      <c r="L847" s="14"/>
      <c r="M847" s="14"/>
      <c r="N847" s="14"/>
      <c r="O847" s="14"/>
      <c r="P847" s="14"/>
      <c r="Q847" s="14"/>
      <c r="R847" s="14"/>
      <c r="S847" s="14"/>
      <c r="T847" s="14"/>
      <c r="U847" s="14"/>
      <c r="V847" s="272"/>
      <c r="W847" s="272"/>
      <c r="X847" s="14"/>
      <c r="Y847" s="14"/>
      <c r="Z847" s="14"/>
      <c r="AA847" s="14"/>
      <c r="AB847" s="14"/>
      <c r="AC847" s="14"/>
      <c r="AD847" s="14"/>
      <c r="AE847" s="14"/>
      <c r="AF847" s="14"/>
      <c r="AG847" s="14"/>
      <c r="AH847" s="14"/>
      <c r="AI847" s="7"/>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row>
    <row r="848">
      <c r="A848" s="14"/>
      <c r="B848" s="14"/>
      <c r="C848" s="14"/>
      <c r="D848" s="14"/>
      <c r="E848" s="7"/>
      <c r="F848" s="7"/>
      <c r="G848" s="7"/>
      <c r="H848" s="7"/>
      <c r="I848" s="7"/>
      <c r="J848" s="14"/>
      <c r="K848" s="7"/>
      <c r="L848" s="14"/>
      <c r="M848" s="14"/>
      <c r="N848" s="14"/>
      <c r="O848" s="14"/>
      <c r="P848" s="14"/>
      <c r="Q848" s="14"/>
      <c r="R848" s="14"/>
      <c r="S848" s="14"/>
      <c r="T848" s="14"/>
      <c r="U848" s="14"/>
      <c r="V848" s="272"/>
      <c r="W848" s="272"/>
      <c r="X848" s="14"/>
      <c r="Y848" s="14"/>
      <c r="Z848" s="14"/>
      <c r="AA848" s="14"/>
      <c r="AB848" s="14"/>
      <c r="AC848" s="14"/>
      <c r="AD848" s="14"/>
      <c r="AE848" s="14"/>
      <c r="AF848" s="14"/>
      <c r="AG848" s="14"/>
      <c r="AH848" s="14"/>
      <c r="AI848" s="7"/>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row>
    <row r="849">
      <c r="A849" s="14"/>
      <c r="B849" s="14"/>
      <c r="C849" s="14"/>
      <c r="D849" s="14"/>
      <c r="E849" s="7"/>
      <c r="F849" s="7"/>
      <c r="G849" s="7"/>
      <c r="H849" s="7"/>
      <c r="I849" s="7"/>
      <c r="J849" s="14"/>
      <c r="K849" s="7"/>
      <c r="L849" s="14"/>
      <c r="M849" s="14"/>
      <c r="N849" s="14"/>
      <c r="O849" s="14"/>
      <c r="P849" s="14"/>
      <c r="Q849" s="14"/>
      <c r="R849" s="14"/>
      <c r="S849" s="14"/>
      <c r="T849" s="14"/>
      <c r="U849" s="14"/>
      <c r="V849" s="272"/>
      <c r="W849" s="272"/>
      <c r="X849" s="14"/>
      <c r="Y849" s="14"/>
      <c r="Z849" s="14"/>
      <c r="AA849" s="14"/>
      <c r="AB849" s="14"/>
      <c r="AC849" s="14"/>
      <c r="AD849" s="14"/>
      <c r="AE849" s="14"/>
      <c r="AF849" s="14"/>
      <c r="AG849" s="14"/>
      <c r="AH849" s="14"/>
      <c r="AI849" s="7"/>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row>
    <row r="850">
      <c r="A850" s="14"/>
      <c r="B850" s="14"/>
      <c r="C850" s="14"/>
      <c r="D850" s="14"/>
      <c r="E850" s="7"/>
      <c r="F850" s="7"/>
      <c r="G850" s="7"/>
      <c r="H850" s="7"/>
      <c r="I850" s="7"/>
      <c r="J850" s="14"/>
      <c r="K850" s="7"/>
      <c r="L850" s="14"/>
      <c r="M850" s="14"/>
      <c r="N850" s="14"/>
      <c r="O850" s="14"/>
      <c r="P850" s="14"/>
      <c r="Q850" s="14"/>
      <c r="R850" s="14"/>
      <c r="S850" s="14"/>
      <c r="T850" s="14"/>
      <c r="U850" s="14"/>
      <c r="V850" s="272"/>
      <c r="W850" s="272"/>
      <c r="X850" s="14"/>
      <c r="Y850" s="14"/>
      <c r="Z850" s="14"/>
      <c r="AA850" s="14"/>
      <c r="AB850" s="14"/>
      <c r="AC850" s="14"/>
      <c r="AD850" s="14"/>
      <c r="AE850" s="14"/>
      <c r="AF850" s="14"/>
      <c r="AG850" s="14"/>
      <c r="AH850" s="14"/>
      <c r="AI850" s="7"/>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row>
    <row r="851">
      <c r="A851" s="14"/>
      <c r="B851" s="14"/>
      <c r="C851" s="14"/>
      <c r="D851" s="14"/>
      <c r="E851" s="7"/>
      <c r="F851" s="7"/>
      <c r="G851" s="7"/>
      <c r="H851" s="7"/>
      <c r="I851" s="7"/>
      <c r="J851" s="14"/>
      <c r="K851" s="7"/>
      <c r="L851" s="14"/>
      <c r="M851" s="14"/>
      <c r="N851" s="14"/>
      <c r="O851" s="14"/>
      <c r="P851" s="14"/>
      <c r="Q851" s="14"/>
      <c r="R851" s="14"/>
      <c r="S851" s="14"/>
      <c r="T851" s="14"/>
      <c r="U851" s="14"/>
      <c r="V851" s="272"/>
      <c r="W851" s="272"/>
      <c r="X851" s="14"/>
      <c r="Y851" s="14"/>
      <c r="Z851" s="14"/>
      <c r="AA851" s="14"/>
      <c r="AB851" s="14"/>
      <c r="AC851" s="14"/>
      <c r="AD851" s="14"/>
      <c r="AE851" s="14"/>
      <c r="AF851" s="14"/>
      <c r="AG851" s="14"/>
      <c r="AH851" s="14"/>
      <c r="AI851" s="7"/>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row>
    <row r="852">
      <c r="A852" s="14"/>
      <c r="B852" s="14"/>
      <c r="C852" s="14"/>
      <c r="D852" s="14"/>
      <c r="E852" s="7"/>
      <c r="F852" s="7"/>
      <c r="G852" s="7"/>
      <c r="H852" s="7"/>
      <c r="I852" s="7"/>
      <c r="J852" s="14"/>
      <c r="K852" s="7"/>
      <c r="L852" s="14"/>
      <c r="M852" s="14"/>
      <c r="N852" s="14"/>
      <c r="O852" s="14"/>
      <c r="P852" s="14"/>
      <c r="Q852" s="14"/>
      <c r="R852" s="14"/>
      <c r="S852" s="14"/>
      <c r="T852" s="14"/>
      <c r="U852" s="14"/>
      <c r="V852" s="272"/>
      <c r="W852" s="272"/>
      <c r="X852" s="14"/>
      <c r="Y852" s="14"/>
      <c r="Z852" s="14"/>
      <c r="AA852" s="14"/>
      <c r="AB852" s="14"/>
      <c r="AC852" s="14"/>
      <c r="AD852" s="14"/>
      <c r="AE852" s="14"/>
      <c r="AF852" s="14"/>
      <c r="AG852" s="14"/>
      <c r="AH852" s="14"/>
      <c r="AI852" s="7"/>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row>
    <row r="853">
      <c r="A853" s="14"/>
      <c r="B853" s="14"/>
      <c r="C853" s="14"/>
      <c r="D853" s="14"/>
      <c r="E853" s="7"/>
      <c r="F853" s="7"/>
      <c r="G853" s="7"/>
      <c r="H853" s="7"/>
      <c r="I853" s="7"/>
      <c r="J853" s="14"/>
      <c r="K853" s="7"/>
      <c r="L853" s="14"/>
      <c r="M853" s="14"/>
      <c r="N853" s="14"/>
      <c r="O853" s="14"/>
      <c r="P853" s="14"/>
      <c r="Q853" s="14"/>
      <c r="R853" s="14"/>
      <c r="S853" s="14"/>
      <c r="T853" s="14"/>
      <c r="U853" s="14"/>
      <c r="V853" s="272"/>
      <c r="W853" s="272"/>
      <c r="X853" s="14"/>
      <c r="Y853" s="14"/>
      <c r="Z853" s="14"/>
      <c r="AA853" s="14"/>
      <c r="AB853" s="14"/>
      <c r="AC853" s="14"/>
      <c r="AD853" s="14"/>
      <c r="AE853" s="14"/>
      <c r="AF853" s="14"/>
      <c r="AG853" s="14"/>
      <c r="AH853" s="14"/>
      <c r="AI853" s="7"/>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row>
    <row r="854">
      <c r="A854" s="14"/>
      <c r="B854" s="14"/>
      <c r="C854" s="14"/>
      <c r="D854" s="14"/>
      <c r="E854" s="7"/>
      <c r="F854" s="7"/>
      <c r="G854" s="7"/>
      <c r="H854" s="7"/>
      <c r="I854" s="7"/>
      <c r="J854" s="14"/>
      <c r="K854" s="7"/>
      <c r="L854" s="14"/>
      <c r="M854" s="14"/>
      <c r="N854" s="14"/>
      <c r="O854" s="14"/>
      <c r="P854" s="14"/>
      <c r="Q854" s="14"/>
      <c r="R854" s="14"/>
      <c r="S854" s="14"/>
      <c r="T854" s="14"/>
      <c r="U854" s="14"/>
      <c r="V854" s="272"/>
      <c r="W854" s="272"/>
      <c r="X854" s="14"/>
      <c r="Y854" s="14"/>
      <c r="Z854" s="14"/>
      <c r="AA854" s="14"/>
      <c r="AB854" s="14"/>
      <c r="AC854" s="14"/>
      <c r="AD854" s="14"/>
      <c r="AE854" s="14"/>
      <c r="AF854" s="14"/>
      <c r="AG854" s="14"/>
      <c r="AH854" s="14"/>
      <c r="AI854" s="7"/>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row>
    <row r="855">
      <c r="A855" s="14"/>
      <c r="B855" s="14"/>
      <c r="C855" s="14"/>
      <c r="D855" s="14"/>
      <c r="E855" s="7"/>
      <c r="F855" s="7"/>
      <c r="G855" s="7"/>
      <c r="H855" s="7"/>
      <c r="I855" s="7"/>
      <c r="J855" s="14"/>
      <c r="K855" s="7"/>
      <c r="L855" s="14"/>
      <c r="M855" s="14"/>
      <c r="N855" s="14"/>
      <c r="O855" s="14"/>
      <c r="P855" s="14"/>
      <c r="Q855" s="14"/>
      <c r="R855" s="14"/>
      <c r="S855" s="14"/>
      <c r="T855" s="14"/>
      <c r="U855" s="14"/>
      <c r="V855" s="272"/>
      <c r="W855" s="272"/>
      <c r="X855" s="14"/>
      <c r="Y855" s="14"/>
      <c r="Z855" s="14"/>
      <c r="AA855" s="14"/>
      <c r="AB855" s="14"/>
      <c r="AC855" s="14"/>
      <c r="AD855" s="14"/>
      <c r="AE855" s="14"/>
      <c r="AF855" s="14"/>
      <c r="AG855" s="14"/>
      <c r="AH855" s="14"/>
      <c r="AI855" s="7"/>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row>
    <row r="856">
      <c r="A856" s="14"/>
      <c r="B856" s="14"/>
      <c r="C856" s="14"/>
      <c r="D856" s="14"/>
      <c r="E856" s="7"/>
      <c r="F856" s="7"/>
      <c r="G856" s="7"/>
      <c r="H856" s="7"/>
      <c r="I856" s="7"/>
      <c r="J856" s="14"/>
      <c r="K856" s="7"/>
      <c r="L856" s="14"/>
      <c r="M856" s="14"/>
      <c r="N856" s="14"/>
      <c r="O856" s="14"/>
      <c r="P856" s="14"/>
      <c r="Q856" s="14"/>
      <c r="R856" s="14"/>
      <c r="S856" s="14"/>
      <c r="T856" s="14"/>
      <c r="U856" s="14"/>
      <c r="V856" s="272"/>
      <c r="W856" s="272"/>
      <c r="X856" s="14"/>
      <c r="Y856" s="14"/>
      <c r="Z856" s="14"/>
      <c r="AA856" s="14"/>
      <c r="AB856" s="14"/>
      <c r="AC856" s="14"/>
      <c r="AD856" s="14"/>
      <c r="AE856" s="14"/>
      <c r="AF856" s="14"/>
      <c r="AG856" s="14"/>
      <c r="AH856" s="14"/>
      <c r="AI856" s="7"/>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row>
    <row r="857">
      <c r="A857" s="14"/>
      <c r="B857" s="14"/>
      <c r="C857" s="14"/>
      <c r="D857" s="14"/>
      <c r="E857" s="7"/>
      <c r="F857" s="7"/>
      <c r="G857" s="7"/>
      <c r="H857" s="7"/>
      <c r="I857" s="7"/>
      <c r="J857" s="14"/>
      <c r="K857" s="7"/>
      <c r="L857" s="14"/>
      <c r="M857" s="14"/>
      <c r="N857" s="14"/>
      <c r="O857" s="14"/>
      <c r="P857" s="14"/>
      <c r="Q857" s="14"/>
      <c r="R857" s="14"/>
      <c r="S857" s="14"/>
      <c r="T857" s="14"/>
      <c r="U857" s="14"/>
      <c r="V857" s="272"/>
      <c r="W857" s="272"/>
      <c r="X857" s="14"/>
      <c r="Y857" s="14"/>
      <c r="Z857" s="14"/>
      <c r="AA857" s="14"/>
      <c r="AB857" s="14"/>
      <c r="AC857" s="14"/>
      <c r="AD857" s="14"/>
      <c r="AE857" s="14"/>
      <c r="AF857" s="14"/>
      <c r="AG857" s="14"/>
      <c r="AH857" s="14"/>
      <c r="AI857" s="7"/>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row>
    <row r="858">
      <c r="A858" s="14"/>
      <c r="B858" s="14"/>
      <c r="C858" s="14"/>
      <c r="D858" s="14"/>
      <c r="E858" s="7"/>
      <c r="F858" s="7"/>
      <c r="G858" s="7"/>
      <c r="H858" s="7"/>
      <c r="I858" s="7"/>
      <c r="J858" s="14"/>
      <c r="K858" s="7"/>
      <c r="L858" s="14"/>
      <c r="M858" s="14"/>
      <c r="N858" s="14"/>
      <c r="O858" s="14"/>
      <c r="P858" s="14"/>
      <c r="Q858" s="14"/>
      <c r="R858" s="14"/>
      <c r="S858" s="14"/>
      <c r="T858" s="14"/>
      <c r="U858" s="14"/>
      <c r="V858" s="272"/>
      <c r="W858" s="272"/>
      <c r="X858" s="14"/>
      <c r="Y858" s="14"/>
      <c r="Z858" s="14"/>
      <c r="AA858" s="14"/>
      <c r="AB858" s="14"/>
      <c r="AC858" s="14"/>
      <c r="AD858" s="14"/>
      <c r="AE858" s="14"/>
      <c r="AF858" s="14"/>
      <c r="AG858" s="14"/>
      <c r="AH858" s="14"/>
      <c r="AI858" s="7"/>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row>
    <row r="859">
      <c r="A859" s="14"/>
      <c r="B859" s="14"/>
      <c r="C859" s="14"/>
      <c r="D859" s="14"/>
      <c r="E859" s="7"/>
      <c r="F859" s="7"/>
      <c r="G859" s="7"/>
      <c r="H859" s="7"/>
      <c r="I859" s="7"/>
      <c r="J859" s="14"/>
      <c r="K859" s="7"/>
      <c r="L859" s="14"/>
      <c r="M859" s="14"/>
      <c r="N859" s="14"/>
      <c r="O859" s="14"/>
      <c r="P859" s="14"/>
      <c r="Q859" s="14"/>
      <c r="R859" s="14"/>
      <c r="S859" s="14"/>
      <c r="T859" s="14"/>
      <c r="U859" s="14"/>
      <c r="V859" s="272"/>
      <c r="W859" s="272"/>
      <c r="X859" s="14"/>
      <c r="Y859" s="14"/>
      <c r="Z859" s="14"/>
      <c r="AA859" s="14"/>
      <c r="AB859" s="14"/>
      <c r="AC859" s="14"/>
      <c r="AD859" s="14"/>
      <c r="AE859" s="14"/>
      <c r="AF859" s="14"/>
      <c r="AG859" s="14"/>
      <c r="AH859" s="14"/>
      <c r="AI859" s="7"/>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row>
    <row r="860">
      <c r="A860" s="14"/>
      <c r="B860" s="14"/>
      <c r="C860" s="14"/>
      <c r="D860" s="14"/>
      <c r="E860" s="7"/>
      <c r="F860" s="7"/>
      <c r="G860" s="7"/>
      <c r="H860" s="7"/>
      <c r="I860" s="7"/>
      <c r="J860" s="14"/>
      <c r="K860" s="7"/>
      <c r="L860" s="14"/>
      <c r="M860" s="14"/>
      <c r="N860" s="14"/>
      <c r="O860" s="14"/>
      <c r="P860" s="14"/>
      <c r="Q860" s="14"/>
      <c r="R860" s="14"/>
      <c r="S860" s="14"/>
      <c r="T860" s="14"/>
      <c r="U860" s="14"/>
      <c r="V860" s="272"/>
      <c r="W860" s="272"/>
      <c r="X860" s="14"/>
      <c r="Y860" s="14"/>
      <c r="Z860" s="14"/>
      <c r="AA860" s="14"/>
      <c r="AB860" s="14"/>
      <c r="AC860" s="14"/>
      <c r="AD860" s="14"/>
      <c r="AE860" s="14"/>
      <c r="AF860" s="14"/>
      <c r="AG860" s="14"/>
      <c r="AH860" s="14"/>
      <c r="AI860" s="7"/>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row>
    <row r="861">
      <c r="A861" s="14"/>
      <c r="B861" s="14"/>
      <c r="C861" s="14"/>
      <c r="D861" s="14"/>
      <c r="E861" s="7"/>
      <c r="F861" s="7"/>
      <c r="G861" s="7"/>
      <c r="H861" s="7"/>
      <c r="I861" s="7"/>
      <c r="J861" s="14"/>
      <c r="K861" s="7"/>
      <c r="L861" s="14"/>
      <c r="M861" s="14"/>
      <c r="N861" s="14"/>
      <c r="O861" s="14"/>
      <c r="P861" s="14"/>
      <c r="Q861" s="14"/>
      <c r="R861" s="14"/>
      <c r="S861" s="14"/>
      <c r="T861" s="14"/>
      <c r="U861" s="14"/>
      <c r="V861" s="272"/>
      <c r="W861" s="272"/>
      <c r="X861" s="14"/>
      <c r="Y861" s="14"/>
      <c r="Z861" s="14"/>
      <c r="AA861" s="14"/>
      <c r="AB861" s="14"/>
      <c r="AC861" s="14"/>
      <c r="AD861" s="14"/>
      <c r="AE861" s="14"/>
      <c r="AF861" s="14"/>
      <c r="AG861" s="14"/>
      <c r="AH861" s="14"/>
      <c r="AI861" s="7"/>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row>
    <row r="862">
      <c r="A862" s="14"/>
      <c r="B862" s="14"/>
      <c r="C862" s="14"/>
      <c r="D862" s="14"/>
      <c r="E862" s="7"/>
      <c r="F862" s="7"/>
      <c r="G862" s="7"/>
      <c r="H862" s="7"/>
      <c r="I862" s="7"/>
      <c r="J862" s="14"/>
      <c r="K862" s="7"/>
      <c r="L862" s="14"/>
      <c r="M862" s="14"/>
      <c r="N862" s="14"/>
      <c r="O862" s="14"/>
      <c r="P862" s="14"/>
      <c r="Q862" s="14"/>
      <c r="R862" s="14"/>
      <c r="S862" s="14"/>
      <c r="T862" s="14"/>
      <c r="U862" s="14"/>
      <c r="V862" s="272"/>
      <c r="W862" s="272"/>
      <c r="X862" s="14"/>
      <c r="Y862" s="14"/>
      <c r="Z862" s="14"/>
      <c r="AA862" s="14"/>
      <c r="AB862" s="14"/>
      <c r="AC862" s="14"/>
      <c r="AD862" s="14"/>
      <c r="AE862" s="14"/>
      <c r="AF862" s="14"/>
      <c r="AG862" s="14"/>
      <c r="AH862" s="14"/>
      <c r="AI862" s="7"/>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row>
    <row r="863">
      <c r="A863" s="14"/>
      <c r="B863" s="14"/>
      <c r="C863" s="14"/>
      <c r="D863" s="14"/>
      <c r="E863" s="7"/>
      <c r="F863" s="7"/>
      <c r="G863" s="7"/>
      <c r="H863" s="7"/>
      <c r="I863" s="7"/>
      <c r="J863" s="14"/>
      <c r="K863" s="7"/>
      <c r="L863" s="14"/>
      <c r="M863" s="14"/>
      <c r="N863" s="14"/>
      <c r="O863" s="14"/>
      <c r="P863" s="14"/>
      <c r="Q863" s="14"/>
      <c r="R863" s="14"/>
      <c r="S863" s="14"/>
      <c r="T863" s="14"/>
      <c r="U863" s="14"/>
      <c r="V863" s="272"/>
      <c r="W863" s="272"/>
      <c r="X863" s="14"/>
      <c r="Y863" s="14"/>
      <c r="Z863" s="14"/>
      <c r="AA863" s="14"/>
      <c r="AB863" s="14"/>
      <c r="AC863" s="14"/>
      <c r="AD863" s="14"/>
      <c r="AE863" s="14"/>
      <c r="AF863" s="14"/>
      <c r="AG863" s="14"/>
      <c r="AH863" s="14"/>
      <c r="AI863" s="7"/>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row>
    <row r="864">
      <c r="A864" s="14"/>
      <c r="B864" s="14"/>
      <c r="C864" s="14"/>
      <c r="D864" s="14"/>
      <c r="E864" s="7"/>
      <c r="F864" s="7"/>
      <c r="G864" s="7"/>
      <c r="H864" s="7"/>
      <c r="I864" s="7"/>
      <c r="J864" s="14"/>
      <c r="K864" s="7"/>
      <c r="L864" s="14"/>
      <c r="M864" s="14"/>
      <c r="N864" s="14"/>
      <c r="O864" s="14"/>
      <c r="P864" s="14"/>
      <c r="Q864" s="14"/>
      <c r="R864" s="14"/>
      <c r="S864" s="14"/>
      <c r="T864" s="14"/>
      <c r="U864" s="14"/>
      <c r="V864" s="272"/>
      <c r="W864" s="272"/>
      <c r="X864" s="14"/>
      <c r="Y864" s="14"/>
      <c r="Z864" s="14"/>
      <c r="AA864" s="14"/>
      <c r="AB864" s="14"/>
      <c r="AC864" s="14"/>
      <c r="AD864" s="14"/>
      <c r="AE864" s="14"/>
      <c r="AF864" s="14"/>
      <c r="AG864" s="14"/>
      <c r="AH864" s="14"/>
      <c r="AI864" s="7"/>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row>
    <row r="865">
      <c r="A865" s="14"/>
      <c r="B865" s="14"/>
      <c r="C865" s="14"/>
      <c r="D865" s="14"/>
      <c r="E865" s="7"/>
      <c r="F865" s="7"/>
      <c r="G865" s="7"/>
      <c r="H865" s="7"/>
      <c r="I865" s="7"/>
      <c r="J865" s="14"/>
      <c r="K865" s="7"/>
      <c r="L865" s="14"/>
      <c r="M865" s="14"/>
      <c r="N865" s="14"/>
      <c r="O865" s="14"/>
      <c r="P865" s="14"/>
      <c r="Q865" s="14"/>
      <c r="R865" s="14"/>
      <c r="S865" s="14"/>
      <c r="T865" s="14"/>
      <c r="U865" s="14"/>
      <c r="V865" s="272"/>
      <c r="W865" s="272"/>
      <c r="X865" s="14"/>
      <c r="Y865" s="14"/>
      <c r="Z865" s="14"/>
      <c r="AA865" s="14"/>
      <c r="AB865" s="14"/>
      <c r="AC865" s="14"/>
      <c r="AD865" s="14"/>
      <c r="AE865" s="14"/>
      <c r="AF865" s="14"/>
      <c r="AG865" s="14"/>
      <c r="AH865" s="14"/>
      <c r="AI865" s="7"/>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row>
    <row r="866">
      <c r="A866" s="14"/>
      <c r="B866" s="14"/>
      <c r="C866" s="14"/>
      <c r="D866" s="14"/>
      <c r="E866" s="7"/>
      <c r="F866" s="7"/>
      <c r="G866" s="7"/>
      <c r="H866" s="7"/>
      <c r="I866" s="7"/>
      <c r="J866" s="14"/>
      <c r="K866" s="7"/>
      <c r="L866" s="14"/>
      <c r="M866" s="14"/>
      <c r="N866" s="14"/>
      <c r="O866" s="14"/>
      <c r="P866" s="14"/>
      <c r="Q866" s="14"/>
      <c r="R866" s="14"/>
      <c r="S866" s="14"/>
      <c r="T866" s="14"/>
      <c r="U866" s="14"/>
      <c r="V866" s="272"/>
      <c r="W866" s="272"/>
      <c r="X866" s="14"/>
      <c r="Y866" s="14"/>
      <c r="Z866" s="14"/>
      <c r="AA866" s="14"/>
      <c r="AB866" s="14"/>
      <c r="AC866" s="14"/>
      <c r="AD866" s="14"/>
      <c r="AE866" s="14"/>
      <c r="AF866" s="14"/>
      <c r="AG866" s="14"/>
      <c r="AH866" s="14"/>
      <c r="AI866" s="7"/>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row>
    <row r="867">
      <c r="A867" s="14"/>
      <c r="B867" s="14"/>
      <c r="C867" s="14"/>
      <c r="D867" s="14"/>
      <c r="E867" s="7"/>
      <c r="F867" s="7"/>
      <c r="G867" s="7"/>
      <c r="H867" s="7"/>
      <c r="I867" s="7"/>
      <c r="J867" s="14"/>
      <c r="K867" s="7"/>
      <c r="L867" s="14"/>
      <c r="M867" s="14"/>
      <c r="N867" s="14"/>
      <c r="O867" s="14"/>
      <c r="P867" s="14"/>
      <c r="Q867" s="14"/>
      <c r="R867" s="14"/>
      <c r="S867" s="14"/>
      <c r="T867" s="14"/>
      <c r="U867" s="14"/>
      <c r="V867" s="272"/>
      <c r="W867" s="272"/>
      <c r="X867" s="14"/>
      <c r="Y867" s="14"/>
      <c r="Z867" s="14"/>
      <c r="AA867" s="14"/>
      <c r="AB867" s="14"/>
      <c r="AC867" s="14"/>
      <c r="AD867" s="14"/>
      <c r="AE867" s="14"/>
      <c r="AF867" s="14"/>
      <c r="AG867" s="14"/>
      <c r="AH867" s="14"/>
      <c r="AI867" s="7"/>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row>
    <row r="868">
      <c r="A868" s="14"/>
      <c r="B868" s="14"/>
      <c r="C868" s="14"/>
      <c r="D868" s="14"/>
      <c r="E868" s="7"/>
      <c r="F868" s="7"/>
      <c r="G868" s="7"/>
      <c r="H868" s="7"/>
      <c r="I868" s="7"/>
      <c r="J868" s="14"/>
      <c r="K868" s="7"/>
      <c r="L868" s="14"/>
      <c r="M868" s="14"/>
      <c r="N868" s="14"/>
      <c r="O868" s="14"/>
      <c r="P868" s="14"/>
      <c r="Q868" s="14"/>
      <c r="R868" s="14"/>
      <c r="S868" s="14"/>
      <c r="T868" s="14"/>
      <c r="U868" s="14"/>
      <c r="V868" s="272"/>
      <c r="W868" s="272"/>
      <c r="X868" s="14"/>
      <c r="Y868" s="14"/>
      <c r="Z868" s="14"/>
      <c r="AA868" s="14"/>
      <c r="AB868" s="14"/>
      <c r="AC868" s="14"/>
      <c r="AD868" s="14"/>
      <c r="AE868" s="14"/>
      <c r="AF868" s="14"/>
      <c r="AG868" s="14"/>
      <c r="AH868" s="14"/>
      <c r="AI868" s="7"/>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row>
    <row r="869">
      <c r="A869" s="14"/>
      <c r="B869" s="14"/>
      <c r="C869" s="14"/>
      <c r="D869" s="14"/>
      <c r="E869" s="7"/>
      <c r="F869" s="7"/>
      <c r="G869" s="7"/>
      <c r="H869" s="7"/>
      <c r="I869" s="7"/>
      <c r="J869" s="14"/>
      <c r="K869" s="7"/>
      <c r="L869" s="14"/>
      <c r="M869" s="14"/>
      <c r="N869" s="14"/>
      <c r="O869" s="14"/>
      <c r="P869" s="14"/>
      <c r="Q869" s="14"/>
      <c r="R869" s="14"/>
      <c r="S869" s="14"/>
      <c r="T869" s="14"/>
      <c r="U869" s="14"/>
      <c r="V869" s="272"/>
      <c r="W869" s="272"/>
      <c r="X869" s="14"/>
      <c r="Y869" s="14"/>
      <c r="Z869" s="14"/>
      <c r="AA869" s="14"/>
      <c r="AB869" s="14"/>
      <c r="AC869" s="14"/>
      <c r="AD869" s="14"/>
      <c r="AE869" s="14"/>
      <c r="AF869" s="14"/>
      <c r="AG869" s="14"/>
      <c r="AH869" s="14"/>
      <c r="AI869" s="7"/>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row>
    <row r="870">
      <c r="A870" s="14"/>
      <c r="B870" s="14"/>
      <c r="C870" s="14"/>
      <c r="D870" s="14"/>
      <c r="E870" s="7"/>
      <c r="F870" s="7"/>
      <c r="G870" s="7"/>
      <c r="H870" s="7"/>
      <c r="I870" s="7"/>
      <c r="J870" s="14"/>
      <c r="K870" s="7"/>
      <c r="L870" s="14"/>
      <c r="M870" s="14"/>
      <c r="N870" s="14"/>
      <c r="O870" s="14"/>
      <c r="P870" s="14"/>
      <c r="Q870" s="14"/>
      <c r="R870" s="14"/>
      <c r="S870" s="14"/>
      <c r="T870" s="14"/>
      <c r="U870" s="14"/>
      <c r="V870" s="272"/>
      <c r="W870" s="272"/>
      <c r="X870" s="14"/>
      <c r="Y870" s="14"/>
      <c r="Z870" s="14"/>
      <c r="AA870" s="14"/>
      <c r="AB870" s="14"/>
      <c r="AC870" s="14"/>
      <c r="AD870" s="14"/>
      <c r="AE870" s="14"/>
      <c r="AF870" s="14"/>
      <c r="AG870" s="14"/>
      <c r="AH870" s="14"/>
      <c r="AI870" s="7"/>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row>
    <row r="871">
      <c r="A871" s="14"/>
      <c r="B871" s="14"/>
      <c r="C871" s="14"/>
      <c r="D871" s="14"/>
      <c r="E871" s="7"/>
      <c r="F871" s="7"/>
      <c r="G871" s="7"/>
      <c r="H871" s="7"/>
      <c r="I871" s="7"/>
      <c r="J871" s="14"/>
      <c r="K871" s="7"/>
      <c r="L871" s="14"/>
      <c r="M871" s="14"/>
      <c r="N871" s="14"/>
      <c r="O871" s="14"/>
      <c r="P871" s="14"/>
      <c r="Q871" s="14"/>
      <c r="R871" s="14"/>
      <c r="S871" s="14"/>
      <c r="T871" s="14"/>
      <c r="U871" s="14"/>
      <c r="V871" s="272"/>
      <c r="W871" s="272"/>
      <c r="X871" s="14"/>
      <c r="Y871" s="14"/>
      <c r="Z871" s="14"/>
      <c r="AA871" s="14"/>
      <c r="AB871" s="14"/>
      <c r="AC871" s="14"/>
      <c r="AD871" s="14"/>
      <c r="AE871" s="14"/>
      <c r="AF871" s="14"/>
      <c r="AG871" s="14"/>
      <c r="AH871" s="14"/>
      <c r="AI871" s="7"/>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row>
    <row r="872">
      <c r="A872" s="14"/>
      <c r="B872" s="14"/>
      <c r="C872" s="14"/>
      <c r="D872" s="14"/>
      <c r="E872" s="7"/>
      <c r="F872" s="7"/>
      <c r="G872" s="7"/>
      <c r="H872" s="7"/>
      <c r="I872" s="7"/>
      <c r="J872" s="14"/>
      <c r="K872" s="7"/>
      <c r="L872" s="14"/>
      <c r="M872" s="14"/>
      <c r="N872" s="14"/>
      <c r="O872" s="14"/>
      <c r="P872" s="14"/>
      <c r="Q872" s="14"/>
      <c r="R872" s="14"/>
      <c r="S872" s="14"/>
      <c r="T872" s="14"/>
      <c r="U872" s="14"/>
      <c r="V872" s="272"/>
      <c r="W872" s="272"/>
      <c r="X872" s="14"/>
      <c r="Y872" s="14"/>
      <c r="Z872" s="14"/>
      <c r="AA872" s="14"/>
      <c r="AB872" s="14"/>
      <c r="AC872" s="14"/>
      <c r="AD872" s="14"/>
      <c r="AE872" s="14"/>
      <c r="AF872" s="14"/>
      <c r="AG872" s="14"/>
      <c r="AH872" s="14"/>
      <c r="AI872" s="7"/>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row>
    <row r="873">
      <c r="A873" s="14"/>
      <c r="B873" s="14"/>
      <c r="C873" s="14"/>
      <c r="D873" s="14"/>
      <c r="E873" s="7"/>
      <c r="F873" s="7"/>
      <c r="G873" s="7"/>
      <c r="H873" s="7"/>
      <c r="I873" s="7"/>
      <c r="J873" s="14"/>
      <c r="K873" s="7"/>
      <c r="L873" s="14"/>
      <c r="M873" s="14"/>
      <c r="N873" s="14"/>
      <c r="O873" s="14"/>
      <c r="P873" s="14"/>
      <c r="Q873" s="14"/>
      <c r="R873" s="14"/>
      <c r="S873" s="14"/>
      <c r="T873" s="14"/>
      <c r="U873" s="14"/>
      <c r="V873" s="272"/>
      <c r="W873" s="272"/>
      <c r="X873" s="14"/>
      <c r="Y873" s="14"/>
      <c r="Z873" s="14"/>
      <c r="AA873" s="14"/>
      <c r="AB873" s="14"/>
      <c r="AC873" s="14"/>
      <c r="AD873" s="14"/>
      <c r="AE873" s="14"/>
      <c r="AF873" s="14"/>
      <c r="AG873" s="14"/>
      <c r="AH873" s="14"/>
      <c r="AI873" s="7"/>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row>
    <row r="874">
      <c r="A874" s="14"/>
      <c r="B874" s="14"/>
      <c r="C874" s="14"/>
      <c r="D874" s="14"/>
      <c r="E874" s="7"/>
      <c r="F874" s="7"/>
      <c r="G874" s="7"/>
      <c r="H874" s="7"/>
      <c r="I874" s="7"/>
      <c r="J874" s="14"/>
      <c r="K874" s="7"/>
      <c r="L874" s="14"/>
      <c r="M874" s="14"/>
      <c r="N874" s="14"/>
      <c r="O874" s="14"/>
      <c r="P874" s="14"/>
      <c r="Q874" s="14"/>
      <c r="R874" s="14"/>
      <c r="S874" s="14"/>
      <c r="T874" s="14"/>
      <c r="U874" s="14"/>
      <c r="V874" s="272"/>
      <c r="W874" s="272"/>
      <c r="X874" s="14"/>
      <c r="Y874" s="14"/>
      <c r="Z874" s="14"/>
      <c r="AA874" s="14"/>
      <c r="AB874" s="14"/>
      <c r="AC874" s="14"/>
      <c r="AD874" s="14"/>
      <c r="AE874" s="14"/>
      <c r="AF874" s="14"/>
      <c r="AG874" s="14"/>
      <c r="AH874" s="14"/>
      <c r="AI874" s="7"/>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row>
    <row r="875">
      <c r="A875" s="14"/>
      <c r="B875" s="14"/>
      <c r="C875" s="14"/>
      <c r="D875" s="14"/>
      <c r="E875" s="7"/>
      <c r="F875" s="7"/>
      <c r="G875" s="7"/>
      <c r="H875" s="7"/>
      <c r="I875" s="7"/>
      <c r="J875" s="14"/>
      <c r="K875" s="7"/>
      <c r="L875" s="14"/>
      <c r="M875" s="14"/>
      <c r="N875" s="14"/>
      <c r="O875" s="14"/>
      <c r="P875" s="14"/>
      <c r="Q875" s="14"/>
      <c r="R875" s="14"/>
      <c r="S875" s="14"/>
      <c r="T875" s="14"/>
      <c r="U875" s="14"/>
      <c r="V875" s="272"/>
      <c r="W875" s="272"/>
      <c r="X875" s="14"/>
      <c r="Y875" s="14"/>
      <c r="Z875" s="14"/>
      <c r="AA875" s="14"/>
      <c r="AB875" s="14"/>
      <c r="AC875" s="14"/>
      <c r="AD875" s="14"/>
      <c r="AE875" s="14"/>
      <c r="AF875" s="14"/>
      <c r="AG875" s="14"/>
      <c r="AH875" s="14"/>
      <c r="AI875" s="7"/>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row>
    <row r="876">
      <c r="A876" s="14"/>
      <c r="B876" s="14"/>
      <c r="C876" s="14"/>
      <c r="D876" s="14"/>
      <c r="E876" s="7"/>
      <c r="F876" s="7"/>
      <c r="G876" s="7"/>
      <c r="H876" s="7"/>
      <c r="I876" s="7"/>
      <c r="J876" s="14"/>
      <c r="K876" s="7"/>
      <c r="L876" s="14"/>
      <c r="M876" s="14"/>
      <c r="N876" s="14"/>
      <c r="O876" s="14"/>
      <c r="P876" s="14"/>
      <c r="Q876" s="14"/>
      <c r="R876" s="14"/>
      <c r="S876" s="14"/>
      <c r="T876" s="14"/>
      <c r="U876" s="14"/>
      <c r="V876" s="272"/>
      <c r="W876" s="272"/>
      <c r="X876" s="14"/>
      <c r="Y876" s="14"/>
      <c r="Z876" s="14"/>
      <c r="AA876" s="14"/>
      <c r="AB876" s="14"/>
      <c r="AC876" s="14"/>
      <c r="AD876" s="14"/>
      <c r="AE876" s="14"/>
      <c r="AF876" s="14"/>
      <c r="AG876" s="14"/>
      <c r="AH876" s="14"/>
      <c r="AI876" s="7"/>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row>
    <row r="877">
      <c r="A877" s="14"/>
      <c r="B877" s="14"/>
      <c r="C877" s="14"/>
      <c r="D877" s="14"/>
      <c r="E877" s="7"/>
      <c r="F877" s="7"/>
      <c r="G877" s="7"/>
      <c r="H877" s="7"/>
      <c r="I877" s="7"/>
      <c r="J877" s="14"/>
      <c r="K877" s="7"/>
      <c r="L877" s="14"/>
      <c r="M877" s="14"/>
      <c r="N877" s="14"/>
      <c r="O877" s="14"/>
      <c r="P877" s="14"/>
      <c r="Q877" s="14"/>
      <c r="R877" s="14"/>
      <c r="S877" s="14"/>
      <c r="T877" s="14"/>
      <c r="U877" s="14"/>
      <c r="V877" s="272"/>
      <c r="W877" s="272"/>
      <c r="X877" s="14"/>
      <c r="Y877" s="14"/>
      <c r="Z877" s="14"/>
      <c r="AA877" s="14"/>
      <c r="AB877" s="14"/>
      <c r="AC877" s="14"/>
      <c r="AD877" s="14"/>
      <c r="AE877" s="14"/>
      <c r="AF877" s="14"/>
      <c r="AG877" s="14"/>
      <c r="AH877" s="14"/>
      <c r="AI877" s="7"/>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row>
    <row r="878">
      <c r="A878" s="14"/>
      <c r="B878" s="14"/>
      <c r="C878" s="14"/>
      <c r="D878" s="14"/>
      <c r="E878" s="7"/>
      <c r="F878" s="7"/>
      <c r="G878" s="7"/>
      <c r="H878" s="7"/>
      <c r="I878" s="7"/>
      <c r="J878" s="14"/>
      <c r="K878" s="7"/>
      <c r="L878" s="14"/>
      <c r="M878" s="14"/>
      <c r="N878" s="14"/>
      <c r="O878" s="14"/>
      <c r="P878" s="14"/>
      <c r="Q878" s="14"/>
      <c r="R878" s="14"/>
      <c r="S878" s="14"/>
      <c r="T878" s="14"/>
      <c r="U878" s="14"/>
      <c r="V878" s="272"/>
      <c r="W878" s="272"/>
      <c r="X878" s="14"/>
      <c r="Y878" s="14"/>
      <c r="Z878" s="14"/>
      <c r="AA878" s="14"/>
      <c r="AB878" s="14"/>
      <c r="AC878" s="14"/>
      <c r="AD878" s="14"/>
      <c r="AE878" s="14"/>
      <c r="AF878" s="14"/>
      <c r="AG878" s="14"/>
      <c r="AH878" s="14"/>
      <c r="AI878" s="7"/>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row>
    <row r="879">
      <c r="A879" s="14"/>
      <c r="B879" s="14"/>
      <c r="C879" s="14"/>
      <c r="D879" s="14"/>
      <c r="E879" s="7"/>
      <c r="F879" s="7"/>
      <c r="G879" s="7"/>
      <c r="H879" s="7"/>
      <c r="I879" s="7"/>
      <c r="J879" s="14"/>
      <c r="K879" s="7"/>
      <c r="L879" s="14"/>
      <c r="M879" s="14"/>
      <c r="N879" s="14"/>
      <c r="O879" s="14"/>
      <c r="P879" s="14"/>
      <c r="Q879" s="14"/>
      <c r="R879" s="14"/>
      <c r="S879" s="14"/>
      <c r="T879" s="14"/>
      <c r="U879" s="14"/>
      <c r="V879" s="272"/>
      <c r="W879" s="272"/>
      <c r="X879" s="14"/>
      <c r="Y879" s="14"/>
      <c r="Z879" s="14"/>
      <c r="AA879" s="14"/>
      <c r="AB879" s="14"/>
      <c r="AC879" s="14"/>
      <c r="AD879" s="14"/>
      <c r="AE879" s="14"/>
      <c r="AF879" s="14"/>
      <c r="AG879" s="14"/>
      <c r="AH879" s="14"/>
      <c r="AI879" s="7"/>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row>
    <row r="880">
      <c r="A880" s="14"/>
      <c r="B880" s="14"/>
      <c r="C880" s="14"/>
      <c r="D880" s="14"/>
      <c r="E880" s="7"/>
      <c r="F880" s="7"/>
      <c r="G880" s="7"/>
      <c r="H880" s="7"/>
      <c r="I880" s="7"/>
      <c r="J880" s="14"/>
      <c r="K880" s="7"/>
      <c r="L880" s="14"/>
      <c r="M880" s="14"/>
      <c r="N880" s="14"/>
      <c r="O880" s="14"/>
      <c r="P880" s="14"/>
      <c r="Q880" s="14"/>
      <c r="R880" s="14"/>
      <c r="S880" s="14"/>
      <c r="T880" s="14"/>
      <c r="U880" s="14"/>
      <c r="V880" s="272"/>
      <c r="W880" s="272"/>
      <c r="X880" s="14"/>
      <c r="Y880" s="14"/>
      <c r="Z880" s="14"/>
      <c r="AA880" s="14"/>
      <c r="AB880" s="14"/>
      <c r="AC880" s="14"/>
      <c r="AD880" s="14"/>
      <c r="AE880" s="14"/>
      <c r="AF880" s="14"/>
      <c r="AG880" s="14"/>
      <c r="AH880" s="14"/>
      <c r="AI880" s="7"/>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row>
    <row r="881">
      <c r="A881" s="14"/>
      <c r="B881" s="14"/>
      <c r="C881" s="14"/>
      <c r="D881" s="14"/>
      <c r="E881" s="7"/>
      <c r="F881" s="7"/>
      <c r="G881" s="7"/>
      <c r="H881" s="7"/>
      <c r="I881" s="7"/>
      <c r="J881" s="14"/>
      <c r="K881" s="7"/>
      <c r="L881" s="14"/>
      <c r="M881" s="14"/>
      <c r="N881" s="14"/>
      <c r="O881" s="14"/>
      <c r="P881" s="14"/>
      <c r="Q881" s="14"/>
      <c r="R881" s="14"/>
      <c r="S881" s="14"/>
      <c r="T881" s="14"/>
      <c r="U881" s="14"/>
      <c r="V881" s="272"/>
      <c r="W881" s="272"/>
      <c r="X881" s="14"/>
      <c r="Y881" s="14"/>
      <c r="Z881" s="14"/>
      <c r="AA881" s="14"/>
      <c r="AB881" s="14"/>
      <c r="AC881" s="14"/>
      <c r="AD881" s="14"/>
      <c r="AE881" s="14"/>
      <c r="AF881" s="14"/>
      <c r="AG881" s="14"/>
      <c r="AH881" s="14"/>
      <c r="AI881" s="7"/>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row>
    <row r="882">
      <c r="A882" s="14"/>
      <c r="B882" s="14"/>
      <c r="C882" s="14"/>
      <c r="D882" s="14"/>
      <c r="E882" s="7"/>
      <c r="F882" s="7"/>
      <c r="G882" s="7"/>
      <c r="H882" s="7"/>
      <c r="I882" s="7"/>
      <c r="J882" s="14"/>
      <c r="K882" s="7"/>
      <c r="L882" s="14"/>
      <c r="M882" s="14"/>
      <c r="N882" s="14"/>
      <c r="O882" s="14"/>
      <c r="P882" s="14"/>
      <c r="Q882" s="14"/>
      <c r="R882" s="14"/>
      <c r="S882" s="14"/>
      <c r="T882" s="14"/>
      <c r="U882" s="14"/>
      <c r="V882" s="272"/>
      <c r="W882" s="272"/>
      <c r="X882" s="14"/>
      <c r="Y882" s="14"/>
      <c r="Z882" s="14"/>
      <c r="AA882" s="14"/>
      <c r="AB882" s="14"/>
      <c r="AC882" s="14"/>
      <c r="AD882" s="14"/>
      <c r="AE882" s="14"/>
      <c r="AF882" s="14"/>
      <c r="AG882" s="14"/>
      <c r="AH882" s="14"/>
      <c r="AI882" s="7"/>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row>
    <row r="883">
      <c r="A883" s="14"/>
      <c r="B883" s="14"/>
      <c r="C883" s="14"/>
      <c r="D883" s="14"/>
      <c r="E883" s="7"/>
      <c r="F883" s="7"/>
      <c r="G883" s="7"/>
      <c r="H883" s="7"/>
      <c r="I883" s="7"/>
      <c r="J883" s="14"/>
      <c r="K883" s="7"/>
      <c r="L883" s="14"/>
      <c r="M883" s="14"/>
      <c r="N883" s="14"/>
      <c r="O883" s="14"/>
      <c r="P883" s="14"/>
      <c r="Q883" s="14"/>
      <c r="R883" s="14"/>
      <c r="S883" s="14"/>
      <c r="T883" s="14"/>
      <c r="U883" s="14"/>
      <c r="V883" s="272"/>
      <c r="W883" s="272"/>
      <c r="X883" s="14"/>
      <c r="Y883" s="14"/>
      <c r="Z883" s="14"/>
      <c r="AA883" s="14"/>
      <c r="AB883" s="14"/>
      <c r="AC883" s="14"/>
      <c r="AD883" s="14"/>
      <c r="AE883" s="14"/>
      <c r="AF883" s="14"/>
      <c r="AG883" s="14"/>
      <c r="AH883" s="14"/>
      <c r="AI883" s="7"/>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row>
    <row r="884">
      <c r="A884" s="14"/>
      <c r="B884" s="14"/>
      <c r="C884" s="14"/>
      <c r="D884" s="14"/>
      <c r="E884" s="7"/>
      <c r="F884" s="7"/>
      <c r="G884" s="7"/>
      <c r="H884" s="7"/>
      <c r="I884" s="7"/>
      <c r="J884" s="14"/>
      <c r="K884" s="7"/>
      <c r="L884" s="14"/>
      <c r="M884" s="14"/>
      <c r="N884" s="14"/>
      <c r="O884" s="14"/>
      <c r="P884" s="14"/>
      <c r="Q884" s="14"/>
      <c r="R884" s="14"/>
      <c r="S884" s="14"/>
      <c r="T884" s="14"/>
      <c r="U884" s="14"/>
      <c r="V884" s="272"/>
      <c r="W884" s="272"/>
      <c r="X884" s="14"/>
      <c r="Y884" s="14"/>
      <c r="Z884" s="14"/>
      <c r="AA884" s="14"/>
      <c r="AB884" s="14"/>
      <c r="AC884" s="14"/>
      <c r="AD884" s="14"/>
      <c r="AE884" s="14"/>
      <c r="AF884" s="14"/>
      <c r="AG884" s="14"/>
      <c r="AH884" s="14"/>
      <c r="AI884" s="7"/>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row>
    <row r="885">
      <c r="A885" s="14"/>
      <c r="B885" s="14"/>
      <c r="C885" s="14"/>
      <c r="D885" s="14"/>
      <c r="E885" s="7"/>
      <c r="F885" s="7"/>
      <c r="G885" s="7"/>
      <c r="H885" s="7"/>
      <c r="I885" s="7"/>
      <c r="J885" s="14"/>
      <c r="K885" s="7"/>
      <c r="L885" s="14"/>
      <c r="M885" s="14"/>
      <c r="N885" s="14"/>
      <c r="O885" s="14"/>
      <c r="P885" s="14"/>
      <c r="Q885" s="14"/>
      <c r="R885" s="14"/>
      <c r="S885" s="14"/>
      <c r="T885" s="14"/>
      <c r="U885" s="14"/>
      <c r="V885" s="272"/>
      <c r="W885" s="272"/>
      <c r="X885" s="14"/>
      <c r="Y885" s="14"/>
      <c r="Z885" s="14"/>
      <c r="AA885" s="14"/>
      <c r="AB885" s="14"/>
      <c r="AC885" s="14"/>
      <c r="AD885" s="14"/>
      <c r="AE885" s="14"/>
      <c r="AF885" s="14"/>
      <c r="AG885" s="14"/>
      <c r="AH885" s="14"/>
      <c r="AI885" s="7"/>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row>
    <row r="886">
      <c r="A886" s="14"/>
      <c r="B886" s="14"/>
      <c r="C886" s="14"/>
      <c r="D886" s="14"/>
      <c r="E886" s="7"/>
      <c r="F886" s="7"/>
      <c r="G886" s="7"/>
      <c r="H886" s="7"/>
      <c r="I886" s="7"/>
      <c r="J886" s="14"/>
      <c r="K886" s="7"/>
      <c r="L886" s="14"/>
      <c r="M886" s="14"/>
      <c r="N886" s="14"/>
      <c r="O886" s="14"/>
      <c r="P886" s="14"/>
      <c r="Q886" s="14"/>
      <c r="R886" s="14"/>
      <c r="S886" s="14"/>
      <c r="T886" s="14"/>
      <c r="U886" s="14"/>
      <c r="V886" s="272"/>
      <c r="W886" s="272"/>
      <c r="X886" s="14"/>
      <c r="Y886" s="14"/>
      <c r="Z886" s="14"/>
      <c r="AA886" s="14"/>
      <c r="AB886" s="14"/>
      <c r="AC886" s="14"/>
      <c r="AD886" s="14"/>
      <c r="AE886" s="14"/>
      <c r="AF886" s="14"/>
      <c r="AG886" s="14"/>
      <c r="AH886" s="14"/>
      <c r="AI886" s="7"/>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row>
    <row r="887">
      <c r="A887" s="14"/>
      <c r="B887" s="14"/>
      <c r="C887" s="14"/>
      <c r="D887" s="14"/>
      <c r="E887" s="7"/>
      <c r="F887" s="7"/>
      <c r="G887" s="7"/>
      <c r="H887" s="7"/>
      <c r="I887" s="7"/>
      <c r="J887" s="14"/>
      <c r="K887" s="7"/>
      <c r="L887" s="14"/>
      <c r="M887" s="14"/>
      <c r="N887" s="14"/>
      <c r="O887" s="14"/>
      <c r="P887" s="14"/>
      <c r="Q887" s="14"/>
      <c r="R887" s="14"/>
      <c r="S887" s="14"/>
      <c r="T887" s="14"/>
      <c r="U887" s="14"/>
      <c r="V887" s="272"/>
      <c r="W887" s="272"/>
      <c r="X887" s="14"/>
      <c r="Y887" s="14"/>
      <c r="Z887" s="14"/>
      <c r="AA887" s="14"/>
      <c r="AB887" s="14"/>
      <c r="AC887" s="14"/>
      <c r="AD887" s="14"/>
      <c r="AE887" s="14"/>
      <c r="AF887" s="14"/>
      <c r="AG887" s="14"/>
      <c r="AH887" s="14"/>
      <c r="AI887" s="7"/>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row>
    <row r="888">
      <c r="A888" s="14"/>
      <c r="B888" s="14"/>
      <c r="C888" s="14"/>
      <c r="D888" s="14"/>
      <c r="E888" s="7"/>
      <c r="F888" s="7"/>
      <c r="G888" s="7"/>
      <c r="H888" s="7"/>
      <c r="I888" s="7"/>
      <c r="J888" s="14"/>
      <c r="K888" s="7"/>
      <c r="L888" s="14"/>
      <c r="M888" s="14"/>
      <c r="N888" s="14"/>
      <c r="O888" s="14"/>
      <c r="P888" s="14"/>
      <c r="Q888" s="14"/>
      <c r="R888" s="14"/>
      <c r="S888" s="14"/>
      <c r="T888" s="14"/>
      <c r="U888" s="14"/>
      <c r="V888" s="272"/>
      <c r="W888" s="272"/>
      <c r="X888" s="14"/>
      <c r="Y888" s="14"/>
      <c r="Z888" s="14"/>
      <c r="AA888" s="14"/>
      <c r="AB888" s="14"/>
      <c r="AC888" s="14"/>
      <c r="AD888" s="14"/>
      <c r="AE888" s="14"/>
      <c r="AF888" s="14"/>
      <c r="AG888" s="14"/>
      <c r="AH888" s="14"/>
      <c r="AI888" s="7"/>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row>
    <row r="889">
      <c r="A889" s="14"/>
      <c r="B889" s="14"/>
      <c r="C889" s="14"/>
      <c r="D889" s="14"/>
      <c r="E889" s="7"/>
      <c r="F889" s="7"/>
      <c r="G889" s="7"/>
      <c r="H889" s="7"/>
      <c r="I889" s="7"/>
      <c r="J889" s="14"/>
      <c r="K889" s="7"/>
      <c r="L889" s="14"/>
      <c r="M889" s="14"/>
      <c r="N889" s="14"/>
      <c r="O889" s="14"/>
      <c r="P889" s="14"/>
      <c r="Q889" s="14"/>
      <c r="R889" s="14"/>
      <c r="S889" s="14"/>
      <c r="T889" s="14"/>
      <c r="U889" s="14"/>
      <c r="V889" s="272"/>
      <c r="W889" s="272"/>
      <c r="X889" s="14"/>
      <c r="Y889" s="14"/>
      <c r="Z889" s="14"/>
      <c r="AA889" s="14"/>
      <c r="AB889" s="14"/>
      <c r="AC889" s="14"/>
      <c r="AD889" s="14"/>
      <c r="AE889" s="14"/>
      <c r="AF889" s="14"/>
      <c r="AG889" s="14"/>
      <c r="AH889" s="14"/>
      <c r="AI889" s="7"/>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row>
    <row r="890">
      <c r="A890" s="14"/>
      <c r="B890" s="14"/>
      <c r="C890" s="14"/>
      <c r="D890" s="14"/>
      <c r="E890" s="7"/>
      <c r="F890" s="7"/>
      <c r="G890" s="7"/>
      <c r="H890" s="7"/>
      <c r="I890" s="7"/>
      <c r="J890" s="14"/>
      <c r="K890" s="7"/>
      <c r="L890" s="14"/>
      <c r="M890" s="14"/>
      <c r="N890" s="14"/>
      <c r="O890" s="14"/>
      <c r="P890" s="14"/>
      <c r="Q890" s="14"/>
      <c r="R890" s="14"/>
      <c r="S890" s="14"/>
      <c r="T890" s="14"/>
      <c r="U890" s="14"/>
      <c r="V890" s="272"/>
      <c r="W890" s="272"/>
      <c r="X890" s="14"/>
      <c r="Y890" s="14"/>
      <c r="Z890" s="14"/>
      <c r="AA890" s="14"/>
      <c r="AB890" s="14"/>
      <c r="AC890" s="14"/>
      <c r="AD890" s="14"/>
      <c r="AE890" s="14"/>
      <c r="AF890" s="14"/>
      <c r="AG890" s="14"/>
      <c r="AH890" s="14"/>
      <c r="AI890" s="7"/>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row>
    <row r="891">
      <c r="A891" s="14"/>
      <c r="B891" s="14"/>
      <c r="C891" s="14"/>
      <c r="D891" s="14"/>
      <c r="E891" s="7"/>
      <c r="F891" s="7"/>
      <c r="G891" s="7"/>
      <c r="H891" s="7"/>
      <c r="I891" s="7"/>
      <c r="J891" s="14"/>
      <c r="K891" s="7"/>
      <c r="L891" s="14"/>
      <c r="M891" s="14"/>
      <c r="N891" s="14"/>
      <c r="O891" s="14"/>
      <c r="P891" s="14"/>
      <c r="Q891" s="14"/>
      <c r="R891" s="14"/>
      <c r="S891" s="14"/>
      <c r="T891" s="14"/>
      <c r="U891" s="14"/>
      <c r="V891" s="272"/>
      <c r="W891" s="272"/>
      <c r="X891" s="14"/>
      <c r="Y891" s="14"/>
      <c r="Z891" s="14"/>
      <c r="AA891" s="14"/>
      <c r="AB891" s="14"/>
      <c r="AC891" s="14"/>
      <c r="AD891" s="14"/>
      <c r="AE891" s="14"/>
      <c r="AF891" s="14"/>
      <c r="AG891" s="14"/>
      <c r="AH891" s="14"/>
      <c r="AI891" s="7"/>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row>
    <row r="892">
      <c r="A892" s="14"/>
      <c r="B892" s="14"/>
      <c r="C892" s="14"/>
      <c r="D892" s="14"/>
      <c r="E892" s="7"/>
      <c r="F892" s="7"/>
      <c r="G892" s="7"/>
      <c r="H892" s="7"/>
      <c r="I892" s="7"/>
      <c r="J892" s="14"/>
      <c r="K892" s="7"/>
      <c r="L892" s="14"/>
      <c r="M892" s="14"/>
      <c r="N892" s="14"/>
      <c r="O892" s="14"/>
      <c r="P892" s="14"/>
      <c r="Q892" s="14"/>
      <c r="R892" s="14"/>
      <c r="S892" s="14"/>
      <c r="T892" s="14"/>
      <c r="U892" s="14"/>
      <c r="V892" s="272"/>
      <c r="W892" s="272"/>
      <c r="X892" s="14"/>
      <c r="Y892" s="14"/>
      <c r="Z892" s="14"/>
      <c r="AA892" s="14"/>
      <c r="AB892" s="14"/>
      <c r="AC892" s="14"/>
      <c r="AD892" s="14"/>
      <c r="AE892" s="14"/>
      <c r="AF892" s="14"/>
      <c r="AG892" s="14"/>
      <c r="AH892" s="14"/>
      <c r="AI892" s="7"/>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row>
    <row r="893">
      <c r="A893" s="14"/>
      <c r="B893" s="14"/>
      <c r="C893" s="14"/>
      <c r="D893" s="14"/>
      <c r="E893" s="7"/>
      <c r="F893" s="7"/>
      <c r="G893" s="7"/>
      <c r="H893" s="7"/>
      <c r="I893" s="7"/>
      <c r="J893" s="14"/>
      <c r="K893" s="7"/>
      <c r="L893" s="14"/>
      <c r="M893" s="14"/>
      <c r="N893" s="14"/>
      <c r="O893" s="14"/>
      <c r="P893" s="14"/>
      <c r="Q893" s="14"/>
      <c r="R893" s="14"/>
      <c r="S893" s="14"/>
      <c r="T893" s="14"/>
      <c r="U893" s="14"/>
      <c r="V893" s="272"/>
      <c r="W893" s="272"/>
      <c r="X893" s="14"/>
      <c r="Y893" s="14"/>
      <c r="Z893" s="14"/>
      <c r="AA893" s="14"/>
      <c r="AB893" s="14"/>
      <c r="AC893" s="14"/>
      <c r="AD893" s="14"/>
      <c r="AE893" s="14"/>
      <c r="AF893" s="14"/>
      <c r="AG893" s="14"/>
      <c r="AH893" s="14"/>
      <c r="AI893" s="7"/>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row>
    <row r="894">
      <c r="A894" s="14"/>
      <c r="B894" s="14"/>
      <c r="C894" s="14"/>
      <c r="D894" s="14"/>
      <c r="E894" s="7"/>
      <c r="F894" s="7"/>
      <c r="G894" s="7"/>
      <c r="H894" s="7"/>
      <c r="I894" s="7"/>
      <c r="J894" s="14"/>
      <c r="K894" s="7"/>
      <c r="L894" s="14"/>
      <c r="M894" s="14"/>
      <c r="N894" s="14"/>
      <c r="O894" s="14"/>
      <c r="P894" s="14"/>
      <c r="Q894" s="14"/>
      <c r="R894" s="14"/>
      <c r="S894" s="14"/>
      <c r="T894" s="14"/>
      <c r="U894" s="14"/>
      <c r="V894" s="272"/>
      <c r="W894" s="272"/>
      <c r="X894" s="14"/>
      <c r="Y894" s="14"/>
      <c r="Z894" s="14"/>
      <c r="AA894" s="14"/>
      <c r="AB894" s="14"/>
      <c r="AC894" s="14"/>
      <c r="AD894" s="14"/>
      <c r="AE894" s="14"/>
      <c r="AF894" s="14"/>
      <c r="AG894" s="14"/>
      <c r="AH894" s="14"/>
      <c r="AI894" s="7"/>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row>
    <row r="895">
      <c r="A895" s="14"/>
      <c r="B895" s="14"/>
      <c r="C895" s="14"/>
      <c r="D895" s="14"/>
      <c r="E895" s="7"/>
      <c r="F895" s="7"/>
      <c r="G895" s="7"/>
      <c r="H895" s="7"/>
      <c r="I895" s="7"/>
      <c r="J895" s="14"/>
      <c r="K895" s="7"/>
      <c r="L895" s="14"/>
      <c r="M895" s="14"/>
      <c r="N895" s="14"/>
      <c r="O895" s="14"/>
      <c r="P895" s="14"/>
      <c r="Q895" s="14"/>
      <c r="R895" s="14"/>
      <c r="S895" s="14"/>
      <c r="T895" s="14"/>
      <c r="U895" s="14"/>
      <c r="V895" s="272"/>
      <c r="W895" s="272"/>
      <c r="X895" s="14"/>
      <c r="Y895" s="14"/>
      <c r="Z895" s="14"/>
      <c r="AA895" s="14"/>
      <c r="AB895" s="14"/>
      <c r="AC895" s="14"/>
      <c r="AD895" s="14"/>
      <c r="AE895" s="14"/>
      <c r="AF895" s="14"/>
      <c r="AG895" s="14"/>
      <c r="AH895" s="14"/>
      <c r="AI895" s="7"/>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row>
    <row r="896">
      <c r="A896" s="14"/>
      <c r="B896" s="14"/>
      <c r="C896" s="14"/>
      <c r="D896" s="14"/>
      <c r="E896" s="7"/>
      <c r="F896" s="7"/>
      <c r="G896" s="7"/>
      <c r="H896" s="7"/>
      <c r="I896" s="7"/>
      <c r="J896" s="14"/>
      <c r="K896" s="7"/>
      <c r="L896" s="14"/>
      <c r="M896" s="14"/>
      <c r="N896" s="14"/>
      <c r="O896" s="14"/>
      <c r="P896" s="14"/>
      <c r="Q896" s="14"/>
      <c r="R896" s="14"/>
      <c r="S896" s="14"/>
      <c r="T896" s="14"/>
      <c r="U896" s="14"/>
      <c r="V896" s="272"/>
      <c r="W896" s="272"/>
      <c r="X896" s="14"/>
      <c r="Y896" s="14"/>
      <c r="Z896" s="14"/>
      <c r="AA896" s="14"/>
      <c r="AB896" s="14"/>
      <c r="AC896" s="14"/>
      <c r="AD896" s="14"/>
      <c r="AE896" s="14"/>
      <c r="AF896" s="14"/>
      <c r="AG896" s="14"/>
      <c r="AH896" s="14"/>
      <c r="AI896" s="7"/>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row>
    <row r="897">
      <c r="A897" s="14"/>
      <c r="B897" s="14"/>
      <c r="C897" s="14"/>
      <c r="D897" s="14"/>
      <c r="E897" s="7"/>
      <c r="F897" s="7"/>
      <c r="G897" s="7"/>
      <c r="H897" s="7"/>
      <c r="I897" s="7"/>
      <c r="J897" s="14"/>
      <c r="K897" s="7"/>
      <c r="L897" s="14"/>
      <c r="M897" s="14"/>
      <c r="N897" s="14"/>
      <c r="O897" s="14"/>
      <c r="P897" s="14"/>
      <c r="Q897" s="14"/>
      <c r="R897" s="14"/>
      <c r="S897" s="14"/>
      <c r="T897" s="14"/>
      <c r="U897" s="14"/>
      <c r="V897" s="272"/>
      <c r="W897" s="272"/>
      <c r="X897" s="14"/>
      <c r="Y897" s="14"/>
      <c r="Z897" s="14"/>
      <c r="AA897" s="14"/>
      <c r="AB897" s="14"/>
      <c r="AC897" s="14"/>
      <c r="AD897" s="14"/>
      <c r="AE897" s="14"/>
      <c r="AF897" s="14"/>
      <c r="AG897" s="14"/>
      <c r="AH897" s="14"/>
      <c r="AI897" s="7"/>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row>
    <row r="898">
      <c r="A898" s="14"/>
      <c r="B898" s="14"/>
      <c r="C898" s="14"/>
      <c r="D898" s="14"/>
      <c r="E898" s="7"/>
      <c r="F898" s="7"/>
      <c r="G898" s="7"/>
      <c r="H898" s="7"/>
      <c r="I898" s="7"/>
      <c r="J898" s="14"/>
      <c r="K898" s="7"/>
      <c r="L898" s="14"/>
      <c r="M898" s="14"/>
      <c r="N898" s="14"/>
      <c r="O898" s="14"/>
      <c r="P898" s="14"/>
      <c r="Q898" s="14"/>
      <c r="R898" s="14"/>
      <c r="S898" s="14"/>
      <c r="T898" s="14"/>
      <c r="U898" s="14"/>
      <c r="V898" s="272"/>
      <c r="W898" s="272"/>
      <c r="X898" s="14"/>
      <c r="Y898" s="14"/>
      <c r="Z898" s="14"/>
      <c r="AA898" s="14"/>
      <c r="AB898" s="14"/>
      <c r="AC898" s="14"/>
      <c r="AD898" s="14"/>
      <c r="AE898" s="14"/>
      <c r="AF898" s="14"/>
      <c r="AG898" s="14"/>
      <c r="AH898" s="14"/>
      <c r="AI898" s="7"/>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row>
    <row r="899">
      <c r="A899" s="14"/>
      <c r="B899" s="14"/>
      <c r="C899" s="14"/>
      <c r="D899" s="14"/>
      <c r="E899" s="7"/>
      <c r="F899" s="7"/>
      <c r="G899" s="7"/>
      <c r="H899" s="7"/>
      <c r="I899" s="7"/>
      <c r="J899" s="14"/>
      <c r="K899" s="7"/>
      <c r="L899" s="14"/>
      <c r="M899" s="14"/>
      <c r="N899" s="14"/>
      <c r="O899" s="14"/>
      <c r="P899" s="14"/>
      <c r="Q899" s="14"/>
      <c r="R899" s="14"/>
      <c r="S899" s="14"/>
      <c r="T899" s="14"/>
      <c r="U899" s="14"/>
      <c r="V899" s="272"/>
      <c r="W899" s="272"/>
      <c r="X899" s="14"/>
      <c r="Y899" s="14"/>
      <c r="Z899" s="14"/>
      <c r="AA899" s="14"/>
      <c r="AB899" s="14"/>
      <c r="AC899" s="14"/>
      <c r="AD899" s="14"/>
      <c r="AE899" s="14"/>
      <c r="AF899" s="14"/>
      <c r="AG899" s="14"/>
      <c r="AH899" s="14"/>
      <c r="AI899" s="7"/>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row>
    <row r="900">
      <c r="A900" s="14"/>
      <c r="B900" s="14"/>
      <c r="C900" s="14"/>
      <c r="D900" s="14"/>
      <c r="E900" s="7"/>
      <c r="F900" s="7"/>
      <c r="G900" s="7"/>
      <c r="H900" s="7"/>
      <c r="I900" s="7"/>
      <c r="J900" s="14"/>
      <c r="K900" s="7"/>
      <c r="L900" s="14"/>
      <c r="M900" s="14"/>
      <c r="N900" s="14"/>
      <c r="O900" s="14"/>
      <c r="P900" s="14"/>
      <c r="Q900" s="14"/>
      <c r="R900" s="14"/>
      <c r="S900" s="14"/>
      <c r="T900" s="14"/>
      <c r="U900" s="14"/>
      <c r="V900" s="272"/>
      <c r="W900" s="272"/>
      <c r="X900" s="14"/>
      <c r="Y900" s="14"/>
      <c r="Z900" s="14"/>
      <c r="AA900" s="14"/>
      <c r="AB900" s="14"/>
      <c r="AC900" s="14"/>
      <c r="AD900" s="14"/>
      <c r="AE900" s="14"/>
      <c r="AF900" s="14"/>
      <c r="AG900" s="14"/>
      <c r="AH900" s="14"/>
      <c r="AI900" s="7"/>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row>
    <row r="901">
      <c r="A901" s="14"/>
      <c r="B901" s="14"/>
      <c r="C901" s="14"/>
      <c r="D901" s="14"/>
      <c r="E901" s="7"/>
      <c r="F901" s="7"/>
      <c r="G901" s="7"/>
      <c r="H901" s="7"/>
      <c r="I901" s="7"/>
      <c r="J901" s="14"/>
      <c r="K901" s="7"/>
      <c r="L901" s="14"/>
      <c r="M901" s="14"/>
      <c r="N901" s="14"/>
      <c r="O901" s="14"/>
      <c r="P901" s="14"/>
      <c r="Q901" s="14"/>
      <c r="R901" s="14"/>
      <c r="S901" s="14"/>
      <c r="T901" s="14"/>
      <c r="U901" s="14"/>
      <c r="V901" s="272"/>
      <c r="W901" s="272"/>
      <c r="X901" s="14"/>
      <c r="Y901" s="14"/>
      <c r="Z901" s="14"/>
      <c r="AA901" s="14"/>
      <c r="AB901" s="14"/>
      <c r="AC901" s="14"/>
      <c r="AD901" s="14"/>
      <c r="AE901" s="14"/>
      <c r="AF901" s="14"/>
      <c r="AG901" s="14"/>
      <c r="AH901" s="14"/>
      <c r="AI901" s="7"/>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row>
    <row r="902">
      <c r="A902" s="14"/>
      <c r="B902" s="14"/>
      <c r="C902" s="14"/>
      <c r="D902" s="14"/>
      <c r="E902" s="7"/>
      <c r="F902" s="7"/>
      <c r="G902" s="7"/>
      <c r="H902" s="7"/>
      <c r="I902" s="7"/>
      <c r="J902" s="14"/>
      <c r="K902" s="7"/>
      <c r="L902" s="14"/>
      <c r="M902" s="14"/>
      <c r="N902" s="14"/>
      <c r="O902" s="14"/>
      <c r="P902" s="14"/>
      <c r="Q902" s="14"/>
      <c r="R902" s="14"/>
      <c r="S902" s="14"/>
      <c r="T902" s="14"/>
      <c r="U902" s="14"/>
      <c r="V902" s="272"/>
      <c r="W902" s="272"/>
      <c r="X902" s="14"/>
      <c r="Y902" s="14"/>
      <c r="Z902" s="14"/>
      <c r="AA902" s="14"/>
      <c r="AB902" s="14"/>
      <c r="AC902" s="14"/>
      <c r="AD902" s="14"/>
      <c r="AE902" s="14"/>
      <c r="AF902" s="14"/>
      <c r="AG902" s="14"/>
      <c r="AH902" s="14"/>
      <c r="AI902" s="7"/>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row>
    <row r="903">
      <c r="A903" s="14"/>
      <c r="B903" s="14"/>
      <c r="C903" s="14"/>
      <c r="D903" s="14"/>
      <c r="E903" s="7"/>
      <c r="F903" s="7"/>
      <c r="G903" s="7"/>
      <c r="H903" s="7"/>
      <c r="I903" s="7"/>
      <c r="J903" s="14"/>
      <c r="K903" s="7"/>
      <c r="L903" s="14"/>
      <c r="M903" s="14"/>
      <c r="N903" s="14"/>
      <c r="O903" s="14"/>
      <c r="P903" s="14"/>
      <c r="Q903" s="14"/>
      <c r="R903" s="14"/>
      <c r="S903" s="14"/>
      <c r="T903" s="14"/>
      <c r="U903" s="14"/>
      <c r="V903" s="272"/>
      <c r="W903" s="272"/>
      <c r="X903" s="14"/>
      <c r="Y903" s="14"/>
      <c r="Z903" s="14"/>
      <c r="AA903" s="14"/>
      <c r="AB903" s="14"/>
      <c r="AC903" s="14"/>
      <c r="AD903" s="14"/>
      <c r="AE903" s="14"/>
      <c r="AF903" s="14"/>
      <c r="AG903" s="14"/>
      <c r="AH903" s="14"/>
      <c r="AI903" s="7"/>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row>
    <row r="904">
      <c r="A904" s="14"/>
      <c r="B904" s="14"/>
      <c r="C904" s="14"/>
      <c r="D904" s="14"/>
      <c r="E904" s="7"/>
      <c r="F904" s="7"/>
      <c r="G904" s="7"/>
      <c r="H904" s="7"/>
      <c r="I904" s="7"/>
      <c r="J904" s="14"/>
      <c r="K904" s="7"/>
      <c r="L904" s="14"/>
      <c r="M904" s="14"/>
      <c r="N904" s="14"/>
      <c r="O904" s="14"/>
      <c r="P904" s="14"/>
      <c r="Q904" s="14"/>
      <c r="R904" s="14"/>
      <c r="S904" s="14"/>
      <c r="T904" s="14"/>
      <c r="U904" s="14"/>
      <c r="V904" s="272"/>
      <c r="W904" s="272"/>
      <c r="X904" s="14"/>
      <c r="Y904" s="14"/>
      <c r="Z904" s="14"/>
      <c r="AA904" s="14"/>
      <c r="AB904" s="14"/>
      <c r="AC904" s="14"/>
      <c r="AD904" s="14"/>
      <c r="AE904" s="14"/>
      <c r="AF904" s="14"/>
      <c r="AG904" s="14"/>
      <c r="AH904" s="14"/>
      <c r="AI904" s="7"/>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row>
    <row r="905">
      <c r="A905" s="14"/>
      <c r="B905" s="14"/>
      <c r="C905" s="14"/>
      <c r="D905" s="14"/>
      <c r="E905" s="7"/>
      <c r="F905" s="7"/>
      <c r="G905" s="7"/>
      <c r="H905" s="7"/>
      <c r="I905" s="7"/>
      <c r="J905" s="14"/>
      <c r="K905" s="7"/>
      <c r="L905" s="14"/>
      <c r="M905" s="14"/>
      <c r="N905" s="14"/>
      <c r="O905" s="14"/>
      <c r="P905" s="14"/>
      <c r="Q905" s="14"/>
      <c r="R905" s="14"/>
      <c r="S905" s="14"/>
      <c r="T905" s="14"/>
      <c r="U905" s="14"/>
      <c r="V905" s="272"/>
      <c r="W905" s="272"/>
      <c r="X905" s="14"/>
      <c r="Y905" s="14"/>
      <c r="Z905" s="14"/>
      <c r="AA905" s="14"/>
      <c r="AB905" s="14"/>
      <c r="AC905" s="14"/>
      <c r="AD905" s="14"/>
      <c r="AE905" s="14"/>
      <c r="AF905" s="14"/>
      <c r="AG905" s="14"/>
      <c r="AH905" s="14"/>
      <c r="AI905" s="7"/>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row>
    <row r="906">
      <c r="A906" s="14"/>
      <c r="B906" s="14"/>
      <c r="C906" s="14"/>
      <c r="D906" s="14"/>
      <c r="E906" s="7"/>
      <c r="F906" s="7"/>
      <c r="G906" s="7"/>
      <c r="H906" s="7"/>
      <c r="I906" s="7"/>
      <c r="J906" s="14"/>
      <c r="K906" s="7"/>
      <c r="L906" s="14"/>
      <c r="M906" s="14"/>
      <c r="N906" s="14"/>
      <c r="O906" s="14"/>
      <c r="P906" s="14"/>
      <c r="Q906" s="14"/>
      <c r="R906" s="14"/>
      <c r="S906" s="14"/>
      <c r="T906" s="14"/>
      <c r="U906" s="14"/>
      <c r="V906" s="272"/>
      <c r="W906" s="272"/>
      <c r="X906" s="14"/>
      <c r="Y906" s="14"/>
      <c r="Z906" s="14"/>
      <c r="AA906" s="14"/>
      <c r="AB906" s="14"/>
      <c r="AC906" s="14"/>
      <c r="AD906" s="14"/>
      <c r="AE906" s="14"/>
      <c r="AF906" s="14"/>
      <c r="AG906" s="14"/>
      <c r="AH906" s="14"/>
      <c r="AI906" s="7"/>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row>
    <row r="907">
      <c r="A907" s="14"/>
      <c r="B907" s="14"/>
      <c r="C907" s="14"/>
      <c r="D907" s="14"/>
      <c r="E907" s="7"/>
      <c r="F907" s="7"/>
      <c r="G907" s="7"/>
      <c r="H907" s="7"/>
      <c r="I907" s="7"/>
      <c r="J907" s="14"/>
      <c r="K907" s="7"/>
      <c r="L907" s="14"/>
      <c r="M907" s="14"/>
      <c r="N907" s="14"/>
      <c r="O907" s="14"/>
      <c r="P907" s="14"/>
      <c r="Q907" s="14"/>
      <c r="R907" s="14"/>
      <c r="S907" s="14"/>
      <c r="T907" s="14"/>
      <c r="U907" s="14"/>
      <c r="V907" s="272"/>
      <c r="W907" s="272"/>
      <c r="X907" s="14"/>
      <c r="Y907" s="14"/>
      <c r="Z907" s="14"/>
      <c r="AA907" s="14"/>
      <c r="AB907" s="14"/>
      <c r="AC907" s="14"/>
      <c r="AD907" s="14"/>
      <c r="AE907" s="14"/>
      <c r="AF907" s="14"/>
      <c r="AG907" s="14"/>
      <c r="AH907" s="14"/>
      <c r="AI907" s="7"/>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row>
    <row r="908">
      <c r="A908" s="14"/>
      <c r="B908" s="14"/>
      <c r="C908" s="14"/>
      <c r="D908" s="14"/>
      <c r="E908" s="7"/>
      <c r="F908" s="7"/>
      <c r="G908" s="7"/>
      <c r="H908" s="7"/>
      <c r="I908" s="7"/>
      <c r="J908" s="14"/>
      <c r="K908" s="7"/>
      <c r="L908" s="14"/>
      <c r="M908" s="14"/>
      <c r="N908" s="14"/>
      <c r="O908" s="14"/>
      <c r="P908" s="14"/>
      <c r="Q908" s="14"/>
      <c r="R908" s="14"/>
      <c r="S908" s="14"/>
      <c r="T908" s="14"/>
      <c r="U908" s="14"/>
      <c r="V908" s="272"/>
      <c r="W908" s="272"/>
      <c r="X908" s="14"/>
      <c r="Y908" s="14"/>
      <c r="Z908" s="14"/>
      <c r="AA908" s="14"/>
      <c r="AB908" s="14"/>
      <c r="AC908" s="14"/>
      <c r="AD908" s="14"/>
      <c r="AE908" s="14"/>
      <c r="AF908" s="14"/>
      <c r="AG908" s="14"/>
      <c r="AH908" s="14"/>
      <c r="AI908" s="7"/>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row>
    <row r="909">
      <c r="A909" s="14"/>
      <c r="B909" s="14"/>
      <c r="C909" s="14"/>
      <c r="D909" s="14"/>
      <c r="E909" s="7"/>
      <c r="F909" s="7"/>
      <c r="G909" s="7"/>
      <c r="H909" s="7"/>
      <c r="I909" s="7"/>
      <c r="J909" s="14"/>
      <c r="K909" s="7"/>
      <c r="L909" s="14"/>
      <c r="M909" s="14"/>
      <c r="N909" s="14"/>
      <c r="O909" s="14"/>
      <c r="P909" s="14"/>
      <c r="Q909" s="14"/>
      <c r="R909" s="14"/>
      <c r="S909" s="14"/>
      <c r="T909" s="14"/>
      <c r="U909" s="14"/>
      <c r="V909" s="272"/>
      <c r="W909" s="272"/>
      <c r="X909" s="14"/>
      <c r="Y909" s="14"/>
      <c r="Z909" s="14"/>
      <c r="AA909" s="14"/>
      <c r="AB909" s="14"/>
      <c r="AC909" s="14"/>
      <c r="AD909" s="14"/>
      <c r="AE909" s="14"/>
      <c r="AF909" s="14"/>
      <c r="AG909" s="14"/>
      <c r="AH909" s="14"/>
      <c r="AI909" s="7"/>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row>
    <row r="910">
      <c r="A910" s="14"/>
      <c r="B910" s="14"/>
      <c r="C910" s="14"/>
      <c r="D910" s="14"/>
      <c r="E910" s="7"/>
      <c r="F910" s="7"/>
      <c r="G910" s="7"/>
      <c r="H910" s="7"/>
      <c r="I910" s="7"/>
      <c r="J910" s="14"/>
      <c r="K910" s="7"/>
      <c r="L910" s="14"/>
      <c r="M910" s="14"/>
      <c r="N910" s="14"/>
      <c r="O910" s="14"/>
      <c r="P910" s="14"/>
      <c r="Q910" s="14"/>
      <c r="R910" s="14"/>
      <c r="S910" s="14"/>
      <c r="T910" s="14"/>
      <c r="U910" s="14"/>
      <c r="V910" s="272"/>
      <c r="W910" s="272"/>
      <c r="X910" s="14"/>
      <c r="Y910" s="14"/>
      <c r="Z910" s="14"/>
      <c r="AA910" s="14"/>
      <c r="AB910" s="14"/>
      <c r="AC910" s="14"/>
      <c r="AD910" s="14"/>
      <c r="AE910" s="14"/>
      <c r="AF910" s="14"/>
      <c r="AG910" s="14"/>
      <c r="AH910" s="14"/>
      <c r="AI910" s="7"/>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row>
    <row r="911">
      <c r="A911" s="14"/>
      <c r="B911" s="14"/>
      <c r="C911" s="14"/>
      <c r="D911" s="14"/>
      <c r="E911" s="7"/>
      <c r="F911" s="7"/>
      <c r="G911" s="7"/>
      <c r="H911" s="7"/>
      <c r="I911" s="7"/>
      <c r="J911" s="14"/>
      <c r="K911" s="7"/>
      <c r="L911" s="14"/>
      <c r="M911" s="14"/>
      <c r="N911" s="14"/>
      <c r="O911" s="14"/>
      <c r="P911" s="14"/>
      <c r="Q911" s="14"/>
      <c r="R911" s="14"/>
      <c r="S911" s="14"/>
      <c r="T911" s="14"/>
      <c r="U911" s="14"/>
      <c r="V911" s="272"/>
      <c r="W911" s="272"/>
      <c r="X911" s="14"/>
      <c r="Y911" s="14"/>
      <c r="Z911" s="14"/>
      <c r="AA911" s="14"/>
      <c r="AB911" s="14"/>
      <c r="AC911" s="14"/>
      <c r="AD911" s="14"/>
      <c r="AE911" s="14"/>
      <c r="AF911" s="14"/>
      <c r="AG911" s="14"/>
      <c r="AH911" s="14"/>
      <c r="AI911" s="7"/>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row>
    <row r="912">
      <c r="A912" s="14"/>
      <c r="B912" s="14"/>
      <c r="C912" s="14"/>
      <c r="D912" s="14"/>
      <c r="E912" s="7"/>
      <c r="F912" s="7"/>
      <c r="G912" s="7"/>
      <c r="H912" s="7"/>
      <c r="I912" s="7"/>
      <c r="J912" s="14"/>
      <c r="K912" s="7"/>
      <c r="L912" s="14"/>
      <c r="M912" s="14"/>
      <c r="N912" s="14"/>
      <c r="O912" s="14"/>
      <c r="P912" s="14"/>
      <c r="Q912" s="14"/>
      <c r="R912" s="14"/>
      <c r="S912" s="14"/>
      <c r="T912" s="14"/>
      <c r="U912" s="14"/>
      <c r="V912" s="272"/>
      <c r="W912" s="272"/>
      <c r="X912" s="14"/>
      <c r="Y912" s="14"/>
      <c r="Z912" s="14"/>
      <c r="AA912" s="14"/>
      <c r="AB912" s="14"/>
      <c r="AC912" s="14"/>
      <c r="AD912" s="14"/>
      <c r="AE912" s="14"/>
      <c r="AF912" s="14"/>
      <c r="AG912" s="14"/>
      <c r="AH912" s="14"/>
      <c r="AI912" s="7"/>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row>
    <row r="913">
      <c r="A913" s="14"/>
      <c r="B913" s="14"/>
      <c r="C913" s="14"/>
      <c r="D913" s="14"/>
      <c r="E913" s="7"/>
      <c r="F913" s="7"/>
      <c r="G913" s="7"/>
      <c r="H913" s="7"/>
      <c r="I913" s="7"/>
      <c r="J913" s="14"/>
      <c r="K913" s="7"/>
      <c r="L913" s="14"/>
      <c r="M913" s="14"/>
      <c r="N913" s="14"/>
      <c r="O913" s="14"/>
      <c r="P913" s="14"/>
      <c r="Q913" s="14"/>
      <c r="R913" s="14"/>
      <c r="S913" s="14"/>
      <c r="T913" s="14"/>
      <c r="U913" s="14"/>
      <c r="V913" s="272"/>
      <c r="W913" s="272"/>
      <c r="X913" s="14"/>
      <c r="Y913" s="14"/>
      <c r="Z913" s="14"/>
      <c r="AA913" s="14"/>
      <c r="AB913" s="14"/>
      <c r="AC913" s="14"/>
      <c r="AD913" s="14"/>
      <c r="AE913" s="14"/>
      <c r="AF913" s="14"/>
      <c r="AG913" s="14"/>
      <c r="AH913" s="14"/>
      <c r="AI913" s="7"/>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row>
    <row r="914">
      <c r="A914" s="14"/>
      <c r="B914" s="14"/>
      <c r="C914" s="14"/>
      <c r="D914" s="14"/>
      <c r="E914" s="7"/>
      <c r="F914" s="7"/>
      <c r="G914" s="7"/>
      <c r="H914" s="7"/>
      <c r="I914" s="7"/>
      <c r="J914" s="14"/>
      <c r="K914" s="7"/>
      <c r="L914" s="14"/>
      <c r="M914" s="14"/>
      <c r="N914" s="14"/>
      <c r="O914" s="14"/>
      <c r="P914" s="14"/>
      <c r="Q914" s="14"/>
      <c r="R914" s="14"/>
      <c r="S914" s="14"/>
      <c r="T914" s="14"/>
      <c r="U914" s="14"/>
      <c r="V914" s="272"/>
      <c r="W914" s="272"/>
      <c r="X914" s="14"/>
      <c r="Y914" s="14"/>
      <c r="Z914" s="14"/>
      <c r="AA914" s="14"/>
      <c r="AB914" s="14"/>
      <c r="AC914" s="14"/>
      <c r="AD914" s="14"/>
      <c r="AE914" s="14"/>
      <c r="AF914" s="14"/>
      <c r="AG914" s="14"/>
      <c r="AH914" s="14"/>
      <c r="AI914" s="7"/>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row>
    <row r="915">
      <c r="A915" s="14"/>
      <c r="B915" s="14"/>
      <c r="C915" s="14"/>
      <c r="D915" s="14"/>
      <c r="E915" s="7"/>
      <c r="F915" s="7"/>
      <c r="G915" s="7"/>
      <c r="H915" s="7"/>
      <c r="I915" s="7"/>
      <c r="J915" s="14"/>
      <c r="K915" s="7"/>
      <c r="L915" s="14"/>
      <c r="M915" s="14"/>
      <c r="N915" s="14"/>
      <c r="O915" s="14"/>
      <c r="P915" s="14"/>
      <c r="Q915" s="14"/>
      <c r="R915" s="14"/>
      <c r="S915" s="14"/>
      <c r="T915" s="14"/>
      <c r="U915" s="14"/>
      <c r="V915" s="272"/>
      <c r="W915" s="272"/>
      <c r="X915" s="14"/>
      <c r="Y915" s="14"/>
      <c r="Z915" s="14"/>
      <c r="AA915" s="14"/>
      <c r="AB915" s="14"/>
      <c r="AC915" s="14"/>
      <c r="AD915" s="14"/>
      <c r="AE915" s="14"/>
      <c r="AF915" s="14"/>
      <c r="AG915" s="14"/>
      <c r="AH915" s="14"/>
      <c r="AI915" s="7"/>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row>
    <row r="916">
      <c r="A916" s="14"/>
      <c r="B916" s="14"/>
      <c r="C916" s="14"/>
      <c r="D916" s="14"/>
      <c r="E916" s="7"/>
      <c r="F916" s="7"/>
      <c r="G916" s="7"/>
      <c r="H916" s="7"/>
      <c r="I916" s="7"/>
      <c r="J916" s="14"/>
      <c r="K916" s="7"/>
      <c r="L916" s="14"/>
      <c r="M916" s="14"/>
      <c r="N916" s="14"/>
      <c r="O916" s="14"/>
      <c r="P916" s="14"/>
      <c r="Q916" s="14"/>
      <c r="R916" s="14"/>
      <c r="S916" s="14"/>
      <c r="T916" s="14"/>
      <c r="U916" s="14"/>
      <c r="V916" s="272"/>
      <c r="W916" s="272"/>
      <c r="X916" s="14"/>
      <c r="Y916" s="14"/>
      <c r="Z916" s="14"/>
      <c r="AA916" s="14"/>
      <c r="AB916" s="14"/>
      <c r="AC916" s="14"/>
      <c r="AD916" s="14"/>
      <c r="AE916" s="14"/>
      <c r="AF916" s="14"/>
      <c r="AG916" s="14"/>
      <c r="AH916" s="14"/>
      <c r="AI916" s="7"/>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row>
    <row r="917">
      <c r="A917" s="14"/>
      <c r="B917" s="14"/>
      <c r="C917" s="14"/>
      <c r="D917" s="14"/>
      <c r="E917" s="7"/>
      <c r="F917" s="7"/>
      <c r="G917" s="7"/>
      <c r="H917" s="7"/>
      <c r="I917" s="7"/>
      <c r="J917" s="14"/>
      <c r="K917" s="7"/>
      <c r="L917" s="14"/>
      <c r="M917" s="14"/>
      <c r="N917" s="14"/>
      <c r="O917" s="14"/>
      <c r="P917" s="14"/>
      <c r="Q917" s="14"/>
      <c r="R917" s="14"/>
      <c r="S917" s="14"/>
      <c r="T917" s="14"/>
      <c r="U917" s="14"/>
      <c r="V917" s="272"/>
      <c r="W917" s="272"/>
      <c r="X917" s="14"/>
      <c r="Y917" s="14"/>
      <c r="Z917" s="14"/>
      <c r="AA917" s="14"/>
      <c r="AB917" s="14"/>
      <c r="AC917" s="14"/>
      <c r="AD917" s="14"/>
      <c r="AE917" s="14"/>
      <c r="AF917" s="14"/>
      <c r="AG917" s="14"/>
      <c r="AH917" s="14"/>
      <c r="AI917" s="7"/>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row>
    <row r="918">
      <c r="A918" s="14"/>
      <c r="B918" s="14"/>
      <c r="C918" s="14"/>
      <c r="D918" s="14"/>
      <c r="E918" s="7"/>
      <c r="F918" s="7"/>
      <c r="G918" s="7"/>
      <c r="H918" s="7"/>
      <c r="I918" s="7"/>
      <c r="J918" s="14"/>
      <c r="K918" s="7"/>
      <c r="L918" s="14"/>
      <c r="M918" s="14"/>
      <c r="N918" s="14"/>
      <c r="O918" s="14"/>
      <c r="P918" s="14"/>
      <c r="Q918" s="14"/>
      <c r="R918" s="14"/>
      <c r="S918" s="14"/>
      <c r="T918" s="14"/>
      <c r="U918" s="14"/>
      <c r="V918" s="272"/>
      <c r="W918" s="272"/>
      <c r="X918" s="14"/>
      <c r="Y918" s="14"/>
      <c r="Z918" s="14"/>
      <c r="AA918" s="14"/>
      <c r="AB918" s="14"/>
      <c r="AC918" s="14"/>
      <c r="AD918" s="14"/>
      <c r="AE918" s="14"/>
      <c r="AF918" s="14"/>
      <c r="AG918" s="14"/>
      <c r="AH918" s="14"/>
      <c r="AI918" s="7"/>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row>
    <row r="919">
      <c r="A919" s="14"/>
      <c r="B919" s="14"/>
      <c r="C919" s="14"/>
      <c r="D919" s="14"/>
      <c r="E919" s="7"/>
      <c r="F919" s="7"/>
      <c r="G919" s="7"/>
      <c r="H919" s="7"/>
      <c r="I919" s="7"/>
      <c r="J919" s="14"/>
      <c r="K919" s="7"/>
      <c r="L919" s="14"/>
      <c r="M919" s="14"/>
      <c r="N919" s="14"/>
      <c r="O919" s="14"/>
      <c r="P919" s="14"/>
      <c r="Q919" s="14"/>
      <c r="R919" s="14"/>
      <c r="S919" s="14"/>
      <c r="T919" s="14"/>
      <c r="U919" s="14"/>
      <c r="V919" s="272"/>
      <c r="W919" s="272"/>
      <c r="X919" s="14"/>
      <c r="Y919" s="14"/>
      <c r="Z919" s="14"/>
      <c r="AA919" s="14"/>
      <c r="AB919" s="14"/>
      <c r="AC919" s="14"/>
      <c r="AD919" s="14"/>
      <c r="AE919" s="14"/>
      <c r="AF919" s="14"/>
      <c r="AG919" s="14"/>
      <c r="AH919" s="14"/>
      <c r="AI919" s="7"/>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row>
    <row r="920">
      <c r="A920" s="14"/>
      <c r="B920" s="14"/>
      <c r="C920" s="14"/>
      <c r="D920" s="14"/>
      <c r="E920" s="7"/>
      <c r="F920" s="7"/>
      <c r="G920" s="7"/>
      <c r="H920" s="7"/>
      <c r="I920" s="7"/>
      <c r="J920" s="14"/>
      <c r="K920" s="7"/>
      <c r="L920" s="14"/>
      <c r="M920" s="14"/>
      <c r="N920" s="14"/>
      <c r="O920" s="14"/>
      <c r="P920" s="14"/>
      <c r="Q920" s="14"/>
      <c r="R920" s="14"/>
      <c r="S920" s="14"/>
      <c r="T920" s="14"/>
      <c r="U920" s="14"/>
      <c r="V920" s="272"/>
      <c r="W920" s="272"/>
      <c r="X920" s="14"/>
      <c r="Y920" s="14"/>
      <c r="Z920" s="14"/>
      <c r="AA920" s="14"/>
      <c r="AB920" s="14"/>
      <c r="AC920" s="14"/>
      <c r="AD920" s="14"/>
      <c r="AE920" s="14"/>
      <c r="AF920" s="14"/>
      <c r="AG920" s="14"/>
      <c r="AH920" s="14"/>
      <c r="AI920" s="7"/>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row>
    <row r="921">
      <c r="A921" s="14"/>
      <c r="B921" s="14"/>
      <c r="C921" s="14"/>
      <c r="D921" s="14"/>
      <c r="E921" s="7"/>
      <c r="F921" s="7"/>
      <c r="G921" s="7"/>
      <c r="H921" s="7"/>
      <c r="I921" s="7"/>
      <c r="J921" s="14"/>
      <c r="K921" s="7"/>
      <c r="L921" s="14"/>
      <c r="M921" s="14"/>
      <c r="N921" s="14"/>
      <c r="O921" s="14"/>
      <c r="P921" s="14"/>
      <c r="Q921" s="14"/>
      <c r="R921" s="14"/>
      <c r="S921" s="14"/>
      <c r="T921" s="14"/>
      <c r="U921" s="14"/>
      <c r="V921" s="272"/>
      <c r="W921" s="272"/>
      <c r="X921" s="14"/>
      <c r="Y921" s="14"/>
      <c r="Z921" s="14"/>
      <c r="AA921" s="14"/>
      <c r="AB921" s="14"/>
      <c r="AC921" s="14"/>
      <c r="AD921" s="14"/>
      <c r="AE921" s="14"/>
      <c r="AF921" s="14"/>
      <c r="AG921" s="14"/>
      <c r="AH921" s="14"/>
      <c r="AI921" s="7"/>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row>
    <row r="922">
      <c r="A922" s="14"/>
      <c r="B922" s="14"/>
      <c r="C922" s="14"/>
      <c r="D922" s="14"/>
      <c r="E922" s="7"/>
      <c r="F922" s="7"/>
      <c r="G922" s="7"/>
      <c r="H922" s="7"/>
      <c r="I922" s="7"/>
      <c r="J922" s="14"/>
      <c r="K922" s="7"/>
      <c r="L922" s="14"/>
      <c r="M922" s="14"/>
      <c r="N922" s="14"/>
      <c r="O922" s="14"/>
      <c r="P922" s="14"/>
      <c r="Q922" s="14"/>
      <c r="R922" s="14"/>
      <c r="S922" s="14"/>
      <c r="T922" s="14"/>
      <c r="U922" s="14"/>
      <c r="V922" s="272"/>
      <c r="W922" s="272"/>
      <c r="X922" s="14"/>
      <c r="Y922" s="14"/>
      <c r="Z922" s="14"/>
      <c r="AA922" s="14"/>
      <c r="AB922" s="14"/>
      <c r="AC922" s="14"/>
      <c r="AD922" s="14"/>
      <c r="AE922" s="14"/>
      <c r="AF922" s="14"/>
      <c r="AG922" s="14"/>
      <c r="AH922" s="14"/>
      <c r="AI922" s="7"/>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row>
    <row r="923">
      <c r="A923" s="14"/>
      <c r="B923" s="14"/>
      <c r="C923" s="14"/>
      <c r="D923" s="14"/>
      <c r="E923" s="7"/>
      <c r="F923" s="7"/>
      <c r="G923" s="7"/>
      <c r="H923" s="7"/>
      <c r="I923" s="7"/>
      <c r="J923" s="14"/>
      <c r="K923" s="7"/>
      <c r="L923" s="14"/>
      <c r="M923" s="14"/>
      <c r="N923" s="14"/>
      <c r="O923" s="14"/>
      <c r="P923" s="14"/>
      <c r="Q923" s="14"/>
      <c r="R923" s="14"/>
      <c r="S923" s="14"/>
      <c r="T923" s="14"/>
      <c r="U923" s="14"/>
      <c r="V923" s="272"/>
      <c r="W923" s="272"/>
      <c r="X923" s="14"/>
      <c r="Y923" s="14"/>
      <c r="Z923" s="14"/>
      <c r="AA923" s="14"/>
      <c r="AB923" s="14"/>
      <c r="AC923" s="14"/>
      <c r="AD923" s="14"/>
      <c r="AE923" s="14"/>
      <c r="AF923" s="14"/>
      <c r="AG923" s="14"/>
      <c r="AH923" s="14"/>
      <c r="AI923" s="7"/>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row>
    <row r="924">
      <c r="A924" s="14"/>
      <c r="B924" s="14"/>
      <c r="C924" s="14"/>
      <c r="D924" s="14"/>
      <c r="E924" s="7"/>
      <c r="F924" s="7"/>
      <c r="G924" s="7"/>
      <c r="H924" s="7"/>
      <c r="I924" s="7"/>
      <c r="J924" s="14"/>
      <c r="K924" s="7"/>
      <c r="L924" s="14"/>
      <c r="M924" s="14"/>
      <c r="N924" s="14"/>
      <c r="O924" s="14"/>
      <c r="P924" s="14"/>
      <c r="Q924" s="14"/>
      <c r="R924" s="14"/>
      <c r="S924" s="14"/>
      <c r="T924" s="14"/>
      <c r="U924" s="14"/>
      <c r="V924" s="272"/>
      <c r="W924" s="272"/>
      <c r="X924" s="14"/>
      <c r="Y924" s="14"/>
      <c r="Z924" s="14"/>
      <c r="AA924" s="14"/>
      <c r="AB924" s="14"/>
      <c r="AC924" s="14"/>
      <c r="AD924" s="14"/>
      <c r="AE924" s="14"/>
      <c r="AF924" s="14"/>
      <c r="AG924" s="14"/>
      <c r="AH924" s="14"/>
      <c r="AI924" s="7"/>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row>
    <row r="925">
      <c r="A925" s="14"/>
      <c r="B925" s="14"/>
      <c r="C925" s="14"/>
      <c r="D925" s="14"/>
      <c r="E925" s="7"/>
      <c r="F925" s="7"/>
      <c r="G925" s="7"/>
      <c r="H925" s="7"/>
      <c r="I925" s="7"/>
      <c r="J925" s="14"/>
      <c r="K925" s="7"/>
      <c r="L925" s="14"/>
      <c r="M925" s="14"/>
      <c r="N925" s="14"/>
      <c r="O925" s="14"/>
      <c r="P925" s="14"/>
      <c r="Q925" s="14"/>
      <c r="R925" s="14"/>
      <c r="S925" s="14"/>
      <c r="T925" s="14"/>
      <c r="U925" s="14"/>
      <c r="V925" s="272"/>
      <c r="W925" s="272"/>
      <c r="X925" s="14"/>
      <c r="Y925" s="14"/>
      <c r="Z925" s="14"/>
      <c r="AA925" s="14"/>
      <c r="AB925" s="14"/>
      <c r="AC925" s="14"/>
      <c r="AD925" s="14"/>
      <c r="AE925" s="14"/>
      <c r="AF925" s="14"/>
      <c r="AG925" s="14"/>
      <c r="AH925" s="14"/>
      <c r="AI925" s="7"/>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row>
    <row r="926">
      <c r="A926" s="14"/>
      <c r="B926" s="14"/>
      <c r="C926" s="14"/>
      <c r="D926" s="14"/>
      <c r="E926" s="7"/>
      <c r="F926" s="7"/>
      <c r="G926" s="7"/>
      <c r="H926" s="7"/>
      <c r="I926" s="7"/>
      <c r="J926" s="14"/>
      <c r="K926" s="7"/>
      <c r="L926" s="14"/>
      <c r="M926" s="14"/>
      <c r="N926" s="14"/>
      <c r="O926" s="14"/>
      <c r="P926" s="14"/>
      <c r="Q926" s="14"/>
      <c r="R926" s="14"/>
      <c r="S926" s="14"/>
      <c r="T926" s="14"/>
      <c r="U926" s="14"/>
      <c r="V926" s="272"/>
      <c r="W926" s="272"/>
      <c r="X926" s="14"/>
      <c r="Y926" s="14"/>
      <c r="Z926" s="14"/>
      <c r="AA926" s="14"/>
      <c r="AB926" s="14"/>
      <c r="AC926" s="14"/>
      <c r="AD926" s="14"/>
      <c r="AE926" s="14"/>
      <c r="AF926" s="14"/>
      <c r="AG926" s="14"/>
      <c r="AH926" s="14"/>
      <c r="AI926" s="7"/>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row>
    <row r="927">
      <c r="A927" s="14"/>
      <c r="B927" s="14"/>
      <c r="C927" s="14"/>
      <c r="D927" s="14"/>
      <c r="E927" s="7"/>
      <c r="F927" s="7"/>
      <c r="G927" s="7"/>
      <c r="H927" s="7"/>
      <c r="I927" s="7"/>
      <c r="J927" s="14"/>
      <c r="K927" s="7"/>
      <c r="L927" s="14"/>
      <c r="M927" s="14"/>
      <c r="N927" s="14"/>
      <c r="O927" s="14"/>
      <c r="P927" s="14"/>
      <c r="Q927" s="14"/>
      <c r="R927" s="14"/>
      <c r="S927" s="14"/>
      <c r="T927" s="14"/>
      <c r="U927" s="14"/>
      <c r="V927" s="272"/>
      <c r="W927" s="272"/>
      <c r="X927" s="14"/>
      <c r="Y927" s="14"/>
      <c r="Z927" s="14"/>
      <c r="AA927" s="14"/>
      <c r="AB927" s="14"/>
      <c r="AC927" s="14"/>
      <c r="AD927" s="14"/>
      <c r="AE927" s="14"/>
      <c r="AF927" s="14"/>
      <c r="AG927" s="14"/>
      <c r="AH927" s="14"/>
      <c r="AI927" s="7"/>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row>
    <row r="928">
      <c r="A928" s="14"/>
      <c r="B928" s="14"/>
      <c r="C928" s="14"/>
      <c r="D928" s="14"/>
      <c r="E928" s="7"/>
      <c r="F928" s="7"/>
      <c r="G928" s="7"/>
      <c r="H928" s="7"/>
      <c r="I928" s="7"/>
      <c r="J928" s="14"/>
      <c r="K928" s="7"/>
      <c r="L928" s="14"/>
      <c r="M928" s="14"/>
      <c r="N928" s="14"/>
      <c r="O928" s="14"/>
      <c r="P928" s="14"/>
      <c r="Q928" s="14"/>
      <c r="R928" s="14"/>
      <c r="S928" s="14"/>
      <c r="T928" s="14"/>
      <c r="U928" s="14"/>
      <c r="V928" s="272"/>
      <c r="W928" s="272"/>
      <c r="X928" s="14"/>
      <c r="Y928" s="14"/>
      <c r="Z928" s="14"/>
      <c r="AA928" s="14"/>
      <c r="AB928" s="14"/>
      <c r="AC928" s="14"/>
      <c r="AD928" s="14"/>
      <c r="AE928" s="14"/>
      <c r="AF928" s="14"/>
      <c r="AG928" s="14"/>
      <c r="AH928" s="14"/>
      <c r="AI928" s="7"/>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row>
    <row r="929">
      <c r="A929" s="14"/>
      <c r="B929" s="14"/>
      <c r="C929" s="14"/>
      <c r="D929" s="14"/>
      <c r="E929" s="7"/>
      <c r="F929" s="7"/>
      <c r="G929" s="7"/>
      <c r="H929" s="7"/>
      <c r="I929" s="7"/>
      <c r="J929" s="14"/>
      <c r="K929" s="7"/>
      <c r="L929" s="14"/>
      <c r="M929" s="14"/>
      <c r="N929" s="14"/>
      <c r="O929" s="14"/>
      <c r="P929" s="14"/>
      <c r="Q929" s="14"/>
      <c r="R929" s="14"/>
      <c r="S929" s="14"/>
      <c r="T929" s="14"/>
      <c r="U929" s="14"/>
      <c r="V929" s="272"/>
      <c r="W929" s="272"/>
      <c r="X929" s="14"/>
      <c r="Y929" s="14"/>
      <c r="Z929" s="14"/>
      <c r="AA929" s="14"/>
      <c r="AB929" s="14"/>
      <c r="AC929" s="14"/>
      <c r="AD929" s="14"/>
      <c r="AE929" s="14"/>
      <c r="AF929" s="14"/>
      <c r="AG929" s="14"/>
      <c r="AH929" s="14"/>
      <c r="AI929" s="7"/>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row>
    <row r="930">
      <c r="A930" s="14"/>
      <c r="B930" s="14"/>
      <c r="C930" s="14"/>
      <c r="D930" s="14"/>
      <c r="E930" s="7"/>
      <c r="F930" s="7"/>
      <c r="G930" s="7"/>
      <c r="H930" s="7"/>
      <c r="I930" s="7"/>
      <c r="J930" s="14"/>
      <c r="K930" s="7"/>
      <c r="L930" s="14"/>
      <c r="M930" s="14"/>
      <c r="N930" s="14"/>
      <c r="O930" s="14"/>
      <c r="P930" s="14"/>
      <c r="Q930" s="14"/>
      <c r="R930" s="14"/>
      <c r="S930" s="14"/>
      <c r="T930" s="14"/>
      <c r="U930" s="14"/>
      <c r="V930" s="272"/>
      <c r="W930" s="272"/>
      <c r="X930" s="14"/>
      <c r="Y930" s="14"/>
      <c r="Z930" s="14"/>
      <c r="AA930" s="14"/>
      <c r="AB930" s="14"/>
      <c r="AC930" s="14"/>
      <c r="AD930" s="14"/>
      <c r="AE930" s="14"/>
      <c r="AF930" s="14"/>
      <c r="AG930" s="14"/>
      <c r="AH930" s="14"/>
      <c r="AI930" s="7"/>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row>
    <row r="931">
      <c r="A931" s="14"/>
      <c r="B931" s="14"/>
      <c r="C931" s="14"/>
      <c r="D931" s="14"/>
      <c r="E931" s="7"/>
      <c r="F931" s="7"/>
      <c r="G931" s="7"/>
      <c r="H931" s="7"/>
      <c r="I931" s="7"/>
      <c r="J931" s="14"/>
      <c r="K931" s="7"/>
      <c r="L931" s="14"/>
      <c r="M931" s="14"/>
      <c r="N931" s="14"/>
      <c r="O931" s="14"/>
      <c r="P931" s="14"/>
      <c r="Q931" s="14"/>
      <c r="R931" s="14"/>
      <c r="S931" s="14"/>
      <c r="T931" s="14"/>
      <c r="U931" s="14"/>
      <c r="V931" s="272"/>
      <c r="W931" s="272"/>
      <c r="X931" s="14"/>
      <c r="Y931" s="14"/>
      <c r="Z931" s="14"/>
      <c r="AA931" s="14"/>
      <c r="AB931" s="14"/>
      <c r="AC931" s="14"/>
      <c r="AD931" s="14"/>
      <c r="AE931" s="14"/>
      <c r="AF931" s="14"/>
      <c r="AG931" s="14"/>
      <c r="AH931" s="14"/>
      <c r="AI931" s="7"/>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row>
    <row r="932">
      <c r="A932" s="14"/>
      <c r="B932" s="14"/>
      <c r="C932" s="14"/>
      <c r="D932" s="14"/>
      <c r="E932" s="7"/>
      <c r="F932" s="7"/>
      <c r="G932" s="7"/>
      <c r="H932" s="7"/>
      <c r="I932" s="7"/>
      <c r="J932" s="14"/>
      <c r="K932" s="7"/>
      <c r="L932" s="14"/>
      <c r="M932" s="14"/>
      <c r="N932" s="14"/>
      <c r="O932" s="14"/>
      <c r="P932" s="14"/>
      <c r="Q932" s="14"/>
      <c r="R932" s="14"/>
      <c r="S932" s="14"/>
      <c r="T932" s="14"/>
      <c r="U932" s="14"/>
      <c r="V932" s="272"/>
      <c r="W932" s="272"/>
      <c r="X932" s="14"/>
      <c r="Y932" s="14"/>
      <c r="Z932" s="14"/>
      <c r="AA932" s="14"/>
      <c r="AB932" s="14"/>
      <c r="AC932" s="14"/>
      <c r="AD932" s="14"/>
      <c r="AE932" s="14"/>
      <c r="AF932" s="14"/>
      <c r="AG932" s="14"/>
      <c r="AH932" s="14"/>
      <c r="AI932" s="7"/>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row>
    <row r="933">
      <c r="A933" s="14"/>
      <c r="B933" s="14"/>
      <c r="C933" s="14"/>
      <c r="D933" s="14"/>
      <c r="E933" s="7"/>
      <c r="F933" s="7"/>
      <c r="G933" s="7"/>
      <c r="H933" s="7"/>
      <c r="I933" s="7"/>
      <c r="J933" s="14"/>
      <c r="K933" s="7"/>
      <c r="L933" s="14"/>
      <c r="M933" s="14"/>
      <c r="N933" s="14"/>
      <c r="O933" s="14"/>
      <c r="P933" s="14"/>
      <c r="Q933" s="14"/>
      <c r="R933" s="14"/>
      <c r="S933" s="14"/>
      <c r="T933" s="14"/>
      <c r="U933" s="14"/>
      <c r="V933" s="272"/>
      <c r="W933" s="272"/>
      <c r="X933" s="14"/>
      <c r="Y933" s="14"/>
      <c r="Z933" s="14"/>
      <c r="AA933" s="14"/>
      <c r="AB933" s="14"/>
      <c r="AC933" s="14"/>
      <c r="AD933" s="14"/>
      <c r="AE933" s="14"/>
      <c r="AF933" s="14"/>
      <c r="AG933" s="14"/>
      <c r="AH933" s="14"/>
      <c r="AI933" s="7"/>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row>
    <row r="934">
      <c r="A934" s="14"/>
      <c r="B934" s="14"/>
      <c r="C934" s="14"/>
      <c r="D934" s="14"/>
      <c r="E934" s="7"/>
      <c r="F934" s="7"/>
      <c r="G934" s="7"/>
      <c r="H934" s="7"/>
      <c r="I934" s="7"/>
      <c r="J934" s="14"/>
      <c r="K934" s="7"/>
      <c r="L934" s="14"/>
      <c r="M934" s="14"/>
      <c r="N934" s="14"/>
      <c r="O934" s="14"/>
      <c r="P934" s="14"/>
      <c r="Q934" s="14"/>
      <c r="R934" s="14"/>
      <c r="S934" s="14"/>
      <c r="T934" s="14"/>
      <c r="U934" s="14"/>
      <c r="V934" s="272"/>
      <c r="W934" s="272"/>
      <c r="X934" s="14"/>
      <c r="Y934" s="14"/>
      <c r="Z934" s="14"/>
      <c r="AA934" s="14"/>
      <c r="AB934" s="14"/>
      <c r="AC934" s="14"/>
      <c r="AD934" s="14"/>
      <c r="AE934" s="14"/>
      <c r="AF934" s="14"/>
      <c r="AG934" s="14"/>
      <c r="AH934" s="14"/>
      <c r="AI934" s="7"/>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row>
    <row r="935">
      <c r="A935" s="14"/>
      <c r="B935" s="14"/>
      <c r="C935" s="14"/>
      <c r="D935" s="14"/>
      <c r="E935" s="7"/>
      <c r="F935" s="7"/>
      <c r="G935" s="7"/>
      <c r="H935" s="7"/>
      <c r="I935" s="7"/>
      <c r="J935" s="14"/>
      <c r="K935" s="7"/>
      <c r="L935" s="14"/>
      <c r="M935" s="14"/>
      <c r="N935" s="14"/>
      <c r="O935" s="14"/>
      <c r="P935" s="14"/>
      <c r="Q935" s="14"/>
      <c r="R935" s="14"/>
      <c r="S935" s="14"/>
      <c r="T935" s="14"/>
      <c r="U935" s="14"/>
      <c r="V935" s="272"/>
      <c r="W935" s="272"/>
      <c r="X935" s="14"/>
      <c r="Y935" s="14"/>
      <c r="Z935" s="14"/>
      <c r="AA935" s="14"/>
      <c r="AB935" s="14"/>
      <c r="AC935" s="14"/>
      <c r="AD935" s="14"/>
      <c r="AE935" s="14"/>
      <c r="AF935" s="14"/>
      <c r="AG935" s="14"/>
      <c r="AH935" s="14"/>
      <c r="AI935" s="7"/>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row>
    <row r="936">
      <c r="A936" s="14"/>
      <c r="B936" s="14"/>
      <c r="C936" s="14"/>
      <c r="D936" s="14"/>
      <c r="E936" s="7"/>
      <c r="F936" s="7"/>
      <c r="G936" s="7"/>
      <c r="H936" s="7"/>
      <c r="I936" s="7"/>
      <c r="J936" s="14"/>
      <c r="K936" s="7"/>
      <c r="L936" s="14"/>
      <c r="M936" s="14"/>
      <c r="N936" s="14"/>
      <c r="O936" s="14"/>
      <c r="P936" s="14"/>
      <c r="Q936" s="14"/>
      <c r="R936" s="14"/>
      <c r="S936" s="14"/>
      <c r="T936" s="14"/>
      <c r="U936" s="14"/>
      <c r="V936" s="272"/>
      <c r="W936" s="272"/>
      <c r="X936" s="14"/>
      <c r="Y936" s="14"/>
      <c r="Z936" s="14"/>
      <c r="AA936" s="14"/>
      <c r="AB936" s="14"/>
      <c r="AC936" s="14"/>
      <c r="AD936" s="14"/>
      <c r="AE936" s="14"/>
      <c r="AF936" s="14"/>
      <c r="AG936" s="14"/>
      <c r="AH936" s="14"/>
      <c r="AI936" s="7"/>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row>
    <row r="937">
      <c r="A937" s="14"/>
      <c r="B937" s="14"/>
      <c r="C937" s="14"/>
      <c r="D937" s="14"/>
      <c r="E937" s="7"/>
      <c r="F937" s="7"/>
      <c r="G937" s="7"/>
      <c r="H937" s="7"/>
      <c r="I937" s="7"/>
      <c r="J937" s="14"/>
      <c r="K937" s="7"/>
      <c r="L937" s="14"/>
      <c r="M937" s="14"/>
      <c r="N937" s="14"/>
      <c r="O937" s="14"/>
      <c r="P937" s="14"/>
      <c r="Q937" s="14"/>
      <c r="R937" s="14"/>
      <c r="S937" s="14"/>
      <c r="T937" s="14"/>
      <c r="U937" s="14"/>
      <c r="V937" s="272"/>
      <c r="W937" s="272"/>
      <c r="X937" s="14"/>
      <c r="Y937" s="14"/>
      <c r="Z937" s="14"/>
      <c r="AA937" s="14"/>
      <c r="AB937" s="14"/>
      <c r="AC937" s="14"/>
      <c r="AD937" s="14"/>
      <c r="AE937" s="14"/>
      <c r="AF937" s="14"/>
      <c r="AG937" s="14"/>
      <c r="AH937" s="14"/>
      <c r="AI937" s="7"/>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row>
    <row r="938">
      <c r="A938" s="14"/>
      <c r="B938" s="14"/>
      <c r="C938" s="14"/>
      <c r="D938" s="14"/>
      <c r="E938" s="7"/>
      <c r="F938" s="7"/>
      <c r="G938" s="7"/>
      <c r="H938" s="7"/>
      <c r="I938" s="7"/>
      <c r="J938" s="14"/>
      <c r="K938" s="7"/>
      <c r="L938" s="14"/>
      <c r="M938" s="14"/>
      <c r="N938" s="14"/>
      <c r="O938" s="14"/>
      <c r="P938" s="14"/>
      <c r="Q938" s="14"/>
      <c r="R938" s="14"/>
      <c r="S938" s="14"/>
      <c r="T938" s="14"/>
      <c r="U938" s="14"/>
      <c r="V938" s="272"/>
      <c r="W938" s="272"/>
      <c r="X938" s="14"/>
      <c r="Y938" s="14"/>
      <c r="Z938" s="14"/>
      <c r="AA938" s="14"/>
      <c r="AB938" s="14"/>
      <c r="AC938" s="14"/>
      <c r="AD938" s="14"/>
      <c r="AE938" s="14"/>
      <c r="AF938" s="14"/>
      <c r="AG938" s="14"/>
      <c r="AH938" s="14"/>
      <c r="AI938" s="7"/>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row>
    <row r="939">
      <c r="A939" s="14"/>
      <c r="B939" s="14"/>
      <c r="C939" s="14"/>
      <c r="D939" s="14"/>
      <c r="E939" s="7"/>
      <c r="F939" s="7"/>
      <c r="G939" s="7"/>
      <c r="H939" s="7"/>
      <c r="I939" s="7"/>
      <c r="J939" s="14"/>
      <c r="K939" s="7"/>
      <c r="L939" s="14"/>
      <c r="M939" s="14"/>
      <c r="N939" s="14"/>
      <c r="O939" s="14"/>
      <c r="P939" s="14"/>
      <c r="Q939" s="14"/>
      <c r="R939" s="14"/>
      <c r="S939" s="14"/>
      <c r="T939" s="14"/>
      <c r="U939" s="14"/>
      <c r="V939" s="272"/>
      <c r="W939" s="272"/>
      <c r="X939" s="14"/>
      <c r="Y939" s="14"/>
      <c r="Z939" s="14"/>
      <c r="AA939" s="14"/>
      <c r="AB939" s="14"/>
      <c r="AC939" s="14"/>
      <c r="AD939" s="14"/>
      <c r="AE939" s="14"/>
      <c r="AF939" s="14"/>
      <c r="AG939" s="14"/>
      <c r="AH939" s="14"/>
      <c r="AI939" s="7"/>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row>
    <row r="940">
      <c r="A940" s="14"/>
      <c r="B940" s="14"/>
      <c r="C940" s="14"/>
      <c r="D940" s="14"/>
      <c r="E940" s="7"/>
      <c r="F940" s="7"/>
      <c r="G940" s="7"/>
      <c r="H940" s="7"/>
      <c r="I940" s="7"/>
      <c r="J940" s="14"/>
      <c r="K940" s="7"/>
      <c r="L940" s="14"/>
      <c r="M940" s="14"/>
      <c r="N940" s="14"/>
      <c r="O940" s="14"/>
      <c r="P940" s="14"/>
      <c r="Q940" s="14"/>
      <c r="R940" s="14"/>
      <c r="S940" s="14"/>
      <c r="T940" s="14"/>
      <c r="U940" s="14"/>
      <c r="V940" s="272"/>
      <c r="W940" s="272"/>
      <c r="X940" s="14"/>
      <c r="Y940" s="14"/>
      <c r="Z940" s="14"/>
      <c r="AA940" s="14"/>
      <c r="AB940" s="14"/>
      <c r="AC940" s="14"/>
      <c r="AD940" s="14"/>
      <c r="AE940" s="14"/>
      <c r="AF940" s="14"/>
      <c r="AG940" s="14"/>
      <c r="AH940" s="14"/>
      <c r="AI940" s="7"/>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row>
    <row r="941">
      <c r="A941" s="14"/>
      <c r="B941" s="14"/>
      <c r="C941" s="14"/>
      <c r="D941" s="14"/>
      <c r="E941" s="7"/>
      <c r="F941" s="7"/>
      <c r="G941" s="7"/>
      <c r="H941" s="7"/>
      <c r="I941" s="7"/>
      <c r="J941" s="14"/>
      <c r="K941" s="7"/>
      <c r="L941" s="14"/>
      <c r="M941" s="14"/>
      <c r="N941" s="14"/>
      <c r="O941" s="14"/>
      <c r="P941" s="14"/>
      <c r="Q941" s="14"/>
      <c r="R941" s="14"/>
      <c r="S941" s="14"/>
      <c r="T941" s="14"/>
      <c r="U941" s="14"/>
      <c r="V941" s="272"/>
      <c r="W941" s="272"/>
      <c r="X941" s="14"/>
      <c r="Y941" s="14"/>
      <c r="Z941" s="14"/>
      <c r="AA941" s="14"/>
      <c r="AB941" s="14"/>
      <c r="AC941" s="14"/>
      <c r="AD941" s="14"/>
      <c r="AE941" s="14"/>
      <c r="AF941" s="14"/>
      <c r="AG941" s="14"/>
      <c r="AH941" s="14"/>
      <c r="AI941" s="7"/>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row>
    <row r="942">
      <c r="A942" s="14"/>
      <c r="B942" s="14"/>
      <c r="C942" s="14"/>
      <c r="D942" s="14"/>
      <c r="E942" s="7"/>
      <c r="F942" s="7"/>
      <c r="G942" s="7"/>
      <c r="H942" s="7"/>
      <c r="I942" s="7"/>
      <c r="J942" s="14"/>
      <c r="K942" s="7"/>
      <c r="L942" s="14"/>
      <c r="M942" s="14"/>
      <c r="N942" s="14"/>
      <c r="O942" s="14"/>
      <c r="P942" s="14"/>
      <c r="Q942" s="14"/>
      <c r="R942" s="14"/>
      <c r="S942" s="14"/>
      <c r="T942" s="14"/>
      <c r="U942" s="14"/>
      <c r="V942" s="272"/>
      <c r="W942" s="272"/>
      <c r="X942" s="14"/>
      <c r="Y942" s="14"/>
      <c r="Z942" s="14"/>
      <c r="AA942" s="14"/>
      <c r="AB942" s="14"/>
      <c r="AC942" s="14"/>
      <c r="AD942" s="14"/>
      <c r="AE942" s="14"/>
      <c r="AF942" s="14"/>
      <c r="AG942" s="14"/>
      <c r="AH942" s="14"/>
      <c r="AI942" s="7"/>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row>
    <row r="943">
      <c r="A943" s="14"/>
      <c r="B943" s="14"/>
      <c r="C943" s="14"/>
      <c r="D943" s="14"/>
      <c r="E943" s="7"/>
      <c r="F943" s="7"/>
      <c r="G943" s="7"/>
      <c r="H943" s="7"/>
      <c r="I943" s="7"/>
      <c r="J943" s="14"/>
      <c r="K943" s="7"/>
      <c r="L943" s="14"/>
      <c r="M943" s="14"/>
      <c r="N943" s="14"/>
      <c r="O943" s="14"/>
      <c r="P943" s="14"/>
      <c r="Q943" s="14"/>
      <c r="R943" s="14"/>
      <c r="S943" s="14"/>
      <c r="T943" s="14"/>
      <c r="U943" s="14"/>
      <c r="V943" s="272"/>
      <c r="W943" s="272"/>
      <c r="X943" s="14"/>
      <c r="Y943" s="14"/>
      <c r="Z943" s="14"/>
      <c r="AA943" s="14"/>
      <c r="AB943" s="14"/>
      <c r="AC943" s="14"/>
      <c r="AD943" s="14"/>
      <c r="AE943" s="14"/>
      <c r="AF943" s="14"/>
      <c r="AG943" s="14"/>
      <c r="AH943" s="14"/>
      <c r="AI943" s="7"/>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row>
    <row r="944">
      <c r="A944" s="14"/>
      <c r="B944" s="14"/>
      <c r="C944" s="14"/>
      <c r="D944" s="14"/>
      <c r="E944" s="7"/>
      <c r="F944" s="7"/>
      <c r="G944" s="7"/>
      <c r="H944" s="7"/>
      <c r="I944" s="7"/>
      <c r="J944" s="14"/>
      <c r="K944" s="7"/>
      <c r="L944" s="14"/>
      <c r="M944" s="14"/>
      <c r="N944" s="14"/>
      <c r="O944" s="14"/>
      <c r="P944" s="14"/>
      <c r="Q944" s="14"/>
      <c r="R944" s="14"/>
      <c r="S944" s="14"/>
      <c r="T944" s="14"/>
      <c r="U944" s="14"/>
      <c r="V944" s="272"/>
      <c r="W944" s="272"/>
      <c r="X944" s="14"/>
      <c r="Y944" s="14"/>
      <c r="Z944" s="14"/>
      <c r="AA944" s="14"/>
      <c r="AB944" s="14"/>
      <c r="AC944" s="14"/>
      <c r="AD944" s="14"/>
      <c r="AE944" s="14"/>
      <c r="AF944" s="14"/>
      <c r="AG944" s="14"/>
      <c r="AH944" s="14"/>
      <c r="AI944" s="7"/>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row>
    <row r="945">
      <c r="A945" s="14"/>
      <c r="B945" s="14"/>
      <c r="C945" s="14"/>
      <c r="D945" s="14"/>
      <c r="E945" s="7"/>
      <c r="F945" s="7"/>
      <c r="G945" s="7"/>
      <c r="H945" s="7"/>
      <c r="I945" s="7"/>
      <c r="J945" s="14"/>
      <c r="K945" s="7"/>
      <c r="L945" s="14"/>
      <c r="M945" s="14"/>
      <c r="N945" s="14"/>
      <c r="O945" s="14"/>
      <c r="P945" s="14"/>
      <c r="Q945" s="14"/>
      <c r="R945" s="14"/>
      <c r="S945" s="14"/>
      <c r="T945" s="14"/>
      <c r="U945" s="14"/>
      <c r="V945" s="272"/>
      <c r="W945" s="272"/>
      <c r="X945" s="14"/>
      <c r="Y945" s="14"/>
      <c r="Z945" s="14"/>
      <c r="AA945" s="14"/>
      <c r="AB945" s="14"/>
      <c r="AC945" s="14"/>
      <c r="AD945" s="14"/>
      <c r="AE945" s="14"/>
      <c r="AF945" s="14"/>
      <c r="AG945" s="14"/>
      <c r="AH945" s="14"/>
      <c r="AI945" s="7"/>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row>
    <row r="946">
      <c r="A946" s="14"/>
      <c r="B946" s="14"/>
      <c r="C946" s="14"/>
      <c r="D946" s="14"/>
      <c r="E946" s="7"/>
      <c r="F946" s="7"/>
      <c r="G946" s="7"/>
      <c r="H946" s="7"/>
      <c r="I946" s="7"/>
      <c r="J946" s="14"/>
      <c r="K946" s="7"/>
      <c r="L946" s="14"/>
      <c r="M946" s="14"/>
      <c r="N946" s="14"/>
      <c r="O946" s="14"/>
      <c r="P946" s="14"/>
      <c r="Q946" s="14"/>
      <c r="R946" s="14"/>
      <c r="S946" s="14"/>
      <c r="T946" s="14"/>
      <c r="U946" s="14"/>
      <c r="V946" s="272"/>
      <c r="W946" s="272"/>
      <c r="X946" s="14"/>
      <c r="Y946" s="14"/>
      <c r="Z946" s="14"/>
      <c r="AA946" s="14"/>
      <c r="AB946" s="14"/>
      <c r="AC946" s="14"/>
      <c r="AD946" s="14"/>
      <c r="AE946" s="14"/>
      <c r="AF946" s="14"/>
      <c r="AG946" s="14"/>
      <c r="AH946" s="14"/>
      <c r="AI946" s="7"/>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row>
    <row r="947">
      <c r="A947" s="14"/>
      <c r="B947" s="14"/>
      <c r="C947" s="14"/>
      <c r="D947" s="14"/>
      <c r="E947" s="7"/>
      <c r="F947" s="7"/>
      <c r="G947" s="7"/>
      <c r="H947" s="7"/>
      <c r="I947" s="7"/>
      <c r="J947" s="14"/>
      <c r="K947" s="7"/>
      <c r="L947" s="14"/>
      <c r="M947" s="14"/>
      <c r="N947" s="14"/>
      <c r="O947" s="14"/>
      <c r="P947" s="14"/>
      <c r="Q947" s="14"/>
      <c r="R947" s="14"/>
      <c r="S947" s="14"/>
      <c r="T947" s="14"/>
      <c r="U947" s="14"/>
      <c r="V947" s="272"/>
      <c r="W947" s="272"/>
      <c r="X947" s="14"/>
      <c r="Y947" s="14"/>
      <c r="Z947" s="14"/>
      <c r="AA947" s="14"/>
      <c r="AB947" s="14"/>
      <c r="AC947" s="14"/>
      <c r="AD947" s="14"/>
      <c r="AE947" s="14"/>
      <c r="AF947" s="14"/>
      <c r="AG947" s="14"/>
      <c r="AH947" s="14"/>
      <c r="AI947" s="7"/>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row>
    <row r="948">
      <c r="A948" s="14"/>
      <c r="B948" s="14"/>
      <c r="C948" s="14"/>
      <c r="D948" s="14"/>
      <c r="E948" s="7"/>
      <c r="F948" s="7"/>
      <c r="G948" s="7"/>
      <c r="H948" s="7"/>
      <c r="I948" s="7"/>
      <c r="J948" s="14"/>
      <c r="K948" s="7"/>
      <c r="L948" s="14"/>
      <c r="M948" s="14"/>
      <c r="N948" s="14"/>
      <c r="O948" s="14"/>
      <c r="P948" s="14"/>
      <c r="Q948" s="14"/>
      <c r="R948" s="14"/>
      <c r="S948" s="14"/>
      <c r="T948" s="14"/>
      <c r="U948" s="14"/>
      <c r="V948" s="272"/>
      <c r="W948" s="272"/>
      <c r="X948" s="14"/>
      <c r="Y948" s="14"/>
      <c r="Z948" s="14"/>
      <c r="AA948" s="14"/>
      <c r="AB948" s="14"/>
      <c r="AC948" s="14"/>
      <c r="AD948" s="14"/>
      <c r="AE948" s="14"/>
      <c r="AF948" s="14"/>
      <c r="AG948" s="14"/>
      <c r="AH948" s="14"/>
      <c r="AI948" s="7"/>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row>
    <row r="949">
      <c r="A949" s="14"/>
      <c r="B949" s="14"/>
      <c r="C949" s="14"/>
      <c r="D949" s="14"/>
      <c r="E949" s="7"/>
      <c r="F949" s="7"/>
      <c r="G949" s="7"/>
      <c r="H949" s="7"/>
      <c r="I949" s="7"/>
      <c r="J949" s="14"/>
      <c r="K949" s="7"/>
      <c r="L949" s="14"/>
      <c r="M949" s="14"/>
      <c r="N949" s="14"/>
      <c r="O949" s="14"/>
      <c r="P949" s="14"/>
      <c r="Q949" s="14"/>
      <c r="R949" s="14"/>
      <c r="S949" s="14"/>
      <c r="T949" s="14"/>
      <c r="U949" s="14"/>
      <c r="V949" s="272"/>
      <c r="W949" s="272"/>
      <c r="X949" s="14"/>
      <c r="Y949" s="14"/>
      <c r="Z949" s="14"/>
      <c r="AA949" s="14"/>
      <c r="AB949" s="14"/>
      <c r="AC949" s="14"/>
      <c r="AD949" s="14"/>
      <c r="AE949" s="14"/>
      <c r="AF949" s="14"/>
      <c r="AG949" s="14"/>
      <c r="AH949" s="14"/>
      <c r="AI949" s="7"/>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row>
    <row r="950">
      <c r="A950" s="14"/>
      <c r="B950" s="14"/>
      <c r="C950" s="14"/>
      <c r="D950" s="14"/>
      <c r="E950" s="7"/>
      <c r="F950" s="7"/>
      <c r="G950" s="7"/>
      <c r="H950" s="7"/>
      <c r="I950" s="7"/>
      <c r="J950" s="14"/>
      <c r="K950" s="7"/>
      <c r="L950" s="14"/>
      <c r="M950" s="14"/>
      <c r="N950" s="14"/>
      <c r="O950" s="14"/>
      <c r="P950" s="14"/>
      <c r="Q950" s="14"/>
      <c r="R950" s="14"/>
      <c r="S950" s="14"/>
      <c r="T950" s="14"/>
      <c r="U950" s="14"/>
      <c r="V950" s="272"/>
      <c r="W950" s="272"/>
      <c r="X950" s="14"/>
      <c r="Y950" s="14"/>
      <c r="Z950" s="14"/>
      <c r="AA950" s="14"/>
      <c r="AB950" s="14"/>
      <c r="AC950" s="14"/>
      <c r="AD950" s="14"/>
      <c r="AE950" s="14"/>
      <c r="AF950" s="14"/>
      <c r="AG950" s="14"/>
      <c r="AH950" s="14"/>
      <c r="AI950" s="7"/>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row>
    <row r="951">
      <c r="A951" s="14"/>
      <c r="B951" s="14"/>
      <c r="C951" s="14"/>
      <c r="D951" s="14"/>
      <c r="E951" s="7"/>
      <c r="F951" s="7"/>
      <c r="G951" s="7"/>
      <c r="H951" s="7"/>
      <c r="I951" s="7"/>
      <c r="J951" s="14"/>
      <c r="K951" s="7"/>
      <c r="L951" s="14"/>
      <c r="M951" s="14"/>
      <c r="N951" s="14"/>
      <c r="O951" s="14"/>
      <c r="P951" s="14"/>
      <c r="Q951" s="14"/>
      <c r="R951" s="14"/>
      <c r="S951" s="14"/>
      <c r="T951" s="14"/>
      <c r="U951" s="14"/>
      <c r="V951" s="272"/>
      <c r="W951" s="272"/>
      <c r="X951" s="14"/>
      <c r="Y951" s="14"/>
      <c r="Z951" s="14"/>
      <c r="AA951" s="14"/>
      <c r="AB951" s="14"/>
      <c r="AC951" s="14"/>
      <c r="AD951" s="14"/>
      <c r="AE951" s="14"/>
      <c r="AF951" s="14"/>
      <c r="AG951" s="14"/>
      <c r="AH951" s="14"/>
      <c r="AI951" s="7"/>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row>
    <row r="952">
      <c r="A952" s="14"/>
      <c r="B952" s="14"/>
      <c r="C952" s="14"/>
      <c r="D952" s="14"/>
      <c r="E952" s="7"/>
      <c r="F952" s="7"/>
      <c r="G952" s="7"/>
      <c r="H952" s="7"/>
      <c r="I952" s="7"/>
      <c r="J952" s="14"/>
      <c r="K952" s="7"/>
      <c r="L952" s="14"/>
      <c r="M952" s="14"/>
      <c r="N952" s="14"/>
      <c r="O952" s="14"/>
      <c r="P952" s="14"/>
      <c r="Q952" s="14"/>
      <c r="R952" s="14"/>
      <c r="S952" s="14"/>
      <c r="T952" s="14"/>
      <c r="U952" s="14"/>
      <c r="V952" s="272"/>
      <c r="W952" s="272"/>
      <c r="X952" s="14"/>
      <c r="Y952" s="14"/>
      <c r="Z952" s="14"/>
      <c r="AA952" s="14"/>
      <c r="AB952" s="14"/>
      <c r="AC952" s="14"/>
      <c r="AD952" s="14"/>
      <c r="AE952" s="14"/>
      <c r="AF952" s="14"/>
      <c r="AG952" s="14"/>
      <c r="AH952" s="14"/>
      <c r="AI952" s="7"/>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row>
    <row r="953">
      <c r="A953" s="14"/>
      <c r="B953" s="14"/>
      <c r="C953" s="14"/>
      <c r="D953" s="14"/>
      <c r="E953" s="7"/>
      <c r="F953" s="7"/>
      <c r="G953" s="7"/>
      <c r="H953" s="7"/>
      <c r="I953" s="7"/>
      <c r="J953" s="14"/>
      <c r="K953" s="7"/>
      <c r="L953" s="14"/>
      <c r="M953" s="14"/>
      <c r="N953" s="14"/>
      <c r="O953" s="14"/>
      <c r="P953" s="14"/>
      <c r="Q953" s="14"/>
      <c r="R953" s="14"/>
      <c r="S953" s="14"/>
      <c r="T953" s="14"/>
      <c r="U953" s="14"/>
      <c r="V953" s="272"/>
      <c r="W953" s="272"/>
      <c r="X953" s="14"/>
      <c r="Y953" s="14"/>
      <c r="Z953" s="14"/>
      <c r="AA953" s="14"/>
      <c r="AB953" s="14"/>
      <c r="AC953" s="14"/>
      <c r="AD953" s="14"/>
      <c r="AE953" s="14"/>
      <c r="AF953" s="14"/>
      <c r="AG953" s="14"/>
      <c r="AH953" s="14"/>
      <c r="AI953" s="7"/>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row>
    <row r="954">
      <c r="A954" s="14"/>
      <c r="B954" s="14"/>
      <c r="C954" s="14"/>
      <c r="D954" s="14"/>
      <c r="E954" s="7"/>
      <c r="F954" s="7"/>
      <c r="G954" s="7"/>
      <c r="H954" s="7"/>
      <c r="I954" s="7"/>
      <c r="J954" s="14"/>
      <c r="K954" s="7"/>
      <c r="L954" s="14"/>
      <c r="M954" s="14"/>
      <c r="N954" s="14"/>
      <c r="O954" s="14"/>
      <c r="P954" s="14"/>
      <c r="Q954" s="14"/>
      <c r="R954" s="14"/>
      <c r="S954" s="14"/>
      <c r="T954" s="14"/>
      <c r="U954" s="14"/>
      <c r="V954" s="272"/>
      <c r="W954" s="272"/>
      <c r="X954" s="14"/>
      <c r="Y954" s="14"/>
      <c r="Z954" s="14"/>
      <c r="AA954" s="14"/>
      <c r="AB954" s="14"/>
      <c r="AC954" s="14"/>
      <c r="AD954" s="14"/>
      <c r="AE954" s="14"/>
      <c r="AF954" s="14"/>
      <c r="AG954" s="14"/>
      <c r="AH954" s="14"/>
      <c r="AI954" s="7"/>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row>
    <row r="955">
      <c r="A955" s="14"/>
      <c r="B955" s="14"/>
      <c r="C955" s="14"/>
      <c r="D955" s="14"/>
      <c r="E955" s="7"/>
      <c r="F955" s="7"/>
      <c r="G955" s="7"/>
      <c r="H955" s="7"/>
      <c r="I955" s="7"/>
      <c r="J955" s="14"/>
      <c r="K955" s="7"/>
      <c r="L955" s="14"/>
      <c r="M955" s="14"/>
      <c r="N955" s="14"/>
      <c r="O955" s="14"/>
      <c r="P955" s="14"/>
      <c r="Q955" s="14"/>
      <c r="R955" s="14"/>
      <c r="S955" s="14"/>
      <c r="T955" s="14"/>
      <c r="U955" s="14"/>
      <c r="V955" s="272"/>
      <c r="W955" s="272"/>
      <c r="X955" s="14"/>
      <c r="Y955" s="14"/>
      <c r="Z955" s="14"/>
      <c r="AA955" s="14"/>
      <c r="AB955" s="14"/>
      <c r="AC955" s="14"/>
      <c r="AD955" s="14"/>
      <c r="AE955" s="14"/>
      <c r="AF955" s="14"/>
      <c r="AG955" s="14"/>
      <c r="AH955" s="14"/>
      <c r="AI955" s="7"/>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row>
    <row r="956">
      <c r="A956" s="14"/>
      <c r="B956" s="14"/>
      <c r="C956" s="14"/>
      <c r="D956" s="14"/>
      <c r="E956" s="7"/>
      <c r="F956" s="7"/>
      <c r="G956" s="7"/>
      <c r="H956" s="7"/>
      <c r="I956" s="7"/>
      <c r="J956" s="14"/>
      <c r="K956" s="7"/>
      <c r="L956" s="14"/>
      <c r="M956" s="14"/>
      <c r="N956" s="14"/>
      <c r="O956" s="14"/>
      <c r="P956" s="14"/>
      <c r="Q956" s="14"/>
      <c r="R956" s="14"/>
      <c r="S956" s="14"/>
      <c r="T956" s="14"/>
      <c r="U956" s="14"/>
      <c r="V956" s="272"/>
      <c r="W956" s="272"/>
      <c r="X956" s="14"/>
      <c r="Y956" s="14"/>
      <c r="Z956" s="14"/>
      <c r="AA956" s="14"/>
      <c r="AB956" s="14"/>
      <c r="AC956" s="14"/>
      <c r="AD956" s="14"/>
      <c r="AE956" s="14"/>
      <c r="AF956" s="14"/>
      <c r="AG956" s="14"/>
      <c r="AH956" s="14"/>
      <c r="AI956" s="7"/>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row>
    <row r="957">
      <c r="A957" s="14"/>
      <c r="B957" s="14"/>
      <c r="C957" s="14"/>
      <c r="D957" s="14"/>
      <c r="E957" s="7"/>
      <c r="F957" s="7"/>
      <c r="G957" s="7"/>
      <c r="H957" s="7"/>
      <c r="I957" s="7"/>
      <c r="J957" s="14"/>
      <c r="K957" s="7"/>
      <c r="L957" s="14"/>
      <c r="M957" s="14"/>
      <c r="N957" s="14"/>
      <c r="O957" s="14"/>
      <c r="P957" s="14"/>
      <c r="Q957" s="14"/>
      <c r="R957" s="14"/>
      <c r="S957" s="14"/>
      <c r="T957" s="14"/>
      <c r="U957" s="14"/>
      <c r="V957" s="272"/>
      <c r="W957" s="272"/>
      <c r="X957" s="14"/>
      <c r="Y957" s="14"/>
      <c r="Z957" s="14"/>
      <c r="AA957" s="14"/>
      <c r="AB957" s="14"/>
      <c r="AC957" s="14"/>
      <c r="AD957" s="14"/>
      <c r="AE957" s="14"/>
      <c r="AF957" s="14"/>
      <c r="AG957" s="14"/>
      <c r="AH957" s="14"/>
      <c r="AI957" s="7"/>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row>
    <row r="958">
      <c r="A958" s="14"/>
      <c r="B958" s="14"/>
      <c r="C958" s="14"/>
      <c r="D958" s="14"/>
      <c r="E958" s="7"/>
      <c r="F958" s="7"/>
      <c r="G958" s="7"/>
      <c r="H958" s="7"/>
      <c r="I958" s="7"/>
      <c r="J958" s="14"/>
      <c r="K958" s="7"/>
      <c r="L958" s="14"/>
      <c r="M958" s="14"/>
      <c r="N958" s="14"/>
      <c r="O958" s="14"/>
      <c r="P958" s="14"/>
      <c r="Q958" s="14"/>
      <c r="R958" s="14"/>
      <c r="S958" s="14"/>
      <c r="T958" s="14"/>
      <c r="U958" s="14"/>
      <c r="V958" s="272"/>
      <c r="W958" s="272"/>
      <c r="X958" s="14"/>
      <c r="Y958" s="14"/>
      <c r="Z958" s="14"/>
      <c r="AA958" s="14"/>
      <c r="AB958" s="14"/>
      <c r="AC958" s="14"/>
      <c r="AD958" s="14"/>
      <c r="AE958" s="14"/>
      <c r="AF958" s="14"/>
      <c r="AG958" s="14"/>
      <c r="AH958" s="14"/>
      <c r="AI958" s="7"/>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row>
    <row r="959">
      <c r="A959" s="14"/>
      <c r="B959" s="14"/>
      <c r="C959" s="14"/>
      <c r="D959" s="14"/>
      <c r="E959" s="7"/>
      <c r="F959" s="7"/>
      <c r="G959" s="7"/>
      <c r="H959" s="7"/>
      <c r="I959" s="7"/>
      <c r="J959" s="14"/>
      <c r="K959" s="7"/>
      <c r="L959" s="14"/>
      <c r="M959" s="14"/>
      <c r="N959" s="14"/>
      <c r="O959" s="14"/>
      <c r="P959" s="14"/>
      <c r="Q959" s="14"/>
      <c r="R959" s="14"/>
      <c r="S959" s="14"/>
      <c r="T959" s="14"/>
      <c r="U959" s="14"/>
      <c r="V959" s="272"/>
      <c r="W959" s="272"/>
      <c r="X959" s="14"/>
      <c r="Y959" s="14"/>
      <c r="Z959" s="14"/>
      <c r="AA959" s="14"/>
      <c r="AB959" s="14"/>
      <c r="AC959" s="14"/>
      <c r="AD959" s="14"/>
      <c r="AE959" s="14"/>
      <c r="AF959" s="14"/>
      <c r="AG959" s="14"/>
      <c r="AH959" s="14"/>
      <c r="AI959" s="7"/>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row>
    <row r="960">
      <c r="A960" s="14"/>
      <c r="B960" s="14"/>
      <c r="C960" s="14"/>
      <c r="D960" s="14"/>
      <c r="E960" s="7"/>
      <c r="F960" s="7"/>
      <c r="G960" s="7"/>
      <c r="H960" s="7"/>
      <c r="I960" s="7"/>
      <c r="J960" s="14"/>
      <c r="K960" s="7"/>
      <c r="L960" s="14"/>
      <c r="M960" s="14"/>
      <c r="N960" s="14"/>
      <c r="O960" s="14"/>
      <c r="P960" s="14"/>
      <c r="Q960" s="14"/>
      <c r="R960" s="14"/>
      <c r="S960" s="14"/>
      <c r="T960" s="14"/>
      <c r="U960" s="14"/>
      <c r="V960" s="272"/>
      <c r="W960" s="272"/>
      <c r="X960" s="14"/>
      <c r="Y960" s="14"/>
      <c r="Z960" s="14"/>
      <c r="AA960" s="14"/>
      <c r="AB960" s="14"/>
      <c r="AC960" s="14"/>
      <c r="AD960" s="14"/>
      <c r="AE960" s="14"/>
      <c r="AF960" s="14"/>
      <c r="AG960" s="14"/>
      <c r="AH960" s="14"/>
      <c r="AI960" s="7"/>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row>
    <row r="961">
      <c r="A961" s="14"/>
      <c r="B961" s="14"/>
      <c r="C961" s="14"/>
      <c r="D961" s="14"/>
      <c r="E961" s="7"/>
      <c r="F961" s="7"/>
      <c r="G961" s="7"/>
      <c r="H961" s="7"/>
      <c r="I961" s="7"/>
      <c r="J961" s="14"/>
      <c r="K961" s="7"/>
      <c r="L961" s="14"/>
      <c r="M961" s="14"/>
      <c r="N961" s="14"/>
      <c r="O961" s="14"/>
      <c r="P961" s="14"/>
      <c r="Q961" s="14"/>
      <c r="R961" s="14"/>
      <c r="S961" s="14"/>
      <c r="T961" s="14"/>
      <c r="U961" s="14"/>
      <c r="V961" s="272"/>
      <c r="W961" s="272"/>
      <c r="X961" s="14"/>
      <c r="Y961" s="14"/>
      <c r="Z961" s="14"/>
      <c r="AA961" s="14"/>
      <c r="AB961" s="14"/>
      <c r="AC961" s="14"/>
      <c r="AD961" s="14"/>
      <c r="AE961" s="14"/>
      <c r="AF961" s="14"/>
      <c r="AG961" s="14"/>
      <c r="AH961" s="14"/>
      <c r="AI961" s="7"/>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row>
    <row r="962">
      <c r="A962" s="14"/>
      <c r="B962" s="14"/>
      <c r="C962" s="14"/>
      <c r="D962" s="14"/>
      <c r="E962" s="7"/>
      <c r="F962" s="7"/>
      <c r="G962" s="7"/>
      <c r="H962" s="7"/>
      <c r="I962" s="7"/>
      <c r="J962" s="14"/>
      <c r="K962" s="7"/>
      <c r="L962" s="14"/>
      <c r="M962" s="14"/>
      <c r="N962" s="14"/>
      <c r="O962" s="14"/>
      <c r="P962" s="14"/>
      <c r="Q962" s="14"/>
      <c r="R962" s="14"/>
      <c r="S962" s="14"/>
      <c r="T962" s="14"/>
      <c r="U962" s="14"/>
      <c r="V962" s="272"/>
      <c r="W962" s="272"/>
      <c r="X962" s="14"/>
      <c r="Y962" s="14"/>
      <c r="Z962" s="14"/>
      <c r="AA962" s="14"/>
      <c r="AB962" s="14"/>
      <c r="AC962" s="14"/>
      <c r="AD962" s="14"/>
      <c r="AE962" s="14"/>
      <c r="AF962" s="14"/>
      <c r="AG962" s="14"/>
      <c r="AH962" s="14"/>
      <c r="AI962" s="7"/>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row>
    <row r="963">
      <c r="A963" s="14"/>
      <c r="B963" s="14"/>
      <c r="C963" s="14"/>
      <c r="D963" s="14"/>
      <c r="E963" s="7"/>
      <c r="F963" s="7"/>
      <c r="G963" s="7"/>
      <c r="H963" s="7"/>
      <c r="I963" s="7"/>
      <c r="J963" s="14"/>
      <c r="K963" s="7"/>
      <c r="L963" s="14"/>
      <c r="M963" s="14"/>
      <c r="N963" s="14"/>
      <c r="O963" s="14"/>
      <c r="P963" s="14"/>
      <c r="Q963" s="14"/>
      <c r="R963" s="14"/>
      <c r="S963" s="14"/>
      <c r="T963" s="14"/>
      <c r="U963" s="14"/>
      <c r="V963" s="272"/>
      <c r="W963" s="272"/>
      <c r="X963" s="14"/>
      <c r="Y963" s="14"/>
      <c r="Z963" s="14"/>
      <c r="AA963" s="14"/>
      <c r="AB963" s="14"/>
      <c r="AC963" s="14"/>
      <c r="AD963" s="14"/>
      <c r="AE963" s="14"/>
      <c r="AF963" s="14"/>
      <c r="AG963" s="14"/>
      <c r="AH963" s="14"/>
      <c r="AI963" s="7"/>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row>
    <row r="964">
      <c r="A964" s="14"/>
      <c r="B964" s="14"/>
      <c r="C964" s="14"/>
      <c r="D964" s="14"/>
      <c r="E964" s="7"/>
      <c r="F964" s="7"/>
      <c r="G964" s="7"/>
      <c r="H964" s="7"/>
      <c r="I964" s="7"/>
      <c r="J964" s="14"/>
      <c r="K964" s="7"/>
      <c r="L964" s="14"/>
      <c r="M964" s="14"/>
      <c r="N964" s="14"/>
      <c r="O964" s="14"/>
      <c r="P964" s="14"/>
      <c r="Q964" s="14"/>
      <c r="R964" s="14"/>
      <c r="S964" s="14"/>
      <c r="T964" s="14"/>
      <c r="U964" s="14"/>
      <c r="V964" s="272"/>
      <c r="W964" s="272"/>
      <c r="X964" s="14"/>
      <c r="Y964" s="14"/>
      <c r="Z964" s="14"/>
      <c r="AA964" s="14"/>
      <c r="AB964" s="14"/>
      <c r="AC964" s="14"/>
      <c r="AD964" s="14"/>
      <c r="AE964" s="14"/>
      <c r="AF964" s="14"/>
      <c r="AG964" s="14"/>
      <c r="AH964" s="14"/>
      <c r="AI964" s="7"/>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row>
    <row r="965">
      <c r="A965" s="14"/>
      <c r="B965" s="14"/>
      <c r="C965" s="14"/>
      <c r="D965" s="14"/>
      <c r="E965" s="7"/>
      <c r="F965" s="7"/>
      <c r="G965" s="7"/>
      <c r="H965" s="7"/>
      <c r="I965" s="7"/>
      <c r="J965" s="14"/>
      <c r="K965" s="7"/>
      <c r="L965" s="14"/>
      <c r="M965" s="14"/>
      <c r="N965" s="14"/>
      <c r="O965" s="14"/>
      <c r="P965" s="14"/>
      <c r="Q965" s="14"/>
      <c r="R965" s="14"/>
      <c r="S965" s="14"/>
      <c r="T965" s="14"/>
      <c r="U965" s="14"/>
      <c r="V965" s="272"/>
      <c r="W965" s="272"/>
      <c r="X965" s="14"/>
      <c r="Y965" s="14"/>
      <c r="Z965" s="14"/>
      <c r="AA965" s="14"/>
      <c r="AB965" s="14"/>
      <c r="AC965" s="14"/>
      <c r="AD965" s="14"/>
      <c r="AE965" s="14"/>
      <c r="AF965" s="14"/>
      <c r="AG965" s="14"/>
      <c r="AH965" s="14"/>
      <c r="AI965" s="7"/>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row>
    <row r="966">
      <c r="A966" s="14"/>
      <c r="B966" s="14"/>
      <c r="C966" s="14"/>
      <c r="D966" s="14"/>
      <c r="E966" s="7"/>
      <c r="F966" s="7"/>
      <c r="G966" s="7"/>
      <c r="H966" s="7"/>
      <c r="I966" s="7"/>
      <c r="J966" s="14"/>
      <c r="K966" s="7"/>
      <c r="L966" s="14"/>
      <c r="M966" s="14"/>
      <c r="N966" s="14"/>
      <c r="O966" s="14"/>
      <c r="P966" s="14"/>
      <c r="Q966" s="14"/>
      <c r="R966" s="14"/>
      <c r="S966" s="14"/>
      <c r="T966" s="14"/>
      <c r="U966" s="14"/>
      <c r="V966" s="272"/>
      <c r="W966" s="272"/>
      <c r="X966" s="14"/>
      <c r="Y966" s="14"/>
      <c r="Z966" s="14"/>
      <c r="AA966" s="14"/>
      <c r="AB966" s="14"/>
      <c r="AC966" s="14"/>
      <c r="AD966" s="14"/>
      <c r="AE966" s="14"/>
      <c r="AF966" s="14"/>
      <c r="AG966" s="14"/>
      <c r="AH966" s="14"/>
      <c r="AI966" s="7"/>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row>
    <row r="967">
      <c r="A967" s="14"/>
      <c r="B967" s="14"/>
      <c r="C967" s="14"/>
      <c r="D967" s="14"/>
      <c r="E967" s="7"/>
      <c r="F967" s="7"/>
      <c r="G967" s="7"/>
      <c r="H967" s="7"/>
      <c r="I967" s="7"/>
      <c r="J967" s="14"/>
      <c r="K967" s="7"/>
      <c r="L967" s="14"/>
      <c r="M967" s="14"/>
      <c r="N967" s="14"/>
      <c r="O967" s="14"/>
      <c r="P967" s="14"/>
      <c r="Q967" s="14"/>
      <c r="R967" s="14"/>
      <c r="S967" s="14"/>
      <c r="T967" s="14"/>
      <c r="U967" s="14"/>
      <c r="V967" s="272"/>
      <c r="W967" s="272"/>
      <c r="X967" s="14"/>
      <c r="Y967" s="14"/>
      <c r="Z967" s="14"/>
      <c r="AA967" s="14"/>
      <c r="AB967" s="14"/>
      <c r="AC967" s="14"/>
      <c r="AD967" s="14"/>
      <c r="AE967" s="14"/>
      <c r="AF967" s="14"/>
      <c r="AG967" s="14"/>
      <c r="AH967" s="14"/>
      <c r="AI967" s="7"/>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row>
    <row r="968">
      <c r="A968" s="14"/>
      <c r="B968" s="14"/>
      <c r="C968" s="14"/>
      <c r="D968" s="14"/>
      <c r="E968" s="7"/>
      <c r="F968" s="7"/>
      <c r="G968" s="7"/>
      <c r="H968" s="7"/>
      <c r="I968" s="7"/>
      <c r="J968" s="14"/>
      <c r="K968" s="7"/>
      <c r="L968" s="14"/>
      <c r="M968" s="14"/>
      <c r="N968" s="14"/>
      <c r="O968" s="14"/>
      <c r="P968" s="14"/>
      <c r="Q968" s="14"/>
      <c r="R968" s="14"/>
      <c r="S968" s="14"/>
      <c r="T968" s="14"/>
      <c r="U968" s="14"/>
      <c r="V968" s="272"/>
      <c r="W968" s="272"/>
      <c r="X968" s="14"/>
      <c r="Y968" s="14"/>
      <c r="Z968" s="14"/>
      <c r="AA968" s="14"/>
      <c r="AB968" s="14"/>
      <c r="AC968" s="14"/>
      <c r="AD968" s="14"/>
      <c r="AE968" s="14"/>
      <c r="AF968" s="14"/>
      <c r="AG968" s="14"/>
      <c r="AH968" s="14"/>
      <c r="AI968" s="7"/>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row>
    <row r="969">
      <c r="A969" s="14"/>
      <c r="B969" s="14"/>
      <c r="C969" s="14"/>
      <c r="D969" s="14"/>
      <c r="E969" s="7"/>
      <c r="F969" s="7"/>
      <c r="G969" s="7"/>
      <c r="H969" s="7"/>
      <c r="I969" s="7"/>
      <c r="J969" s="14"/>
      <c r="K969" s="7"/>
      <c r="L969" s="14"/>
      <c r="M969" s="14"/>
      <c r="N969" s="14"/>
      <c r="O969" s="14"/>
      <c r="P969" s="14"/>
      <c r="Q969" s="14"/>
      <c r="R969" s="14"/>
      <c r="S969" s="14"/>
      <c r="T969" s="14"/>
      <c r="U969" s="14"/>
      <c r="V969" s="272"/>
      <c r="W969" s="272"/>
      <c r="X969" s="14"/>
      <c r="Y969" s="14"/>
      <c r="Z969" s="14"/>
      <c r="AA969" s="14"/>
      <c r="AB969" s="14"/>
      <c r="AC969" s="14"/>
      <c r="AD969" s="14"/>
      <c r="AE969" s="14"/>
      <c r="AF969" s="14"/>
      <c r="AG969" s="14"/>
      <c r="AH969" s="14"/>
      <c r="AI969" s="7"/>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row>
    <row r="970">
      <c r="A970" s="14"/>
      <c r="B970" s="14"/>
      <c r="C970" s="14"/>
      <c r="D970" s="14"/>
      <c r="E970" s="7"/>
      <c r="F970" s="7"/>
      <c r="G970" s="7"/>
      <c r="H970" s="7"/>
      <c r="I970" s="7"/>
      <c r="J970" s="14"/>
      <c r="K970" s="7"/>
      <c r="L970" s="14"/>
      <c r="M970" s="14"/>
      <c r="N970" s="14"/>
      <c r="O970" s="14"/>
      <c r="P970" s="14"/>
      <c r="Q970" s="14"/>
      <c r="R970" s="14"/>
      <c r="S970" s="14"/>
      <c r="T970" s="14"/>
      <c r="U970" s="14"/>
      <c r="V970" s="272"/>
      <c r="W970" s="272"/>
      <c r="X970" s="14"/>
      <c r="Y970" s="14"/>
      <c r="Z970" s="14"/>
      <c r="AA970" s="14"/>
      <c r="AB970" s="14"/>
      <c r="AC970" s="14"/>
      <c r="AD970" s="14"/>
      <c r="AE970" s="14"/>
      <c r="AF970" s="14"/>
      <c r="AG970" s="14"/>
      <c r="AH970" s="14"/>
      <c r="AI970" s="7"/>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row>
    <row r="971">
      <c r="A971" s="14"/>
      <c r="B971" s="14"/>
      <c r="C971" s="14"/>
      <c r="D971" s="14"/>
      <c r="E971" s="7"/>
      <c r="F971" s="7"/>
      <c r="G971" s="7"/>
      <c r="H971" s="7"/>
      <c r="I971" s="7"/>
      <c r="J971" s="14"/>
      <c r="K971" s="7"/>
      <c r="L971" s="14"/>
      <c r="M971" s="14"/>
      <c r="N971" s="14"/>
      <c r="O971" s="14"/>
      <c r="P971" s="14"/>
      <c r="Q971" s="14"/>
      <c r="R971" s="14"/>
      <c r="S971" s="14"/>
      <c r="T971" s="14"/>
      <c r="U971" s="14"/>
      <c r="V971" s="272"/>
      <c r="W971" s="272"/>
      <c r="X971" s="14"/>
      <c r="Y971" s="14"/>
      <c r="Z971" s="14"/>
      <c r="AA971" s="14"/>
      <c r="AB971" s="14"/>
      <c r="AC971" s="14"/>
      <c r="AD971" s="14"/>
      <c r="AE971" s="14"/>
      <c r="AF971" s="14"/>
      <c r="AG971" s="14"/>
      <c r="AH971" s="14"/>
      <c r="AI971" s="7"/>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row>
    <row r="972">
      <c r="A972" s="14"/>
      <c r="B972" s="14"/>
      <c r="C972" s="14"/>
      <c r="D972" s="14"/>
      <c r="E972" s="7"/>
      <c r="F972" s="7"/>
      <c r="G972" s="7"/>
      <c r="H972" s="7"/>
      <c r="I972" s="7"/>
      <c r="J972" s="14"/>
      <c r="K972" s="7"/>
      <c r="L972" s="14"/>
      <c r="M972" s="14"/>
      <c r="N972" s="14"/>
      <c r="O972" s="14"/>
      <c r="P972" s="14"/>
      <c r="Q972" s="14"/>
      <c r="R972" s="14"/>
      <c r="S972" s="14"/>
      <c r="T972" s="14"/>
      <c r="U972" s="14"/>
      <c r="V972" s="272"/>
      <c r="W972" s="272"/>
      <c r="X972" s="14"/>
      <c r="Y972" s="14"/>
      <c r="Z972" s="14"/>
      <c r="AA972" s="14"/>
      <c r="AB972" s="14"/>
      <c r="AC972" s="14"/>
      <c r="AD972" s="14"/>
      <c r="AE972" s="14"/>
      <c r="AF972" s="14"/>
      <c r="AG972" s="14"/>
      <c r="AH972" s="14"/>
      <c r="AI972" s="7"/>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row>
    <row r="973">
      <c r="A973" s="14"/>
      <c r="B973" s="14"/>
      <c r="C973" s="14"/>
      <c r="D973" s="14"/>
      <c r="E973" s="7"/>
      <c r="F973" s="7"/>
      <c r="G973" s="7"/>
      <c r="H973" s="7"/>
      <c r="I973" s="7"/>
      <c r="J973" s="14"/>
      <c r="K973" s="7"/>
      <c r="L973" s="14"/>
      <c r="M973" s="14"/>
      <c r="N973" s="14"/>
      <c r="O973" s="14"/>
      <c r="P973" s="14"/>
      <c r="Q973" s="14"/>
      <c r="R973" s="14"/>
      <c r="S973" s="14"/>
      <c r="T973" s="14"/>
      <c r="U973" s="14"/>
      <c r="V973" s="272"/>
      <c r="W973" s="272"/>
      <c r="X973" s="14"/>
      <c r="Y973" s="14"/>
      <c r="Z973" s="14"/>
      <c r="AA973" s="14"/>
      <c r="AB973" s="14"/>
      <c r="AC973" s="14"/>
      <c r="AD973" s="14"/>
      <c r="AE973" s="14"/>
      <c r="AF973" s="14"/>
      <c r="AG973" s="14"/>
      <c r="AH973" s="14"/>
      <c r="AI973" s="7"/>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row>
    <row r="974">
      <c r="A974" s="14"/>
      <c r="B974" s="14"/>
      <c r="C974" s="14"/>
      <c r="D974" s="14"/>
      <c r="E974" s="7"/>
      <c r="F974" s="7"/>
      <c r="G974" s="7"/>
      <c r="H974" s="7"/>
      <c r="I974" s="7"/>
      <c r="J974" s="14"/>
      <c r="K974" s="7"/>
      <c r="L974" s="14"/>
      <c r="M974" s="14"/>
      <c r="N974" s="14"/>
      <c r="O974" s="14"/>
      <c r="P974" s="14"/>
      <c r="Q974" s="14"/>
      <c r="R974" s="14"/>
      <c r="S974" s="14"/>
      <c r="T974" s="14"/>
      <c r="U974" s="14"/>
      <c r="V974" s="272"/>
      <c r="W974" s="272"/>
      <c r="X974" s="14"/>
      <c r="Y974" s="14"/>
      <c r="Z974" s="14"/>
      <c r="AA974" s="14"/>
      <c r="AB974" s="14"/>
      <c r="AC974" s="14"/>
      <c r="AD974" s="14"/>
      <c r="AE974" s="14"/>
      <c r="AF974" s="14"/>
      <c r="AG974" s="14"/>
      <c r="AH974" s="14"/>
      <c r="AI974" s="7"/>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row>
    <row r="975">
      <c r="A975" s="14"/>
      <c r="B975" s="14"/>
      <c r="C975" s="14"/>
      <c r="D975" s="14"/>
      <c r="E975" s="7"/>
      <c r="F975" s="7"/>
      <c r="G975" s="7"/>
      <c r="H975" s="7"/>
      <c r="I975" s="7"/>
      <c r="J975" s="14"/>
      <c r="K975" s="7"/>
      <c r="L975" s="14"/>
      <c r="M975" s="14"/>
      <c r="N975" s="14"/>
      <c r="O975" s="14"/>
      <c r="P975" s="14"/>
      <c r="Q975" s="14"/>
      <c r="R975" s="14"/>
      <c r="S975" s="14"/>
      <c r="T975" s="14"/>
      <c r="U975" s="14"/>
      <c r="V975" s="272"/>
      <c r="W975" s="272"/>
      <c r="X975" s="14"/>
      <c r="Y975" s="14"/>
      <c r="Z975" s="14"/>
      <c r="AA975" s="14"/>
      <c r="AB975" s="14"/>
      <c r="AC975" s="14"/>
      <c r="AD975" s="14"/>
      <c r="AE975" s="14"/>
      <c r="AF975" s="14"/>
      <c r="AG975" s="14"/>
      <c r="AH975" s="14"/>
      <c r="AI975" s="7"/>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row>
    <row r="976">
      <c r="A976" s="14"/>
      <c r="B976" s="14"/>
      <c r="C976" s="14"/>
      <c r="D976" s="14"/>
      <c r="E976" s="7"/>
      <c r="F976" s="7"/>
      <c r="G976" s="7"/>
      <c r="H976" s="7"/>
      <c r="I976" s="7"/>
      <c r="J976" s="14"/>
      <c r="K976" s="7"/>
      <c r="L976" s="14"/>
      <c r="M976" s="14"/>
      <c r="N976" s="14"/>
      <c r="O976" s="14"/>
      <c r="P976" s="14"/>
      <c r="Q976" s="14"/>
      <c r="R976" s="14"/>
      <c r="S976" s="14"/>
      <c r="T976" s="14"/>
      <c r="U976" s="14"/>
      <c r="V976" s="272"/>
      <c r="W976" s="272"/>
      <c r="X976" s="14"/>
      <c r="Y976" s="14"/>
      <c r="Z976" s="14"/>
      <c r="AA976" s="14"/>
      <c r="AB976" s="14"/>
      <c r="AC976" s="14"/>
      <c r="AD976" s="14"/>
      <c r="AE976" s="14"/>
      <c r="AF976" s="14"/>
      <c r="AG976" s="14"/>
      <c r="AH976" s="14"/>
      <c r="AI976" s="7"/>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row>
    <row r="977">
      <c r="A977" s="14"/>
      <c r="B977" s="14"/>
      <c r="C977" s="14"/>
      <c r="D977" s="14"/>
      <c r="E977" s="7"/>
      <c r="F977" s="7"/>
      <c r="G977" s="7"/>
      <c r="H977" s="7"/>
      <c r="I977" s="7"/>
      <c r="J977" s="14"/>
      <c r="K977" s="7"/>
      <c r="L977" s="14"/>
      <c r="M977" s="14"/>
      <c r="N977" s="14"/>
      <c r="O977" s="14"/>
      <c r="P977" s="14"/>
      <c r="Q977" s="14"/>
      <c r="R977" s="14"/>
      <c r="S977" s="14"/>
      <c r="T977" s="14"/>
      <c r="U977" s="14"/>
      <c r="V977" s="272"/>
      <c r="W977" s="272"/>
      <c r="X977" s="14"/>
      <c r="Y977" s="14"/>
      <c r="Z977" s="14"/>
      <c r="AA977" s="14"/>
      <c r="AB977" s="14"/>
      <c r="AC977" s="14"/>
      <c r="AD977" s="14"/>
      <c r="AE977" s="14"/>
      <c r="AF977" s="14"/>
      <c r="AG977" s="14"/>
      <c r="AH977" s="14"/>
      <c r="AI977" s="7"/>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row>
    <row r="978">
      <c r="A978" s="14"/>
      <c r="B978" s="14"/>
      <c r="C978" s="14"/>
      <c r="D978" s="14"/>
      <c r="E978" s="7"/>
      <c r="F978" s="7"/>
      <c r="G978" s="7"/>
      <c r="H978" s="7"/>
      <c r="I978" s="7"/>
      <c r="J978" s="14"/>
      <c r="K978" s="7"/>
      <c r="L978" s="14"/>
      <c r="M978" s="14"/>
      <c r="N978" s="14"/>
      <c r="O978" s="14"/>
      <c r="P978" s="14"/>
      <c r="Q978" s="14"/>
      <c r="R978" s="14"/>
      <c r="S978" s="14"/>
      <c r="T978" s="14"/>
      <c r="U978" s="14"/>
      <c r="V978" s="272"/>
      <c r="W978" s="272"/>
      <c r="X978" s="14"/>
      <c r="Y978" s="14"/>
      <c r="Z978" s="14"/>
      <c r="AA978" s="14"/>
      <c r="AB978" s="14"/>
      <c r="AC978" s="14"/>
      <c r="AD978" s="14"/>
      <c r="AE978" s="14"/>
      <c r="AF978" s="14"/>
      <c r="AG978" s="14"/>
      <c r="AH978" s="14"/>
      <c r="AI978" s="7"/>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row>
    <row r="979">
      <c r="A979" s="14"/>
      <c r="B979" s="14"/>
      <c r="C979" s="14"/>
      <c r="D979" s="14"/>
      <c r="E979" s="7"/>
      <c r="F979" s="7"/>
      <c r="G979" s="7"/>
      <c r="H979" s="7"/>
      <c r="I979" s="7"/>
      <c r="J979" s="14"/>
      <c r="K979" s="7"/>
      <c r="L979" s="14"/>
      <c r="M979" s="14"/>
      <c r="N979" s="14"/>
      <c r="O979" s="14"/>
      <c r="P979" s="14"/>
      <c r="Q979" s="14"/>
      <c r="R979" s="14"/>
      <c r="S979" s="14"/>
      <c r="T979" s="14"/>
      <c r="U979" s="14"/>
      <c r="V979" s="272"/>
      <c r="W979" s="272"/>
      <c r="X979" s="14"/>
      <c r="Y979" s="14"/>
      <c r="Z979" s="14"/>
      <c r="AA979" s="14"/>
      <c r="AB979" s="14"/>
      <c r="AC979" s="14"/>
      <c r="AD979" s="14"/>
      <c r="AE979" s="14"/>
      <c r="AF979" s="14"/>
      <c r="AG979" s="14"/>
      <c r="AH979" s="14"/>
      <c r="AI979" s="7"/>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row>
    <row r="980">
      <c r="A980" s="14"/>
      <c r="B980" s="14"/>
      <c r="C980" s="14"/>
      <c r="D980" s="14"/>
      <c r="E980" s="7"/>
      <c r="F980" s="7"/>
      <c r="G980" s="7"/>
      <c r="H980" s="7"/>
      <c r="I980" s="7"/>
      <c r="J980" s="14"/>
      <c r="K980" s="7"/>
      <c r="L980" s="14"/>
      <c r="M980" s="14"/>
      <c r="N980" s="14"/>
      <c r="O980" s="14"/>
      <c r="P980" s="14"/>
      <c r="Q980" s="14"/>
      <c r="R980" s="14"/>
      <c r="S980" s="14"/>
      <c r="T980" s="14"/>
      <c r="U980" s="14"/>
      <c r="V980" s="272"/>
      <c r="W980" s="272"/>
      <c r="X980" s="14"/>
      <c r="Y980" s="14"/>
      <c r="Z980" s="14"/>
      <c r="AA980" s="14"/>
      <c r="AB980" s="14"/>
      <c r="AC980" s="14"/>
      <c r="AD980" s="14"/>
      <c r="AE980" s="14"/>
      <c r="AF980" s="14"/>
      <c r="AG980" s="14"/>
      <c r="AH980" s="14"/>
      <c r="AI980" s="7"/>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row>
    <row r="981">
      <c r="A981" s="14"/>
      <c r="B981" s="14"/>
      <c r="C981" s="14"/>
      <c r="D981" s="14"/>
      <c r="E981" s="7"/>
      <c r="F981" s="7"/>
      <c r="G981" s="7"/>
      <c r="H981" s="7"/>
      <c r="I981" s="7"/>
      <c r="J981" s="14"/>
      <c r="K981" s="7"/>
      <c r="L981" s="14"/>
      <c r="M981" s="14"/>
      <c r="N981" s="14"/>
      <c r="O981" s="14"/>
      <c r="P981" s="14"/>
      <c r="Q981" s="14"/>
      <c r="R981" s="14"/>
      <c r="S981" s="14"/>
      <c r="T981" s="14"/>
      <c r="U981" s="14"/>
      <c r="V981" s="272"/>
      <c r="W981" s="272"/>
      <c r="X981" s="14"/>
      <c r="Y981" s="14"/>
      <c r="Z981" s="14"/>
      <c r="AA981" s="14"/>
      <c r="AB981" s="14"/>
      <c r="AC981" s="14"/>
      <c r="AD981" s="14"/>
      <c r="AE981" s="14"/>
      <c r="AF981" s="14"/>
      <c r="AG981" s="14"/>
      <c r="AH981" s="14"/>
      <c r="AI981" s="7"/>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row>
    <row r="982">
      <c r="A982" s="14"/>
      <c r="B982" s="14"/>
      <c r="C982" s="14"/>
      <c r="D982" s="14"/>
      <c r="E982" s="7"/>
      <c r="F982" s="7"/>
      <c r="G982" s="7"/>
      <c r="H982" s="7"/>
      <c r="I982" s="7"/>
      <c r="J982" s="14"/>
      <c r="K982" s="7"/>
      <c r="L982" s="14"/>
      <c r="M982" s="14"/>
      <c r="N982" s="14"/>
      <c r="O982" s="14"/>
      <c r="P982" s="14"/>
      <c r="Q982" s="14"/>
      <c r="R982" s="14"/>
      <c r="S982" s="14"/>
      <c r="T982" s="14"/>
      <c r="U982" s="14"/>
      <c r="V982" s="272"/>
      <c r="W982" s="272"/>
      <c r="X982" s="14"/>
      <c r="Y982" s="14"/>
      <c r="Z982" s="14"/>
      <c r="AA982" s="14"/>
      <c r="AB982" s="14"/>
      <c r="AC982" s="14"/>
      <c r="AD982" s="14"/>
      <c r="AE982" s="14"/>
      <c r="AF982" s="14"/>
      <c r="AG982" s="14"/>
      <c r="AH982" s="14"/>
      <c r="AI982" s="7"/>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row>
    <row r="983">
      <c r="A983" s="14"/>
      <c r="B983" s="14"/>
      <c r="C983" s="14"/>
      <c r="D983" s="14"/>
      <c r="E983" s="7"/>
      <c r="F983" s="7"/>
      <c r="G983" s="7"/>
      <c r="H983" s="7"/>
      <c r="I983" s="7"/>
      <c r="J983" s="14"/>
      <c r="K983" s="7"/>
      <c r="L983" s="14"/>
      <c r="M983" s="14"/>
      <c r="N983" s="14"/>
      <c r="O983" s="14"/>
      <c r="P983" s="14"/>
      <c r="Q983" s="14"/>
      <c r="R983" s="14"/>
      <c r="S983" s="14"/>
      <c r="T983" s="14"/>
      <c r="U983" s="14"/>
      <c r="V983" s="272"/>
      <c r="W983" s="272"/>
      <c r="X983" s="14"/>
      <c r="Y983" s="14"/>
      <c r="Z983" s="14"/>
      <c r="AA983" s="14"/>
      <c r="AB983" s="14"/>
      <c r="AC983" s="14"/>
      <c r="AD983" s="14"/>
      <c r="AE983" s="14"/>
      <c r="AF983" s="14"/>
      <c r="AG983" s="14"/>
      <c r="AH983" s="14"/>
      <c r="AI983" s="7"/>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row>
    <row r="984">
      <c r="A984" s="14"/>
      <c r="B984" s="14"/>
      <c r="C984" s="14"/>
      <c r="D984" s="14"/>
      <c r="E984" s="7"/>
      <c r="F984" s="7"/>
      <c r="G984" s="7"/>
      <c r="H984" s="7"/>
      <c r="I984" s="7"/>
      <c r="J984" s="14"/>
      <c r="K984" s="7"/>
      <c r="L984" s="14"/>
      <c r="M984" s="14"/>
      <c r="N984" s="14"/>
      <c r="O984" s="14"/>
      <c r="P984" s="14"/>
      <c r="Q984" s="14"/>
      <c r="R984" s="14"/>
      <c r="S984" s="14"/>
      <c r="T984" s="14"/>
      <c r="U984" s="14"/>
      <c r="V984" s="272"/>
      <c r="W984" s="272"/>
      <c r="X984" s="14"/>
      <c r="Y984" s="14"/>
      <c r="Z984" s="14"/>
      <c r="AA984" s="14"/>
      <c r="AB984" s="14"/>
      <c r="AC984" s="14"/>
      <c r="AD984" s="14"/>
      <c r="AE984" s="14"/>
      <c r="AF984" s="14"/>
      <c r="AG984" s="14"/>
      <c r="AH984" s="14"/>
      <c r="AI984" s="7"/>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row>
    <row r="985">
      <c r="A985" s="14"/>
      <c r="B985" s="14"/>
      <c r="C985" s="14"/>
      <c r="D985" s="14"/>
      <c r="E985" s="7"/>
      <c r="F985" s="7"/>
      <c r="G985" s="7"/>
      <c r="H985" s="7"/>
      <c r="I985" s="7"/>
      <c r="J985" s="14"/>
      <c r="K985" s="7"/>
      <c r="L985" s="14"/>
      <c r="M985" s="14"/>
      <c r="N985" s="14"/>
      <c r="O985" s="14"/>
      <c r="P985" s="14"/>
      <c r="Q985" s="14"/>
      <c r="R985" s="14"/>
      <c r="S985" s="14"/>
      <c r="T985" s="14"/>
      <c r="U985" s="14"/>
      <c r="V985" s="272"/>
      <c r="W985" s="272"/>
      <c r="X985" s="14"/>
      <c r="Y985" s="14"/>
      <c r="Z985" s="14"/>
      <c r="AA985" s="14"/>
      <c r="AB985" s="14"/>
      <c r="AC985" s="14"/>
      <c r="AD985" s="14"/>
      <c r="AE985" s="14"/>
      <c r="AF985" s="14"/>
      <c r="AG985" s="14"/>
      <c r="AH985" s="14"/>
      <c r="AI985" s="7"/>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row>
    <row r="986">
      <c r="A986" s="14"/>
      <c r="B986" s="14"/>
      <c r="C986" s="14"/>
      <c r="D986" s="14"/>
      <c r="E986" s="7"/>
      <c r="F986" s="7"/>
      <c r="G986" s="7"/>
      <c r="H986" s="7"/>
      <c r="I986" s="7"/>
      <c r="J986" s="14"/>
      <c r="K986" s="7"/>
      <c r="L986" s="14"/>
      <c r="M986" s="14"/>
      <c r="N986" s="14"/>
      <c r="O986" s="14"/>
      <c r="P986" s="14"/>
      <c r="Q986" s="14"/>
      <c r="R986" s="14"/>
      <c r="S986" s="14"/>
      <c r="T986" s="14"/>
      <c r="U986" s="14"/>
      <c r="V986" s="272"/>
      <c r="W986" s="272"/>
      <c r="X986" s="14"/>
      <c r="Y986" s="14"/>
      <c r="Z986" s="14"/>
      <c r="AA986" s="14"/>
      <c r="AB986" s="14"/>
      <c r="AC986" s="14"/>
      <c r="AD986" s="14"/>
      <c r="AE986" s="14"/>
      <c r="AF986" s="14"/>
      <c r="AG986" s="14"/>
      <c r="AH986" s="14"/>
      <c r="AI986" s="7"/>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row>
    <row r="987">
      <c r="A987" s="14"/>
      <c r="B987" s="14"/>
      <c r="C987" s="14"/>
      <c r="D987" s="14"/>
      <c r="E987" s="7"/>
      <c r="F987" s="7"/>
      <c r="G987" s="7"/>
      <c r="H987" s="7"/>
      <c r="I987" s="7"/>
      <c r="J987" s="14"/>
      <c r="K987" s="7"/>
      <c r="L987" s="14"/>
      <c r="M987" s="14"/>
      <c r="N987" s="14"/>
      <c r="O987" s="14"/>
      <c r="P987" s="14"/>
      <c r="Q987" s="14"/>
      <c r="R987" s="14"/>
      <c r="S987" s="14"/>
      <c r="T987" s="14"/>
      <c r="U987" s="14"/>
      <c r="V987" s="272"/>
      <c r="W987" s="272"/>
      <c r="X987" s="14"/>
      <c r="Y987" s="14"/>
      <c r="Z987" s="14"/>
      <c r="AA987" s="14"/>
      <c r="AB987" s="14"/>
      <c r="AC987" s="14"/>
      <c r="AD987" s="14"/>
      <c r="AE987" s="14"/>
      <c r="AF987" s="14"/>
      <c r="AG987" s="14"/>
      <c r="AH987" s="14"/>
      <c r="AI987" s="7"/>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row>
    <row r="988">
      <c r="A988" s="14"/>
      <c r="B988" s="14"/>
      <c r="C988" s="14"/>
      <c r="D988" s="14"/>
      <c r="E988" s="7"/>
      <c r="F988" s="7"/>
      <c r="G988" s="7"/>
      <c r="H988" s="7"/>
      <c r="I988" s="7"/>
      <c r="J988" s="14"/>
      <c r="K988" s="7"/>
      <c r="L988" s="14"/>
      <c r="M988" s="14"/>
      <c r="N988" s="14"/>
      <c r="O988" s="14"/>
      <c r="P988" s="14"/>
      <c r="Q988" s="14"/>
      <c r="R988" s="14"/>
      <c r="S988" s="14"/>
      <c r="T988" s="14"/>
      <c r="U988" s="14"/>
      <c r="V988" s="272"/>
      <c r="W988" s="272"/>
      <c r="X988" s="14"/>
      <c r="Y988" s="14"/>
      <c r="Z988" s="14"/>
      <c r="AA988" s="14"/>
      <c r="AB988" s="14"/>
      <c r="AC988" s="14"/>
      <c r="AD988" s="14"/>
      <c r="AE988" s="14"/>
      <c r="AF988" s="14"/>
      <c r="AG988" s="14"/>
      <c r="AH988" s="14"/>
      <c r="AI988" s="7"/>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row>
    <row r="989">
      <c r="A989" s="14"/>
      <c r="B989" s="14"/>
      <c r="C989" s="14"/>
      <c r="D989" s="14"/>
      <c r="E989" s="7"/>
      <c r="F989" s="7"/>
      <c r="G989" s="7"/>
      <c r="H989" s="7"/>
      <c r="I989" s="7"/>
      <c r="J989" s="14"/>
      <c r="K989" s="7"/>
      <c r="L989" s="14"/>
      <c r="M989" s="14"/>
      <c r="N989" s="14"/>
      <c r="O989" s="14"/>
      <c r="P989" s="14"/>
      <c r="Q989" s="14"/>
      <c r="R989" s="14"/>
      <c r="S989" s="14"/>
      <c r="T989" s="14"/>
      <c r="U989" s="14"/>
      <c r="V989" s="272"/>
      <c r="W989" s="272"/>
      <c r="X989" s="14"/>
      <c r="Y989" s="14"/>
      <c r="Z989" s="14"/>
      <c r="AA989" s="14"/>
      <c r="AB989" s="14"/>
      <c r="AC989" s="14"/>
      <c r="AD989" s="14"/>
      <c r="AE989" s="14"/>
      <c r="AF989" s="14"/>
      <c r="AG989" s="14"/>
      <c r="AH989" s="14"/>
      <c r="AI989" s="7"/>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row>
    <row r="990">
      <c r="A990" s="14"/>
      <c r="B990" s="14"/>
      <c r="C990" s="14"/>
      <c r="D990" s="14"/>
      <c r="E990" s="7"/>
      <c r="F990" s="7"/>
      <c r="G990" s="7"/>
      <c r="H990" s="7"/>
      <c r="I990" s="7"/>
      <c r="J990" s="14"/>
      <c r="K990" s="7"/>
      <c r="L990" s="14"/>
      <c r="M990" s="14"/>
      <c r="N990" s="14"/>
      <c r="O990" s="14"/>
      <c r="P990" s="14"/>
      <c r="Q990" s="14"/>
      <c r="R990" s="14"/>
      <c r="S990" s="14"/>
      <c r="T990" s="14"/>
      <c r="U990" s="14"/>
      <c r="V990" s="272"/>
      <c r="W990" s="272"/>
      <c r="X990" s="14"/>
      <c r="Y990" s="14"/>
      <c r="Z990" s="14"/>
      <c r="AA990" s="14"/>
      <c r="AB990" s="14"/>
      <c r="AC990" s="14"/>
      <c r="AD990" s="14"/>
      <c r="AE990" s="14"/>
      <c r="AF990" s="14"/>
      <c r="AG990" s="14"/>
      <c r="AH990" s="14"/>
      <c r="AI990" s="7"/>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row>
    <row r="991">
      <c r="A991" s="14"/>
      <c r="B991" s="14"/>
      <c r="C991" s="14"/>
      <c r="D991" s="14"/>
      <c r="E991" s="7"/>
      <c r="F991" s="7"/>
      <c r="G991" s="7"/>
      <c r="H991" s="7"/>
      <c r="I991" s="7"/>
      <c r="J991" s="14"/>
      <c r="K991" s="7"/>
      <c r="L991" s="14"/>
      <c r="M991" s="14"/>
      <c r="N991" s="14"/>
      <c r="O991" s="14"/>
      <c r="P991" s="14"/>
      <c r="Q991" s="14"/>
      <c r="R991" s="14"/>
      <c r="S991" s="14"/>
      <c r="T991" s="14"/>
      <c r="U991" s="14"/>
      <c r="V991" s="272"/>
      <c r="W991" s="272"/>
      <c r="X991" s="14"/>
      <c r="Y991" s="14"/>
      <c r="Z991" s="14"/>
      <c r="AA991" s="14"/>
      <c r="AB991" s="14"/>
      <c r="AC991" s="14"/>
      <c r="AD991" s="14"/>
      <c r="AE991" s="14"/>
      <c r="AF991" s="14"/>
      <c r="AG991" s="14"/>
      <c r="AH991" s="14"/>
      <c r="AI991" s="7"/>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row>
    <row r="992">
      <c r="A992" s="14"/>
      <c r="B992" s="14"/>
      <c r="C992" s="14"/>
      <c r="D992" s="14"/>
      <c r="E992" s="7"/>
      <c r="F992" s="7"/>
      <c r="G992" s="7"/>
      <c r="H992" s="7"/>
      <c r="I992" s="7"/>
      <c r="J992" s="14"/>
      <c r="K992" s="7"/>
      <c r="L992" s="14"/>
      <c r="M992" s="14"/>
      <c r="N992" s="14"/>
      <c r="O992" s="14"/>
      <c r="P992" s="14"/>
      <c r="Q992" s="14"/>
      <c r="R992" s="14"/>
      <c r="S992" s="14"/>
      <c r="T992" s="14"/>
      <c r="U992" s="14"/>
      <c r="V992" s="272"/>
      <c r="W992" s="272"/>
      <c r="X992" s="14"/>
      <c r="Y992" s="14"/>
      <c r="Z992" s="14"/>
      <c r="AA992" s="14"/>
      <c r="AB992" s="14"/>
      <c r="AC992" s="14"/>
      <c r="AD992" s="14"/>
      <c r="AE992" s="14"/>
      <c r="AF992" s="14"/>
      <c r="AG992" s="14"/>
      <c r="AH992" s="14"/>
      <c r="AI992" s="7"/>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row>
    <row r="993">
      <c r="A993" s="14"/>
      <c r="B993" s="14"/>
      <c r="C993" s="14"/>
      <c r="D993" s="14"/>
      <c r="E993" s="7"/>
      <c r="F993" s="7"/>
      <c r="G993" s="7"/>
      <c r="H993" s="7"/>
      <c r="I993" s="7"/>
      <c r="J993" s="14"/>
      <c r="K993" s="7"/>
      <c r="L993" s="14"/>
      <c r="M993" s="14"/>
      <c r="N993" s="14"/>
      <c r="O993" s="14"/>
      <c r="P993" s="14"/>
      <c r="Q993" s="14"/>
      <c r="R993" s="14"/>
      <c r="S993" s="14"/>
      <c r="T993" s="14"/>
      <c r="U993" s="14"/>
      <c r="V993" s="272"/>
      <c r="W993" s="272"/>
      <c r="X993" s="14"/>
      <c r="Y993" s="14"/>
      <c r="Z993" s="14"/>
      <c r="AA993" s="14"/>
      <c r="AB993" s="14"/>
      <c r="AC993" s="14"/>
      <c r="AD993" s="14"/>
      <c r="AE993" s="14"/>
      <c r="AF993" s="14"/>
      <c r="AG993" s="14"/>
      <c r="AH993" s="14"/>
      <c r="AI993" s="7"/>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row>
    <row r="994">
      <c r="A994" s="14"/>
      <c r="B994" s="14"/>
      <c r="C994" s="14"/>
      <c r="D994" s="14"/>
      <c r="E994" s="7"/>
      <c r="F994" s="7"/>
      <c r="G994" s="7"/>
      <c r="H994" s="7"/>
      <c r="I994" s="7"/>
      <c r="J994" s="14"/>
      <c r="K994" s="7"/>
      <c r="L994" s="14"/>
      <c r="M994" s="14"/>
      <c r="N994" s="14"/>
      <c r="O994" s="14"/>
      <c r="P994" s="14"/>
      <c r="Q994" s="14"/>
      <c r="R994" s="14"/>
      <c r="S994" s="14"/>
      <c r="T994" s="14"/>
      <c r="U994" s="14"/>
      <c r="V994" s="272"/>
      <c r="W994" s="272"/>
      <c r="X994" s="14"/>
      <c r="Y994" s="14"/>
      <c r="Z994" s="14"/>
      <c r="AA994" s="14"/>
      <c r="AB994" s="14"/>
      <c r="AC994" s="14"/>
      <c r="AD994" s="14"/>
      <c r="AE994" s="14"/>
      <c r="AF994" s="14"/>
      <c r="AG994" s="14"/>
      <c r="AH994" s="14"/>
      <c r="AI994" s="7"/>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row>
    <row r="995">
      <c r="A995" s="14"/>
      <c r="B995" s="14"/>
      <c r="C995" s="14"/>
      <c r="D995" s="14"/>
      <c r="E995" s="7"/>
      <c r="F995" s="7"/>
      <c r="G995" s="7"/>
      <c r="H995" s="7"/>
      <c r="I995" s="7"/>
      <c r="J995" s="14"/>
      <c r="K995" s="7"/>
      <c r="L995" s="14"/>
      <c r="M995" s="14"/>
      <c r="N995" s="14"/>
      <c r="O995" s="14"/>
      <c r="P995" s="14"/>
      <c r="Q995" s="14"/>
      <c r="R995" s="14"/>
      <c r="S995" s="14"/>
      <c r="T995" s="14"/>
      <c r="U995" s="14"/>
      <c r="V995" s="272"/>
      <c r="W995" s="272"/>
      <c r="X995" s="14"/>
      <c r="Y995" s="14"/>
      <c r="Z995" s="14"/>
      <c r="AA995" s="14"/>
      <c r="AB995" s="14"/>
      <c r="AC995" s="14"/>
      <c r="AD995" s="14"/>
      <c r="AE995" s="14"/>
      <c r="AF995" s="14"/>
      <c r="AG995" s="14"/>
      <c r="AH995" s="14"/>
      <c r="AI995" s="7"/>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row>
    <row r="996">
      <c r="A996" s="14"/>
      <c r="B996" s="14"/>
      <c r="C996" s="14"/>
      <c r="D996" s="14"/>
      <c r="E996" s="7"/>
      <c r="F996" s="7"/>
      <c r="G996" s="7"/>
      <c r="H996" s="7"/>
      <c r="I996" s="7"/>
      <c r="J996" s="14"/>
      <c r="K996" s="7"/>
      <c r="L996" s="14"/>
      <c r="M996" s="14"/>
      <c r="N996" s="14"/>
      <c r="O996" s="14"/>
      <c r="P996" s="14"/>
      <c r="Q996" s="14"/>
      <c r="R996" s="14"/>
      <c r="S996" s="14"/>
      <c r="T996" s="14"/>
      <c r="U996" s="14"/>
      <c r="V996" s="272"/>
      <c r="W996" s="272"/>
      <c r="X996" s="14"/>
      <c r="Y996" s="14"/>
      <c r="Z996" s="14"/>
      <c r="AA996" s="14"/>
      <c r="AB996" s="14"/>
      <c r="AC996" s="14"/>
      <c r="AD996" s="14"/>
      <c r="AE996" s="14"/>
      <c r="AF996" s="14"/>
      <c r="AG996" s="14"/>
      <c r="AH996" s="14"/>
      <c r="AI996" s="7"/>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row>
    <row r="997">
      <c r="A997" s="14"/>
      <c r="B997" s="14"/>
      <c r="C997" s="14"/>
      <c r="D997" s="14"/>
      <c r="E997" s="7"/>
      <c r="F997" s="7"/>
      <c r="G997" s="7"/>
      <c r="H997" s="7"/>
      <c r="I997" s="7"/>
      <c r="J997" s="14"/>
      <c r="K997" s="7"/>
      <c r="L997" s="14"/>
      <c r="M997" s="14"/>
      <c r="N997" s="14"/>
      <c r="O997" s="14"/>
      <c r="P997" s="14"/>
      <c r="Q997" s="14"/>
      <c r="R997" s="14"/>
      <c r="S997" s="14"/>
      <c r="T997" s="14"/>
      <c r="U997" s="14"/>
      <c r="V997" s="272"/>
      <c r="W997" s="272"/>
      <c r="X997" s="14"/>
      <c r="Y997" s="14"/>
      <c r="Z997" s="14"/>
      <c r="AA997" s="14"/>
      <c r="AB997" s="14"/>
      <c r="AC997" s="14"/>
      <c r="AD997" s="14"/>
      <c r="AE997" s="14"/>
      <c r="AF997" s="14"/>
      <c r="AG997" s="14"/>
      <c r="AH997" s="14"/>
      <c r="AI997" s="7"/>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row>
    <row r="998">
      <c r="A998" s="14"/>
      <c r="B998" s="14"/>
      <c r="C998" s="14"/>
      <c r="D998" s="14"/>
      <c r="E998" s="7"/>
      <c r="F998" s="7"/>
      <c r="G998" s="7"/>
      <c r="H998" s="7"/>
      <c r="I998" s="7"/>
      <c r="J998" s="14"/>
      <c r="K998" s="7"/>
      <c r="L998" s="14"/>
      <c r="M998" s="14"/>
      <c r="N998" s="14"/>
      <c r="O998" s="14"/>
      <c r="P998" s="14"/>
      <c r="Q998" s="14"/>
      <c r="R998" s="14"/>
      <c r="S998" s="14"/>
      <c r="T998" s="14"/>
      <c r="U998" s="14"/>
      <c r="V998" s="272"/>
      <c r="W998" s="272"/>
      <c r="X998" s="14"/>
      <c r="Y998" s="14"/>
      <c r="Z998" s="14"/>
      <c r="AA998" s="14"/>
      <c r="AB998" s="14"/>
      <c r="AC998" s="14"/>
      <c r="AD998" s="14"/>
      <c r="AE998" s="14"/>
      <c r="AF998" s="14"/>
      <c r="AG998" s="14"/>
      <c r="AH998" s="14"/>
      <c r="AI998" s="7"/>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row>
    <row r="999">
      <c r="A999" s="14"/>
      <c r="B999" s="14"/>
      <c r="C999" s="14"/>
      <c r="D999" s="14"/>
      <c r="E999" s="7"/>
      <c r="F999" s="7"/>
      <c r="G999" s="7"/>
      <c r="H999" s="7"/>
      <c r="I999" s="7"/>
      <c r="J999" s="14"/>
      <c r="K999" s="7"/>
      <c r="L999" s="14"/>
      <c r="M999" s="14"/>
      <c r="N999" s="14"/>
      <c r="O999" s="14"/>
      <c r="P999" s="14"/>
      <c r="Q999" s="14"/>
      <c r="R999" s="14"/>
      <c r="S999" s="14"/>
      <c r="T999" s="14"/>
      <c r="U999" s="14"/>
      <c r="V999" s="272"/>
      <c r="W999" s="272"/>
      <c r="X999" s="14"/>
      <c r="Y999" s="14"/>
      <c r="Z999" s="14"/>
      <c r="AA999" s="14"/>
      <c r="AB999" s="14"/>
      <c r="AC999" s="14"/>
      <c r="AD999" s="14"/>
      <c r="AE999" s="14"/>
      <c r="AF999" s="14"/>
      <c r="AG999" s="14"/>
      <c r="AH999" s="14"/>
      <c r="AI999" s="7"/>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row>
    <row r="1000">
      <c r="A1000" s="14"/>
      <c r="B1000" s="14"/>
      <c r="C1000" s="14"/>
      <c r="D1000" s="14"/>
      <c r="E1000" s="7"/>
      <c r="F1000" s="7"/>
      <c r="G1000" s="7"/>
      <c r="H1000" s="7"/>
      <c r="I1000" s="7"/>
      <c r="J1000" s="14"/>
      <c r="K1000" s="7"/>
      <c r="L1000" s="14"/>
      <c r="M1000" s="14"/>
      <c r="N1000" s="14"/>
      <c r="O1000" s="14"/>
      <c r="P1000" s="14"/>
      <c r="Q1000" s="14"/>
      <c r="R1000" s="14"/>
      <c r="S1000" s="14"/>
      <c r="T1000" s="14"/>
      <c r="U1000" s="14"/>
      <c r="V1000" s="272"/>
      <c r="W1000" s="272"/>
      <c r="X1000" s="14"/>
      <c r="Y1000" s="14"/>
      <c r="Z1000" s="14"/>
      <c r="AA1000" s="14"/>
      <c r="AB1000" s="14"/>
      <c r="AC1000" s="14"/>
      <c r="AD1000" s="14"/>
      <c r="AE1000" s="14"/>
      <c r="AF1000" s="14"/>
      <c r="AG1000" s="14"/>
      <c r="AH1000" s="14"/>
      <c r="AI1000" s="7"/>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row>
    <row r="1001">
      <c r="A1001" s="14"/>
      <c r="B1001" s="14"/>
      <c r="C1001" s="14"/>
      <c r="D1001" s="14"/>
      <c r="E1001" s="7"/>
      <c r="F1001" s="7"/>
      <c r="G1001" s="7"/>
      <c r="H1001" s="7"/>
      <c r="I1001" s="7"/>
      <c r="J1001" s="14"/>
      <c r="K1001" s="7"/>
      <c r="L1001" s="14"/>
      <c r="M1001" s="14"/>
      <c r="N1001" s="14"/>
      <c r="O1001" s="14"/>
      <c r="P1001" s="14"/>
      <c r="Q1001" s="14"/>
      <c r="R1001" s="14"/>
      <c r="S1001" s="14"/>
      <c r="T1001" s="14"/>
      <c r="U1001" s="14"/>
      <c r="V1001" s="272"/>
      <c r="W1001" s="272"/>
      <c r="X1001" s="14"/>
      <c r="Y1001" s="14"/>
      <c r="Z1001" s="14"/>
      <c r="AA1001" s="14"/>
      <c r="AB1001" s="14"/>
      <c r="AC1001" s="14"/>
      <c r="AD1001" s="14"/>
      <c r="AE1001" s="14"/>
      <c r="AF1001" s="14"/>
      <c r="AG1001" s="14"/>
      <c r="AH1001" s="14"/>
      <c r="AI1001" s="7"/>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row>
    <row r="1002">
      <c r="A1002" s="14"/>
      <c r="B1002" s="14"/>
      <c r="C1002" s="14"/>
      <c r="D1002" s="14"/>
      <c r="E1002" s="7"/>
      <c r="F1002" s="7"/>
      <c r="G1002" s="7"/>
      <c r="H1002" s="7"/>
      <c r="I1002" s="7"/>
      <c r="J1002" s="14"/>
      <c r="K1002" s="7"/>
      <c r="L1002" s="14"/>
      <c r="M1002" s="14"/>
      <c r="N1002" s="14"/>
      <c r="O1002" s="14"/>
      <c r="P1002" s="14"/>
      <c r="Q1002" s="14"/>
      <c r="R1002" s="14"/>
      <c r="S1002" s="14"/>
      <c r="T1002" s="14"/>
      <c r="U1002" s="14"/>
      <c r="V1002" s="272"/>
      <c r="W1002" s="272"/>
      <c r="X1002" s="14"/>
      <c r="Y1002" s="14"/>
      <c r="Z1002" s="14"/>
      <c r="AA1002" s="14"/>
      <c r="AB1002" s="14"/>
      <c r="AC1002" s="14"/>
      <c r="AD1002" s="14"/>
      <c r="AE1002" s="14"/>
      <c r="AF1002" s="14"/>
      <c r="AG1002" s="14"/>
      <c r="AH1002" s="14"/>
      <c r="AI1002" s="7"/>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row>
    <row r="1003">
      <c r="A1003" s="14"/>
      <c r="B1003" s="14"/>
      <c r="C1003" s="14"/>
      <c r="D1003" s="14"/>
      <c r="E1003" s="7"/>
      <c r="F1003" s="7"/>
      <c r="G1003" s="7"/>
      <c r="H1003" s="7"/>
      <c r="I1003" s="7"/>
      <c r="J1003" s="14"/>
      <c r="K1003" s="7"/>
      <c r="L1003" s="14"/>
      <c r="M1003" s="14"/>
      <c r="N1003" s="14"/>
      <c r="O1003" s="14"/>
      <c r="P1003" s="14"/>
      <c r="Q1003" s="14"/>
      <c r="R1003" s="14"/>
      <c r="S1003" s="14"/>
      <c r="T1003" s="14"/>
      <c r="U1003" s="14"/>
      <c r="V1003" s="272"/>
      <c r="W1003" s="272"/>
      <c r="X1003" s="14"/>
      <c r="Y1003" s="14"/>
      <c r="Z1003" s="14"/>
      <c r="AA1003" s="14"/>
      <c r="AB1003" s="14"/>
      <c r="AC1003" s="14"/>
      <c r="AD1003" s="14"/>
      <c r="AE1003" s="14"/>
      <c r="AF1003" s="14"/>
      <c r="AG1003" s="14"/>
      <c r="AH1003" s="14"/>
      <c r="AI1003" s="7"/>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row>
    <row r="1004">
      <c r="A1004" s="14"/>
      <c r="B1004" s="14"/>
      <c r="C1004" s="14"/>
      <c r="D1004" s="14"/>
      <c r="E1004" s="7"/>
      <c r="F1004" s="7"/>
      <c r="G1004" s="7"/>
      <c r="H1004" s="7"/>
      <c r="I1004" s="7"/>
      <c r="J1004" s="14"/>
      <c r="K1004" s="7"/>
      <c r="L1004" s="14"/>
      <c r="M1004" s="14"/>
      <c r="N1004" s="14"/>
      <c r="O1004" s="14"/>
      <c r="P1004" s="14"/>
      <c r="Q1004" s="14"/>
      <c r="R1004" s="14"/>
      <c r="S1004" s="14"/>
      <c r="T1004" s="14"/>
      <c r="U1004" s="14"/>
      <c r="V1004" s="272"/>
      <c r="W1004" s="272"/>
      <c r="X1004" s="14"/>
      <c r="Y1004" s="14"/>
      <c r="Z1004" s="14"/>
      <c r="AA1004" s="14"/>
      <c r="AB1004" s="14"/>
      <c r="AC1004" s="14"/>
      <c r="AD1004" s="14"/>
      <c r="AE1004" s="14"/>
      <c r="AF1004" s="14"/>
      <c r="AG1004" s="14"/>
      <c r="AH1004" s="14"/>
      <c r="AI1004" s="7"/>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row>
    <row r="1005">
      <c r="A1005" s="14"/>
      <c r="B1005" s="14"/>
      <c r="C1005" s="14"/>
      <c r="D1005" s="14"/>
      <c r="E1005" s="7"/>
      <c r="F1005" s="7"/>
      <c r="G1005" s="7"/>
      <c r="H1005" s="7"/>
      <c r="I1005" s="7"/>
      <c r="J1005" s="14"/>
      <c r="K1005" s="7"/>
      <c r="L1005" s="14"/>
      <c r="M1005" s="14"/>
      <c r="N1005" s="14"/>
      <c r="O1005" s="14"/>
      <c r="P1005" s="14"/>
      <c r="Q1005" s="14"/>
      <c r="R1005" s="14"/>
      <c r="S1005" s="14"/>
      <c r="T1005" s="14"/>
      <c r="U1005" s="14"/>
      <c r="V1005" s="272"/>
      <c r="W1005" s="272"/>
      <c r="X1005" s="14"/>
      <c r="Y1005" s="14"/>
      <c r="Z1005" s="14"/>
      <c r="AA1005" s="14"/>
      <c r="AB1005" s="14"/>
      <c r="AC1005" s="14"/>
      <c r="AD1005" s="14"/>
      <c r="AE1005" s="14"/>
      <c r="AF1005" s="14"/>
      <c r="AG1005" s="14"/>
      <c r="AH1005" s="14"/>
      <c r="AI1005" s="7"/>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row>
    <row r="1006">
      <c r="A1006" s="14"/>
      <c r="B1006" s="14"/>
      <c r="C1006" s="14"/>
      <c r="D1006" s="14"/>
      <c r="E1006" s="7"/>
      <c r="F1006" s="7"/>
      <c r="G1006" s="7"/>
      <c r="H1006" s="7"/>
      <c r="I1006" s="7"/>
      <c r="J1006" s="14"/>
      <c r="K1006" s="7"/>
      <c r="L1006" s="14"/>
      <c r="M1006" s="14"/>
      <c r="N1006" s="14"/>
      <c r="O1006" s="14"/>
      <c r="P1006" s="14"/>
      <c r="Q1006" s="14"/>
      <c r="R1006" s="14"/>
      <c r="S1006" s="14"/>
      <c r="T1006" s="14"/>
      <c r="U1006" s="14"/>
      <c r="V1006" s="272"/>
      <c r="W1006" s="272"/>
      <c r="X1006" s="14"/>
      <c r="Y1006" s="14"/>
      <c r="Z1006" s="14"/>
      <c r="AA1006" s="14"/>
      <c r="AB1006" s="14"/>
      <c r="AC1006" s="14"/>
      <c r="AD1006" s="14"/>
      <c r="AE1006" s="14"/>
      <c r="AF1006" s="14"/>
      <c r="AG1006" s="14"/>
      <c r="AH1006" s="14"/>
      <c r="AI1006" s="7"/>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row>
    <row r="1007">
      <c r="A1007" s="14"/>
      <c r="B1007" s="14"/>
      <c r="C1007" s="14"/>
      <c r="D1007" s="14"/>
      <c r="E1007" s="7"/>
      <c r="F1007" s="7"/>
      <c r="G1007" s="7"/>
      <c r="H1007" s="7"/>
      <c r="I1007" s="7"/>
      <c r="J1007" s="14"/>
      <c r="K1007" s="7"/>
      <c r="L1007" s="14"/>
      <c r="M1007" s="14"/>
      <c r="N1007" s="14"/>
      <c r="O1007" s="14"/>
      <c r="P1007" s="14"/>
      <c r="Q1007" s="14"/>
      <c r="R1007" s="14"/>
      <c r="S1007" s="14"/>
      <c r="T1007" s="14"/>
      <c r="U1007" s="14"/>
      <c r="V1007" s="272"/>
      <c r="W1007" s="272"/>
      <c r="X1007" s="14"/>
      <c r="Y1007" s="14"/>
      <c r="Z1007" s="14"/>
      <c r="AA1007" s="14"/>
      <c r="AB1007" s="14"/>
      <c r="AC1007" s="14"/>
      <c r="AD1007" s="14"/>
      <c r="AE1007" s="14"/>
      <c r="AF1007" s="14"/>
      <c r="AG1007" s="14"/>
      <c r="AH1007" s="14"/>
      <c r="AI1007" s="7"/>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row>
    <row r="1008">
      <c r="A1008" s="14"/>
      <c r="B1008" s="14"/>
      <c r="C1008" s="14"/>
      <c r="D1008" s="14"/>
      <c r="E1008" s="7"/>
      <c r="F1008" s="7"/>
      <c r="G1008" s="7"/>
      <c r="H1008" s="7"/>
      <c r="I1008" s="7"/>
      <c r="J1008" s="14"/>
      <c r="K1008" s="7"/>
      <c r="L1008" s="14"/>
      <c r="M1008" s="14"/>
      <c r="N1008" s="14"/>
      <c r="O1008" s="14"/>
      <c r="P1008" s="14"/>
      <c r="Q1008" s="14"/>
      <c r="R1008" s="14"/>
      <c r="S1008" s="14"/>
      <c r="T1008" s="14"/>
      <c r="U1008" s="14"/>
      <c r="V1008" s="272"/>
      <c r="W1008" s="272"/>
      <c r="X1008" s="14"/>
      <c r="Y1008" s="14"/>
      <c r="Z1008" s="14"/>
      <c r="AA1008" s="14"/>
      <c r="AB1008" s="14"/>
      <c r="AC1008" s="14"/>
      <c r="AD1008" s="14"/>
      <c r="AE1008" s="14"/>
      <c r="AF1008" s="14"/>
      <c r="AG1008" s="14"/>
      <c r="AH1008" s="14"/>
      <c r="AI1008" s="7"/>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row>
    <row r="1009">
      <c r="A1009" s="14"/>
      <c r="B1009" s="14"/>
      <c r="C1009" s="14"/>
      <c r="D1009" s="14"/>
      <c r="E1009" s="7"/>
      <c r="F1009" s="7"/>
      <c r="G1009" s="7"/>
      <c r="H1009" s="7"/>
      <c r="I1009" s="7"/>
      <c r="J1009" s="14"/>
      <c r="K1009" s="7"/>
      <c r="L1009" s="14"/>
      <c r="M1009" s="14"/>
      <c r="N1009" s="14"/>
      <c r="O1009" s="14"/>
      <c r="P1009" s="14"/>
      <c r="Q1009" s="14"/>
      <c r="R1009" s="14"/>
      <c r="S1009" s="14"/>
      <c r="T1009" s="14"/>
      <c r="U1009" s="14"/>
      <c r="V1009" s="272"/>
      <c r="W1009" s="272"/>
      <c r="X1009" s="14"/>
      <c r="Y1009" s="14"/>
      <c r="Z1009" s="14"/>
      <c r="AA1009" s="14"/>
      <c r="AB1009" s="14"/>
      <c r="AC1009" s="14"/>
      <c r="AD1009" s="14"/>
      <c r="AE1009" s="14"/>
      <c r="AF1009" s="14"/>
      <c r="AG1009" s="14"/>
      <c r="AH1009" s="14"/>
      <c r="AI1009" s="7"/>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row>
  </sheetData>
  <autoFilter ref="$A$13:$D$410">
    <filterColumn colId="3">
      <filters>
        <filter val="#REF!"/>
      </filters>
    </filterColumn>
  </autoFilter>
  <customSheetViews>
    <customSheetView guid="{B59D5A7F-3AC6-450A-9EB3-6E45CF38AC3E}" filter="1" showAutoFilter="1">
      <autoFilter ref="$AA$12:$AA$13"/>
    </customSheetView>
  </customSheetViews>
  <mergeCells count="77">
    <mergeCell ref="AC7:AD7"/>
    <mergeCell ref="AE7:AF7"/>
    <mergeCell ref="AG7:AH7"/>
    <mergeCell ref="AI7:AJ7"/>
    <mergeCell ref="Y6:Z6"/>
    <mergeCell ref="AA6:AB6"/>
    <mergeCell ref="AC6:AD6"/>
    <mergeCell ref="AE6:AF6"/>
    <mergeCell ref="AG6:AH6"/>
    <mergeCell ref="AI6:AJ6"/>
    <mergeCell ref="F7:G7"/>
    <mergeCell ref="AS9:AT9"/>
    <mergeCell ref="AU9:AV9"/>
    <mergeCell ref="AX15:AY15"/>
    <mergeCell ref="AE9:AF9"/>
    <mergeCell ref="AG9:AH9"/>
    <mergeCell ref="AI9:AJ9"/>
    <mergeCell ref="AK9:AL9"/>
    <mergeCell ref="AM9:AN9"/>
    <mergeCell ref="AO9:AP9"/>
    <mergeCell ref="AQ9:AR9"/>
    <mergeCell ref="AK2:AL2"/>
    <mergeCell ref="AM2:AN2"/>
    <mergeCell ref="AO2:AP2"/>
    <mergeCell ref="AQ2:AR2"/>
    <mergeCell ref="AS2:AT2"/>
    <mergeCell ref="AU2:AV2"/>
    <mergeCell ref="W2:X2"/>
    <mergeCell ref="Y2:Z2"/>
    <mergeCell ref="AA2:AB2"/>
    <mergeCell ref="AC2:AD2"/>
    <mergeCell ref="AE2:AF2"/>
    <mergeCell ref="AG2:AH2"/>
    <mergeCell ref="AI2:AJ2"/>
    <mergeCell ref="W3:X3"/>
    <mergeCell ref="Y3:Z3"/>
    <mergeCell ref="AA3:AB3"/>
    <mergeCell ref="AC3:AD3"/>
    <mergeCell ref="AE3:AF3"/>
    <mergeCell ref="AG3:AH3"/>
    <mergeCell ref="AI3:AJ3"/>
    <mergeCell ref="W4:X4"/>
    <mergeCell ref="Y4:Z4"/>
    <mergeCell ref="AA4:AB4"/>
    <mergeCell ref="AC4:AD4"/>
    <mergeCell ref="AE4:AF4"/>
    <mergeCell ref="AG4:AH4"/>
    <mergeCell ref="AI4:AJ4"/>
    <mergeCell ref="W5:X5"/>
    <mergeCell ref="Y5:Z5"/>
    <mergeCell ref="AA5:AB5"/>
    <mergeCell ref="AC5:AD5"/>
    <mergeCell ref="AE5:AF5"/>
    <mergeCell ref="AG5:AH5"/>
    <mergeCell ref="AI5:AJ5"/>
    <mergeCell ref="Y7:Z7"/>
    <mergeCell ref="AA7:AB7"/>
    <mergeCell ref="Y8:Z8"/>
    <mergeCell ref="AA8:AB8"/>
    <mergeCell ref="AC8:AD8"/>
    <mergeCell ref="AE8:AF8"/>
    <mergeCell ref="AG8:AH8"/>
    <mergeCell ref="AI8:AJ8"/>
    <mergeCell ref="Z10:AA10"/>
    <mergeCell ref="AB10:AD10"/>
    <mergeCell ref="AE10:AF10"/>
    <mergeCell ref="Z11:AA11"/>
    <mergeCell ref="AB11:AD11"/>
    <mergeCell ref="AE11:AF11"/>
    <mergeCell ref="AG11:AH11"/>
    <mergeCell ref="W6:X6"/>
    <mergeCell ref="W7:X7"/>
    <mergeCell ref="W8:X8"/>
    <mergeCell ref="W9:X9"/>
    <mergeCell ref="Y9:Z9"/>
    <mergeCell ref="AA9:AB9"/>
    <mergeCell ref="AC9:AD9"/>
  </mergeCells>
  <conditionalFormatting sqref="G4:H6">
    <cfRule type="cellIs" dxfId="2" priority="1" operator="equal">
      <formula>0</formula>
    </cfRule>
  </conditionalFormatting>
  <conditionalFormatting sqref="K3:K8 M3:M8 O3:P3 Q3:U8 G4:H6 L4:L8 N7:P8">
    <cfRule type="containsBlanks" dxfId="3" priority="2">
      <formula>LEN(TRIM(K3))=0</formula>
    </cfRule>
  </conditionalFormatting>
  <conditionalFormatting sqref="K1:M8 N1:N2 O1:P3 Q1:U8 N7:P8">
    <cfRule type="cellIs" dxfId="2" priority="3" operator="equal">
      <formula>0</formula>
    </cfRule>
  </conditionalFormatting>
  <conditionalFormatting sqref="U1:U8 BH15:BI15">
    <cfRule type="colorScale" priority="4">
      <colorScale>
        <cfvo type="min"/>
        <cfvo type="formula" val="0.5"/>
        <cfvo type="max"/>
        <color rgb="FFFF0000"/>
        <color rgb="FFFFFFFF"/>
        <color rgb="FF00FF00"/>
      </colorScale>
    </cfRule>
  </conditionalFormatting>
  <conditionalFormatting sqref="T1:T8">
    <cfRule type="colorScale" priority="5">
      <colorScale>
        <cfvo type="formula" val="2"/>
        <cfvo type="formula" val="4.5"/>
        <cfvo type="formula" val="8"/>
        <color rgb="FFFF0000"/>
        <color rgb="FFFFFFFF"/>
        <color rgb="FF00FF00"/>
      </colorScale>
    </cfRule>
  </conditionalFormatting>
  <conditionalFormatting sqref="K1:M8 N1:N2 O1:P3 Q1:U8 G4:H6 N7:P8">
    <cfRule type="colorScale" priority="6">
      <colorScale>
        <cfvo type="min"/>
        <cfvo type="formula" val="0"/>
        <cfvo type="max"/>
        <color rgb="FFFF0000"/>
        <color rgb="FFFFFFFF"/>
        <color rgb="FF00FF00"/>
      </colorScale>
    </cfRule>
  </conditionalFormatting>
  <conditionalFormatting sqref="Y14:AG402">
    <cfRule type="cellIs" dxfId="4" priority="7" operator="equal">
      <formula>0</formula>
    </cfRule>
  </conditionalFormatting>
  <conditionalFormatting sqref="AD14:AD402">
    <cfRule type="colorScale" priority="8">
      <colorScale>
        <cfvo type="min"/>
        <cfvo type="formula" val="0"/>
        <cfvo type="max"/>
        <color rgb="FFFF0000"/>
        <color rgb="FFFFFF00"/>
        <color rgb="FF00FF00"/>
      </colorScale>
    </cfRule>
  </conditionalFormatting>
  <conditionalFormatting sqref="Y14:Y410">
    <cfRule type="colorScale" priority="9">
      <colorScale>
        <cfvo type="min"/>
        <cfvo type="formula" val="0"/>
        <cfvo type="max"/>
        <color rgb="FFFF0000"/>
        <color rgb="FFFFFF00"/>
        <color rgb="FF00FF00"/>
      </colorScale>
    </cfRule>
  </conditionalFormatting>
  <conditionalFormatting sqref="M14:N410">
    <cfRule type="colorScale" priority="10">
      <colorScale>
        <cfvo type="min"/>
        <cfvo type="formula" val="0"/>
        <cfvo type="max"/>
        <color rgb="FFFF0000"/>
        <color rgb="FFFFFF00"/>
        <color rgb="FF00FF00"/>
      </colorScale>
    </cfRule>
  </conditionalFormatting>
  <conditionalFormatting sqref="A14:C474">
    <cfRule type="cellIs" dxfId="5" priority="11" operator="equal">
      <formula>2</formula>
    </cfRule>
  </conditionalFormatting>
  <conditionalFormatting sqref="A14:C474">
    <cfRule type="cellIs" dxfId="4" priority="12" operator="equal">
      <formula>3</formula>
    </cfRule>
  </conditionalFormatting>
  <conditionalFormatting sqref="A14:C474">
    <cfRule type="cellIs" dxfId="0" priority="13" operator="equal">
      <formula>4</formula>
    </cfRule>
  </conditionalFormatting>
  <conditionalFormatting sqref="A14:C474">
    <cfRule type="cellIs" dxfId="6" priority="14" operator="equal">
      <formula>5</formula>
    </cfRule>
  </conditionalFormatting>
  <conditionalFormatting sqref="D14:D429">
    <cfRule type="colorScale" priority="15">
      <colorScale>
        <cfvo type="min"/>
        <cfvo type="percentile" val="50"/>
        <cfvo type="max"/>
        <color rgb="FFFF0000"/>
        <color rgb="FFFFFF00"/>
        <color rgb="FF00FF00"/>
      </colorScale>
    </cfRule>
  </conditionalFormatting>
  <conditionalFormatting sqref="Z14:Z402">
    <cfRule type="colorScale" priority="16">
      <colorScale>
        <cfvo type="min"/>
        <cfvo type="formula" val="0"/>
        <cfvo type="max"/>
        <color rgb="FFFF0000"/>
        <color rgb="FFFFFF00"/>
        <color rgb="FF00FF00"/>
      </colorScale>
    </cfRule>
  </conditionalFormatting>
  <conditionalFormatting sqref="O14:O402">
    <cfRule type="cellIs" dxfId="4" priority="17" operator="equal">
      <formula>0</formula>
    </cfRule>
  </conditionalFormatting>
  <conditionalFormatting sqref="O14:O402">
    <cfRule type="colorScale" priority="18">
      <colorScale>
        <cfvo type="min"/>
        <cfvo type="formula" val="0"/>
        <cfvo type="max"/>
        <color rgb="FFFF0000"/>
        <color rgb="FFFFFF00"/>
        <color rgb="FF00FF00"/>
      </colorScale>
    </cfRule>
  </conditionalFormatting>
  <conditionalFormatting sqref="AA14:AA402">
    <cfRule type="colorScale" priority="19">
      <colorScale>
        <cfvo type="min"/>
        <cfvo type="formula" val="0"/>
        <cfvo type="max"/>
        <color rgb="FFFF0000"/>
        <color rgb="FFFFFF00"/>
        <color rgb="FF00FF00"/>
      </colorScale>
    </cfRule>
  </conditionalFormatting>
  <conditionalFormatting sqref="AB14:AB402">
    <cfRule type="colorScale" priority="20">
      <colorScale>
        <cfvo type="min"/>
        <cfvo type="formula" val="0"/>
        <cfvo type="max"/>
        <color rgb="FFFF0000"/>
        <color rgb="FFFFFF00"/>
        <color rgb="FF00FF00"/>
      </colorScale>
    </cfRule>
  </conditionalFormatting>
  <conditionalFormatting sqref="AC14:AC402">
    <cfRule type="colorScale" priority="21">
      <colorScale>
        <cfvo type="min"/>
        <cfvo type="formula" val="0"/>
        <cfvo type="max"/>
        <color rgb="FFFF0000"/>
        <color rgb="FFFFFF00"/>
        <color rgb="FF00FF00"/>
      </colorScale>
    </cfRule>
  </conditionalFormatting>
  <conditionalFormatting sqref="AE14:AE402">
    <cfRule type="colorScale" priority="22">
      <colorScale>
        <cfvo type="min"/>
        <cfvo type="formula" val="0"/>
        <cfvo type="max"/>
        <color rgb="FFFF0000"/>
        <color rgb="FFFFFF00"/>
        <color rgb="FF00FF00"/>
      </colorScale>
    </cfRule>
  </conditionalFormatting>
  <conditionalFormatting sqref="AF14:AF402">
    <cfRule type="colorScale" priority="23">
      <colorScale>
        <cfvo type="min"/>
        <cfvo type="formula" val="0"/>
        <cfvo type="max"/>
        <color rgb="FFFF0000"/>
        <color rgb="FFFFFF00"/>
        <color rgb="FF00FF00"/>
      </colorScale>
    </cfRule>
  </conditionalFormatting>
  <conditionalFormatting sqref="AG14:AG402">
    <cfRule type="colorScale" priority="24">
      <colorScale>
        <cfvo type="min"/>
        <cfvo type="formula" val="0"/>
        <cfvo type="max"/>
        <color rgb="FFFF0000"/>
        <color rgb="FFFFFF00"/>
        <color rgb="FF00FF00"/>
      </colorScale>
    </cfRule>
  </conditionalFormatting>
  <conditionalFormatting sqref="K9:S9">
    <cfRule type="colorScale" priority="25">
      <colorScale>
        <cfvo type="min"/>
        <cfvo type="percent" val="50"/>
        <cfvo type="max"/>
        <color rgb="FFFF0000"/>
        <color rgb="FFFFFF00"/>
        <color rgb="FF00FF00"/>
      </colorScale>
    </cfRule>
  </conditionalFormatting>
  <dataValidations>
    <dataValidation type="list" allowBlank="1" sqref="Z11">
      <formula1>'Final Update'!$M$11:$M$32</formula1>
    </dataValidation>
    <dataValidation type="list" allowBlank="1" showErrorMessage="1" sqref="AG11">
      <formula1>"BBM,HASHTAG"</formula1>
    </dataValidation>
    <dataValidation type="list" allowBlank="1" sqref="AJ16">
      <formula1>"100,75,50,25,0"</formula1>
    </dataValidation>
    <dataValidation type="list" allowBlank="1" sqref="K11:S11">
      <formula1>'Final Update'!$V$7:$V$16</formula1>
    </dataValidation>
    <dataValidation type="list" allowBlank="1" sqref="AJ17:AJ29">
      <formula1>"100,75,50,25,0"</formula1>
    </dataValidation>
    <dataValidation type="list" allowBlank="1" showErrorMessage="1" sqref="AE11">
      <formula1>"50,100,156,168,182,196"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4.88"/>
    <col customWidth="1" min="3" max="3" width="11.75"/>
    <col customWidth="1" min="4" max="4" width="16.75"/>
    <col customWidth="1" min="5" max="5" width="13.38"/>
    <col customWidth="1" min="6" max="6" width="16.13"/>
    <col customWidth="1" min="7" max="7" width="14.5"/>
    <col customWidth="1" min="8" max="8" width="14.88"/>
    <col customWidth="1" min="9" max="9" width="16.88"/>
    <col customWidth="1" min="10" max="10" width="15.63"/>
    <col customWidth="1" min="11" max="11" width="14.88"/>
    <col customWidth="1" min="12" max="12" width="13.25"/>
    <col customWidth="1" min="13" max="13" width="14.38"/>
    <col customWidth="1" min="14" max="14" width="13.88"/>
    <col customWidth="1" min="15" max="15" width="16.88"/>
  </cols>
  <sheetData>
    <row r="1">
      <c r="A1" s="2"/>
      <c r="B1" s="2"/>
      <c r="C1" s="6"/>
      <c r="D1" s="6"/>
      <c r="E1" s="9"/>
      <c r="F1" s="6"/>
      <c r="G1" s="6"/>
      <c r="H1" s="6"/>
      <c r="I1" s="6"/>
      <c r="J1" s="6"/>
      <c r="K1" s="6"/>
      <c r="L1" s="6"/>
      <c r="M1" s="6"/>
      <c r="N1" s="6"/>
      <c r="O1" s="6"/>
      <c r="P1" s="14"/>
      <c r="Q1" s="14"/>
      <c r="R1" s="14"/>
      <c r="S1" s="14"/>
      <c r="T1" s="14"/>
      <c r="U1" s="14"/>
      <c r="V1" s="14"/>
      <c r="W1" s="14"/>
      <c r="X1" s="14"/>
      <c r="Y1" s="14"/>
      <c r="Z1" s="14"/>
      <c r="AA1" s="14"/>
    </row>
    <row r="2">
      <c r="A2" s="16"/>
      <c r="B2" s="17" t="s">
        <v>17</v>
      </c>
      <c r="C2" s="19" t="s">
        <v>19</v>
      </c>
      <c r="D2" s="19" t="s">
        <v>20</v>
      </c>
      <c r="E2" s="19" t="s">
        <v>21</v>
      </c>
      <c r="F2" s="17" t="s">
        <v>22</v>
      </c>
      <c r="G2" s="17" t="s">
        <v>23</v>
      </c>
      <c r="H2" s="17" t="s">
        <v>24</v>
      </c>
      <c r="I2" s="17" t="s">
        <v>25</v>
      </c>
      <c r="J2" s="17" t="s">
        <v>26</v>
      </c>
      <c r="K2" s="17" t="s">
        <v>27</v>
      </c>
      <c r="L2" s="17" t="s">
        <v>28</v>
      </c>
      <c r="M2" s="17" t="s">
        <v>29</v>
      </c>
      <c r="N2" s="17" t="s">
        <v>30</v>
      </c>
      <c r="O2" s="17" t="s">
        <v>31</v>
      </c>
      <c r="P2" s="17" t="s">
        <v>32</v>
      </c>
      <c r="Q2" s="17" t="s">
        <v>33</v>
      </c>
      <c r="R2" s="14"/>
      <c r="S2" s="14"/>
      <c r="T2" s="14"/>
      <c r="U2" s="14"/>
      <c r="V2" s="14"/>
      <c r="W2" s="14"/>
      <c r="X2" s="14"/>
      <c r="Y2" s="14"/>
      <c r="Z2" s="14"/>
      <c r="AA2" s="14"/>
    </row>
    <row r="3">
      <c r="A3" s="23"/>
      <c r="B3" s="24">
        <v>1.0</v>
      </c>
      <c r="C3" s="29" t="str">
        <f t="shared" ref="C3:C14" si="1">IF(B3=#REF!,TRUE)</f>
        <v>#REF!</v>
      </c>
      <c r="D3" s="19"/>
      <c r="E3" s="19"/>
      <c r="F3" s="17"/>
      <c r="G3" s="17"/>
      <c r="H3" s="17"/>
      <c r="I3" s="17"/>
      <c r="J3" s="17"/>
      <c r="K3" s="17"/>
      <c r="L3" s="17"/>
      <c r="M3" s="17"/>
      <c r="N3" s="17"/>
      <c r="O3" s="17"/>
      <c r="P3" s="17"/>
      <c r="Q3" s="17"/>
      <c r="R3" s="14"/>
      <c r="S3" s="14"/>
      <c r="T3" s="14"/>
      <c r="U3" s="14"/>
      <c r="V3" s="14"/>
      <c r="W3" s="14"/>
      <c r="X3" s="14"/>
      <c r="Y3" s="14"/>
      <c r="Z3" s="14"/>
      <c r="AA3" s="14"/>
    </row>
    <row r="4">
      <c r="A4" s="23"/>
      <c r="B4" s="24">
        <v>2.0</v>
      </c>
      <c r="C4" s="29" t="str">
        <f t="shared" si="1"/>
        <v>#REF!</v>
      </c>
      <c r="D4" s="19"/>
      <c r="E4" s="19"/>
      <c r="F4" s="17"/>
      <c r="G4" s="17"/>
      <c r="H4" s="17"/>
      <c r="I4" s="17"/>
      <c r="J4" s="17"/>
      <c r="K4" s="17"/>
      <c r="L4" s="17"/>
      <c r="M4" s="17"/>
      <c r="N4" s="17"/>
      <c r="O4" s="17"/>
      <c r="P4" s="17"/>
      <c r="Q4" s="17"/>
      <c r="R4" s="14"/>
      <c r="S4" s="14"/>
      <c r="T4" s="14"/>
      <c r="U4" s="14"/>
      <c r="V4" s="14"/>
      <c r="W4" s="14"/>
      <c r="X4" s="14"/>
      <c r="Y4" s="14"/>
      <c r="Z4" s="14"/>
      <c r="AA4" s="14"/>
    </row>
    <row r="5">
      <c r="A5" s="23"/>
      <c r="B5" s="24">
        <v>3.0</v>
      </c>
      <c r="C5" s="29" t="str">
        <f t="shared" si="1"/>
        <v>#REF!</v>
      </c>
      <c r="D5" s="19"/>
      <c r="E5" s="19"/>
      <c r="F5" s="17"/>
      <c r="G5" s="17"/>
      <c r="H5" s="17"/>
      <c r="I5" s="17"/>
      <c r="J5" s="17"/>
      <c r="K5" s="17"/>
      <c r="L5" s="17"/>
      <c r="M5" s="17"/>
      <c r="N5" s="17"/>
      <c r="O5" s="17"/>
      <c r="P5" s="17"/>
      <c r="Q5" s="17"/>
      <c r="R5" s="14"/>
      <c r="S5" s="14"/>
      <c r="T5" s="14"/>
      <c r="U5" s="14"/>
      <c r="V5" s="14"/>
      <c r="W5" s="14"/>
      <c r="X5" s="14"/>
      <c r="Y5" s="14"/>
      <c r="Z5" s="14"/>
      <c r="AA5" s="14"/>
    </row>
    <row r="6">
      <c r="A6" s="23"/>
      <c r="B6" s="24">
        <v>4.0</v>
      </c>
      <c r="C6" s="29" t="str">
        <f t="shared" si="1"/>
        <v>#REF!</v>
      </c>
      <c r="D6" s="19"/>
      <c r="E6" s="19"/>
      <c r="F6" s="17"/>
      <c r="G6" s="17"/>
      <c r="H6" s="17"/>
      <c r="I6" s="17"/>
      <c r="J6" s="17"/>
      <c r="K6" s="17"/>
      <c r="L6" s="17"/>
      <c r="M6" s="17"/>
      <c r="N6" s="17"/>
      <c r="O6" s="17"/>
      <c r="P6" s="17"/>
      <c r="Q6" s="17"/>
      <c r="R6" s="14"/>
      <c r="S6" s="14"/>
      <c r="T6" s="14"/>
      <c r="U6" s="14"/>
      <c r="V6" s="14"/>
      <c r="W6" s="14"/>
      <c r="X6" s="14"/>
      <c r="Y6" s="14"/>
      <c r="Z6" s="14"/>
      <c r="AA6" s="14"/>
    </row>
    <row r="7">
      <c r="A7" s="23"/>
      <c r="B7" s="24">
        <v>5.0</v>
      </c>
      <c r="C7" s="29" t="str">
        <f t="shared" si="1"/>
        <v>#REF!</v>
      </c>
      <c r="D7" s="19"/>
      <c r="E7" s="19"/>
      <c r="F7" s="17"/>
      <c r="G7" s="17"/>
      <c r="H7" s="17"/>
      <c r="I7" s="17"/>
      <c r="J7" s="17"/>
      <c r="K7" s="17"/>
      <c r="L7" s="17"/>
      <c r="M7" s="17"/>
      <c r="N7" s="17"/>
      <c r="O7" s="17"/>
      <c r="P7" s="17"/>
      <c r="Q7" s="17"/>
      <c r="R7" s="14"/>
      <c r="S7" s="14"/>
      <c r="T7" s="14"/>
      <c r="U7" s="14"/>
      <c r="V7" s="14"/>
      <c r="W7" s="14"/>
      <c r="X7" s="14"/>
      <c r="Y7" s="14"/>
      <c r="Z7" s="14"/>
      <c r="AA7" s="14"/>
    </row>
    <row r="8">
      <c r="A8" s="23"/>
      <c r="B8" s="24">
        <v>6.0</v>
      </c>
      <c r="C8" s="29" t="str">
        <f t="shared" si="1"/>
        <v>#REF!</v>
      </c>
      <c r="D8" s="19"/>
      <c r="E8" s="19"/>
      <c r="F8" s="17"/>
      <c r="G8" s="17"/>
      <c r="H8" s="17"/>
      <c r="I8" s="17"/>
      <c r="J8" s="17"/>
      <c r="K8" s="17"/>
      <c r="L8" s="17"/>
      <c r="M8" s="17"/>
      <c r="N8" s="17"/>
      <c r="O8" s="17"/>
      <c r="P8" s="17"/>
      <c r="Q8" s="17"/>
      <c r="R8" s="14"/>
      <c r="S8" s="14"/>
      <c r="T8" s="14"/>
      <c r="U8" s="14"/>
      <c r="V8" s="14"/>
      <c r="W8" s="14"/>
      <c r="X8" s="14"/>
      <c r="Y8" s="14"/>
      <c r="Z8" s="14"/>
      <c r="AA8" s="14"/>
    </row>
    <row r="9">
      <c r="A9" s="23"/>
      <c r="B9" s="24">
        <v>7.0</v>
      </c>
      <c r="C9" s="29" t="str">
        <f t="shared" si="1"/>
        <v>#REF!</v>
      </c>
      <c r="D9" s="19"/>
      <c r="E9" s="19"/>
      <c r="F9" s="17"/>
      <c r="G9" s="17"/>
      <c r="H9" s="17"/>
      <c r="I9" s="17"/>
      <c r="J9" s="17"/>
      <c r="K9" s="17"/>
      <c r="L9" s="17"/>
      <c r="M9" s="17"/>
      <c r="N9" s="17"/>
      <c r="O9" s="17"/>
      <c r="P9" s="17"/>
      <c r="Q9" s="17"/>
      <c r="R9" s="14"/>
      <c r="S9" s="14"/>
      <c r="T9" s="14"/>
      <c r="U9" s="14"/>
      <c r="V9" s="14"/>
      <c r="W9" s="14"/>
      <c r="X9" s="14"/>
      <c r="Y9" s="14"/>
      <c r="Z9" s="14"/>
      <c r="AA9" s="14"/>
    </row>
    <row r="10">
      <c r="A10" s="23"/>
      <c r="B10" s="24">
        <v>8.0</v>
      </c>
      <c r="C10" s="29" t="str">
        <f t="shared" si="1"/>
        <v>#REF!</v>
      </c>
      <c r="D10" s="19"/>
      <c r="E10" s="19"/>
      <c r="F10" s="17"/>
      <c r="G10" s="17"/>
      <c r="H10" s="17"/>
      <c r="I10" s="17"/>
      <c r="J10" s="17"/>
      <c r="K10" s="17"/>
      <c r="L10" s="17"/>
      <c r="M10" s="17"/>
      <c r="N10" s="17"/>
      <c r="O10" s="17"/>
      <c r="P10" s="17"/>
      <c r="Q10" s="17"/>
      <c r="R10" s="14"/>
      <c r="S10" s="14"/>
      <c r="T10" s="14"/>
      <c r="U10" s="14"/>
      <c r="V10" s="14"/>
      <c r="W10" s="14"/>
      <c r="X10" s="14"/>
      <c r="Y10" s="14"/>
      <c r="Z10" s="14"/>
      <c r="AA10" s="14"/>
    </row>
    <row r="11">
      <c r="A11" s="23"/>
      <c r="B11" s="24">
        <v>9.0</v>
      </c>
      <c r="C11" s="29" t="str">
        <f t="shared" si="1"/>
        <v>#REF!</v>
      </c>
      <c r="D11" s="19"/>
      <c r="E11" s="19"/>
      <c r="F11" s="17"/>
      <c r="G11" s="17"/>
      <c r="H11" s="17"/>
      <c r="I11" s="17"/>
      <c r="J11" s="17"/>
      <c r="K11" s="17"/>
      <c r="L11" s="17"/>
      <c r="M11" s="17"/>
      <c r="N11" s="17"/>
      <c r="O11" s="17"/>
      <c r="P11" s="17"/>
      <c r="Q11" s="17"/>
      <c r="R11" s="14"/>
      <c r="S11" s="14"/>
      <c r="T11" s="14"/>
      <c r="U11" s="14"/>
      <c r="V11" s="14"/>
      <c r="W11" s="14"/>
      <c r="X11" s="14"/>
      <c r="Y11" s="14"/>
      <c r="Z11" s="14"/>
      <c r="AA11" s="14"/>
    </row>
    <row r="12">
      <c r="A12" s="23"/>
      <c r="B12" s="24">
        <v>10.0</v>
      </c>
      <c r="C12" s="29" t="str">
        <f t="shared" si="1"/>
        <v>#REF!</v>
      </c>
      <c r="D12" s="19"/>
      <c r="E12" s="19"/>
      <c r="F12" s="17"/>
      <c r="G12" s="17"/>
      <c r="H12" s="17"/>
      <c r="I12" s="17"/>
      <c r="J12" s="17"/>
      <c r="K12" s="17"/>
      <c r="L12" s="17"/>
      <c r="M12" s="17"/>
      <c r="N12" s="17"/>
      <c r="O12" s="17"/>
      <c r="P12" s="17"/>
      <c r="Q12" s="17"/>
      <c r="R12" s="14"/>
      <c r="S12" s="14"/>
      <c r="T12" s="14"/>
      <c r="U12" s="14"/>
      <c r="V12" s="14"/>
      <c r="W12" s="14"/>
      <c r="X12" s="14"/>
      <c r="Y12" s="14"/>
      <c r="Z12" s="14"/>
      <c r="AA12" s="14"/>
    </row>
    <row r="13">
      <c r="A13" s="23"/>
      <c r="B13" s="24">
        <v>11.0</v>
      </c>
      <c r="C13" s="29" t="str">
        <f t="shared" si="1"/>
        <v>#REF!</v>
      </c>
      <c r="D13" s="19"/>
      <c r="E13" s="19"/>
      <c r="F13" s="17"/>
      <c r="G13" s="17"/>
      <c r="H13" s="17"/>
      <c r="I13" s="17"/>
      <c r="J13" s="17"/>
      <c r="K13" s="17"/>
      <c r="L13" s="17"/>
      <c r="M13" s="17"/>
      <c r="N13" s="17"/>
      <c r="O13" s="17"/>
      <c r="P13" s="17"/>
      <c r="Q13" s="17"/>
      <c r="R13" s="14"/>
      <c r="S13" s="14"/>
      <c r="T13" s="14"/>
      <c r="U13" s="14"/>
      <c r="V13" s="14"/>
      <c r="W13" s="14"/>
      <c r="X13" s="14"/>
      <c r="Y13" s="14"/>
      <c r="Z13" s="14"/>
      <c r="AA13" s="14"/>
    </row>
    <row r="14">
      <c r="A14" s="23"/>
      <c r="B14" s="24">
        <v>12.0</v>
      </c>
      <c r="C14" s="29" t="str">
        <f t="shared" si="1"/>
        <v>#REF!</v>
      </c>
      <c r="D14" s="19"/>
      <c r="E14" s="19"/>
      <c r="F14" s="17"/>
      <c r="G14" s="17"/>
      <c r="H14" s="17"/>
      <c r="I14" s="17"/>
      <c r="J14" s="17"/>
      <c r="K14" s="17"/>
      <c r="L14" s="17"/>
      <c r="M14" s="17"/>
      <c r="N14" s="17"/>
      <c r="O14" s="17"/>
      <c r="P14" s="17"/>
      <c r="Q14" s="17"/>
      <c r="R14" s="14"/>
      <c r="S14" s="14"/>
      <c r="T14" s="14"/>
      <c r="U14" s="14"/>
      <c r="V14" s="14"/>
      <c r="W14" s="14"/>
      <c r="X14" s="14"/>
      <c r="Y14" s="14"/>
      <c r="Z14" s="14"/>
      <c r="AA14" s="14"/>
    </row>
    <row r="15">
      <c r="A15" s="64"/>
      <c r="B15" s="64"/>
      <c r="C15" s="14"/>
      <c r="D15" s="14"/>
      <c r="E15" s="14"/>
      <c r="F15" s="65"/>
      <c r="G15" s="65"/>
      <c r="H15" s="65"/>
      <c r="I15" s="65"/>
      <c r="J15" s="65"/>
      <c r="K15" s="65"/>
      <c r="L15" s="65"/>
      <c r="M15" s="65"/>
      <c r="N15" s="65"/>
      <c r="O15" s="65"/>
      <c r="P15" s="14"/>
      <c r="Q15" s="14"/>
      <c r="R15" s="14"/>
      <c r="S15" s="14"/>
      <c r="T15" s="14"/>
      <c r="U15" s="14"/>
      <c r="V15" s="14"/>
      <c r="W15" s="14"/>
      <c r="X15" s="14"/>
      <c r="Y15" s="14"/>
      <c r="Z15" s="14"/>
      <c r="AA15" s="14"/>
    </row>
    <row r="16">
      <c r="A16" s="64"/>
      <c r="B16" s="64"/>
      <c r="C16" s="66" t="s">
        <v>106</v>
      </c>
      <c r="D16" s="75" t="str">
        <f>IF(C3=TRUE,"1",IF(C4=TRUE,"2", IF(C5=True, "3",IF(C6=True, "4",IF(C7=True, "5",IF(C8=True, "6",IF(C9=True, "7",IF(C10=True, "8",IF(C11=True, "9",IF(C12=True, "10",IF(C13=True, "11",IF(C14=True, "12"))))))))))))*1</f>
        <v>#REF!</v>
      </c>
      <c r="E16" s="75" t="str">
        <f>IF(C3=TRUE,"24",IF(C4=TRUE,"23", IF(C5=True, "22",IF(C6=True, "21",IF(C7=True, "20",IF(C8=True, "19",IF(C9=True, "18",IF(C10=True, "17",IF(C11=True, "16",IF(C12=True, "15",IF(C13=True, "14",IF(C14=True, "13"))))))))))))*1</f>
        <v>#REF!</v>
      </c>
      <c r="F16" s="84" t="str">
        <f>IF(C3=TRUE,"25",IF(C4=TRUE,"26", IF(C5=True, "27",IF(C6=True, "28",IF(C7=True, "29",IF(C8=True, "30",IF(C9=True, "31",IF(C10=True, "32",IF(C11=True, "33",IF(C12=True, "34",IF(C13=True, "35",IF(C14=True, "36"))))))))))))*1</f>
        <v>#REF!</v>
      </c>
      <c r="G16" s="84" t="str">
        <f>IF(C3=TRUE,"48",IF(C4=TRUE,"47", IF(C5=True, "46",IF(C6=True, "45",IF(C7=True, "44",IF(C8=True, "43",IF(C9=True, "42",IF(C10=True, "41",IF(C11=True, "40",IF(C12=True, "39",IF(C13=True, "38",IF(C14=True, "37"))))))))))))*1</f>
        <v>#REF!</v>
      </c>
      <c r="H16" s="93" t="str">
        <f>IF(C3=TRUE,"49",IF(C4=TRUE,"50", IF(C5=True, "51",IF(C6=True, "52",IF(C7=True, "53",IF(C8=True, "54",IF(C9=True, "55",IF(C10=True, "56",IF(C11=True, "57",IF(C12=True, "58",IF(C13=True, "59",IF(C14=True, "60"))))))))))))*1</f>
        <v>#REF!</v>
      </c>
      <c r="I16" s="93" t="str">
        <f>IF(C3=TRUE,"72",IF(C4=TRUE,"71", IF(C5=True, "70",IF(C6=True, "69",IF(C7=True, "68",IF(C8=True, "67",IF(C9=True, "66",IF(C10=True, "65",IF(C11=True, "64",IF(C12=True, "63",IF(C13=True, "62",IF(C14=True, "61"))))))))))))*1</f>
        <v>#REF!</v>
      </c>
      <c r="J16" s="93" t="str">
        <f>IF(C3=TRUE,"73",IF(C4=TRUE,"74", IF(C5=True, "75",IF(C6=True, "76",IF(C7=True, "77",IF(C8=True, "78",IF(C9=True, "79",IF(C10=True, "80",IF(C11=True, "81",IF(C12=True, "82",IF(C13=True, "83",IF(C14=True, "84"))))))))))))*1</f>
        <v>#REF!</v>
      </c>
      <c r="K16" s="93" t="str">
        <f>IF(C3=TRUE,"96",IF(C4=TRUE,"95", IF(C5=True, "94",IF(C6=True, "93",IF(C7=True, "92",IF(C8=True, "91",IF(C9=True, "90",IF(C10=True, "89",IF(C11=True, "88",IF(C12=True, "87",IF(C13=True, "86",IF(C14=True, "85"))))))))))))*1</f>
        <v>#REF!</v>
      </c>
      <c r="L16" s="93" t="str">
        <f>IF(C3=TRUE,"97",IF(C4=TRUE,"98", IF(C5=True, "99",IF(C6=True, "100",IF(C7=True, "101",IF(C8=True, "102",IF(C9=True, "103",IF(C10=True, "104",IF(C11=True, "105",IF(C12=True, "106",IF(C13=True, "107",IF(C14=True, "108"))))))))))))*1</f>
        <v>#REF!</v>
      </c>
      <c r="M16" s="93" t="str">
        <f>IF(C3=TRUE,"120",IF(C4=TRUE,"119", IF(C5=True, "118",IF(C6=True, "117",IF(C7=True, "116",IF(C8=True, "115",IF(C9=True, "114",IF(C10=True, "113",IF(C11=True, "112",IF(C12=True, "111",IF(C13=True, "110",IF(C14=True, "109"))))))))))))*1</f>
        <v>#REF!</v>
      </c>
      <c r="N16" s="93" t="str">
        <f>IF(C3=TRUE,"121",IF(C4=TRUE,"122", IF(C5=True, "123",IF(C6=True, "124",IF(C7=True, "125",IF(C8=True, "126",IF(C9=True, "127",IF(C10=True, "128",IF(C11=True, "129",IF(C12=True, "130",IF(C13=True, "131",IF(C14=True, "132"))))))))))))*1</f>
        <v>#REF!</v>
      </c>
      <c r="O16" s="132" t="str">
        <f>IF(C3=TRUE,"144",IF(C4=TRUE,"143", IF(C5=True, "142",IF(C6=True, "141",IF(C7=True, "140",IF(C8=True, "139",IF(C9=True, "138",IF(C10=True, "137",IF(C11=True, "136",IF(C12=True, "135",IF(C13=True, "134",IF(C14=True, "133"))))))))))))*1</f>
        <v>#REF!</v>
      </c>
      <c r="P16" s="136" t="str">
        <f>IF(C3=TRUE,"145",IF(C4=TRUE,"146", IF(C5=True, "147",IF(C6=True, "148",IF(C7=True, "149",IF(C8=True, "150",IF(C9=True, "151",IF(C10=True, "152",IF(C11=True, "153",IF(C12=True, "154",IF(C13=True, "155",IF(C14=True, "156"))))))))))))</f>
        <v>#REF!</v>
      </c>
      <c r="Q16" s="136" t="str">
        <f>IF(C3=TRUE,"168",IF(C4=TRUE,"167", IF(C5=True, "166",IF(C6=True, "165",IF(C7=True, "164",IF(C8=True, "163",IF(C9=True, "162",IF(C10=True, "161",IF(C11=True, "160",IF(C12=True, "159",IF(C13=True, "158",IF(C14=True, "157"))))))))))))</f>
        <v>#REF!</v>
      </c>
      <c r="R16" s="14"/>
      <c r="S16" s="14"/>
      <c r="T16" s="14"/>
      <c r="U16" s="14"/>
      <c r="V16" s="14"/>
      <c r="W16" s="14"/>
      <c r="X16" s="14"/>
      <c r="Y16" s="14"/>
      <c r="Z16" s="14"/>
      <c r="AA16" s="14"/>
    </row>
    <row r="17">
      <c r="A17" s="65"/>
      <c r="B17" s="65"/>
      <c r="C17" s="137" t="s">
        <v>253</v>
      </c>
      <c r="D17" s="138" t="str">
        <f t="shared" ref="D17:E17" si="2">D16</f>
        <v>#REF!</v>
      </c>
      <c r="E17" s="138" t="str">
        <f t="shared" si="2"/>
        <v>#REF!</v>
      </c>
      <c r="F17" s="141" t="str">
        <f>F16+IF($C$3,11, IF($C$4,9,IF($C$5,7,IF($C$6,5,IF($C$7,3,IF($C$8,1,IF($C$9,-1,IF($C$10,-3,IF($C$11,-5,IF($C$12,-7, IF($C$13,-9, IF($C$14,-11))))))))))))*1</f>
        <v>#REF!</v>
      </c>
      <c r="G17" s="141" t="str">
        <f>G16-IF($C$3,11, IF($C$4,9,IF($C$5,7,IF($C$6,5,IF($C$7,3,IF($C$8,1,IF($C$9,-1,IF($C$10,-3,IF($C$11,-5,IF($C$12,-7, IF($C$13,-9, IF($C$14,-11))))))))))))*1</f>
        <v>#REF!</v>
      </c>
      <c r="H17" s="141" t="str">
        <f>H16+IF($C$3,11, IF($C$4,9,IF($C$5,7,IF($C$6,5,IF($C$7,3,IF($C$8,1,IF($C$9,-1,IF($C$10,-3,IF($C$11,-5,IF($C$12,-7, IF($C$13,-9, IF($C$14,-11))))))))))))*1</f>
        <v>#REF!</v>
      </c>
      <c r="I17" s="141" t="str">
        <f>I16-IF($C$3,11, IF($C$4,9,IF($C$5,7,IF($C$6,5,IF($C$7,3,IF($C$8,1,IF($C$9,-1,IF($C$10,-3,IF($C$11,-5,IF($C$12,-7, IF($C$13,-9, IF($C$14,-11))))))))))))*1</f>
        <v>#REF!</v>
      </c>
      <c r="J17" s="141" t="str">
        <f>J16+IF($C$3,11, IF($C$4,9,IF($C$5,7,IF($C$6,5,IF($C$7,3,IF($C$8,1,IF($C$9,-1,IF($C$10,-3,IF($C$11,-5,IF($C$12,-7, IF($C$13,-9, IF($C$14,-11))))))))))))*1</f>
        <v>#REF!</v>
      </c>
      <c r="K17" s="141" t="str">
        <f>K16-IF($C$3,11, IF($C$4,9,IF($C$5,7,IF($C$6,5,IF($C$7,3,IF($C$8,1,IF($C$9,-1,IF($C$10,-3,IF($C$11,-5,IF($C$12,-7, IF($C$13,-9, IF($C$14,-11))))))))))))*1</f>
        <v>#REF!</v>
      </c>
      <c r="L17" s="141" t="str">
        <f>L16+IF($C$3,11, IF($C$4,9,IF($C$5,7,IF($C$6,5,IF($C$7,3,IF($C$8,1,IF($C$9,-1,IF($C$10,-3,IF($C$11,-5,IF($C$12,-7, IF($C$13,-9, IF($C$14,-11))))))))))))*1</f>
        <v>#REF!</v>
      </c>
      <c r="M17" s="141" t="str">
        <f>M16-IF($C$3,11, IF($C$4,9,IF($C$5,7,IF($C$6,5,IF($C$7,3,IF($C$8,1,IF($C$9,-1,IF($C$10,-3,IF($C$11,-5,IF($C$12,-7, IF($C$13,-9, IF($C$14,-11))))))))))))*1</f>
        <v>#REF!</v>
      </c>
      <c r="N17" s="141" t="str">
        <f>N16+IF($C$3,11, IF($C$4,9,IF($C$5,7,IF($C$6,5,IF($C$7,3,IF($C$8,1,IF($C$9,-1,IF($C$10,-3,IF($C$11,-5,IF($C$12,-7, IF($C$13,-9, IF($C$14,-11))))))))))))*1</f>
        <v>#REF!</v>
      </c>
      <c r="O17" s="145" t="str">
        <f>O16-IF($C$3,11, IF($C$4,9,IF($C$5,7,IF($C$6,5,IF($C$7,3,IF($C$8,1,IF($C$9,-1,IF($C$10,-3,IF($C$11,-5,IF($C$12,-7, IF($C$13,-9, IF($C$14,-11))))))))))))*1</f>
        <v>#REF!</v>
      </c>
      <c r="P17" s="141" t="str">
        <f>P16+IF($B$3,11, IF($B$4,9,IF($B$5,7,IF($B$6,5,IF($B$7,3,IF($B$8,1,IF($B$9,-1,IF($B$10,-3,IF($B$11,-5,IF($B$12,-7, IF($B$13,-9, IF($B$14,-11))))))))))))</f>
        <v>#REF!</v>
      </c>
      <c r="Q17" s="141" t="str">
        <f>Q16-IF($B$3,11, IF($B$4,9,IF($B$5,7,IF($B$6,5,IF($B$7,3,IF($B$8,1,IF($B$9,-1,IF($B$10,-3,IF($B$11,-5,IF($B$12,-7, IF($B$13,-9, IF($B$14,-11))))))))))))</f>
        <v>#REF!</v>
      </c>
      <c r="R17" s="14"/>
      <c r="S17" s="14"/>
      <c r="T17" s="14"/>
      <c r="U17" s="14"/>
      <c r="V17" s="14"/>
      <c r="W17" s="14"/>
      <c r="X17" s="14"/>
      <c r="Y17" s="14"/>
      <c r="Z17" s="14"/>
      <c r="AA17" s="14"/>
    </row>
    <row r="18">
      <c r="A18" s="65"/>
      <c r="B18" s="65"/>
      <c r="C18" s="14"/>
      <c r="D18" s="14"/>
      <c r="E18" s="14"/>
      <c r="F18" s="65"/>
      <c r="G18" s="65"/>
      <c r="H18" s="65"/>
      <c r="I18" s="65"/>
      <c r="J18" s="65"/>
      <c r="K18" s="65"/>
      <c r="L18" s="65"/>
      <c r="M18" s="65"/>
      <c r="N18" s="65"/>
      <c r="O18" s="65"/>
      <c r="P18" s="14"/>
      <c r="Q18" s="14"/>
      <c r="R18" s="14"/>
      <c r="S18" s="14"/>
      <c r="T18" s="14"/>
      <c r="U18" s="14"/>
      <c r="V18" s="14"/>
      <c r="W18" s="14"/>
      <c r="X18" s="14"/>
      <c r="Y18" s="14"/>
      <c r="Z18" s="14"/>
      <c r="AA18" s="14"/>
    </row>
    <row r="19">
      <c r="A19" s="65"/>
      <c r="B19" s="65"/>
      <c r="C19" s="14"/>
      <c r="D19" s="146" t="s">
        <v>362</v>
      </c>
      <c r="E19" s="147"/>
      <c r="F19" s="148"/>
      <c r="G19" s="149"/>
      <c r="H19" s="65"/>
      <c r="I19" s="65"/>
      <c r="J19" s="65"/>
      <c r="K19" s="65"/>
      <c r="L19" s="65"/>
      <c r="M19" s="65"/>
      <c r="N19" s="65"/>
      <c r="O19" s="65"/>
      <c r="P19" s="14"/>
      <c r="Q19" s="14"/>
      <c r="R19" s="14"/>
      <c r="S19" s="14"/>
      <c r="T19" s="14"/>
      <c r="U19" s="14"/>
      <c r="V19" s="14"/>
      <c r="W19" s="14"/>
      <c r="X19" s="14"/>
      <c r="Y19" s="14"/>
      <c r="Z19" s="14"/>
      <c r="AA19" s="14"/>
    </row>
    <row r="20">
      <c r="A20" s="65"/>
      <c r="B20" s="65"/>
      <c r="C20" s="14"/>
      <c r="D20" s="152" t="s">
        <v>366</v>
      </c>
      <c r="E20" s="148"/>
      <c r="F20" s="149"/>
      <c r="G20" s="149"/>
      <c r="H20" s="65"/>
      <c r="I20" s="65"/>
      <c r="J20" s="65"/>
      <c r="K20" s="65"/>
      <c r="L20" s="65"/>
      <c r="M20" s="65"/>
      <c r="N20" s="65"/>
      <c r="O20" s="65"/>
      <c r="P20" s="14"/>
      <c r="Q20" s="14"/>
      <c r="R20" s="14"/>
      <c r="S20" s="14"/>
      <c r="T20" s="14"/>
      <c r="U20" s="14"/>
      <c r="V20" s="14"/>
      <c r="W20" s="14"/>
      <c r="X20" s="14"/>
      <c r="Y20" s="14"/>
      <c r="Z20" s="14"/>
      <c r="AA20" s="14"/>
    </row>
    <row r="21">
      <c r="A21" s="65"/>
      <c r="B21" s="65"/>
      <c r="C21" s="14"/>
      <c r="D21" s="149"/>
      <c r="E21" s="149"/>
      <c r="F21" s="149"/>
      <c r="G21" s="149"/>
      <c r="H21" s="65"/>
      <c r="I21" s="65"/>
      <c r="J21" s="65"/>
      <c r="K21" s="65"/>
      <c r="L21" s="65"/>
      <c r="M21" s="65"/>
      <c r="N21" s="65"/>
      <c r="O21" s="65"/>
      <c r="P21" s="14"/>
      <c r="Q21" s="14"/>
      <c r="R21" s="14"/>
      <c r="S21" s="14"/>
      <c r="T21" s="14"/>
      <c r="U21" s="14"/>
      <c r="V21" s="14"/>
      <c r="W21" s="14"/>
      <c r="X21" s="14"/>
      <c r="Y21" s="14"/>
      <c r="Z21" s="14"/>
      <c r="AA21" s="14"/>
    </row>
    <row r="22">
      <c r="A22" s="65"/>
      <c r="B22" s="65"/>
      <c r="C22" s="14"/>
      <c r="D22" s="14"/>
      <c r="E22" s="14"/>
      <c r="F22" s="65"/>
      <c r="G22" s="65"/>
      <c r="H22" s="65"/>
      <c r="I22" s="65"/>
      <c r="J22" s="65"/>
      <c r="K22" s="65"/>
      <c r="L22" s="65"/>
      <c r="M22" s="65"/>
      <c r="N22" s="65"/>
      <c r="O22" s="65"/>
      <c r="P22" s="14"/>
      <c r="Q22" s="14"/>
      <c r="R22" s="14"/>
      <c r="S22" s="14"/>
      <c r="T22" s="14"/>
      <c r="U22" s="14"/>
      <c r="V22" s="14"/>
      <c r="W22" s="14"/>
      <c r="X22" s="14"/>
      <c r="Y22" s="14"/>
      <c r="Z22" s="14"/>
      <c r="AA22" s="14"/>
    </row>
    <row r="23">
      <c r="A23" s="65"/>
      <c r="B23" s="65"/>
      <c r="C23" s="14"/>
      <c r="D23" s="14"/>
      <c r="E23" s="14"/>
      <c r="F23" s="65"/>
      <c r="G23" s="65"/>
      <c r="H23" s="65"/>
      <c r="I23" s="65"/>
      <c r="J23" s="65"/>
      <c r="K23" s="65"/>
      <c r="L23" s="65"/>
      <c r="M23" s="65"/>
      <c r="N23" s="65"/>
      <c r="O23" s="65"/>
      <c r="P23" s="14"/>
      <c r="Q23" s="14"/>
      <c r="R23" s="14"/>
      <c r="S23" s="14"/>
      <c r="T23" s="14"/>
      <c r="U23" s="14"/>
      <c r="V23" s="14"/>
      <c r="W23" s="14"/>
      <c r="X23" s="14"/>
      <c r="Y23" s="14"/>
      <c r="Z23" s="14"/>
      <c r="AA23" s="14"/>
    </row>
    <row r="24">
      <c r="A24" s="65"/>
      <c r="B24" s="65"/>
      <c r="C24" s="14"/>
      <c r="D24" s="14"/>
      <c r="E24" s="14"/>
      <c r="F24" s="65"/>
      <c r="G24" s="65"/>
      <c r="H24" s="65"/>
      <c r="I24" s="65"/>
      <c r="J24" s="65"/>
      <c r="K24" s="65"/>
      <c r="L24" s="65"/>
      <c r="M24" s="65"/>
      <c r="N24" s="65"/>
      <c r="O24" s="65"/>
      <c r="P24" s="14"/>
      <c r="Q24" s="14"/>
      <c r="R24" s="14"/>
      <c r="S24" s="14"/>
      <c r="T24" s="14"/>
      <c r="U24" s="14"/>
      <c r="V24" s="14"/>
      <c r="W24" s="14"/>
      <c r="X24" s="14"/>
      <c r="Y24" s="14"/>
      <c r="Z24" s="14"/>
      <c r="AA24" s="14"/>
    </row>
    <row r="25">
      <c r="A25" s="65"/>
      <c r="B25" s="65"/>
      <c r="C25" s="14"/>
      <c r="D25" s="14"/>
      <c r="E25" s="14"/>
      <c r="F25" s="65"/>
      <c r="G25" s="65"/>
      <c r="H25" s="65"/>
      <c r="I25" s="65"/>
      <c r="J25" s="65"/>
      <c r="K25" s="65"/>
      <c r="L25" s="65"/>
      <c r="M25" s="65"/>
      <c r="N25" s="65"/>
      <c r="O25" s="65"/>
      <c r="P25" s="14"/>
      <c r="Q25" s="14"/>
      <c r="R25" s="14"/>
      <c r="S25" s="14"/>
      <c r="T25" s="14"/>
      <c r="U25" s="14"/>
      <c r="V25" s="14"/>
      <c r="W25" s="14"/>
      <c r="X25" s="14"/>
      <c r="Y25" s="14"/>
      <c r="Z25" s="14"/>
      <c r="AA25" s="14"/>
    </row>
    <row r="26">
      <c r="A26" s="65"/>
      <c r="B26" s="65"/>
      <c r="C26" s="14"/>
      <c r="D26" s="14"/>
      <c r="E26" s="14"/>
      <c r="F26" s="65"/>
      <c r="G26" s="65"/>
      <c r="H26" s="65"/>
      <c r="I26" s="65"/>
      <c r="J26" s="65"/>
      <c r="K26" s="65"/>
      <c r="L26" s="65"/>
      <c r="M26" s="65"/>
      <c r="N26" s="65"/>
      <c r="O26" s="65"/>
      <c r="P26" s="14"/>
      <c r="Q26" s="14"/>
      <c r="R26" s="14"/>
      <c r="S26" s="14"/>
      <c r="T26" s="14"/>
      <c r="U26" s="14"/>
      <c r="V26" s="14"/>
      <c r="W26" s="14"/>
      <c r="X26" s="14"/>
      <c r="Y26" s="14"/>
      <c r="Z26" s="14"/>
      <c r="AA26" s="14"/>
    </row>
    <row r="27">
      <c r="A27" s="65"/>
      <c r="B27" s="65"/>
      <c r="C27" s="14"/>
      <c r="D27" s="14"/>
      <c r="E27" s="14"/>
      <c r="F27" s="65"/>
      <c r="G27" s="65"/>
      <c r="H27" s="65"/>
      <c r="I27" s="65"/>
      <c r="J27" s="65"/>
      <c r="K27" s="65"/>
      <c r="L27" s="65"/>
      <c r="M27" s="65"/>
      <c r="N27" s="65"/>
      <c r="O27" s="65"/>
      <c r="P27" s="14"/>
      <c r="Q27" s="14"/>
      <c r="R27" s="14"/>
      <c r="S27" s="14"/>
      <c r="T27" s="14"/>
      <c r="U27" s="14"/>
      <c r="V27" s="14"/>
      <c r="W27" s="14"/>
      <c r="X27" s="14"/>
      <c r="Y27" s="14"/>
      <c r="Z27" s="14"/>
      <c r="AA27" s="14"/>
    </row>
    <row r="28">
      <c r="A28" s="65"/>
      <c r="B28" s="65"/>
      <c r="C28" s="14"/>
      <c r="D28" s="14"/>
      <c r="E28" s="14"/>
      <c r="F28" s="65"/>
      <c r="G28" s="65"/>
      <c r="H28" s="65"/>
      <c r="I28" s="65"/>
      <c r="J28" s="65"/>
      <c r="K28" s="65"/>
      <c r="L28" s="65"/>
      <c r="M28" s="65"/>
      <c r="N28" s="65"/>
      <c r="O28" s="65"/>
      <c r="P28" s="14"/>
      <c r="Q28" s="14"/>
      <c r="R28" s="14"/>
      <c r="S28" s="14"/>
      <c r="T28" s="14"/>
      <c r="U28" s="14"/>
      <c r="V28" s="14"/>
      <c r="W28" s="14"/>
      <c r="X28" s="14"/>
      <c r="Y28" s="14"/>
      <c r="Z28" s="14"/>
      <c r="AA28" s="14"/>
    </row>
    <row r="29">
      <c r="A29" s="65"/>
      <c r="B29" s="65"/>
      <c r="C29" s="14"/>
      <c r="D29" s="14"/>
      <c r="E29" s="14"/>
      <c r="F29" s="65"/>
      <c r="G29" s="65"/>
      <c r="H29" s="65"/>
      <c r="I29" s="65"/>
      <c r="J29" s="65"/>
      <c r="K29" s="65"/>
      <c r="L29" s="65"/>
      <c r="M29" s="65"/>
      <c r="N29" s="65"/>
      <c r="O29" s="65"/>
      <c r="P29" s="14"/>
      <c r="Q29" s="14"/>
      <c r="R29" s="14"/>
      <c r="S29" s="14"/>
      <c r="T29" s="14"/>
      <c r="U29" s="14"/>
      <c r="V29" s="14"/>
      <c r="W29" s="14"/>
      <c r="X29" s="14"/>
      <c r="Y29" s="14"/>
      <c r="Z29" s="14"/>
      <c r="AA29" s="14"/>
    </row>
    <row r="30">
      <c r="A30" s="65"/>
      <c r="B30" s="65"/>
      <c r="C30" s="14"/>
      <c r="D30" s="14"/>
      <c r="E30" s="14"/>
      <c r="F30" s="65"/>
      <c r="G30" s="65"/>
      <c r="H30" s="65"/>
      <c r="I30" s="65"/>
      <c r="J30" s="65"/>
      <c r="K30" s="65"/>
      <c r="L30" s="65"/>
      <c r="M30" s="65"/>
      <c r="N30" s="65"/>
      <c r="O30" s="65"/>
      <c r="P30" s="14"/>
      <c r="Q30" s="14"/>
      <c r="R30" s="14"/>
      <c r="S30" s="14"/>
      <c r="T30" s="14"/>
      <c r="U30" s="14"/>
      <c r="V30" s="14"/>
      <c r="W30" s="14"/>
      <c r="X30" s="14"/>
      <c r="Y30" s="14"/>
      <c r="Z30" s="14"/>
      <c r="AA30" s="14"/>
    </row>
    <row r="31">
      <c r="A31" s="65"/>
      <c r="B31" s="65"/>
      <c r="C31" s="14"/>
      <c r="D31" s="14"/>
      <c r="E31" s="14"/>
      <c r="F31" s="65"/>
      <c r="G31" s="65"/>
      <c r="H31" s="65"/>
      <c r="I31" s="65"/>
      <c r="J31" s="65"/>
      <c r="K31" s="65"/>
      <c r="L31" s="65"/>
      <c r="M31" s="65"/>
      <c r="N31" s="65"/>
      <c r="O31" s="65"/>
      <c r="P31" s="14"/>
      <c r="Q31" s="14"/>
      <c r="R31" s="14"/>
      <c r="S31" s="14"/>
      <c r="T31" s="14"/>
      <c r="U31" s="14"/>
      <c r="V31" s="14"/>
      <c r="W31" s="14"/>
      <c r="X31" s="14"/>
      <c r="Y31" s="14"/>
      <c r="Z31" s="14"/>
      <c r="AA31" s="14"/>
    </row>
    <row r="32">
      <c r="A32" s="65"/>
      <c r="B32" s="65"/>
      <c r="C32" s="14"/>
      <c r="D32" s="14"/>
      <c r="E32" s="14"/>
      <c r="F32" s="65"/>
      <c r="G32" s="65"/>
      <c r="H32" s="65"/>
      <c r="I32" s="65"/>
      <c r="J32" s="65"/>
      <c r="K32" s="65"/>
      <c r="L32" s="65"/>
      <c r="M32" s="65"/>
      <c r="N32" s="65"/>
      <c r="O32" s="65"/>
      <c r="P32" s="14"/>
      <c r="Q32" s="14"/>
      <c r="R32" s="14"/>
      <c r="S32" s="14"/>
      <c r="T32" s="14"/>
      <c r="U32" s="14"/>
      <c r="V32" s="14"/>
      <c r="W32" s="14"/>
      <c r="X32" s="14"/>
      <c r="Y32" s="14"/>
      <c r="Z32" s="14"/>
      <c r="AA32" s="14"/>
    </row>
    <row r="33">
      <c r="A33" s="65"/>
      <c r="B33" s="65"/>
      <c r="C33" s="14"/>
      <c r="D33" s="14"/>
      <c r="E33" s="14"/>
      <c r="F33" s="65"/>
      <c r="G33" s="65"/>
      <c r="H33" s="65"/>
      <c r="I33" s="65"/>
      <c r="J33" s="65"/>
      <c r="K33" s="65"/>
      <c r="L33" s="65"/>
      <c r="M33" s="65"/>
      <c r="N33" s="65"/>
      <c r="O33" s="65"/>
      <c r="P33" s="14"/>
      <c r="Q33" s="14"/>
      <c r="R33" s="14"/>
      <c r="S33" s="14"/>
      <c r="T33" s="14"/>
      <c r="U33" s="14"/>
      <c r="V33" s="14"/>
      <c r="W33" s="14"/>
      <c r="X33" s="14"/>
      <c r="Y33" s="14"/>
      <c r="Z33" s="14"/>
      <c r="AA33" s="14"/>
    </row>
    <row r="34">
      <c r="A34" s="65"/>
      <c r="B34" s="65"/>
      <c r="C34" s="14"/>
      <c r="D34" s="14"/>
      <c r="E34" s="14"/>
      <c r="F34" s="65"/>
      <c r="G34" s="65"/>
      <c r="H34" s="65"/>
      <c r="I34" s="65"/>
      <c r="J34" s="65"/>
      <c r="K34" s="65"/>
      <c r="L34" s="65"/>
      <c r="M34" s="65"/>
      <c r="N34" s="65"/>
      <c r="O34" s="65"/>
      <c r="P34" s="14"/>
      <c r="Q34" s="14"/>
      <c r="R34" s="14"/>
      <c r="S34" s="14"/>
      <c r="T34" s="14"/>
      <c r="U34" s="14"/>
      <c r="V34" s="14"/>
      <c r="W34" s="14"/>
      <c r="X34" s="14"/>
      <c r="Y34" s="14"/>
      <c r="Z34" s="14"/>
      <c r="AA34" s="14"/>
    </row>
    <row r="35">
      <c r="A35" s="65"/>
      <c r="B35" s="65"/>
      <c r="C35" s="14"/>
      <c r="D35" s="14"/>
      <c r="E35" s="14"/>
      <c r="F35" s="65"/>
      <c r="G35" s="65"/>
      <c r="H35" s="65"/>
      <c r="I35" s="65"/>
      <c r="J35" s="65"/>
      <c r="K35" s="65"/>
      <c r="L35" s="65"/>
      <c r="M35" s="65"/>
      <c r="N35" s="65"/>
      <c r="O35" s="65"/>
      <c r="P35" s="14"/>
      <c r="Q35" s="14"/>
      <c r="R35" s="14"/>
      <c r="S35" s="14"/>
      <c r="T35" s="14"/>
      <c r="U35" s="14"/>
      <c r="V35" s="14"/>
      <c r="W35" s="14"/>
      <c r="X35" s="14"/>
      <c r="Y35" s="14"/>
      <c r="Z35" s="14"/>
      <c r="AA35" s="14"/>
    </row>
    <row r="36">
      <c r="A36" s="65"/>
      <c r="B36" s="65"/>
      <c r="C36" s="14"/>
      <c r="D36" s="14"/>
      <c r="E36" s="14"/>
      <c r="F36" s="65"/>
      <c r="G36" s="65"/>
      <c r="H36" s="65"/>
      <c r="I36" s="65"/>
      <c r="J36" s="65"/>
      <c r="K36" s="65"/>
      <c r="L36" s="65"/>
      <c r="M36" s="65"/>
      <c r="N36" s="65"/>
      <c r="O36" s="65"/>
      <c r="P36" s="14"/>
      <c r="Q36" s="14"/>
      <c r="R36" s="14"/>
      <c r="S36" s="14"/>
      <c r="T36" s="14"/>
      <c r="U36" s="14"/>
      <c r="V36" s="14"/>
      <c r="W36" s="14"/>
      <c r="X36" s="14"/>
      <c r="Y36" s="14"/>
      <c r="Z36" s="14"/>
      <c r="AA36" s="14"/>
    </row>
    <row r="37">
      <c r="A37" s="65"/>
      <c r="B37" s="65"/>
      <c r="C37" s="14"/>
      <c r="D37" s="14"/>
      <c r="E37" s="14"/>
      <c r="F37" s="65"/>
      <c r="G37" s="65"/>
      <c r="H37" s="65"/>
      <c r="I37" s="65"/>
      <c r="J37" s="65"/>
      <c r="K37" s="65"/>
      <c r="L37" s="65"/>
      <c r="M37" s="65"/>
      <c r="N37" s="65"/>
      <c r="O37" s="65"/>
      <c r="P37" s="14"/>
      <c r="Q37" s="14"/>
      <c r="R37" s="14"/>
      <c r="S37" s="14"/>
      <c r="T37" s="14"/>
      <c r="U37" s="14"/>
      <c r="V37" s="14"/>
      <c r="W37" s="14"/>
      <c r="X37" s="14"/>
      <c r="Y37" s="14"/>
      <c r="Z37" s="14"/>
      <c r="AA37" s="14"/>
    </row>
    <row r="38">
      <c r="A38" s="65"/>
      <c r="B38" s="65"/>
      <c r="C38" s="14"/>
      <c r="D38" s="14"/>
      <c r="E38" s="14"/>
      <c r="F38" s="65"/>
      <c r="G38" s="65"/>
      <c r="H38" s="65"/>
      <c r="I38" s="65"/>
      <c r="J38" s="65"/>
      <c r="K38" s="65"/>
      <c r="L38" s="65"/>
      <c r="M38" s="65"/>
      <c r="N38" s="65"/>
      <c r="O38" s="65"/>
      <c r="P38" s="14"/>
      <c r="Q38" s="14"/>
      <c r="R38" s="14"/>
      <c r="S38" s="14"/>
      <c r="T38" s="14"/>
      <c r="U38" s="14"/>
      <c r="V38" s="14"/>
      <c r="W38" s="14"/>
      <c r="X38" s="14"/>
      <c r="Y38" s="14"/>
      <c r="Z38" s="14"/>
      <c r="AA38" s="14"/>
    </row>
    <row r="39">
      <c r="A39" s="65"/>
      <c r="B39" s="65"/>
      <c r="C39" s="14"/>
      <c r="D39" s="14"/>
      <c r="E39" s="14"/>
      <c r="F39" s="65"/>
      <c r="G39" s="65"/>
      <c r="H39" s="65"/>
      <c r="I39" s="65"/>
      <c r="J39" s="65"/>
      <c r="K39" s="65"/>
      <c r="L39" s="65"/>
      <c r="M39" s="65"/>
      <c r="N39" s="65"/>
      <c r="O39" s="65"/>
      <c r="P39" s="14"/>
      <c r="Q39" s="14"/>
      <c r="R39" s="14"/>
      <c r="S39" s="14"/>
      <c r="T39" s="14"/>
      <c r="U39" s="14"/>
      <c r="V39" s="14"/>
      <c r="W39" s="14"/>
      <c r="X39" s="14"/>
      <c r="Y39" s="14"/>
      <c r="Z39" s="14"/>
      <c r="AA39" s="14"/>
    </row>
    <row r="40">
      <c r="A40" s="65"/>
      <c r="B40" s="65"/>
      <c r="C40" s="14"/>
      <c r="D40" s="14"/>
      <c r="E40" s="14"/>
      <c r="F40" s="65"/>
      <c r="G40" s="65"/>
      <c r="H40" s="65"/>
      <c r="I40" s="65"/>
      <c r="J40" s="65"/>
      <c r="K40" s="65"/>
      <c r="L40" s="65"/>
      <c r="M40" s="65"/>
      <c r="N40" s="65"/>
      <c r="O40" s="65"/>
      <c r="P40" s="14"/>
      <c r="Q40" s="14"/>
      <c r="R40" s="14"/>
      <c r="S40" s="14"/>
      <c r="T40" s="14"/>
      <c r="U40" s="14"/>
      <c r="V40" s="14"/>
      <c r="W40" s="14"/>
      <c r="X40" s="14"/>
      <c r="Y40" s="14"/>
      <c r="Z40" s="14"/>
      <c r="AA40" s="14"/>
    </row>
    <row r="41">
      <c r="A41" s="65"/>
      <c r="B41" s="65"/>
      <c r="C41" s="14"/>
      <c r="D41" s="14"/>
      <c r="E41" s="14"/>
      <c r="F41" s="65"/>
      <c r="G41" s="65"/>
      <c r="H41" s="65"/>
      <c r="I41" s="65"/>
      <c r="J41" s="65"/>
      <c r="K41" s="65"/>
      <c r="L41" s="65"/>
      <c r="M41" s="65"/>
      <c r="N41" s="65"/>
      <c r="O41" s="65"/>
      <c r="P41" s="14"/>
      <c r="Q41" s="14"/>
      <c r="R41" s="14"/>
      <c r="S41" s="14"/>
      <c r="T41" s="14"/>
      <c r="U41" s="14"/>
      <c r="V41" s="14"/>
      <c r="W41" s="14"/>
      <c r="X41" s="14"/>
      <c r="Y41" s="14"/>
      <c r="Z41" s="14"/>
      <c r="AA41" s="14"/>
    </row>
    <row r="42">
      <c r="A42" s="65"/>
      <c r="B42" s="65"/>
      <c r="C42" s="14"/>
      <c r="D42" s="14"/>
      <c r="E42" s="14"/>
      <c r="F42" s="65"/>
      <c r="G42" s="65"/>
      <c r="H42" s="65"/>
      <c r="I42" s="65"/>
      <c r="J42" s="65"/>
      <c r="K42" s="65"/>
      <c r="L42" s="65"/>
      <c r="M42" s="65"/>
      <c r="N42" s="65"/>
      <c r="O42" s="65"/>
      <c r="P42" s="14"/>
      <c r="Q42" s="14"/>
      <c r="R42" s="14"/>
      <c r="S42" s="14"/>
      <c r="T42" s="14"/>
      <c r="U42" s="14"/>
      <c r="V42" s="14"/>
      <c r="W42" s="14"/>
      <c r="X42" s="14"/>
      <c r="Y42" s="14"/>
      <c r="Z42" s="14"/>
      <c r="AA42" s="14"/>
    </row>
    <row r="43">
      <c r="A43" s="65"/>
      <c r="B43" s="65"/>
      <c r="C43" s="14"/>
      <c r="D43" s="14"/>
      <c r="E43" s="14"/>
      <c r="F43" s="65"/>
      <c r="G43" s="65"/>
      <c r="H43" s="65"/>
      <c r="I43" s="65"/>
      <c r="J43" s="65"/>
      <c r="K43" s="65"/>
      <c r="L43" s="65"/>
      <c r="M43" s="65"/>
      <c r="N43" s="65"/>
      <c r="O43" s="65"/>
      <c r="P43" s="14"/>
      <c r="Q43" s="14"/>
      <c r="R43" s="14"/>
      <c r="S43" s="14"/>
      <c r="T43" s="14"/>
      <c r="U43" s="14"/>
      <c r="V43" s="14"/>
      <c r="W43" s="14"/>
      <c r="X43" s="14"/>
      <c r="Y43" s="14"/>
      <c r="Z43" s="14"/>
      <c r="AA43" s="14"/>
    </row>
    <row r="44">
      <c r="A44" s="65"/>
      <c r="B44" s="65"/>
      <c r="C44" s="14"/>
      <c r="D44" s="14"/>
      <c r="E44" s="14"/>
      <c r="F44" s="65"/>
      <c r="G44" s="65"/>
      <c r="H44" s="65"/>
      <c r="I44" s="65"/>
      <c r="J44" s="65"/>
      <c r="K44" s="65"/>
      <c r="L44" s="65"/>
      <c r="M44" s="65"/>
      <c r="N44" s="65"/>
      <c r="O44" s="65"/>
      <c r="P44" s="14"/>
      <c r="Q44" s="14"/>
      <c r="R44" s="14"/>
      <c r="S44" s="14"/>
      <c r="T44" s="14"/>
      <c r="U44" s="14"/>
      <c r="V44" s="14"/>
      <c r="W44" s="14"/>
      <c r="X44" s="14"/>
      <c r="Y44" s="14"/>
      <c r="Z44" s="14"/>
      <c r="AA44" s="14"/>
    </row>
    <row r="45">
      <c r="A45" s="65"/>
      <c r="B45" s="65"/>
      <c r="C45" s="14"/>
      <c r="D45" s="14"/>
      <c r="E45" s="14"/>
      <c r="F45" s="65"/>
      <c r="G45" s="65"/>
      <c r="H45" s="65"/>
      <c r="I45" s="65"/>
      <c r="J45" s="65"/>
      <c r="K45" s="65"/>
      <c r="L45" s="65"/>
      <c r="M45" s="65"/>
      <c r="N45" s="65"/>
      <c r="O45" s="65"/>
      <c r="P45" s="14"/>
      <c r="Q45" s="14"/>
      <c r="R45" s="14"/>
      <c r="S45" s="14"/>
      <c r="T45" s="14"/>
      <c r="U45" s="14"/>
      <c r="V45" s="14"/>
      <c r="W45" s="14"/>
      <c r="X45" s="14"/>
      <c r="Y45" s="14"/>
      <c r="Z45" s="14"/>
      <c r="AA45" s="14"/>
    </row>
    <row r="46">
      <c r="A46" s="65"/>
      <c r="B46" s="65"/>
      <c r="C46" s="14"/>
      <c r="D46" s="14"/>
      <c r="E46" s="14"/>
      <c r="F46" s="65"/>
      <c r="G46" s="65"/>
      <c r="H46" s="65"/>
      <c r="I46" s="65"/>
      <c r="J46" s="65"/>
      <c r="K46" s="65"/>
      <c r="L46" s="65"/>
      <c r="M46" s="65"/>
      <c r="N46" s="65"/>
      <c r="O46" s="65"/>
      <c r="P46" s="14"/>
      <c r="Q46" s="14"/>
      <c r="R46" s="14"/>
      <c r="S46" s="14"/>
      <c r="T46" s="14"/>
      <c r="U46" s="14"/>
      <c r="V46" s="14"/>
      <c r="W46" s="14"/>
      <c r="X46" s="14"/>
      <c r="Y46" s="14"/>
      <c r="Z46" s="14"/>
      <c r="AA46" s="14"/>
    </row>
    <row r="47">
      <c r="A47" s="65"/>
      <c r="B47" s="65"/>
      <c r="C47" s="14"/>
      <c r="D47" s="14"/>
      <c r="E47" s="14"/>
      <c r="F47" s="65"/>
      <c r="G47" s="65"/>
      <c r="H47" s="65"/>
      <c r="I47" s="65"/>
      <c r="J47" s="65"/>
      <c r="K47" s="65"/>
      <c r="L47" s="65"/>
      <c r="M47" s="65"/>
      <c r="N47" s="65"/>
      <c r="O47" s="65"/>
      <c r="P47" s="14"/>
      <c r="Q47" s="14"/>
      <c r="R47" s="14"/>
      <c r="S47" s="14"/>
      <c r="T47" s="14"/>
      <c r="U47" s="14"/>
      <c r="V47" s="14"/>
      <c r="W47" s="14"/>
      <c r="X47" s="14"/>
      <c r="Y47" s="14"/>
      <c r="Z47" s="14"/>
      <c r="AA47" s="14"/>
    </row>
    <row r="48">
      <c r="A48" s="65"/>
      <c r="B48" s="65"/>
      <c r="C48" s="14"/>
      <c r="D48" s="14"/>
      <c r="E48" s="14"/>
      <c r="F48" s="65"/>
      <c r="G48" s="65"/>
      <c r="H48" s="65"/>
      <c r="I48" s="65"/>
      <c r="J48" s="65"/>
      <c r="K48" s="65"/>
      <c r="L48" s="65"/>
      <c r="M48" s="65"/>
      <c r="N48" s="65"/>
      <c r="O48" s="65"/>
      <c r="P48" s="14"/>
      <c r="Q48" s="14"/>
      <c r="R48" s="14"/>
      <c r="S48" s="14"/>
      <c r="T48" s="14"/>
      <c r="U48" s="14"/>
      <c r="V48" s="14"/>
      <c r="W48" s="14"/>
      <c r="X48" s="14"/>
      <c r="Y48" s="14"/>
      <c r="Z48" s="14"/>
      <c r="AA48" s="14"/>
    </row>
    <row r="49">
      <c r="A49" s="65"/>
      <c r="B49" s="65"/>
      <c r="C49" s="14"/>
      <c r="D49" s="14"/>
      <c r="E49" s="14"/>
      <c r="F49" s="65"/>
      <c r="G49" s="65"/>
      <c r="H49" s="65"/>
      <c r="I49" s="65"/>
      <c r="J49" s="65"/>
      <c r="K49" s="65"/>
      <c r="L49" s="65"/>
      <c r="M49" s="65"/>
      <c r="N49" s="65"/>
      <c r="O49" s="65"/>
      <c r="P49" s="14"/>
      <c r="Q49" s="14"/>
      <c r="R49" s="14"/>
      <c r="S49" s="14"/>
      <c r="T49" s="14"/>
      <c r="U49" s="14"/>
      <c r="V49" s="14"/>
      <c r="W49" s="14"/>
      <c r="X49" s="14"/>
      <c r="Y49" s="14"/>
      <c r="Z49" s="14"/>
      <c r="AA49" s="14"/>
    </row>
    <row r="50">
      <c r="A50" s="65"/>
      <c r="B50" s="65"/>
      <c r="C50" s="14"/>
      <c r="D50" s="14"/>
      <c r="E50" s="14"/>
      <c r="F50" s="65"/>
      <c r="G50" s="65"/>
      <c r="H50" s="65"/>
      <c r="I50" s="65"/>
      <c r="J50" s="65"/>
      <c r="K50" s="65"/>
      <c r="L50" s="65"/>
      <c r="M50" s="65"/>
      <c r="N50" s="65"/>
      <c r="O50" s="65"/>
      <c r="P50" s="14"/>
      <c r="Q50" s="14"/>
      <c r="R50" s="14"/>
      <c r="S50" s="14"/>
      <c r="T50" s="14"/>
      <c r="U50" s="14"/>
      <c r="V50" s="14"/>
      <c r="W50" s="14"/>
      <c r="X50" s="14"/>
      <c r="Y50" s="14"/>
      <c r="Z50" s="14"/>
      <c r="AA50" s="14"/>
    </row>
    <row r="51">
      <c r="A51" s="65"/>
      <c r="B51" s="65"/>
      <c r="C51" s="14"/>
      <c r="D51" s="14"/>
      <c r="E51" s="14"/>
      <c r="F51" s="65"/>
      <c r="G51" s="65"/>
      <c r="H51" s="65"/>
      <c r="I51" s="65"/>
      <c r="J51" s="65"/>
      <c r="K51" s="65"/>
      <c r="L51" s="65"/>
      <c r="M51" s="65"/>
      <c r="N51" s="65"/>
      <c r="O51" s="65"/>
      <c r="P51" s="14"/>
      <c r="Q51" s="14"/>
      <c r="R51" s="14"/>
      <c r="S51" s="14"/>
      <c r="T51" s="14"/>
      <c r="U51" s="14"/>
      <c r="V51" s="14"/>
      <c r="W51" s="14"/>
      <c r="X51" s="14"/>
      <c r="Y51" s="14"/>
      <c r="Z51" s="14"/>
      <c r="AA51" s="14"/>
    </row>
    <row r="52">
      <c r="A52" s="65"/>
      <c r="B52" s="65"/>
      <c r="C52" s="14"/>
      <c r="D52" s="14"/>
      <c r="E52" s="14"/>
      <c r="F52" s="65"/>
      <c r="G52" s="65"/>
      <c r="H52" s="65"/>
      <c r="I52" s="65"/>
      <c r="J52" s="65"/>
      <c r="K52" s="65"/>
      <c r="L52" s="65"/>
      <c r="M52" s="65"/>
      <c r="N52" s="65"/>
      <c r="O52" s="65"/>
      <c r="P52" s="14"/>
      <c r="Q52" s="14"/>
      <c r="R52" s="14"/>
      <c r="S52" s="14"/>
      <c r="T52" s="14"/>
      <c r="U52" s="14"/>
      <c r="V52" s="14"/>
      <c r="W52" s="14"/>
      <c r="X52" s="14"/>
      <c r="Y52" s="14"/>
      <c r="Z52" s="14"/>
      <c r="AA52" s="14"/>
    </row>
    <row r="53">
      <c r="A53" s="65"/>
      <c r="B53" s="65"/>
      <c r="C53" s="14"/>
      <c r="D53" s="14"/>
      <c r="E53" s="14"/>
      <c r="F53" s="65"/>
      <c r="G53" s="65"/>
      <c r="H53" s="65"/>
      <c r="I53" s="65"/>
      <c r="J53" s="65"/>
      <c r="K53" s="65"/>
      <c r="L53" s="65"/>
      <c r="M53" s="65"/>
      <c r="N53" s="65"/>
      <c r="O53" s="65"/>
      <c r="P53" s="14"/>
      <c r="Q53" s="14"/>
      <c r="R53" s="14"/>
      <c r="S53" s="14"/>
      <c r="T53" s="14"/>
      <c r="U53" s="14"/>
      <c r="V53" s="14"/>
      <c r="W53" s="14"/>
      <c r="X53" s="14"/>
      <c r="Y53" s="14"/>
      <c r="Z53" s="14"/>
      <c r="AA53" s="14"/>
    </row>
    <row r="54">
      <c r="A54" s="65"/>
      <c r="B54" s="65"/>
      <c r="C54" s="14"/>
      <c r="D54" s="14"/>
      <c r="E54" s="14"/>
      <c r="F54" s="65"/>
      <c r="G54" s="65"/>
      <c r="H54" s="65"/>
      <c r="I54" s="65"/>
      <c r="J54" s="65"/>
      <c r="K54" s="65"/>
      <c r="L54" s="65"/>
      <c r="M54" s="65"/>
      <c r="N54" s="65"/>
      <c r="O54" s="65"/>
      <c r="P54" s="14"/>
      <c r="Q54" s="14"/>
      <c r="R54" s="14"/>
      <c r="S54" s="14"/>
      <c r="T54" s="14"/>
      <c r="U54" s="14"/>
      <c r="V54" s="14"/>
      <c r="W54" s="14"/>
      <c r="X54" s="14"/>
      <c r="Y54" s="14"/>
      <c r="Z54" s="14"/>
      <c r="AA54" s="14"/>
    </row>
    <row r="55">
      <c r="A55" s="65"/>
      <c r="B55" s="65"/>
      <c r="C55" s="14"/>
      <c r="D55" s="14"/>
      <c r="E55" s="14"/>
      <c r="F55" s="65"/>
      <c r="G55" s="65"/>
      <c r="H55" s="65"/>
      <c r="I55" s="65"/>
      <c r="J55" s="65"/>
      <c r="K55" s="65"/>
      <c r="L55" s="65"/>
      <c r="M55" s="65"/>
      <c r="N55" s="65"/>
      <c r="O55" s="65"/>
      <c r="P55" s="14"/>
      <c r="Q55" s="14"/>
      <c r="R55" s="14"/>
      <c r="S55" s="14"/>
      <c r="T55" s="14"/>
      <c r="U55" s="14"/>
      <c r="V55" s="14"/>
      <c r="W55" s="14"/>
      <c r="X55" s="14"/>
      <c r="Y55" s="14"/>
      <c r="Z55" s="14"/>
      <c r="AA55" s="14"/>
    </row>
    <row r="56">
      <c r="A56" s="65"/>
      <c r="B56" s="65"/>
      <c r="C56" s="14"/>
      <c r="D56" s="14"/>
      <c r="E56" s="14"/>
      <c r="F56" s="65"/>
      <c r="G56" s="65"/>
      <c r="H56" s="65"/>
      <c r="I56" s="65"/>
      <c r="J56" s="65"/>
      <c r="K56" s="65"/>
      <c r="L56" s="65"/>
      <c r="M56" s="65"/>
      <c r="N56" s="65"/>
      <c r="O56" s="65"/>
      <c r="P56" s="14"/>
      <c r="Q56" s="14"/>
      <c r="R56" s="14"/>
      <c r="S56" s="14"/>
      <c r="T56" s="14"/>
      <c r="U56" s="14"/>
      <c r="V56" s="14"/>
      <c r="W56" s="14"/>
      <c r="X56" s="14"/>
      <c r="Y56" s="14"/>
      <c r="Z56" s="14"/>
      <c r="AA56" s="14"/>
    </row>
    <row r="57">
      <c r="A57" s="65"/>
      <c r="B57" s="65"/>
      <c r="C57" s="14"/>
      <c r="D57" s="14"/>
      <c r="E57" s="14"/>
      <c r="F57" s="65"/>
      <c r="G57" s="65"/>
      <c r="H57" s="65"/>
      <c r="I57" s="65"/>
      <c r="J57" s="65"/>
      <c r="K57" s="65"/>
      <c r="L57" s="65"/>
      <c r="M57" s="65"/>
      <c r="N57" s="65"/>
      <c r="O57" s="65"/>
      <c r="P57" s="14"/>
      <c r="Q57" s="14"/>
      <c r="R57" s="14"/>
      <c r="S57" s="14"/>
      <c r="T57" s="14"/>
      <c r="U57" s="14"/>
      <c r="V57" s="14"/>
      <c r="W57" s="14"/>
      <c r="X57" s="14"/>
      <c r="Y57" s="14"/>
      <c r="Z57" s="14"/>
      <c r="AA57" s="14"/>
    </row>
    <row r="58">
      <c r="A58" s="65"/>
      <c r="B58" s="65"/>
      <c r="C58" s="14"/>
      <c r="D58" s="14"/>
      <c r="E58" s="14"/>
      <c r="F58" s="65"/>
      <c r="G58" s="65"/>
      <c r="H58" s="65"/>
      <c r="I58" s="65"/>
      <c r="J58" s="65"/>
      <c r="K58" s="65"/>
      <c r="L58" s="65"/>
      <c r="M58" s="65"/>
      <c r="N58" s="65"/>
      <c r="O58" s="65"/>
      <c r="P58" s="14"/>
      <c r="Q58" s="14"/>
      <c r="R58" s="14"/>
      <c r="S58" s="14"/>
      <c r="T58" s="14"/>
      <c r="U58" s="14"/>
      <c r="V58" s="14"/>
      <c r="W58" s="14"/>
      <c r="X58" s="14"/>
      <c r="Y58" s="14"/>
      <c r="Z58" s="14"/>
      <c r="AA58" s="14"/>
    </row>
    <row r="59">
      <c r="A59" s="65"/>
      <c r="B59" s="65"/>
      <c r="C59" s="14"/>
      <c r="D59" s="14"/>
      <c r="E59" s="14"/>
      <c r="F59" s="65"/>
      <c r="G59" s="65"/>
      <c r="H59" s="65"/>
      <c r="I59" s="65"/>
      <c r="J59" s="65"/>
      <c r="K59" s="65"/>
      <c r="L59" s="65"/>
      <c r="M59" s="65"/>
      <c r="N59" s="65"/>
      <c r="O59" s="65"/>
      <c r="P59" s="14"/>
      <c r="Q59" s="14"/>
      <c r="R59" s="14"/>
      <c r="S59" s="14"/>
      <c r="T59" s="14"/>
      <c r="U59" s="14"/>
      <c r="V59" s="14"/>
      <c r="W59" s="14"/>
      <c r="X59" s="14"/>
      <c r="Y59" s="14"/>
      <c r="Z59" s="14"/>
      <c r="AA59" s="14"/>
    </row>
    <row r="60">
      <c r="A60" s="65"/>
      <c r="B60" s="65"/>
      <c r="C60" s="14"/>
      <c r="D60" s="14"/>
      <c r="E60" s="14"/>
      <c r="F60" s="65"/>
      <c r="G60" s="65"/>
      <c r="H60" s="65"/>
      <c r="I60" s="65"/>
      <c r="J60" s="65"/>
      <c r="K60" s="65"/>
      <c r="L60" s="65"/>
      <c r="M60" s="65"/>
      <c r="N60" s="65"/>
      <c r="O60" s="65"/>
      <c r="P60" s="14"/>
      <c r="Q60" s="14"/>
      <c r="R60" s="14"/>
      <c r="S60" s="14"/>
      <c r="T60" s="14"/>
      <c r="U60" s="14"/>
      <c r="V60" s="14"/>
      <c r="W60" s="14"/>
      <c r="X60" s="14"/>
      <c r="Y60" s="14"/>
      <c r="Z60" s="14"/>
      <c r="AA60" s="14"/>
    </row>
    <row r="61">
      <c r="A61" s="65"/>
      <c r="B61" s="65"/>
      <c r="C61" s="14"/>
      <c r="D61" s="14"/>
      <c r="E61" s="14"/>
      <c r="F61" s="65"/>
      <c r="G61" s="65"/>
      <c r="H61" s="65"/>
      <c r="I61" s="65"/>
      <c r="J61" s="65"/>
      <c r="K61" s="65"/>
      <c r="L61" s="65"/>
      <c r="M61" s="65"/>
      <c r="N61" s="65"/>
      <c r="O61" s="65"/>
      <c r="P61" s="14"/>
      <c r="Q61" s="14"/>
      <c r="R61" s="14"/>
      <c r="S61" s="14"/>
      <c r="T61" s="14"/>
      <c r="U61" s="14"/>
      <c r="V61" s="14"/>
      <c r="W61" s="14"/>
      <c r="X61" s="14"/>
      <c r="Y61" s="14"/>
      <c r="Z61" s="14"/>
      <c r="AA61" s="14"/>
    </row>
    <row r="62">
      <c r="A62" s="65"/>
      <c r="B62" s="65"/>
      <c r="C62" s="14"/>
      <c r="D62" s="14"/>
      <c r="E62" s="14"/>
      <c r="F62" s="65"/>
      <c r="G62" s="65"/>
      <c r="H62" s="65"/>
      <c r="I62" s="65"/>
      <c r="J62" s="65"/>
      <c r="K62" s="65"/>
      <c r="L62" s="65"/>
      <c r="M62" s="65"/>
      <c r="N62" s="65"/>
      <c r="O62" s="65"/>
      <c r="P62" s="14"/>
      <c r="Q62" s="14"/>
      <c r="R62" s="14"/>
      <c r="S62" s="14"/>
      <c r="T62" s="14"/>
      <c r="U62" s="14"/>
      <c r="V62" s="14"/>
      <c r="W62" s="14"/>
      <c r="X62" s="14"/>
      <c r="Y62" s="14"/>
      <c r="Z62" s="14"/>
      <c r="AA62" s="14"/>
    </row>
    <row r="63">
      <c r="A63" s="65"/>
      <c r="B63" s="65"/>
      <c r="C63" s="14"/>
      <c r="D63" s="14"/>
      <c r="E63" s="14"/>
      <c r="F63" s="65"/>
      <c r="G63" s="65"/>
      <c r="H63" s="65"/>
      <c r="I63" s="65"/>
      <c r="J63" s="65"/>
      <c r="K63" s="65"/>
      <c r="L63" s="65"/>
      <c r="M63" s="65"/>
      <c r="N63" s="65"/>
      <c r="O63" s="65"/>
      <c r="P63" s="14"/>
      <c r="Q63" s="14"/>
      <c r="R63" s="14"/>
      <c r="S63" s="14"/>
      <c r="T63" s="14"/>
      <c r="U63" s="14"/>
      <c r="V63" s="14"/>
      <c r="W63" s="14"/>
      <c r="X63" s="14"/>
      <c r="Y63" s="14"/>
      <c r="Z63" s="14"/>
      <c r="AA63" s="14"/>
    </row>
    <row r="64">
      <c r="A64" s="65"/>
      <c r="B64" s="65"/>
      <c r="C64" s="14"/>
      <c r="D64" s="14"/>
      <c r="E64" s="14"/>
      <c r="F64" s="65"/>
      <c r="G64" s="65"/>
      <c r="H64" s="65"/>
      <c r="I64" s="65"/>
      <c r="J64" s="65"/>
      <c r="K64" s="65"/>
      <c r="L64" s="65"/>
      <c r="M64" s="65"/>
      <c r="N64" s="65"/>
      <c r="O64" s="65"/>
      <c r="P64" s="14"/>
      <c r="Q64" s="14"/>
      <c r="R64" s="14"/>
      <c r="S64" s="14"/>
      <c r="T64" s="14"/>
      <c r="U64" s="14"/>
      <c r="V64" s="14"/>
      <c r="W64" s="14"/>
      <c r="X64" s="14"/>
      <c r="Y64" s="14"/>
      <c r="Z64" s="14"/>
      <c r="AA64" s="14"/>
    </row>
    <row r="65">
      <c r="A65" s="65"/>
      <c r="B65" s="65"/>
      <c r="C65" s="14"/>
      <c r="D65" s="14"/>
      <c r="E65" s="14"/>
      <c r="F65" s="65"/>
      <c r="G65" s="65"/>
      <c r="H65" s="65"/>
      <c r="I65" s="65"/>
      <c r="J65" s="65"/>
      <c r="K65" s="65"/>
      <c r="L65" s="65"/>
      <c r="M65" s="65"/>
      <c r="N65" s="65"/>
      <c r="O65" s="65"/>
      <c r="P65" s="14"/>
      <c r="Q65" s="14"/>
      <c r="R65" s="14"/>
      <c r="S65" s="14"/>
      <c r="T65" s="14"/>
      <c r="U65" s="14"/>
      <c r="V65" s="14"/>
      <c r="W65" s="14"/>
      <c r="X65" s="14"/>
      <c r="Y65" s="14"/>
      <c r="Z65" s="14"/>
      <c r="AA65" s="14"/>
    </row>
    <row r="66">
      <c r="A66" s="65"/>
      <c r="B66" s="65"/>
      <c r="C66" s="14"/>
      <c r="D66" s="14"/>
      <c r="E66" s="14"/>
      <c r="F66" s="65"/>
      <c r="G66" s="65"/>
      <c r="H66" s="65"/>
      <c r="I66" s="65"/>
      <c r="J66" s="65"/>
      <c r="K66" s="65"/>
      <c r="L66" s="65"/>
      <c r="M66" s="65"/>
      <c r="N66" s="65"/>
      <c r="O66" s="65"/>
      <c r="P66" s="14"/>
      <c r="Q66" s="14"/>
      <c r="R66" s="14"/>
      <c r="S66" s="14"/>
      <c r="T66" s="14"/>
      <c r="U66" s="14"/>
      <c r="V66" s="14"/>
      <c r="W66" s="14"/>
      <c r="X66" s="14"/>
      <c r="Y66" s="14"/>
      <c r="Z66" s="14"/>
      <c r="AA66" s="14"/>
    </row>
    <row r="67">
      <c r="A67" s="65"/>
      <c r="B67" s="65"/>
      <c r="C67" s="14"/>
      <c r="D67" s="14"/>
      <c r="E67" s="14"/>
      <c r="F67" s="65"/>
      <c r="G67" s="65"/>
      <c r="H67" s="65"/>
      <c r="I67" s="65"/>
      <c r="J67" s="65"/>
      <c r="K67" s="65"/>
      <c r="L67" s="65"/>
      <c r="M67" s="65"/>
      <c r="N67" s="65"/>
      <c r="O67" s="65"/>
      <c r="P67" s="14"/>
      <c r="Q67" s="14"/>
      <c r="R67" s="14"/>
      <c r="S67" s="14"/>
      <c r="T67" s="14"/>
      <c r="U67" s="14"/>
      <c r="V67" s="14"/>
      <c r="W67" s="14"/>
      <c r="X67" s="14"/>
      <c r="Y67" s="14"/>
      <c r="Z67" s="14"/>
      <c r="AA67" s="14"/>
    </row>
    <row r="68">
      <c r="A68" s="65"/>
      <c r="B68" s="65"/>
      <c r="C68" s="14"/>
      <c r="D68" s="14"/>
      <c r="E68" s="14"/>
      <c r="F68" s="65"/>
      <c r="G68" s="65"/>
      <c r="H68" s="65"/>
      <c r="I68" s="65"/>
      <c r="J68" s="65"/>
      <c r="K68" s="65"/>
      <c r="L68" s="65"/>
      <c r="M68" s="65"/>
      <c r="N68" s="65"/>
      <c r="O68" s="65"/>
      <c r="P68" s="14"/>
      <c r="Q68" s="14"/>
      <c r="R68" s="14"/>
      <c r="S68" s="14"/>
      <c r="T68" s="14"/>
      <c r="U68" s="14"/>
      <c r="V68" s="14"/>
      <c r="W68" s="14"/>
      <c r="X68" s="14"/>
      <c r="Y68" s="14"/>
      <c r="Z68" s="14"/>
      <c r="AA68" s="14"/>
    </row>
    <row r="69">
      <c r="A69" s="65"/>
      <c r="B69" s="65"/>
      <c r="C69" s="14"/>
      <c r="D69" s="14"/>
      <c r="E69" s="14"/>
      <c r="F69" s="65"/>
      <c r="G69" s="65"/>
      <c r="H69" s="65"/>
      <c r="I69" s="65"/>
      <c r="J69" s="65"/>
      <c r="K69" s="65"/>
      <c r="L69" s="65"/>
      <c r="M69" s="65"/>
      <c r="N69" s="65"/>
      <c r="O69" s="65"/>
      <c r="P69" s="14"/>
      <c r="Q69" s="14"/>
      <c r="R69" s="14"/>
      <c r="S69" s="14"/>
      <c r="T69" s="14"/>
      <c r="U69" s="14"/>
      <c r="V69" s="14"/>
      <c r="W69" s="14"/>
      <c r="X69" s="14"/>
      <c r="Y69" s="14"/>
      <c r="Z69" s="14"/>
      <c r="AA69" s="14"/>
    </row>
    <row r="70">
      <c r="A70" s="65"/>
      <c r="B70" s="65"/>
      <c r="C70" s="14"/>
      <c r="D70" s="14"/>
      <c r="E70" s="14"/>
      <c r="F70" s="65"/>
      <c r="G70" s="65"/>
      <c r="H70" s="65"/>
      <c r="I70" s="65"/>
      <c r="J70" s="65"/>
      <c r="K70" s="65"/>
      <c r="L70" s="65"/>
      <c r="M70" s="65"/>
      <c r="N70" s="65"/>
      <c r="O70" s="65"/>
      <c r="P70" s="14"/>
      <c r="Q70" s="14"/>
      <c r="R70" s="14"/>
      <c r="S70" s="14"/>
      <c r="T70" s="14"/>
      <c r="U70" s="14"/>
      <c r="V70" s="14"/>
      <c r="W70" s="14"/>
      <c r="X70" s="14"/>
      <c r="Y70" s="14"/>
      <c r="Z70" s="14"/>
      <c r="AA70" s="14"/>
    </row>
    <row r="71">
      <c r="A71" s="65"/>
      <c r="B71" s="65"/>
      <c r="C71" s="14"/>
      <c r="D71" s="14"/>
      <c r="E71" s="14"/>
      <c r="F71" s="65"/>
      <c r="G71" s="65"/>
      <c r="H71" s="65"/>
      <c r="I71" s="65"/>
      <c r="J71" s="65"/>
      <c r="K71" s="65"/>
      <c r="L71" s="65"/>
      <c r="M71" s="65"/>
      <c r="N71" s="65"/>
      <c r="O71" s="65"/>
      <c r="P71" s="14"/>
      <c r="Q71" s="14"/>
      <c r="R71" s="14"/>
      <c r="S71" s="14"/>
      <c r="T71" s="14"/>
      <c r="U71" s="14"/>
      <c r="V71" s="14"/>
      <c r="W71" s="14"/>
      <c r="X71" s="14"/>
      <c r="Y71" s="14"/>
      <c r="Z71" s="14"/>
      <c r="AA71" s="14"/>
    </row>
    <row r="72">
      <c r="A72" s="65"/>
      <c r="B72" s="65"/>
      <c r="C72" s="14"/>
      <c r="D72" s="14"/>
      <c r="E72" s="14"/>
      <c r="F72" s="65"/>
      <c r="G72" s="65"/>
      <c r="H72" s="65"/>
      <c r="I72" s="65"/>
      <c r="J72" s="65"/>
      <c r="K72" s="65"/>
      <c r="L72" s="65"/>
      <c r="M72" s="65"/>
      <c r="N72" s="65"/>
      <c r="O72" s="65"/>
      <c r="P72" s="14"/>
      <c r="Q72" s="14"/>
      <c r="R72" s="14"/>
      <c r="S72" s="14"/>
      <c r="T72" s="14"/>
      <c r="U72" s="14"/>
      <c r="V72" s="14"/>
      <c r="W72" s="14"/>
      <c r="X72" s="14"/>
      <c r="Y72" s="14"/>
      <c r="Z72" s="14"/>
      <c r="AA72" s="14"/>
    </row>
    <row r="73">
      <c r="A73" s="65"/>
      <c r="B73" s="65"/>
      <c r="C73" s="14"/>
      <c r="D73" s="14"/>
      <c r="E73" s="14"/>
      <c r="F73" s="65"/>
      <c r="G73" s="65"/>
      <c r="H73" s="65"/>
      <c r="I73" s="65"/>
      <c r="J73" s="65"/>
      <c r="K73" s="65"/>
      <c r="L73" s="65"/>
      <c r="M73" s="65"/>
      <c r="N73" s="65"/>
      <c r="O73" s="65"/>
      <c r="P73" s="14"/>
      <c r="Q73" s="14"/>
      <c r="R73" s="14"/>
      <c r="S73" s="14"/>
      <c r="T73" s="14"/>
      <c r="U73" s="14"/>
      <c r="V73" s="14"/>
      <c r="W73" s="14"/>
      <c r="X73" s="14"/>
      <c r="Y73" s="14"/>
      <c r="Z73" s="14"/>
      <c r="AA73" s="14"/>
    </row>
    <row r="74">
      <c r="A74" s="65"/>
      <c r="B74" s="65"/>
      <c r="C74" s="14"/>
      <c r="D74" s="14"/>
      <c r="E74" s="14"/>
      <c r="F74" s="65"/>
      <c r="G74" s="65"/>
      <c r="H74" s="65"/>
      <c r="I74" s="65"/>
      <c r="J74" s="65"/>
      <c r="K74" s="65"/>
      <c r="L74" s="65"/>
      <c r="M74" s="65"/>
      <c r="N74" s="65"/>
      <c r="O74" s="65"/>
      <c r="P74" s="14"/>
      <c r="Q74" s="14"/>
      <c r="R74" s="14"/>
      <c r="S74" s="14"/>
      <c r="T74" s="14"/>
      <c r="U74" s="14"/>
      <c r="V74" s="14"/>
      <c r="W74" s="14"/>
      <c r="X74" s="14"/>
      <c r="Y74" s="14"/>
      <c r="Z74" s="14"/>
      <c r="AA74" s="14"/>
    </row>
    <row r="75">
      <c r="A75" s="65"/>
      <c r="B75" s="65"/>
      <c r="C75" s="14"/>
      <c r="D75" s="14"/>
      <c r="E75" s="14"/>
      <c r="F75" s="65"/>
      <c r="G75" s="65"/>
      <c r="H75" s="65"/>
      <c r="I75" s="65"/>
      <c r="J75" s="65"/>
      <c r="K75" s="65"/>
      <c r="L75" s="65"/>
      <c r="M75" s="65"/>
      <c r="N75" s="65"/>
      <c r="O75" s="65"/>
      <c r="P75" s="14"/>
      <c r="Q75" s="14"/>
      <c r="R75" s="14"/>
      <c r="S75" s="14"/>
      <c r="T75" s="14"/>
      <c r="U75" s="14"/>
      <c r="V75" s="14"/>
      <c r="W75" s="14"/>
      <c r="X75" s="14"/>
      <c r="Y75" s="14"/>
      <c r="Z75" s="14"/>
      <c r="AA75" s="14"/>
    </row>
    <row r="76">
      <c r="A76" s="65"/>
      <c r="B76" s="65"/>
      <c r="C76" s="14"/>
      <c r="D76" s="14"/>
      <c r="E76" s="14"/>
      <c r="F76" s="65"/>
      <c r="G76" s="65"/>
      <c r="H76" s="65"/>
      <c r="I76" s="65"/>
      <c r="J76" s="65"/>
      <c r="K76" s="65"/>
      <c r="L76" s="65"/>
      <c r="M76" s="65"/>
      <c r="N76" s="65"/>
      <c r="O76" s="65"/>
      <c r="P76" s="14"/>
      <c r="Q76" s="14"/>
      <c r="R76" s="14"/>
      <c r="S76" s="14"/>
      <c r="T76" s="14"/>
      <c r="U76" s="14"/>
      <c r="V76" s="14"/>
      <c r="W76" s="14"/>
      <c r="X76" s="14"/>
      <c r="Y76" s="14"/>
      <c r="Z76" s="14"/>
      <c r="AA76" s="14"/>
    </row>
    <row r="77">
      <c r="A77" s="65"/>
      <c r="B77" s="65"/>
      <c r="C77" s="14"/>
      <c r="D77" s="14"/>
      <c r="E77" s="14"/>
      <c r="F77" s="65"/>
      <c r="G77" s="65"/>
      <c r="H77" s="65"/>
      <c r="I77" s="65"/>
      <c r="J77" s="65"/>
      <c r="K77" s="65"/>
      <c r="L77" s="65"/>
      <c r="M77" s="65"/>
      <c r="N77" s="65"/>
      <c r="O77" s="65"/>
      <c r="P77" s="14"/>
      <c r="Q77" s="14"/>
      <c r="R77" s="14"/>
      <c r="S77" s="14"/>
      <c r="T77" s="14"/>
      <c r="U77" s="14"/>
      <c r="V77" s="14"/>
      <c r="W77" s="14"/>
      <c r="X77" s="14"/>
      <c r="Y77" s="14"/>
      <c r="Z77" s="14"/>
      <c r="AA77" s="14"/>
    </row>
    <row r="78">
      <c r="A78" s="65"/>
      <c r="B78" s="65"/>
      <c r="C78" s="14"/>
      <c r="D78" s="14"/>
      <c r="E78" s="14"/>
      <c r="F78" s="65"/>
      <c r="G78" s="65"/>
      <c r="H78" s="65"/>
      <c r="I78" s="65"/>
      <c r="J78" s="65"/>
      <c r="K78" s="65"/>
      <c r="L78" s="65"/>
      <c r="M78" s="65"/>
      <c r="N78" s="65"/>
      <c r="O78" s="65"/>
      <c r="P78" s="14"/>
      <c r="Q78" s="14"/>
      <c r="R78" s="14"/>
      <c r="S78" s="14"/>
      <c r="T78" s="14"/>
      <c r="U78" s="14"/>
      <c r="V78" s="14"/>
      <c r="W78" s="14"/>
      <c r="X78" s="14"/>
      <c r="Y78" s="14"/>
      <c r="Z78" s="14"/>
      <c r="AA78" s="14"/>
    </row>
    <row r="79">
      <c r="A79" s="65"/>
      <c r="B79" s="65"/>
      <c r="C79" s="14"/>
      <c r="D79" s="14"/>
      <c r="E79" s="14"/>
      <c r="F79" s="65"/>
      <c r="G79" s="65"/>
      <c r="H79" s="65"/>
      <c r="I79" s="65"/>
      <c r="J79" s="65"/>
      <c r="K79" s="65"/>
      <c r="L79" s="65"/>
      <c r="M79" s="65"/>
      <c r="N79" s="65"/>
      <c r="O79" s="65"/>
      <c r="P79" s="14"/>
      <c r="Q79" s="14"/>
      <c r="R79" s="14"/>
      <c r="S79" s="14"/>
      <c r="T79" s="14"/>
      <c r="U79" s="14"/>
      <c r="V79" s="14"/>
      <c r="W79" s="14"/>
      <c r="X79" s="14"/>
      <c r="Y79" s="14"/>
      <c r="Z79" s="14"/>
      <c r="AA79" s="14"/>
    </row>
    <row r="80">
      <c r="A80" s="65"/>
      <c r="B80" s="65"/>
      <c r="C80" s="14"/>
      <c r="D80" s="14"/>
      <c r="E80" s="14"/>
      <c r="F80" s="65"/>
      <c r="G80" s="65"/>
      <c r="H80" s="65"/>
      <c r="I80" s="65"/>
      <c r="J80" s="65"/>
      <c r="K80" s="65"/>
      <c r="L80" s="65"/>
      <c r="M80" s="65"/>
      <c r="N80" s="65"/>
      <c r="O80" s="65"/>
      <c r="P80" s="14"/>
      <c r="Q80" s="14"/>
      <c r="R80" s="14"/>
      <c r="S80" s="14"/>
      <c r="T80" s="14"/>
      <c r="U80" s="14"/>
      <c r="V80" s="14"/>
      <c r="W80" s="14"/>
      <c r="X80" s="14"/>
      <c r="Y80" s="14"/>
      <c r="Z80" s="14"/>
      <c r="AA80" s="14"/>
    </row>
    <row r="81">
      <c r="A81" s="65"/>
      <c r="B81" s="65"/>
      <c r="C81" s="14"/>
      <c r="D81" s="14"/>
      <c r="E81" s="14"/>
      <c r="F81" s="65"/>
      <c r="G81" s="65"/>
      <c r="H81" s="65"/>
      <c r="I81" s="65"/>
      <c r="J81" s="65"/>
      <c r="K81" s="65"/>
      <c r="L81" s="65"/>
      <c r="M81" s="65"/>
      <c r="N81" s="65"/>
      <c r="O81" s="65"/>
      <c r="P81" s="14"/>
      <c r="Q81" s="14"/>
      <c r="R81" s="14"/>
      <c r="S81" s="14"/>
      <c r="T81" s="14"/>
      <c r="U81" s="14"/>
      <c r="V81" s="14"/>
      <c r="W81" s="14"/>
      <c r="X81" s="14"/>
      <c r="Y81" s="14"/>
      <c r="Z81" s="14"/>
      <c r="AA81" s="14"/>
    </row>
    <row r="82">
      <c r="A82" s="65"/>
      <c r="B82" s="65"/>
      <c r="C82" s="14"/>
      <c r="D82" s="14"/>
      <c r="E82" s="14"/>
      <c r="F82" s="65"/>
      <c r="G82" s="65"/>
      <c r="H82" s="65"/>
      <c r="I82" s="65"/>
      <c r="J82" s="65"/>
      <c r="K82" s="65"/>
      <c r="L82" s="65"/>
      <c r="M82" s="65"/>
      <c r="N82" s="65"/>
      <c r="O82" s="65"/>
      <c r="P82" s="14"/>
      <c r="Q82" s="14"/>
      <c r="R82" s="14"/>
      <c r="S82" s="14"/>
      <c r="T82" s="14"/>
      <c r="U82" s="14"/>
      <c r="V82" s="14"/>
      <c r="W82" s="14"/>
      <c r="X82" s="14"/>
      <c r="Y82" s="14"/>
      <c r="Z82" s="14"/>
      <c r="AA82" s="14"/>
    </row>
    <row r="83">
      <c r="A83" s="65"/>
      <c r="B83" s="65"/>
      <c r="C83" s="14"/>
      <c r="D83" s="14"/>
      <c r="E83" s="14"/>
      <c r="F83" s="65"/>
      <c r="G83" s="65"/>
      <c r="H83" s="65"/>
      <c r="I83" s="65"/>
      <c r="J83" s="65"/>
      <c r="K83" s="65"/>
      <c r="L83" s="65"/>
      <c r="M83" s="65"/>
      <c r="N83" s="65"/>
      <c r="O83" s="65"/>
      <c r="P83" s="14"/>
      <c r="Q83" s="14"/>
      <c r="R83" s="14"/>
      <c r="S83" s="14"/>
      <c r="T83" s="14"/>
      <c r="U83" s="14"/>
      <c r="V83" s="14"/>
      <c r="W83" s="14"/>
      <c r="X83" s="14"/>
      <c r="Y83" s="14"/>
      <c r="Z83" s="14"/>
      <c r="AA83" s="14"/>
    </row>
    <row r="84">
      <c r="A84" s="65"/>
      <c r="B84" s="65"/>
      <c r="C84" s="14"/>
      <c r="D84" s="14"/>
      <c r="E84" s="14"/>
      <c r="F84" s="65"/>
      <c r="G84" s="65"/>
      <c r="H84" s="65"/>
      <c r="I84" s="65"/>
      <c r="J84" s="65"/>
      <c r="K84" s="65"/>
      <c r="L84" s="65"/>
      <c r="M84" s="65"/>
      <c r="N84" s="65"/>
      <c r="O84" s="65"/>
      <c r="P84" s="14"/>
      <c r="Q84" s="14"/>
      <c r="R84" s="14"/>
      <c r="S84" s="14"/>
      <c r="T84" s="14"/>
      <c r="U84" s="14"/>
      <c r="V84" s="14"/>
      <c r="W84" s="14"/>
      <c r="X84" s="14"/>
      <c r="Y84" s="14"/>
      <c r="Z84" s="14"/>
      <c r="AA84" s="14"/>
    </row>
    <row r="85">
      <c r="A85" s="65"/>
      <c r="B85" s="65"/>
      <c r="C85" s="14"/>
      <c r="D85" s="14"/>
      <c r="E85" s="14"/>
      <c r="F85" s="65"/>
      <c r="G85" s="65"/>
      <c r="H85" s="65"/>
      <c r="I85" s="65"/>
      <c r="J85" s="65"/>
      <c r="K85" s="65"/>
      <c r="L85" s="65"/>
      <c r="M85" s="65"/>
      <c r="N85" s="65"/>
      <c r="O85" s="65"/>
      <c r="P85" s="14"/>
      <c r="Q85" s="14"/>
      <c r="R85" s="14"/>
      <c r="S85" s="14"/>
      <c r="T85" s="14"/>
      <c r="U85" s="14"/>
      <c r="V85" s="14"/>
      <c r="W85" s="14"/>
      <c r="X85" s="14"/>
      <c r="Y85" s="14"/>
      <c r="Z85" s="14"/>
      <c r="AA85" s="14"/>
    </row>
    <row r="86">
      <c r="A86" s="65"/>
      <c r="B86" s="65"/>
      <c r="C86" s="14"/>
      <c r="D86" s="14"/>
      <c r="E86" s="14"/>
      <c r="F86" s="65"/>
      <c r="G86" s="65"/>
      <c r="H86" s="65"/>
      <c r="I86" s="65"/>
      <c r="J86" s="65"/>
      <c r="K86" s="65"/>
      <c r="L86" s="65"/>
      <c r="M86" s="65"/>
      <c r="N86" s="65"/>
      <c r="O86" s="65"/>
      <c r="P86" s="14"/>
      <c r="Q86" s="14"/>
      <c r="R86" s="14"/>
      <c r="S86" s="14"/>
      <c r="T86" s="14"/>
      <c r="U86" s="14"/>
      <c r="V86" s="14"/>
      <c r="W86" s="14"/>
      <c r="X86" s="14"/>
      <c r="Y86" s="14"/>
      <c r="Z86" s="14"/>
      <c r="AA86" s="14"/>
    </row>
    <row r="87">
      <c r="A87" s="65"/>
      <c r="B87" s="65"/>
      <c r="C87" s="14"/>
      <c r="D87" s="14"/>
      <c r="E87" s="14"/>
      <c r="F87" s="65"/>
      <c r="G87" s="65"/>
      <c r="H87" s="65"/>
      <c r="I87" s="65"/>
      <c r="J87" s="65"/>
      <c r="K87" s="65"/>
      <c r="L87" s="65"/>
      <c r="M87" s="65"/>
      <c r="N87" s="65"/>
      <c r="O87" s="65"/>
      <c r="P87" s="14"/>
      <c r="Q87" s="14"/>
      <c r="R87" s="14"/>
      <c r="S87" s="14"/>
      <c r="T87" s="14"/>
      <c r="U87" s="14"/>
      <c r="V87" s="14"/>
      <c r="W87" s="14"/>
      <c r="X87" s="14"/>
      <c r="Y87" s="14"/>
      <c r="Z87" s="14"/>
      <c r="AA87" s="14"/>
    </row>
    <row r="88">
      <c r="A88" s="65"/>
      <c r="B88" s="65"/>
      <c r="C88" s="14"/>
      <c r="D88" s="14"/>
      <c r="E88" s="14"/>
      <c r="F88" s="65"/>
      <c r="G88" s="65"/>
      <c r="H88" s="65"/>
      <c r="I88" s="65"/>
      <c r="J88" s="65"/>
      <c r="K88" s="65"/>
      <c r="L88" s="65"/>
      <c r="M88" s="65"/>
      <c r="N88" s="65"/>
      <c r="O88" s="65"/>
      <c r="P88" s="14"/>
      <c r="Q88" s="14"/>
      <c r="R88" s="14"/>
      <c r="S88" s="14"/>
      <c r="T88" s="14"/>
      <c r="U88" s="14"/>
      <c r="V88" s="14"/>
      <c r="W88" s="14"/>
      <c r="X88" s="14"/>
      <c r="Y88" s="14"/>
      <c r="Z88" s="14"/>
      <c r="AA88" s="14"/>
    </row>
    <row r="89">
      <c r="A89" s="65"/>
      <c r="B89" s="65"/>
      <c r="C89" s="14"/>
      <c r="D89" s="14"/>
      <c r="E89" s="14"/>
      <c r="F89" s="65"/>
      <c r="G89" s="65"/>
      <c r="H89" s="65"/>
      <c r="I89" s="65"/>
      <c r="J89" s="65"/>
      <c r="K89" s="65"/>
      <c r="L89" s="65"/>
      <c r="M89" s="65"/>
      <c r="N89" s="65"/>
      <c r="O89" s="65"/>
      <c r="P89" s="14"/>
      <c r="Q89" s="14"/>
      <c r="R89" s="14"/>
      <c r="S89" s="14"/>
      <c r="T89" s="14"/>
      <c r="U89" s="14"/>
      <c r="V89" s="14"/>
      <c r="W89" s="14"/>
      <c r="X89" s="14"/>
      <c r="Y89" s="14"/>
      <c r="Z89" s="14"/>
      <c r="AA89" s="14"/>
    </row>
    <row r="90">
      <c r="A90" s="65"/>
      <c r="B90" s="65"/>
      <c r="C90" s="14"/>
      <c r="D90" s="14"/>
      <c r="E90" s="14"/>
      <c r="F90" s="65"/>
      <c r="G90" s="65"/>
      <c r="H90" s="65"/>
      <c r="I90" s="65"/>
      <c r="J90" s="65"/>
      <c r="K90" s="65"/>
      <c r="L90" s="65"/>
      <c r="M90" s="65"/>
      <c r="N90" s="65"/>
      <c r="O90" s="65"/>
      <c r="P90" s="14"/>
      <c r="Q90" s="14"/>
      <c r="R90" s="14"/>
      <c r="S90" s="14"/>
      <c r="T90" s="14"/>
      <c r="U90" s="14"/>
      <c r="V90" s="14"/>
      <c r="W90" s="14"/>
      <c r="X90" s="14"/>
      <c r="Y90" s="14"/>
      <c r="Z90" s="14"/>
      <c r="AA90" s="14"/>
    </row>
    <row r="91">
      <c r="A91" s="65"/>
      <c r="B91" s="65"/>
      <c r="C91" s="14"/>
      <c r="D91" s="14"/>
      <c r="E91" s="14"/>
      <c r="F91" s="65"/>
      <c r="G91" s="65"/>
      <c r="H91" s="65"/>
      <c r="I91" s="65"/>
      <c r="J91" s="65"/>
      <c r="K91" s="65"/>
      <c r="L91" s="65"/>
      <c r="M91" s="65"/>
      <c r="N91" s="65"/>
      <c r="O91" s="65"/>
      <c r="P91" s="14"/>
      <c r="Q91" s="14"/>
      <c r="R91" s="14"/>
      <c r="S91" s="14"/>
      <c r="T91" s="14"/>
      <c r="U91" s="14"/>
      <c r="V91" s="14"/>
      <c r="W91" s="14"/>
      <c r="X91" s="14"/>
      <c r="Y91" s="14"/>
      <c r="Z91" s="14"/>
      <c r="AA91" s="14"/>
    </row>
    <row r="92">
      <c r="A92" s="65"/>
      <c r="B92" s="65"/>
      <c r="C92" s="14"/>
      <c r="D92" s="14"/>
      <c r="E92" s="14"/>
      <c r="F92" s="65"/>
      <c r="G92" s="65"/>
      <c r="H92" s="65"/>
      <c r="I92" s="65"/>
      <c r="J92" s="65"/>
      <c r="K92" s="65"/>
      <c r="L92" s="65"/>
      <c r="M92" s="65"/>
      <c r="N92" s="65"/>
      <c r="O92" s="65"/>
      <c r="P92" s="14"/>
      <c r="Q92" s="14"/>
      <c r="R92" s="14"/>
      <c r="S92" s="14"/>
      <c r="T92" s="14"/>
      <c r="U92" s="14"/>
      <c r="V92" s="14"/>
      <c r="W92" s="14"/>
      <c r="X92" s="14"/>
      <c r="Y92" s="14"/>
      <c r="Z92" s="14"/>
      <c r="AA92" s="14"/>
    </row>
    <row r="93">
      <c r="A93" s="65"/>
      <c r="B93" s="65"/>
      <c r="C93" s="14"/>
      <c r="D93" s="14"/>
      <c r="E93" s="14"/>
      <c r="F93" s="65"/>
      <c r="G93" s="65"/>
      <c r="H93" s="65"/>
      <c r="I93" s="65"/>
      <c r="J93" s="65"/>
      <c r="K93" s="65"/>
      <c r="L93" s="65"/>
      <c r="M93" s="65"/>
      <c r="N93" s="65"/>
      <c r="O93" s="65"/>
      <c r="P93" s="14"/>
      <c r="Q93" s="14"/>
      <c r="R93" s="14"/>
      <c r="S93" s="14"/>
      <c r="T93" s="14"/>
      <c r="U93" s="14"/>
      <c r="V93" s="14"/>
      <c r="W93" s="14"/>
      <c r="X93" s="14"/>
      <c r="Y93" s="14"/>
      <c r="Z93" s="14"/>
      <c r="AA93" s="14"/>
    </row>
    <row r="94">
      <c r="A94" s="65"/>
      <c r="B94" s="65"/>
      <c r="C94" s="14"/>
      <c r="D94" s="14"/>
      <c r="E94" s="14"/>
      <c r="F94" s="65"/>
      <c r="G94" s="65"/>
      <c r="H94" s="65"/>
      <c r="I94" s="65"/>
      <c r="J94" s="65"/>
      <c r="K94" s="65"/>
      <c r="L94" s="65"/>
      <c r="M94" s="65"/>
      <c r="N94" s="65"/>
      <c r="O94" s="65"/>
      <c r="P94" s="14"/>
      <c r="Q94" s="14"/>
      <c r="R94" s="14"/>
      <c r="S94" s="14"/>
      <c r="T94" s="14"/>
      <c r="U94" s="14"/>
      <c r="V94" s="14"/>
      <c r="W94" s="14"/>
      <c r="X94" s="14"/>
      <c r="Y94" s="14"/>
      <c r="Z94" s="14"/>
      <c r="AA94" s="14"/>
    </row>
    <row r="95">
      <c r="A95" s="65"/>
      <c r="B95" s="65"/>
      <c r="C95" s="14"/>
      <c r="D95" s="14"/>
      <c r="E95" s="14"/>
      <c r="F95" s="65"/>
      <c r="G95" s="65"/>
      <c r="H95" s="65"/>
      <c r="I95" s="65"/>
      <c r="J95" s="65"/>
      <c r="K95" s="65"/>
      <c r="L95" s="65"/>
      <c r="M95" s="65"/>
      <c r="N95" s="65"/>
      <c r="O95" s="65"/>
      <c r="P95" s="14"/>
      <c r="Q95" s="14"/>
      <c r="R95" s="14"/>
      <c r="S95" s="14"/>
      <c r="T95" s="14"/>
      <c r="U95" s="14"/>
      <c r="V95" s="14"/>
      <c r="W95" s="14"/>
      <c r="X95" s="14"/>
      <c r="Y95" s="14"/>
      <c r="Z95" s="14"/>
      <c r="AA95" s="14"/>
    </row>
    <row r="96">
      <c r="A96" s="65"/>
      <c r="B96" s="65"/>
      <c r="C96" s="14"/>
      <c r="D96" s="14"/>
      <c r="E96" s="14"/>
      <c r="F96" s="65"/>
      <c r="G96" s="65"/>
      <c r="H96" s="65"/>
      <c r="I96" s="65"/>
      <c r="J96" s="65"/>
      <c r="K96" s="65"/>
      <c r="L96" s="65"/>
      <c r="M96" s="65"/>
      <c r="N96" s="65"/>
      <c r="O96" s="65"/>
      <c r="P96" s="14"/>
      <c r="Q96" s="14"/>
      <c r="R96" s="14"/>
      <c r="S96" s="14"/>
      <c r="T96" s="14"/>
      <c r="U96" s="14"/>
      <c r="V96" s="14"/>
      <c r="W96" s="14"/>
      <c r="X96" s="14"/>
      <c r="Y96" s="14"/>
      <c r="Z96" s="14"/>
      <c r="AA96" s="14"/>
    </row>
    <row r="97">
      <c r="A97" s="65"/>
      <c r="B97" s="65"/>
      <c r="C97" s="14"/>
      <c r="D97" s="14"/>
      <c r="E97" s="14"/>
      <c r="F97" s="65"/>
      <c r="G97" s="65"/>
      <c r="H97" s="65"/>
      <c r="I97" s="65"/>
      <c r="J97" s="65"/>
      <c r="K97" s="65"/>
      <c r="L97" s="65"/>
      <c r="M97" s="65"/>
      <c r="N97" s="65"/>
      <c r="O97" s="65"/>
      <c r="P97" s="14"/>
      <c r="Q97" s="14"/>
      <c r="R97" s="14"/>
      <c r="S97" s="14"/>
      <c r="T97" s="14"/>
      <c r="U97" s="14"/>
      <c r="V97" s="14"/>
      <c r="W97" s="14"/>
      <c r="X97" s="14"/>
      <c r="Y97" s="14"/>
      <c r="Z97" s="14"/>
      <c r="AA97" s="14"/>
    </row>
    <row r="98">
      <c r="A98" s="65"/>
      <c r="B98" s="65"/>
      <c r="C98" s="14"/>
      <c r="D98" s="14"/>
      <c r="E98" s="14"/>
      <c r="F98" s="65"/>
      <c r="G98" s="65"/>
      <c r="H98" s="65"/>
      <c r="I98" s="65"/>
      <c r="J98" s="65"/>
      <c r="K98" s="65"/>
      <c r="L98" s="65"/>
      <c r="M98" s="65"/>
      <c r="N98" s="65"/>
      <c r="O98" s="65"/>
      <c r="P98" s="14"/>
      <c r="Q98" s="14"/>
      <c r="R98" s="14"/>
      <c r="S98" s="14"/>
      <c r="T98" s="14"/>
      <c r="U98" s="14"/>
      <c r="V98" s="14"/>
      <c r="W98" s="14"/>
      <c r="X98" s="14"/>
      <c r="Y98" s="14"/>
      <c r="Z98" s="14"/>
      <c r="AA98" s="14"/>
    </row>
    <row r="99">
      <c r="A99" s="65"/>
      <c r="B99" s="65"/>
      <c r="C99" s="14"/>
      <c r="D99" s="14"/>
      <c r="E99" s="14"/>
      <c r="F99" s="65"/>
      <c r="G99" s="65"/>
      <c r="H99" s="65"/>
      <c r="I99" s="65"/>
      <c r="J99" s="65"/>
      <c r="K99" s="65"/>
      <c r="L99" s="65"/>
      <c r="M99" s="65"/>
      <c r="N99" s="65"/>
      <c r="O99" s="65"/>
      <c r="P99" s="14"/>
      <c r="Q99" s="14"/>
      <c r="R99" s="14"/>
      <c r="S99" s="14"/>
      <c r="T99" s="14"/>
      <c r="U99" s="14"/>
      <c r="V99" s="14"/>
      <c r="W99" s="14"/>
      <c r="X99" s="14"/>
      <c r="Y99" s="14"/>
      <c r="Z99" s="14"/>
      <c r="AA99" s="14"/>
    </row>
    <row r="100">
      <c r="A100" s="65"/>
      <c r="B100" s="65"/>
      <c r="C100" s="14"/>
      <c r="D100" s="14"/>
      <c r="E100" s="14"/>
      <c r="F100" s="65"/>
      <c r="G100" s="65"/>
      <c r="H100" s="65"/>
      <c r="I100" s="65"/>
      <c r="J100" s="65"/>
      <c r="K100" s="65"/>
      <c r="L100" s="65"/>
      <c r="M100" s="65"/>
      <c r="N100" s="65"/>
      <c r="O100" s="65"/>
      <c r="P100" s="14"/>
      <c r="Q100" s="14"/>
      <c r="R100" s="14"/>
      <c r="S100" s="14"/>
      <c r="T100" s="14"/>
      <c r="U100" s="14"/>
      <c r="V100" s="14"/>
      <c r="W100" s="14"/>
      <c r="X100" s="14"/>
      <c r="Y100" s="14"/>
      <c r="Z100" s="14"/>
      <c r="AA100" s="14"/>
    </row>
    <row r="101">
      <c r="A101" s="65"/>
      <c r="B101" s="65"/>
      <c r="C101" s="14"/>
      <c r="D101" s="14"/>
      <c r="E101" s="14"/>
      <c r="F101" s="65"/>
      <c r="G101" s="65"/>
      <c r="H101" s="65"/>
      <c r="I101" s="65"/>
      <c r="J101" s="65"/>
      <c r="K101" s="65"/>
      <c r="L101" s="65"/>
      <c r="M101" s="65"/>
      <c r="N101" s="65"/>
      <c r="O101" s="65"/>
      <c r="P101" s="14"/>
      <c r="Q101" s="14"/>
      <c r="R101" s="14"/>
      <c r="S101" s="14"/>
      <c r="T101" s="14"/>
      <c r="U101" s="14"/>
      <c r="V101" s="14"/>
      <c r="W101" s="14"/>
      <c r="X101" s="14"/>
      <c r="Y101" s="14"/>
      <c r="Z101" s="14"/>
      <c r="AA101" s="14"/>
    </row>
    <row r="102">
      <c r="A102" s="65"/>
      <c r="B102" s="65"/>
      <c r="C102" s="14"/>
      <c r="D102" s="14"/>
      <c r="E102" s="14"/>
      <c r="F102" s="65"/>
      <c r="G102" s="65"/>
      <c r="H102" s="65"/>
      <c r="I102" s="65"/>
      <c r="J102" s="65"/>
      <c r="K102" s="65"/>
      <c r="L102" s="65"/>
      <c r="M102" s="65"/>
      <c r="N102" s="65"/>
      <c r="O102" s="65"/>
      <c r="P102" s="14"/>
      <c r="Q102" s="14"/>
      <c r="R102" s="14"/>
      <c r="S102" s="14"/>
      <c r="T102" s="14"/>
      <c r="U102" s="14"/>
      <c r="V102" s="14"/>
      <c r="W102" s="14"/>
      <c r="X102" s="14"/>
      <c r="Y102" s="14"/>
      <c r="Z102" s="14"/>
      <c r="AA102" s="14"/>
    </row>
    <row r="103">
      <c r="A103" s="65"/>
      <c r="B103" s="65"/>
      <c r="C103" s="14"/>
      <c r="D103" s="14"/>
      <c r="E103" s="14"/>
      <c r="F103" s="65"/>
      <c r="G103" s="65"/>
      <c r="H103" s="65"/>
      <c r="I103" s="65"/>
      <c r="J103" s="65"/>
      <c r="K103" s="65"/>
      <c r="L103" s="65"/>
      <c r="M103" s="65"/>
      <c r="N103" s="65"/>
      <c r="O103" s="65"/>
      <c r="P103" s="14"/>
      <c r="Q103" s="14"/>
      <c r="R103" s="14"/>
      <c r="S103" s="14"/>
      <c r="T103" s="14"/>
      <c r="U103" s="14"/>
      <c r="V103" s="14"/>
      <c r="W103" s="14"/>
      <c r="X103" s="14"/>
      <c r="Y103" s="14"/>
      <c r="Z103" s="14"/>
      <c r="AA103" s="14"/>
    </row>
    <row r="104">
      <c r="A104" s="65"/>
      <c r="B104" s="65"/>
      <c r="C104" s="14"/>
      <c r="D104" s="14"/>
      <c r="E104" s="14"/>
      <c r="F104" s="65"/>
      <c r="G104" s="65"/>
      <c r="H104" s="65"/>
      <c r="I104" s="65"/>
      <c r="J104" s="65"/>
      <c r="K104" s="65"/>
      <c r="L104" s="65"/>
      <c r="M104" s="65"/>
      <c r="N104" s="65"/>
      <c r="O104" s="65"/>
      <c r="P104" s="14"/>
      <c r="Q104" s="14"/>
      <c r="R104" s="14"/>
      <c r="S104" s="14"/>
      <c r="T104" s="14"/>
      <c r="U104" s="14"/>
      <c r="V104" s="14"/>
      <c r="W104" s="14"/>
      <c r="X104" s="14"/>
      <c r="Y104" s="14"/>
      <c r="Z104" s="14"/>
      <c r="AA104" s="14"/>
    </row>
    <row r="105">
      <c r="A105" s="65"/>
      <c r="B105" s="65"/>
      <c r="C105" s="14"/>
      <c r="D105" s="14"/>
      <c r="E105" s="14"/>
      <c r="F105" s="65"/>
      <c r="G105" s="65"/>
      <c r="H105" s="65"/>
      <c r="I105" s="65"/>
      <c r="J105" s="65"/>
      <c r="K105" s="65"/>
      <c r="L105" s="65"/>
      <c r="M105" s="65"/>
      <c r="N105" s="65"/>
      <c r="O105" s="65"/>
      <c r="P105" s="14"/>
      <c r="Q105" s="14"/>
      <c r="R105" s="14"/>
      <c r="S105" s="14"/>
      <c r="T105" s="14"/>
      <c r="U105" s="14"/>
      <c r="V105" s="14"/>
      <c r="W105" s="14"/>
      <c r="X105" s="14"/>
      <c r="Y105" s="14"/>
      <c r="Z105" s="14"/>
      <c r="AA105" s="14"/>
    </row>
    <row r="106">
      <c r="A106" s="65"/>
      <c r="B106" s="65"/>
      <c r="C106" s="14"/>
      <c r="D106" s="14"/>
      <c r="E106" s="14"/>
      <c r="F106" s="65"/>
      <c r="G106" s="65"/>
      <c r="H106" s="65"/>
      <c r="I106" s="65"/>
      <c r="J106" s="65"/>
      <c r="K106" s="65"/>
      <c r="L106" s="65"/>
      <c r="M106" s="65"/>
      <c r="N106" s="65"/>
      <c r="O106" s="65"/>
      <c r="P106" s="14"/>
      <c r="Q106" s="14"/>
      <c r="R106" s="14"/>
      <c r="S106" s="14"/>
      <c r="T106" s="14"/>
      <c r="U106" s="14"/>
      <c r="V106" s="14"/>
      <c r="W106" s="14"/>
      <c r="X106" s="14"/>
      <c r="Y106" s="14"/>
      <c r="Z106" s="14"/>
      <c r="AA106" s="14"/>
    </row>
    <row r="107">
      <c r="A107" s="65"/>
      <c r="B107" s="65"/>
      <c r="C107" s="14"/>
      <c r="D107" s="14"/>
      <c r="E107" s="14"/>
      <c r="F107" s="65"/>
      <c r="G107" s="65"/>
      <c r="H107" s="65"/>
      <c r="I107" s="65"/>
      <c r="J107" s="65"/>
      <c r="K107" s="65"/>
      <c r="L107" s="65"/>
      <c r="M107" s="65"/>
      <c r="N107" s="65"/>
      <c r="O107" s="65"/>
      <c r="P107" s="14"/>
      <c r="Q107" s="14"/>
      <c r="R107" s="14"/>
      <c r="S107" s="14"/>
      <c r="T107" s="14"/>
      <c r="U107" s="14"/>
      <c r="V107" s="14"/>
      <c r="W107" s="14"/>
      <c r="X107" s="14"/>
      <c r="Y107" s="14"/>
      <c r="Z107" s="14"/>
      <c r="AA107" s="14"/>
    </row>
    <row r="108">
      <c r="A108" s="65"/>
      <c r="B108" s="65"/>
      <c r="C108" s="14"/>
      <c r="D108" s="14"/>
      <c r="E108" s="14"/>
      <c r="F108" s="65"/>
      <c r="G108" s="65"/>
      <c r="H108" s="65"/>
      <c r="I108" s="65"/>
      <c r="J108" s="65"/>
      <c r="K108" s="65"/>
      <c r="L108" s="65"/>
      <c r="M108" s="65"/>
      <c r="N108" s="65"/>
      <c r="O108" s="65"/>
      <c r="P108" s="14"/>
      <c r="Q108" s="14"/>
      <c r="R108" s="14"/>
      <c r="S108" s="14"/>
      <c r="T108" s="14"/>
      <c r="U108" s="14"/>
      <c r="V108" s="14"/>
      <c r="W108" s="14"/>
      <c r="X108" s="14"/>
      <c r="Y108" s="14"/>
      <c r="Z108" s="14"/>
      <c r="AA108" s="14"/>
    </row>
    <row r="109">
      <c r="A109" s="65"/>
      <c r="B109" s="65"/>
      <c r="C109" s="14"/>
      <c r="D109" s="14"/>
      <c r="E109" s="14"/>
      <c r="F109" s="65"/>
      <c r="G109" s="65"/>
      <c r="H109" s="65"/>
      <c r="I109" s="65"/>
      <c r="J109" s="65"/>
      <c r="K109" s="65"/>
      <c r="L109" s="65"/>
      <c r="M109" s="65"/>
      <c r="N109" s="65"/>
      <c r="O109" s="65"/>
      <c r="P109" s="14"/>
      <c r="Q109" s="14"/>
      <c r="R109" s="14"/>
      <c r="S109" s="14"/>
      <c r="T109" s="14"/>
      <c r="U109" s="14"/>
      <c r="V109" s="14"/>
      <c r="W109" s="14"/>
      <c r="X109" s="14"/>
      <c r="Y109" s="14"/>
      <c r="Z109" s="14"/>
      <c r="AA109" s="14"/>
    </row>
    <row r="110">
      <c r="A110" s="65"/>
      <c r="B110" s="65"/>
      <c r="C110" s="14"/>
      <c r="D110" s="14"/>
      <c r="E110" s="14"/>
      <c r="F110" s="65"/>
      <c r="G110" s="65"/>
      <c r="H110" s="65"/>
      <c r="I110" s="65"/>
      <c r="J110" s="65"/>
      <c r="K110" s="65"/>
      <c r="L110" s="65"/>
      <c r="M110" s="65"/>
      <c r="N110" s="65"/>
      <c r="O110" s="65"/>
      <c r="P110" s="14"/>
      <c r="Q110" s="14"/>
      <c r="R110" s="14"/>
      <c r="S110" s="14"/>
      <c r="T110" s="14"/>
      <c r="U110" s="14"/>
      <c r="V110" s="14"/>
      <c r="W110" s="14"/>
      <c r="X110" s="14"/>
      <c r="Y110" s="14"/>
      <c r="Z110" s="14"/>
      <c r="AA110" s="14"/>
    </row>
    <row r="111">
      <c r="A111" s="65"/>
      <c r="B111" s="65"/>
      <c r="C111" s="14"/>
      <c r="D111" s="14"/>
      <c r="E111" s="14"/>
      <c r="F111" s="65"/>
      <c r="G111" s="65"/>
      <c r="H111" s="65"/>
      <c r="I111" s="65"/>
      <c r="J111" s="65"/>
      <c r="K111" s="65"/>
      <c r="L111" s="65"/>
      <c r="M111" s="65"/>
      <c r="N111" s="65"/>
      <c r="O111" s="65"/>
      <c r="P111" s="14"/>
      <c r="Q111" s="14"/>
      <c r="R111" s="14"/>
      <c r="S111" s="14"/>
      <c r="T111" s="14"/>
      <c r="U111" s="14"/>
      <c r="V111" s="14"/>
      <c r="W111" s="14"/>
      <c r="X111" s="14"/>
      <c r="Y111" s="14"/>
      <c r="Z111" s="14"/>
      <c r="AA111" s="14"/>
    </row>
    <row r="112">
      <c r="A112" s="65"/>
      <c r="B112" s="65"/>
      <c r="C112" s="14"/>
      <c r="D112" s="14"/>
      <c r="E112" s="14"/>
      <c r="F112" s="65"/>
      <c r="G112" s="65"/>
      <c r="H112" s="65"/>
      <c r="I112" s="65"/>
      <c r="J112" s="65"/>
      <c r="K112" s="65"/>
      <c r="L112" s="65"/>
      <c r="M112" s="65"/>
      <c r="N112" s="65"/>
      <c r="O112" s="65"/>
      <c r="P112" s="14"/>
      <c r="Q112" s="14"/>
      <c r="R112" s="14"/>
      <c r="S112" s="14"/>
      <c r="T112" s="14"/>
      <c r="U112" s="14"/>
      <c r="V112" s="14"/>
      <c r="W112" s="14"/>
      <c r="X112" s="14"/>
      <c r="Y112" s="14"/>
      <c r="Z112" s="14"/>
      <c r="AA112" s="14"/>
    </row>
    <row r="113">
      <c r="A113" s="65"/>
      <c r="B113" s="65"/>
      <c r="C113" s="14"/>
      <c r="D113" s="14"/>
      <c r="E113" s="14"/>
      <c r="F113" s="65"/>
      <c r="G113" s="65"/>
      <c r="H113" s="65"/>
      <c r="I113" s="65"/>
      <c r="J113" s="65"/>
      <c r="K113" s="65"/>
      <c r="L113" s="65"/>
      <c r="M113" s="65"/>
      <c r="N113" s="65"/>
      <c r="O113" s="65"/>
      <c r="P113" s="14"/>
      <c r="Q113" s="14"/>
      <c r="R113" s="14"/>
      <c r="S113" s="14"/>
      <c r="T113" s="14"/>
      <c r="U113" s="14"/>
      <c r="V113" s="14"/>
      <c r="W113" s="14"/>
      <c r="X113" s="14"/>
      <c r="Y113" s="14"/>
      <c r="Z113" s="14"/>
      <c r="AA113" s="14"/>
    </row>
    <row r="114">
      <c r="A114" s="65"/>
      <c r="B114" s="65"/>
      <c r="C114" s="14"/>
      <c r="D114" s="14"/>
      <c r="E114" s="14"/>
      <c r="F114" s="65"/>
      <c r="G114" s="65"/>
      <c r="H114" s="65"/>
      <c r="I114" s="65"/>
      <c r="J114" s="65"/>
      <c r="K114" s="65"/>
      <c r="L114" s="65"/>
      <c r="M114" s="65"/>
      <c r="N114" s="65"/>
      <c r="O114" s="65"/>
      <c r="P114" s="14"/>
      <c r="Q114" s="14"/>
      <c r="R114" s="14"/>
      <c r="S114" s="14"/>
      <c r="T114" s="14"/>
      <c r="U114" s="14"/>
      <c r="V114" s="14"/>
      <c r="W114" s="14"/>
      <c r="X114" s="14"/>
      <c r="Y114" s="14"/>
      <c r="Z114" s="14"/>
      <c r="AA114" s="14"/>
    </row>
    <row r="115">
      <c r="A115" s="65"/>
      <c r="B115" s="65"/>
      <c r="C115" s="14"/>
      <c r="D115" s="14"/>
      <c r="E115" s="14"/>
      <c r="F115" s="65"/>
      <c r="G115" s="65"/>
      <c r="H115" s="65"/>
      <c r="I115" s="65"/>
      <c r="J115" s="65"/>
      <c r="K115" s="65"/>
      <c r="L115" s="65"/>
      <c r="M115" s="65"/>
      <c r="N115" s="65"/>
      <c r="O115" s="65"/>
      <c r="P115" s="14"/>
      <c r="Q115" s="14"/>
      <c r="R115" s="14"/>
      <c r="S115" s="14"/>
      <c r="T115" s="14"/>
      <c r="U115" s="14"/>
      <c r="V115" s="14"/>
      <c r="W115" s="14"/>
      <c r="X115" s="14"/>
      <c r="Y115" s="14"/>
      <c r="Z115" s="14"/>
      <c r="AA115" s="14"/>
    </row>
    <row r="116">
      <c r="A116" s="65"/>
      <c r="B116" s="65"/>
      <c r="C116" s="14"/>
      <c r="D116" s="14"/>
      <c r="E116" s="14"/>
      <c r="F116" s="65"/>
      <c r="G116" s="65"/>
      <c r="H116" s="65"/>
      <c r="I116" s="65"/>
      <c r="J116" s="65"/>
      <c r="K116" s="65"/>
      <c r="L116" s="65"/>
      <c r="M116" s="65"/>
      <c r="N116" s="65"/>
      <c r="O116" s="65"/>
      <c r="P116" s="14"/>
      <c r="Q116" s="14"/>
      <c r="R116" s="14"/>
      <c r="S116" s="14"/>
      <c r="T116" s="14"/>
      <c r="U116" s="14"/>
      <c r="V116" s="14"/>
      <c r="W116" s="14"/>
      <c r="X116" s="14"/>
      <c r="Y116" s="14"/>
      <c r="Z116" s="14"/>
      <c r="AA116" s="14"/>
    </row>
    <row r="117">
      <c r="A117" s="65"/>
      <c r="B117" s="65"/>
      <c r="C117" s="14"/>
      <c r="D117" s="14"/>
      <c r="E117" s="14"/>
      <c r="F117" s="65"/>
      <c r="G117" s="65"/>
      <c r="H117" s="65"/>
      <c r="I117" s="65"/>
      <c r="J117" s="65"/>
      <c r="K117" s="65"/>
      <c r="L117" s="65"/>
      <c r="M117" s="65"/>
      <c r="N117" s="65"/>
      <c r="O117" s="65"/>
      <c r="P117" s="14"/>
      <c r="Q117" s="14"/>
      <c r="R117" s="14"/>
      <c r="S117" s="14"/>
      <c r="T117" s="14"/>
      <c r="U117" s="14"/>
      <c r="V117" s="14"/>
      <c r="W117" s="14"/>
      <c r="X117" s="14"/>
      <c r="Y117" s="14"/>
      <c r="Z117" s="14"/>
      <c r="AA117" s="14"/>
    </row>
    <row r="118">
      <c r="A118" s="65"/>
      <c r="B118" s="65"/>
      <c r="C118" s="14"/>
      <c r="D118" s="14"/>
      <c r="E118" s="14"/>
      <c r="F118" s="65"/>
      <c r="G118" s="65"/>
      <c r="H118" s="65"/>
      <c r="I118" s="65"/>
      <c r="J118" s="65"/>
      <c r="K118" s="65"/>
      <c r="L118" s="65"/>
      <c r="M118" s="65"/>
      <c r="N118" s="65"/>
      <c r="O118" s="65"/>
      <c r="P118" s="14"/>
      <c r="Q118" s="14"/>
      <c r="R118" s="14"/>
      <c r="S118" s="14"/>
      <c r="T118" s="14"/>
      <c r="U118" s="14"/>
      <c r="V118" s="14"/>
      <c r="W118" s="14"/>
      <c r="X118" s="14"/>
      <c r="Y118" s="14"/>
      <c r="Z118" s="14"/>
      <c r="AA118" s="14"/>
    </row>
    <row r="119">
      <c r="A119" s="65"/>
      <c r="B119" s="65"/>
      <c r="C119" s="14"/>
      <c r="D119" s="14"/>
      <c r="E119" s="14"/>
      <c r="F119" s="65"/>
      <c r="G119" s="65"/>
      <c r="H119" s="65"/>
      <c r="I119" s="65"/>
      <c r="J119" s="65"/>
      <c r="K119" s="65"/>
      <c r="L119" s="65"/>
      <c r="M119" s="65"/>
      <c r="N119" s="65"/>
      <c r="O119" s="65"/>
      <c r="P119" s="14"/>
      <c r="Q119" s="14"/>
      <c r="R119" s="14"/>
      <c r="S119" s="14"/>
      <c r="T119" s="14"/>
      <c r="U119" s="14"/>
      <c r="V119" s="14"/>
      <c r="W119" s="14"/>
      <c r="X119" s="14"/>
      <c r="Y119" s="14"/>
      <c r="Z119" s="14"/>
      <c r="AA119" s="14"/>
    </row>
    <row r="120">
      <c r="A120" s="65"/>
      <c r="B120" s="65"/>
      <c r="C120" s="14"/>
      <c r="D120" s="14"/>
      <c r="E120" s="14"/>
      <c r="F120" s="65"/>
      <c r="G120" s="65"/>
      <c r="H120" s="65"/>
      <c r="I120" s="65"/>
      <c r="J120" s="65"/>
      <c r="K120" s="65"/>
      <c r="L120" s="65"/>
      <c r="M120" s="65"/>
      <c r="N120" s="65"/>
      <c r="O120" s="65"/>
      <c r="P120" s="14"/>
      <c r="Q120" s="14"/>
      <c r="R120" s="14"/>
      <c r="S120" s="14"/>
      <c r="T120" s="14"/>
      <c r="U120" s="14"/>
      <c r="V120" s="14"/>
      <c r="W120" s="14"/>
      <c r="X120" s="14"/>
      <c r="Y120" s="14"/>
      <c r="Z120" s="14"/>
      <c r="AA120" s="14"/>
    </row>
    <row r="121">
      <c r="A121" s="65"/>
      <c r="B121" s="65"/>
      <c r="C121" s="14"/>
      <c r="D121" s="14"/>
      <c r="E121" s="14"/>
      <c r="F121" s="65"/>
      <c r="G121" s="65"/>
      <c r="H121" s="65"/>
      <c r="I121" s="65"/>
      <c r="J121" s="65"/>
      <c r="K121" s="65"/>
      <c r="L121" s="65"/>
      <c r="M121" s="65"/>
      <c r="N121" s="65"/>
      <c r="O121" s="65"/>
      <c r="P121" s="14"/>
      <c r="Q121" s="14"/>
      <c r="R121" s="14"/>
      <c r="S121" s="14"/>
      <c r="T121" s="14"/>
      <c r="U121" s="14"/>
      <c r="V121" s="14"/>
      <c r="W121" s="14"/>
      <c r="X121" s="14"/>
      <c r="Y121" s="14"/>
      <c r="Z121" s="14"/>
      <c r="AA121" s="14"/>
    </row>
    <row r="122">
      <c r="A122" s="65"/>
      <c r="B122" s="65"/>
      <c r="C122" s="14"/>
      <c r="D122" s="14"/>
      <c r="E122" s="14"/>
      <c r="F122" s="65"/>
      <c r="G122" s="65"/>
      <c r="H122" s="65"/>
      <c r="I122" s="65"/>
      <c r="J122" s="65"/>
      <c r="K122" s="65"/>
      <c r="L122" s="65"/>
      <c r="M122" s="65"/>
      <c r="N122" s="65"/>
      <c r="O122" s="65"/>
      <c r="P122" s="14"/>
      <c r="Q122" s="14"/>
      <c r="R122" s="14"/>
      <c r="S122" s="14"/>
      <c r="T122" s="14"/>
      <c r="U122" s="14"/>
      <c r="V122" s="14"/>
      <c r="W122" s="14"/>
      <c r="X122" s="14"/>
      <c r="Y122" s="14"/>
      <c r="Z122" s="14"/>
      <c r="AA122" s="14"/>
    </row>
    <row r="123">
      <c r="A123" s="65"/>
      <c r="B123" s="65"/>
      <c r="C123" s="14"/>
      <c r="D123" s="14"/>
      <c r="E123" s="14"/>
      <c r="F123" s="65"/>
      <c r="G123" s="65"/>
      <c r="H123" s="65"/>
      <c r="I123" s="65"/>
      <c r="J123" s="65"/>
      <c r="K123" s="65"/>
      <c r="L123" s="65"/>
      <c r="M123" s="65"/>
      <c r="N123" s="65"/>
      <c r="O123" s="65"/>
      <c r="P123" s="14"/>
      <c r="Q123" s="14"/>
      <c r="R123" s="14"/>
      <c r="S123" s="14"/>
      <c r="T123" s="14"/>
      <c r="U123" s="14"/>
      <c r="V123" s="14"/>
      <c r="W123" s="14"/>
      <c r="X123" s="14"/>
      <c r="Y123" s="14"/>
      <c r="Z123" s="14"/>
      <c r="AA123" s="14"/>
    </row>
    <row r="124">
      <c r="A124" s="65"/>
      <c r="B124" s="65"/>
      <c r="C124" s="14"/>
      <c r="D124" s="14"/>
      <c r="E124" s="14"/>
      <c r="F124" s="65"/>
      <c r="G124" s="65"/>
      <c r="H124" s="65"/>
      <c r="I124" s="65"/>
      <c r="J124" s="65"/>
      <c r="K124" s="65"/>
      <c r="L124" s="65"/>
      <c r="M124" s="65"/>
      <c r="N124" s="65"/>
      <c r="O124" s="65"/>
      <c r="P124" s="14"/>
      <c r="Q124" s="14"/>
      <c r="R124" s="14"/>
      <c r="S124" s="14"/>
      <c r="T124" s="14"/>
      <c r="U124" s="14"/>
      <c r="V124" s="14"/>
      <c r="W124" s="14"/>
      <c r="X124" s="14"/>
      <c r="Y124" s="14"/>
      <c r="Z124" s="14"/>
      <c r="AA124" s="14"/>
    </row>
    <row r="125">
      <c r="A125" s="65"/>
      <c r="B125" s="65"/>
      <c r="C125" s="14"/>
      <c r="D125" s="14"/>
      <c r="E125" s="14"/>
      <c r="F125" s="65"/>
      <c r="G125" s="65"/>
      <c r="H125" s="65"/>
      <c r="I125" s="65"/>
      <c r="J125" s="65"/>
      <c r="K125" s="65"/>
      <c r="L125" s="65"/>
      <c r="M125" s="65"/>
      <c r="N125" s="65"/>
      <c r="O125" s="65"/>
      <c r="P125" s="14"/>
      <c r="Q125" s="14"/>
      <c r="R125" s="14"/>
      <c r="S125" s="14"/>
      <c r="T125" s="14"/>
      <c r="U125" s="14"/>
      <c r="V125" s="14"/>
      <c r="W125" s="14"/>
      <c r="X125" s="14"/>
      <c r="Y125" s="14"/>
      <c r="Z125" s="14"/>
      <c r="AA125" s="14"/>
    </row>
    <row r="126">
      <c r="A126" s="65"/>
      <c r="B126" s="65"/>
      <c r="C126" s="14"/>
      <c r="D126" s="14"/>
      <c r="E126" s="14"/>
      <c r="F126" s="65"/>
      <c r="G126" s="65"/>
      <c r="H126" s="65"/>
      <c r="I126" s="65"/>
      <c r="J126" s="65"/>
      <c r="K126" s="65"/>
      <c r="L126" s="65"/>
      <c r="M126" s="65"/>
      <c r="N126" s="65"/>
      <c r="O126" s="65"/>
      <c r="P126" s="14"/>
      <c r="Q126" s="14"/>
      <c r="R126" s="14"/>
      <c r="S126" s="14"/>
      <c r="T126" s="14"/>
      <c r="U126" s="14"/>
      <c r="V126" s="14"/>
      <c r="W126" s="14"/>
      <c r="X126" s="14"/>
      <c r="Y126" s="14"/>
      <c r="Z126" s="14"/>
      <c r="AA126" s="14"/>
    </row>
    <row r="127">
      <c r="A127" s="65"/>
      <c r="B127" s="65"/>
      <c r="C127" s="14"/>
      <c r="D127" s="14"/>
      <c r="E127" s="14"/>
      <c r="F127" s="65"/>
      <c r="G127" s="65"/>
      <c r="H127" s="65"/>
      <c r="I127" s="65"/>
      <c r="J127" s="65"/>
      <c r="K127" s="65"/>
      <c r="L127" s="65"/>
      <c r="M127" s="65"/>
      <c r="N127" s="65"/>
      <c r="O127" s="65"/>
      <c r="P127" s="14"/>
      <c r="Q127" s="14"/>
      <c r="R127" s="14"/>
      <c r="S127" s="14"/>
      <c r="T127" s="14"/>
      <c r="U127" s="14"/>
      <c r="V127" s="14"/>
      <c r="W127" s="14"/>
      <c r="X127" s="14"/>
      <c r="Y127" s="14"/>
      <c r="Z127" s="14"/>
      <c r="AA127" s="14"/>
    </row>
    <row r="128">
      <c r="A128" s="65"/>
      <c r="B128" s="65"/>
      <c r="C128" s="14"/>
      <c r="D128" s="14"/>
      <c r="E128" s="14"/>
      <c r="F128" s="65"/>
      <c r="G128" s="65"/>
      <c r="H128" s="65"/>
      <c r="I128" s="65"/>
      <c r="J128" s="65"/>
      <c r="K128" s="65"/>
      <c r="L128" s="65"/>
      <c r="M128" s="65"/>
      <c r="N128" s="65"/>
      <c r="O128" s="65"/>
      <c r="P128" s="14"/>
      <c r="Q128" s="14"/>
      <c r="R128" s="14"/>
      <c r="S128" s="14"/>
      <c r="T128" s="14"/>
      <c r="U128" s="14"/>
      <c r="V128" s="14"/>
      <c r="W128" s="14"/>
      <c r="X128" s="14"/>
      <c r="Y128" s="14"/>
      <c r="Z128" s="14"/>
      <c r="AA128" s="14"/>
    </row>
    <row r="129">
      <c r="A129" s="65"/>
      <c r="B129" s="65"/>
      <c r="C129" s="14"/>
      <c r="D129" s="14"/>
      <c r="E129" s="14"/>
      <c r="F129" s="65"/>
      <c r="G129" s="65"/>
      <c r="H129" s="65"/>
      <c r="I129" s="65"/>
      <c r="J129" s="65"/>
      <c r="K129" s="65"/>
      <c r="L129" s="65"/>
      <c r="M129" s="65"/>
      <c r="N129" s="65"/>
      <c r="O129" s="65"/>
      <c r="P129" s="14"/>
      <c r="Q129" s="14"/>
      <c r="R129" s="14"/>
      <c r="S129" s="14"/>
      <c r="T129" s="14"/>
      <c r="U129" s="14"/>
      <c r="V129" s="14"/>
      <c r="W129" s="14"/>
      <c r="X129" s="14"/>
      <c r="Y129" s="14"/>
      <c r="Z129" s="14"/>
      <c r="AA129" s="14"/>
    </row>
    <row r="130">
      <c r="A130" s="65"/>
      <c r="B130" s="65"/>
      <c r="C130" s="14"/>
      <c r="D130" s="14"/>
      <c r="E130" s="14"/>
      <c r="F130" s="65"/>
      <c r="G130" s="65"/>
      <c r="H130" s="65"/>
      <c r="I130" s="65"/>
      <c r="J130" s="65"/>
      <c r="K130" s="65"/>
      <c r="L130" s="65"/>
      <c r="M130" s="65"/>
      <c r="N130" s="65"/>
      <c r="O130" s="65"/>
      <c r="P130" s="14"/>
      <c r="Q130" s="14"/>
      <c r="R130" s="14"/>
      <c r="S130" s="14"/>
      <c r="T130" s="14"/>
      <c r="U130" s="14"/>
      <c r="V130" s="14"/>
      <c r="W130" s="14"/>
      <c r="X130" s="14"/>
      <c r="Y130" s="14"/>
      <c r="Z130" s="14"/>
      <c r="AA130" s="14"/>
    </row>
    <row r="131">
      <c r="A131" s="65"/>
      <c r="B131" s="65"/>
      <c r="C131" s="14"/>
      <c r="D131" s="14"/>
      <c r="E131" s="14"/>
      <c r="F131" s="65"/>
      <c r="G131" s="65"/>
      <c r="H131" s="65"/>
      <c r="I131" s="65"/>
      <c r="J131" s="65"/>
      <c r="K131" s="65"/>
      <c r="L131" s="65"/>
      <c r="M131" s="65"/>
      <c r="N131" s="65"/>
      <c r="O131" s="65"/>
      <c r="P131" s="14"/>
      <c r="Q131" s="14"/>
      <c r="R131" s="14"/>
      <c r="S131" s="14"/>
      <c r="T131" s="14"/>
      <c r="U131" s="14"/>
      <c r="V131" s="14"/>
      <c r="W131" s="14"/>
      <c r="X131" s="14"/>
      <c r="Y131" s="14"/>
      <c r="Z131" s="14"/>
      <c r="AA131" s="14"/>
    </row>
    <row r="132">
      <c r="A132" s="65"/>
      <c r="B132" s="65"/>
      <c r="C132" s="14"/>
      <c r="D132" s="14"/>
      <c r="E132" s="14"/>
      <c r="F132" s="65"/>
      <c r="G132" s="65"/>
      <c r="H132" s="65"/>
      <c r="I132" s="65"/>
      <c r="J132" s="65"/>
      <c r="K132" s="65"/>
      <c r="L132" s="65"/>
      <c r="M132" s="65"/>
      <c r="N132" s="65"/>
      <c r="O132" s="65"/>
      <c r="P132" s="14"/>
      <c r="Q132" s="14"/>
      <c r="R132" s="14"/>
      <c r="S132" s="14"/>
      <c r="T132" s="14"/>
      <c r="U132" s="14"/>
      <c r="V132" s="14"/>
      <c r="W132" s="14"/>
      <c r="X132" s="14"/>
      <c r="Y132" s="14"/>
      <c r="Z132" s="14"/>
      <c r="AA132" s="14"/>
    </row>
    <row r="133">
      <c r="A133" s="65"/>
      <c r="B133" s="65"/>
      <c r="C133" s="14"/>
      <c r="D133" s="14"/>
      <c r="E133" s="14"/>
      <c r="F133" s="65"/>
      <c r="G133" s="65"/>
      <c r="H133" s="65"/>
      <c r="I133" s="65"/>
      <c r="J133" s="65"/>
      <c r="K133" s="65"/>
      <c r="L133" s="65"/>
      <c r="M133" s="65"/>
      <c r="N133" s="65"/>
      <c r="O133" s="65"/>
      <c r="P133" s="14"/>
      <c r="Q133" s="14"/>
      <c r="R133" s="14"/>
      <c r="S133" s="14"/>
      <c r="T133" s="14"/>
      <c r="U133" s="14"/>
      <c r="V133" s="14"/>
      <c r="W133" s="14"/>
      <c r="X133" s="14"/>
      <c r="Y133" s="14"/>
      <c r="Z133" s="14"/>
      <c r="AA133" s="14"/>
    </row>
    <row r="134">
      <c r="A134" s="65"/>
      <c r="B134" s="65"/>
      <c r="C134" s="14"/>
      <c r="D134" s="14"/>
      <c r="E134" s="14"/>
      <c r="F134" s="65"/>
      <c r="G134" s="65"/>
      <c r="H134" s="65"/>
      <c r="I134" s="65"/>
      <c r="J134" s="65"/>
      <c r="K134" s="65"/>
      <c r="L134" s="65"/>
      <c r="M134" s="65"/>
      <c r="N134" s="65"/>
      <c r="O134" s="65"/>
      <c r="P134" s="14"/>
      <c r="Q134" s="14"/>
      <c r="R134" s="14"/>
      <c r="S134" s="14"/>
      <c r="T134" s="14"/>
      <c r="U134" s="14"/>
      <c r="V134" s="14"/>
      <c r="W134" s="14"/>
      <c r="X134" s="14"/>
      <c r="Y134" s="14"/>
      <c r="Z134" s="14"/>
      <c r="AA134" s="14"/>
    </row>
    <row r="135">
      <c r="A135" s="65"/>
      <c r="B135" s="65"/>
      <c r="C135" s="14"/>
      <c r="D135" s="14"/>
      <c r="E135" s="14"/>
      <c r="F135" s="65"/>
      <c r="G135" s="65"/>
      <c r="H135" s="65"/>
      <c r="I135" s="65"/>
      <c r="J135" s="65"/>
      <c r="K135" s="65"/>
      <c r="L135" s="65"/>
      <c r="M135" s="65"/>
      <c r="N135" s="65"/>
      <c r="O135" s="65"/>
      <c r="P135" s="14"/>
      <c r="Q135" s="14"/>
      <c r="R135" s="14"/>
      <c r="S135" s="14"/>
      <c r="T135" s="14"/>
      <c r="U135" s="14"/>
      <c r="V135" s="14"/>
      <c r="W135" s="14"/>
      <c r="X135" s="14"/>
      <c r="Y135" s="14"/>
      <c r="Z135" s="14"/>
      <c r="AA135" s="14"/>
    </row>
    <row r="136">
      <c r="A136" s="65"/>
      <c r="B136" s="65"/>
      <c r="C136" s="14"/>
      <c r="D136" s="14"/>
      <c r="E136" s="14"/>
      <c r="F136" s="65"/>
      <c r="G136" s="65"/>
      <c r="H136" s="65"/>
      <c r="I136" s="65"/>
      <c r="J136" s="65"/>
      <c r="K136" s="65"/>
      <c r="L136" s="65"/>
      <c r="M136" s="65"/>
      <c r="N136" s="65"/>
      <c r="O136" s="65"/>
      <c r="P136" s="14"/>
      <c r="Q136" s="14"/>
      <c r="R136" s="14"/>
      <c r="S136" s="14"/>
      <c r="T136" s="14"/>
      <c r="U136" s="14"/>
      <c r="V136" s="14"/>
      <c r="W136" s="14"/>
      <c r="X136" s="14"/>
      <c r="Y136" s="14"/>
      <c r="Z136" s="14"/>
      <c r="AA136" s="14"/>
    </row>
    <row r="137">
      <c r="A137" s="65"/>
      <c r="B137" s="65"/>
      <c r="C137" s="14"/>
      <c r="D137" s="14"/>
      <c r="E137" s="14"/>
      <c r="F137" s="65"/>
      <c r="G137" s="65"/>
      <c r="H137" s="65"/>
      <c r="I137" s="65"/>
      <c r="J137" s="65"/>
      <c r="K137" s="65"/>
      <c r="L137" s="65"/>
      <c r="M137" s="65"/>
      <c r="N137" s="65"/>
      <c r="O137" s="65"/>
      <c r="P137" s="14"/>
      <c r="Q137" s="14"/>
      <c r="R137" s="14"/>
      <c r="S137" s="14"/>
      <c r="T137" s="14"/>
      <c r="U137" s="14"/>
      <c r="V137" s="14"/>
      <c r="W137" s="14"/>
      <c r="X137" s="14"/>
      <c r="Y137" s="14"/>
      <c r="Z137" s="14"/>
      <c r="AA137" s="14"/>
    </row>
    <row r="138">
      <c r="A138" s="65"/>
      <c r="B138" s="65"/>
      <c r="C138" s="14"/>
      <c r="D138" s="14"/>
      <c r="E138" s="14"/>
      <c r="F138" s="65"/>
      <c r="G138" s="65"/>
      <c r="H138" s="65"/>
      <c r="I138" s="65"/>
      <c r="J138" s="65"/>
      <c r="K138" s="65"/>
      <c r="L138" s="65"/>
      <c r="M138" s="65"/>
      <c r="N138" s="65"/>
      <c r="O138" s="65"/>
      <c r="P138" s="14"/>
      <c r="Q138" s="14"/>
      <c r="R138" s="14"/>
      <c r="S138" s="14"/>
      <c r="T138" s="14"/>
      <c r="U138" s="14"/>
      <c r="V138" s="14"/>
      <c r="W138" s="14"/>
      <c r="X138" s="14"/>
      <c r="Y138" s="14"/>
      <c r="Z138" s="14"/>
      <c r="AA138" s="14"/>
    </row>
    <row r="139">
      <c r="A139" s="65"/>
      <c r="B139" s="65"/>
      <c r="C139" s="14"/>
      <c r="D139" s="14"/>
      <c r="E139" s="14"/>
      <c r="F139" s="65"/>
      <c r="G139" s="65"/>
      <c r="H139" s="65"/>
      <c r="I139" s="65"/>
      <c r="J139" s="65"/>
      <c r="K139" s="65"/>
      <c r="L139" s="65"/>
      <c r="M139" s="65"/>
      <c r="N139" s="65"/>
      <c r="O139" s="65"/>
      <c r="P139" s="14"/>
      <c r="Q139" s="14"/>
      <c r="R139" s="14"/>
      <c r="S139" s="14"/>
      <c r="T139" s="14"/>
      <c r="U139" s="14"/>
      <c r="V139" s="14"/>
      <c r="W139" s="14"/>
      <c r="X139" s="14"/>
      <c r="Y139" s="14"/>
      <c r="Z139" s="14"/>
      <c r="AA139" s="14"/>
    </row>
    <row r="140">
      <c r="A140" s="65"/>
      <c r="B140" s="65"/>
      <c r="C140" s="14"/>
      <c r="D140" s="14"/>
      <c r="E140" s="14"/>
      <c r="F140" s="65"/>
      <c r="G140" s="65"/>
      <c r="H140" s="65"/>
      <c r="I140" s="65"/>
      <c r="J140" s="65"/>
      <c r="K140" s="65"/>
      <c r="L140" s="65"/>
      <c r="M140" s="65"/>
      <c r="N140" s="65"/>
      <c r="O140" s="65"/>
      <c r="P140" s="14"/>
      <c r="Q140" s="14"/>
      <c r="R140" s="14"/>
      <c r="S140" s="14"/>
      <c r="T140" s="14"/>
      <c r="U140" s="14"/>
      <c r="V140" s="14"/>
      <c r="W140" s="14"/>
      <c r="X140" s="14"/>
      <c r="Y140" s="14"/>
      <c r="Z140" s="14"/>
      <c r="AA140" s="14"/>
    </row>
    <row r="141">
      <c r="A141" s="65"/>
      <c r="B141" s="65"/>
      <c r="C141" s="14"/>
      <c r="D141" s="14"/>
      <c r="E141" s="14"/>
      <c r="F141" s="65"/>
      <c r="G141" s="65"/>
      <c r="H141" s="65"/>
      <c r="I141" s="65"/>
      <c r="J141" s="65"/>
      <c r="K141" s="65"/>
      <c r="L141" s="65"/>
      <c r="M141" s="65"/>
      <c r="N141" s="65"/>
      <c r="O141" s="65"/>
      <c r="P141" s="14"/>
      <c r="Q141" s="14"/>
      <c r="R141" s="14"/>
      <c r="S141" s="14"/>
      <c r="T141" s="14"/>
      <c r="U141" s="14"/>
      <c r="V141" s="14"/>
      <c r="W141" s="14"/>
      <c r="X141" s="14"/>
      <c r="Y141" s="14"/>
      <c r="Z141" s="14"/>
      <c r="AA141" s="14"/>
    </row>
    <row r="142">
      <c r="A142" s="65"/>
      <c r="B142" s="65"/>
      <c r="C142" s="14"/>
      <c r="D142" s="14"/>
      <c r="E142" s="14"/>
      <c r="F142" s="65"/>
      <c r="G142" s="65"/>
      <c r="H142" s="65"/>
      <c r="I142" s="65"/>
      <c r="J142" s="65"/>
      <c r="K142" s="65"/>
      <c r="L142" s="65"/>
      <c r="M142" s="65"/>
      <c r="N142" s="65"/>
      <c r="O142" s="65"/>
      <c r="P142" s="14"/>
      <c r="Q142" s="14"/>
      <c r="R142" s="14"/>
      <c r="S142" s="14"/>
      <c r="T142" s="14"/>
      <c r="U142" s="14"/>
      <c r="V142" s="14"/>
      <c r="W142" s="14"/>
      <c r="X142" s="14"/>
      <c r="Y142" s="14"/>
      <c r="Z142" s="14"/>
      <c r="AA142" s="14"/>
    </row>
    <row r="143">
      <c r="A143" s="65"/>
      <c r="B143" s="65"/>
      <c r="C143" s="14"/>
      <c r="D143" s="14"/>
      <c r="E143" s="14"/>
      <c r="F143" s="65"/>
      <c r="G143" s="65"/>
      <c r="H143" s="65"/>
      <c r="I143" s="65"/>
      <c r="J143" s="65"/>
      <c r="K143" s="65"/>
      <c r="L143" s="65"/>
      <c r="M143" s="65"/>
      <c r="N143" s="65"/>
      <c r="O143" s="65"/>
      <c r="P143" s="14"/>
      <c r="Q143" s="14"/>
      <c r="R143" s="14"/>
      <c r="S143" s="14"/>
      <c r="T143" s="14"/>
      <c r="U143" s="14"/>
      <c r="V143" s="14"/>
      <c r="W143" s="14"/>
      <c r="X143" s="14"/>
      <c r="Y143" s="14"/>
      <c r="Z143" s="14"/>
      <c r="AA143" s="14"/>
    </row>
    <row r="144">
      <c r="A144" s="65"/>
      <c r="B144" s="65"/>
      <c r="C144" s="14"/>
      <c r="D144" s="14"/>
      <c r="E144" s="14"/>
      <c r="F144" s="65"/>
      <c r="G144" s="65"/>
      <c r="H144" s="65"/>
      <c r="I144" s="65"/>
      <c r="J144" s="65"/>
      <c r="K144" s="65"/>
      <c r="L144" s="65"/>
      <c r="M144" s="65"/>
      <c r="N144" s="65"/>
      <c r="O144" s="65"/>
      <c r="P144" s="14"/>
      <c r="Q144" s="14"/>
      <c r="R144" s="14"/>
      <c r="S144" s="14"/>
      <c r="T144" s="14"/>
      <c r="U144" s="14"/>
      <c r="V144" s="14"/>
      <c r="W144" s="14"/>
      <c r="X144" s="14"/>
      <c r="Y144" s="14"/>
      <c r="Z144" s="14"/>
      <c r="AA144" s="14"/>
    </row>
    <row r="145">
      <c r="A145" s="65"/>
      <c r="B145" s="65"/>
      <c r="C145" s="14"/>
      <c r="D145" s="14"/>
      <c r="E145" s="14"/>
      <c r="F145" s="65"/>
      <c r="G145" s="65"/>
      <c r="H145" s="65"/>
      <c r="I145" s="65"/>
      <c r="J145" s="65"/>
      <c r="K145" s="65"/>
      <c r="L145" s="65"/>
      <c r="M145" s="65"/>
      <c r="N145" s="65"/>
      <c r="O145" s="65"/>
      <c r="P145" s="14"/>
      <c r="Q145" s="14"/>
      <c r="R145" s="14"/>
      <c r="S145" s="14"/>
      <c r="T145" s="14"/>
      <c r="U145" s="14"/>
      <c r="V145" s="14"/>
      <c r="W145" s="14"/>
      <c r="X145" s="14"/>
      <c r="Y145" s="14"/>
      <c r="Z145" s="14"/>
      <c r="AA145" s="14"/>
    </row>
    <row r="146">
      <c r="A146" s="65"/>
      <c r="B146" s="65"/>
      <c r="C146" s="14"/>
      <c r="D146" s="14"/>
      <c r="E146" s="14"/>
      <c r="F146" s="65"/>
      <c r="G146" s="65"/>
      <c r="H146" s="65"/>
      <c r="I146" s="65"/>
      <c r="J146" s="65"/>
      <c r="K146" s="65"/>
      <c r="L146" s="65"/>
      <c r="M146" s="65"/>
      <c r="N146" s="65"/>
      <c r="O146" s="65"/>
      <c r="P146" s="14"/>
      <c r="Q146" s="14"/>
      <c r="R146" s="14"/>
      <c r="S146" s="14"/>
      <c r="T146" s="14"/>
      <c r="U146" s="14"/>
      <c r="V146" s="14"/>
      <c r="W146" s="14"/>
      <c r="X146" s="14"/>
      <c r="Y146" s="14"/>
      <c r="Z146" s="14"/>
      <c r="AA146" s="14"/>
    </row>
    <row r="147">
      <c r="A147" s="65"/>
      <c r="B147" s="65"/>
      <c r="C147" s="14"/>
      <c r="D147" s="14"/>
      <c r="E147" s="14"/>
      <c r="F147" s="65"/>
      <c r="G147" s="65"/>
      <c r="H147" s="65"/>
      <c r="I147" s="65"/>
      <c r="J147" s="65"/>
      <c r="K147" s="65"/>
      <c r="L147" s="65"/>
      <c r="M147" s="65"/>
      <c r="N147" s="65"/>
      <c r="O147" s="65"/>
      <c r="P147" s="14"/>
      <c r="Q147" s="14"/>
      <c r="R147" s="14"/>
      <c r="S147" s="14"/>
      <c r="T147" s="14"/>
      <c r="U147" s="14"/>
      <c r="V147" s="14"/>
      <c r="W147" s="14"/>
      <c r="X147" s="14"/>
      <c r="Y147" s="14"/>
      <c r="Z147" s="14"/>
      <c r="AA147" s="14"/>
    </row>
    <row r="148">
      <c r="A148" s="65"/>
      <c r="B148" s="65"/>
      <c r="C148" s="14"/>
      <c r="D148" s="14"/>
      <c r="E148" s="14"/>
      <c r="F148" s="65"/>
      <c r="G148" s="65"/>
      <c r="H148" s="65"/>
      <c r="I148" s="65"/>
      <c r="J148" s="65"/>
      <c r="K148" s="65"/>
      <c r="L148" s="65"/>
      <c r="M148" s="65"/>
      <c r="N148" s="65"/>
      <c r="O148" s="65"/>
      <c r="P148" s="14"/>
      <c r="Q148" s="14"/>
      <c r="R148" s="14"/>
      <c r="S148" s="14"/>
      <c r="T148" s="14"/>
      <c r="U148" s="14"/>
      <c r="V148" s="14"/>
      <c r="W148" s="14"/>
      <c r="X148" s="14"/>
      <c r="Y148" s="14"/>
      <c r="Z148" s="14"/>
      <c r="AA148" s="14"/>
    </row>
    <row r="149">
      <c r="A149" s="65"/>
      <c r="B149" s="65"/>
      <c r="C149" s="14"/>
      <c r="D149" s="14"/>
      <c r="E149" s="14"/>
      <c r="F149" s="65"/>
      <c r="G149" s="65"/>
      <c r="H149" s="65"/>
      <c r="I149" s="65"/>
      <c r="J149" s="65"/>
      <c r="K149" s="65"/>
      <c r="L149" s="65"/>
      <c r="M149" s="65"/>
      <c r="N149" s="65"/>
      <c r="O149" s="65"/>
      <c r="P149" s="14"/>
      <c r="Q149" s="14"/>
      <c r="R149" s="14"/>
      <c r="S149" s="14"/>
      <c r="T149" s="14"/>
      <c r="U149" s="14"/>
      <c r="V149" s="14"/>
      <c r="W149" s="14"/>
      <c r="X149" s="14"/>
      <c r="Y149" s="14"/>
      <c r="Z149" s="14"/>
      <c r="AA149" s="14"/>
    </row>
    <row r="150">
      <c r="A150" s="65"/>
      <c r="B150" s="65"/>
      <c r="C150" s="14"/>
      <c r="D150" s="14"/>
      <c r="E150" s="14"/>
      <c r="F150" s="65"/>
      <c r="G150" s="65"/>
      <c r="H150" s="65"/>
      <c r="I150" s="65"/>
      <c r="J150" s="65"/>
      <c r="K150" s="65"/>
      <c r="L150" s="65"/>
      <c r="M150" s="65"/>
      <c r="N150" s="65"/>
      <c r="O150" s="65"/>
      <c r="P150" s="14"/>
      <c r="Q150" s="14"/>
      <c r="R150" s="14"/>
      <c r="S150" s="14"/>
      <c r="T150" s="14"/>
      <c r="U150" s="14"/>
      <c r="V150" s="14"/>
      <c r="W150" s="14"/>
      <c r="X150" s="14"/>
      <c r="Y150" s="14"/>
      <c r="Z150" s="14"/>
      <c r="AA150" s="14"/>
    </row>
    <row r="151">
      <c r="A151" s="65"/>
      <c r="B151" s="65"/>
      <c r="C151" s="14"/>
      <c r="D151" s="14"/>
      <c r="E151" s="14"/>
      <c r="F151" s="65"/>
      <c r="G151" s="65"/>
      <c r="H151" s="65"/>
      <c r="I151" s="65"/>
      <c r="J151" s="65"/>
      <c r="K151" s="65"/>
      <c r="L151" s="65"/>
      <c r="M151" s="65"/>
      <c r="N151" s="65"/>
      <c r="O151" s="65"/>
      <c r="P151" s="14"/>
      <c r="Q151" s="14"/>
      <c r="R151" s="14"/>
      <c r="S151" s="14"/>
      <c r="T151" s="14"/>
      <c r="U151" s="14"/>
      <c r="V151" s="14"/>
      <c r="W151" s="14"/>
      <c r="X151" s="14"/>
      <c r="Y151" s="14"/>
      <c r="Z151" s="14"/>
      <c r="AA151" s="14"/>
    </row>
    <row r="152">
      <c r="A152" s="65"/>
      <c r="B152" s="65"/>
      <c r="C152" s="14"/>
      <c r="D152" s="14"/>
      <c r="E152" s="14"/>
      <c r="F152" s="65"/>
      <c r="G152" s="65"/>
      <c r="H152" s="65"/>
      <c r="I152" s="65"/>
      <c r="J152" s="65"/>
      <c r="K152" s="65"/>
      <c r="L152" s="65"/>
      <c r="M152" s="65"/>
      <c r="N152" s="65"/>
      <c r="O152" s="65"/>
      <c r="P152" s="14"/>
      <c r="Q152" s="14"/>
      <c r="R152" s="14"/>
      <c r="S152" s="14"/>
      <c r="T152" s="14"/>
      <c r="U152" s="14"/>
      <c r="V152" s="14"/>
      <c r="W152" s="14"/>
      <c r="X152" s="14"/>
      <c r="Y152" s="14"/>
      <c r="Z152" s="14"/>
      <c r="AA152" s="14"/>
    </row>
    <row r="153">
      <c r="A153" s="65"/>
      <c r="B153" s="65"/>
      <c r="C153" s="14"/>
      <c r="D153" s="14"/>
      <c r="E153" s="14"/>
      <c r="F153" s="65"/>
      <c r="G153" s="65"/>
      <c r="H153" s="65"/>
      <c r="I153" s="65"/>
      <c r="J153" s="65"/>
      <c r="K153" s="65"/>
      <c r="L153" s="65"/>
      <c r="M153" s="65"/>
      <c r="N153" s="65"/>
      <c r="O153" s="65"/>
      <c r="P153" s="14"/>
      <c r="Q153" s="14"/>
      <c r="R153" s="14"/>
      <c r="S153" s="14"/>
      <c r="T153" s="14"/>
      <c r="U153" s="14"/>
      <c r="V153" s="14"/>
      <c r="W153" s="14"/>
      <c r="X153" s="14"/>
      <c r="Y153" s="14"/>
      <c r="Z153" s="14"/>
      <c r="AA153" s="14"/>
    </row>
    <row r="154">
      <c r="A154" s="65"/>
      <c r="B154" s="65"/>
      <c r="C154" s="14"/>
      <c r="D154" s="14"/>
      <c r="E154" s="14"/>
      <c r="F154" s="65"/>
      <c r="G154" s="65"/>
      <c r="H154" s="65"/>
      <c r="I154" s="65"/>
      <c r="J154" s="65"/>
      <c r="K154" s="65"/>
      <c r="L154" s="65"/>
      <c r="M154" s="65"/>
      <c r="N154" s="65"/>
      <c r="O154" s="65"/>
      <c r="P154" s="14"/>
      <c r="Q154" s="14"/>
      <c r="R154" s="14"/>
      <c r="S154" s="14"/>
      <c r="T154" s="14"/>
      <c r="U154" s="14"/>
      <c r="V154" s="14"/>
      <c r="W154" s="14"/>
      <c r="X154" s="14"/>
      <c r="Y154" s="14"/>
      <c r="Z154" s="14"/>
      <c r="AA154" s="14"/>
    </row>
    <row r="155">
      <c r="A155" s="65"/>
      <c r="B155" s="65"/>
      <c r="C155" s="14"/>
      <c r="D155" s="14"/>
      <c r="E155" s="14"/>
      <c r="F155" s="65"/>
      <c r="G155" s="65"/>
      <c r="H155" s="65"/>
      <c r="I155" s="65"/>
      <c r="J155" s="65"/>
      <c r="K155" s="65"/>
      <c r="L155" s="65"/>
      <c r="M155" s="65"/>
      <c r="N155" s="65"/>
      <c r="O155" s="65"/>
      <c r="P155" s="14"/>
      <c r="Q155" s="14"/>
      <c r="R155" s="14"/>
      <c r="S155" s="14"/>
      <c r="T155" s="14"/>
      <c r="U155" s="14"/>
      <c r="V155" s="14"/>
      <c r="W155" s="14"/>
      <c r="X155" s="14"/>
      <c r="Y155" s="14"/>
      <c r="Z155" s="14"/>
      <c r="AA155" s="14"/>
    </row>
    <row r="156">
      <c r="A156" s="65"/>
      <c r="B156" s="65"/>
      <c r="C156" s="14"/>
      <c r="D156" s="14"/>
      <c r="E156" s="14"/>
      <c r="F156" s="65"/>
      <c r="G156" s="65"/>
      <c r="H156" s="65"/>
      <c r="I156" s="65"/>
      <c r="J156" s="65"/>
      <c r="K156" s="65"/>
      <c r="L156" s="65"/>
      <c r="M156" s="65"/>
      <c r="N156" s="65"/>
      <c r="O156" s="65"/>
      <c r="P156" s="14"/>
      <c r="Q156" s="14"/>
      <c r="R156" s="14"/>
      <c r="S156" s="14"/>
      <c r="T156" s="14"/>
      <c r="U156" s="14"/>
      <c r="V156" s="14"/>
      <c r="W156" s="14"/>
      <c r="X156" s="14"/>
      <c r="Y156" s="14"/>
      <c r="Z156" s="14"/>
      <c r="AA156" s="14"/>
    </row>
    <row r="157">
      <c r="A157" s="65"/>
      <c r="B157" s="65"/>
      <c r="C157" s="14"/>
      <c r="D157" s="14"/>
      <c r="E157" s="14"/>
      <c r="F157" s="65"/>
      <c r="G157" s="65"/>
      <c r="H157" s="65"/>
      <c r="I157" s="65"/>
      <c r="J157" s="65"/>
      <c r="K157" s="65"/>
      <c r="L157" s="65"/>
      <c r="M157" s="65"/>
      <c r="N157" s="65"/>
      <c r="O157" s="65"/>
      <c r="P157" s="14"/>
      <c r="Q157" s="14"/>
      <c r="R157" s="14"/>
      <c r="S157" s="14"/>
      <c r="T157" s="14"/>
      <c r="U157" s="14"/>
      <c r="V157" s="14"/>
      <c r="W157" s="14"/>
      <c r="X157" s="14"/>
      <c r="Y157" s="14"/>
      <c r="Z157" s="14"/>
      <c r="AA157" s="14"/>
    </row>
    <row r="158">
      <c r="A158" s="65"/>
      <c r="B158" s="65"/>
      <c r="C158" s="14"/>
      <c r="D158" s="14"/>
      <c r="E158" s="14"/>
      <c r="F158" s="65"/>
      <c r="G158" s="65"/>
      <c r="H158" s="65"/>
      <c r="I158" s="65"/>
      <c r="J158" s="65"/>
      <c r="K158" s="65"/>
      <c r="L158" s="65"/>
      <c r="M158" s="65"/>
      <c r="N158" s="65"/>
      <c r="O158" s="65"/>
      <c r="P158" s="14"/>
      <c r="Q158" s="14"/>
      <c r="R158" s="14"/>
      <c r="S158" s="14"/>
      <c r="T158" s="14"/>
      <c r="U158" s="14"/>
      <c r="V158" s="14"/>
      <c r="W158" s="14"/>
      <c r="X158" s="14"/>
      <c r="Y158" s="14"/>
      <c r="Z158" s="14"/>
      <c r="AA158" s="14"/>
    </row>
    <row r="159">
      <c r="A159" s="65"/>
      <c r="B159" s="65"/>
      <c r="C159" s="14"/>
      <c r="D159" s="14"/>
      <c r="E159" s="14"/>
      <c r="F159" s="65"/>
      <c r="G159" s="65"/>
      <c r="H159" s="65"/>
      <c r="I159" s="65"/>
      <c r="J159" s="65"/>
      <c r="K159" s="65"/>
      <c r="L159" s="65"/>
      <c r="M159" s="65"/>
      <c r="N159" s="65"/>
      <c r="O159" s="65"/>
      <c r="P159" s="14"/>
      <c r="Q159" s="14"/>
      <c r="R159" s="14"/>
      <c r="S159" s="14"/>
      <c r="T159" s="14"/>
      <c r="U159" s="14"/>
      <c r="V159" s="14"/>
      <c r="W159" s="14"/>
      <c r="X159" s="14"/>
      <c r="Y159" s="14"/>
      <c r="Z159" s="14"/>
      <c r="AA159" s="14"/>
    </row>
    <row r="160">
      <c r="A160" s="65"/>
      <c r="B160" s="65"/>
      <c r="C160" s="14"/>
      <c r="D160" s="14"/>
      <c r="E160" s="14"/>
      <c r="F160" s="65"/>
      <c r="G160" s="65"/>
      <c r="H160" s="65"/>
      <c r="I160" s="65"/>
      <c r="J160" s="65"/>
      <c r="K160" s="65"/>
      <c r="L160" s="65"/>
      <c r="M160" s="65"/>
      <c r="N160" s="65"/>
      <c r="O160" s="65"/>
      <c r="P160" s="14"/>
      <c r="Q160" s="14"/>
      <c r="R160" s="14"/>
      <c r="S160" s="14"/>
      <c r="T160" s="14"/>
      <c r="U160" s="14"/>
      <c r="V160" s="14"/>
      <c r="W160" s="14"/>
      <c r="X160" s="14"/>
      <c r="Y160" s="14"/>
      <c r="Z160" s="14"/>
      <c r="AA160" s="14"/>
    </row>
    <row r="161">
      <c r="A161" s="65"/>
      <c r="B161" s="65"/>
      <c r="C161" s="14"/>
      <c r="D161" s="14"/>
      <c r="E161" s="14"/>
      <c r="F161" s="65"/>
      <c r="G161" s="65"/>
      <c r="H161" s="65"/>
      <c r="I161" s="65"/>
      <c r="J161" s="65"/>
      <c r="K161" s="65"/>
      <c r="L161" s="65"/>
      <c r="M161" s="65"/>
      <c r="N161" s="65"/>
      <c r="O161" s="65"/>
      <c r="P161" s="14"/>
      <c r="Q161" s="14"/>
      <c r="R161" s="14"/>
      <c r="S161" s="14"/>
      <c r="T161" s="14"/>
      <c r="U161" s="14"/>
      <c r="V161" s="14"/>
      <c r="W161" s="14"/>
      <c r="X161" s="14"/>
      <c r="Y161" s="14"/>
      <c r="Z161" s="14"/>
      <c r="AA161" s="14"/>
    </row>
    <row r="162">
      <c r="A162" s="65"/>
      <c r="B162" s="65"/>
      <c r="C162" s="14"/>
      <c r="D162" s="14"/>
      <c r="E162" s="14"/>
      <c r="F162" s="65"/>
      <c r="G162" s="65"/>
      <c r="H162" s="65"/>
      <c r="I162" s="65"/>
      <c r="J162" s="65"/>
      <c r="K162" s="65"/>
      <c r="L162" s="65"/>
      <c r="M162" s="65"/>
      <c r="N162" s="65"/>
      <c r="O162" s="65"/>
      <c r="P162" s="14"/>
      <c r="Q162" s="14"/>
      <c r="R162" s="14"/>
      <c r="S162" s="14"/>
      <c r="T162" s="14"/>
      <c r="U162" s="14"/>
      <c r="V162" s="14"/>
      <c r="W162" s="14"/>
      <c r="X162" s="14"/>
      <c r="Y162" s="14"/>
      <c r="Z162" s="14"/>
      <c r="AA162" s="14"/>
    </row>
    <row r="163">
      <c r="A163" s="65"/>
      <c r="B163" s="65"/>
      <c r="C163" s="14"/>
      <c r="D163" s="14"/>
      <c r="E163" s="14"/>
      <c r="F163" s="65"/>
      <c r="G163" s="65"/>
      <c r="H163" s="65"/>
      <c r="I163" s="65"/>
      <c r="J163" s="65"/>
      <c r="K163" s="65"/>
      <c r="L163" s="65"/>
      <c r="M163" s="65"/>
      <c r="N163" s="65"/>
      <c r="O163" s="65"/>
      <c r="P163" s="14"/>
      <c r="Q163" s="14"/>
      <c r="R163" s="14"/>
      <c r="S163" s="14"/>
      <c r="T163" s="14"/>
      <c r="U163" s="14"/>
      <c r="V163" s="14"/>
      <c r="W163" s="14"/>
      <c r="X163" s="14"/>
      <c r="Y163" s="14"/>
      <c r="Z163" s="14"/>
      <c r="AA163" s="14"/>
    </row>
    <row r="164">
      <c r="A164" s="65"/>
      <c r="B164" s="65"/>
      <c r="C164" s="14"/>
      <c r="D164" s="14"/>
      <c r="E164" s="14"/>
      <c r="F164" s="65"/>
      <c r="G164" s="65"/>
      <c r="H164" s="65"/>
      <c r="I164" s="65"/>
      <c r="J164" s="65"/>
      <c r="K164" s="65"/>
      <c r="L164" s="65"/>
      <c r="M164" s="65"/>
      <c r="N164" s="65"/>
      <c r="O164" s="65"/>
      <c r="P164" s="14"/>
      <c r="Q164" s="14"/>
      <c r="R164" s="14"/>
      <c r="S164" s="14"/>
      <c r="T164" s="14"/>
      <c r="U164" s="14"/>
      <c r="V164" s="14"/>
      <c r="W164" s="14"/>
      <c r="X164" s="14"/>
      <c r="Y164" s="14"/>
      <c r="Z164" s="14"/>
      <c r="AA164" s="14"/>
    </row>
    <row r="165">
      <c r="A165" s="65"/>
      <c r="B165" s="65"/>
      <c r="C165" s="14"/>
      <c r="D165" s="14"/>
      <c r="E165" s="14"/>
      <c r="F165" s="65"/>
      <c r="G165" s="65"/>
      <c r="H165" s="65"/>
      <c r="I165" s="65"/>
      <c r="J165" s="65"/>
      <c r="K165" s="65"/>
      <c r="L165" s="65"/>
      <c r="M165" s="65"/>
      <c r="N165" s="65"/>
      <c r="O165" s="65"/>
      <c r="P165" s="14"/>
      <c r="Q165" s="14"/>
      <c r="R165" s="14"/>
      <c r="S165" s="14"/>
      <c r="T165" s="14"/>
      <c r="U165" s="14"/>
      <c r="V165" s="14"/>
      <c r="W165" s="14"/>
      <c r="X165" s="14"/>
      <c r="Y165" s="14"/>
      <c r="Z165" s="14"/>
      <c r="AA165" s="14"/>
    </row>
    <row r="166">
      <c r="A166" s="65"/>
      <c r="B166" s="65"/>
      <c r="C166" s="14"/>
      <c r="D166" s="14"/>
      <c r="E166" s="14"/>
      <c r="F166" s="65"/>
      <c r="G166" s="65"/>
      <c r="H166" s="65"/>
      <c r="I166" s="65"/>
      <c r="J166" s="65"/>
      <c r="K166" s="65"/>
      <c r="L166" s="65"/>
      <c r="M166" s="65"/>
      <c r="N166" s="65"/>
      <c r="O166" s="65"/>
      <c r="P166" s="14"/>
      <c r="Q166" s="14"/>
      <c r="R166" s="14"/>
      <c r="S166" s="14"/>
      <c r="T166" s="14"/>
      <c r="U166" s="14"/>
      <c r="V166" s="14"/>
      <c r="W166" s="14"/>
      <c r="X166" s="14"/>
      <c r="Y166" s="14"/>
      <c r="Z166" s="14"/>
      <c r="AA166" s="14"/>
    </row>
    <row r="167">
      <c r="A167" s="65"/>
      <c r="B167" s="65"/>
      <c r="C167" s="14"/>
      <c r="D167" s="14"/>
      <c r="E167" s="14"/>
      <c r="F167" s="65"/>
      <c r="G167" s="65"/>
      <c r="H167" s="65"/>
      <c r="I167" s="65"/>
      <c r="J167" s="65"/>
      <c r="K167" s="65"/>
      <c r="L167" s="65"/>
      <c r="M167" s="65"/>
      <c r="N167" s="65"/>
      <c r="O167" s="65"/>
      <c r="P167" s="14"/>
      <c r="Q167" s="14"/>
      <c r="R167" s="14"/>
      <c r="S167" s="14"/>
      <c r="T167" s="14"/>
      <c r="U167" s="14"/>
      <c r="V167" s="14"/>
      <c r="W167" s="14"/>
      <c r="X167" s="14"/>
      <c r="Y167" s="14"/>
      <c r="Z167" s="14"/>
      <c r="AA167" s="14"/>
    </row>
    <row r="168">
      <c r="A168" s="65"/>
      <c r="B168" s="65"/>
      <c r="C168" s="14"/>
      <c r="D168" s="14"/>
      <c r="E168" s="14"/>
      <c r="F168" s="65"/>
      <c r="G168" s="65"/>
      <c r="H168" s="65"/>
      <c r="I168" s="65"/>
      <c r="J168" s="65"/>
      <c r="K168" s="65"/>
      <c r="L168" s="65"/>
      <c r="M168" s="65"/>
      <c r="N168" s="65"/>
      <c r="O168" s="65"/>
      <c r="P168" s="14"/>
      <c r="Q168" s="14"/>
      <c r="R168" s="14"/>
      <c r="S168" s="14"/>
      <c r="T168" s="14"/>
      <c r="U168" s="14"/>
      <c r="V168" s="14"/>
      <c r="W168" s="14"/>
      <c r="X168" s="14"/>
      <c r="Y168" s="14"/>
      <c r="Z168" s="14"/>
      <c r="AA168" s="14"/>
    </row>
    <row r="169">
      <c r="A169" s="65"/>
      <c r="B169" s="65"/>
      <c r="C169" s="14"/>
      <c r="D169" s="14"/>
      <c r="E169" s="14"/>
      <c r="F169" s="65"/>
      <c r="G169" s="65"/>
      <c r="H169" s="65"/>
      <c r="I169" s="65"/>
      <c r="J169" s="65"/>
      <c r="K169" s="65"/>
      <c r="L169" s="65"/>
      <c r="M169" s="65"/>
      <c r="N169" s="65"/>
      <c r="O169" s="65"/>
      <c r="P169" s="14"/>
      <c r="Q169" s="14"/>
      <c r="R169" s="14"/>
      <c r="S169" s="14"/>
      <c r="T169" s="14"/>
      <c r="U169" s="14"/>
      <c r="V169" s="14"/>
      <c r="W169" s="14"/>
      <c r="X169" s="14"/>
      <c r="Y169" s="14"/>
      <c r="Z169" s="14"/>
      <c r="AA169" s="14"/>
    </row>
    <row r="170">
      <c r="A170" s="65"/>
      <c r="B170" s="65"/>
      <c r="C170" s="14"/>
      <c r="D170" s="14"/>
      <c r="E170" s="14"/>
      <c r="F170" s="65"/>
      <c r="G170" s="65"/>
      <c r="H170" s="65"/>
      <c r="I170" s="65"/>
      <c r="J170" s="65"/>
      <c r="K170" s="65"/>
      <c r="L170" s="65"/>
      <c r="M170" s="65"/>
      <c r="N170" s="65"/>
      <c r="O170" s="65"/>
      <c r="P170" s="14"/>
      <c r="Q170" s="14"/>
      <c r="R170" s="14"/>
      <c r="S170" s="14"/>
      <c r="T170" s="14"/>
      <c r="U170" s="14"/>
      <c r="V170" s="14"/>
      <c r="W170" s="14"/>
      <c r="X170" s="14"/>
      <c r="Y170" s="14"/>
      <c r="Z170" s="14"/>
      <c r="AA170" s="14"/>
    </row>
    <row r="171">
      <c r="A171" s="65"/>
      <c r="B171" s="65"/>
      <c r="C171" s="14"/>
      <c r="D171" s="14"/>
      <c r="E171" s="14"/>
      <c r="F171" s="65"/>
      <c r="G171" s="65"/>
      <c r="H171" s="65"/>
      <c r="I171" s="65"/>
      <c r="J171" s="65"/>
      <c r="K171" s="65"/>
      <c r="L171" s="65"/>
      <c r="M171" s="65"/>
      <c r="N171" s="65"/>
      <c r="O171" s="65"/>
      <c r="P171" s="14"/>
      <c r="Q171" s="14"/>
      <c r="R171" s="14"/>
      <c r="S171" s="14"/>
      <c r="T171" s="14"/>
      <c r="U171" s="14"/>
      <c r="V171" s="14"/>
      <c r="W171" s="14"/>
      <c r="X171" s="14"/>
      <c r="Y171" s="14"/>
      <c r="Z171" s="14"/>
      <c r="AA171" s="14"/>
    </row>
    <row r="172">
      <c r="A172" s="65"/>
      <c r="B172" s="65"/>
      <c r="C172" s="14"/>
      <c r="D172" s="14"/>
      <c r="E172" s="14"/>
      <c r="F172" s="65"/>
      <c r="G172" s="65"/>
      <c r="H172" s="65"/>
      <c r="I172" s="65"/>
      <c r="J172" s="65"/>
      <c r="K172" s="65"/>
      <c r="L172" s="65"/>
      <c r="M172" s="65"/>
      <c r="N172" s="65"/>
      <c r="O172" s="65"/>
      <c r="P172" s="14"/>
      <c r="Q172" s="14"/>
      <c r="R172" s="14"/>
      <c r="S172" s="14"/>
      <c r="T172" s="14"/>
      <c r="U172" s="14"/>
      <c r="V172" s="14"/>
      <c r="W172" s="14"/>
      <c r="X172" s="14"/>
      <c r="Y172" s="14"/>
      <c r="Z172" s="14"/>
      <c r="AA172" s="14"/>
    </row>
    <row r="173">
      <c r="A173" s="65"/>
      <c r="B173" s="65"/>
      <c r="C173" s="14"/>
      <c r="D173" s="14"/>
      <c r="E173" s="14"/>
      <c r="F173" s="65"/>
      <c r="G173" s="65"/>
      <c r="H173" s="65"/>
      <c r="I173" s="65"/>
      <c r="J173" s="65"/>
      <c r="K173" s="65"/>
      <c r="L173" s="65"/>
      <c r="M173" s="65"/>
      <c r="N173" s="65"/>
      <c r="O173" s="65"/>
      <c r="P173" s="14"/>
      <c r="Q173" s="14"/>
      <c r="R173" s="14"/>
      <c r="S173" s="14"/>
      <c r="T173" s="14"/>
      <c r="U173" s="14"/>
      <c r="V173" s="14"/>
      <c r="W173" s="14"/>
      <c r="X173" s="14"/>
      <c r="Y173" s="14"/>
      <c r="Z173" s="14"/>
      <c r="AA173" s="14"/>
    </row>
    <row r="174">
      <c r="A174" s="65"/>
      <c r="B174" s="65"/>
      <c r="C174" s="14"/>
      <c r="D174" s="14"/>
      <c r="E174" s="14"/>
      <c r="F174" s="65"/>
      <c r="G174" s="65"/>
      <c r="H174" s="65"/>
      <c r="I174" s="65"/>
      <c r="J174" s="65"/>
      <c r="K174" s="65"/>
      <c r="L174" s="65"/>
      <c r="M174" s="65"/>
      <c r="N174" s="65"/>
      <c r="O174" s="65"/>
      <c r="P174" s="14"/>
      <c r="Q174" s="14"/>
      <c r="R174" s="14"/>
      <c r="S174" s="14"/>
      <c r="T174" s="14"/>
      <c r="U174" s="14"/>
      <c r="V174" s="14"/>
      <c r="W174" s="14"/>
      <c r="X174" s="14"/>
      <c r="Y174" s="14"/>
      <c r="Z174" s="14"/>
      <c r="AA174" s="14"/>
    </row>
    <row r="175">
      <c r="A175" s="65"/>
      <c r="B175" s="65"/>
      <c r="C175" s="14"/>
      <c r="D175" s="14"/>
      <c r="E175" s="14"/>
      <c r="F175" s="65"/>
      <c r="G175" s="65"/>
      <c r="H175" s="65"/>
      <c r="I175" s="65"/>
      <c r="J175" s="65"/>
      <c r="K175" s="65"/>
      <c r="L175" s="65"/>
      <c r="M175" s="65"/>
      <c r="N175" s="65"/>
      <c r="O175" s="65"/>
      <c r="P175" s="14"/>
      <c r="Q175" s="14"/>
      <c r="R175" s="14"/>
      <c r="S175" s="14"/>
      <c r="T175" s="14"/>
      <c r="U175" s="14"/>
      <c r="V175" s="14"/>
      <c r="W175" s="14"/>
      <c r="X175" s="14"/>
      <c r="Y175" s="14"/>
      <c r="Z175" s="14"/>
      <c r="AA175" s="14"/>
    </row>
    <row r="176">
      <c r="A176" s="65"/>
      <c r="B176" s="65"/>
      <c r="C176" s="14"/>
      <c r="D176" s="14"/>
      <c r="E176" s="14"/>
      <c r="F176" s="65"/>
      <c r="G176" s="65"/>
      <c r="H176" s="65"/>
      <c r="I176" s="65"/>
      <c r="J176" s="65"/>
      <c r="K176" s="65"/>
      <c r="L176" s="65"/>
      <c r="M176" s="65"/>
      <c r="N176" s="65"/>
      <c r="O176" s="65"/>
      <c r="P176" s="14"/>
      <c r="Q176" s="14"/>
      <c r="R176" s="14"/>
      <c r="S176" s="14"/>
      <c r="T176" s="14"/>
      <c r="U176" s="14"/>
      <c r="V176" s="14"/>
      <c r="W176" s="14"/>
      <c r="X176" s="14"/>
      <c r="Y176" s="14"/>
      <c r="Z176" s="14"/>
      <c r="AA176" s="14"/>
    </row>
    <row r="177">
      <c r="A177" s="65"/>
      <c r="B177" s="65"/>
      <c r="C177" s="14"/>
      <c r="D177" s="14"/>
      <c r="E177" s="14"/>
      <c r="F177" s="65"/>
      <c r="G177" s="65"/>
      <c r="H177" s="65"/>
      <c r="I177" s="65"/>
      <c r="J177" s="65"/>
      <c r="K177" s="65"/>
      <c r="L177" s="65"/>
      <c r="M177" s="65"/>
      <c r="N177" s="65"/>
      <c r="O177" s="65"/>
      <c r="P177" s="14"/>
      <c r="Q177" s="14"/>
      <c r="R177" s="14"/>
      <c r="S177" s="14"/>
      <c r="T177" s="14"/>
      <c r="U177" s="14"/>
      <c r="V177" s="14"/>
      <c r="W177" s="14"/>
      <c r="X177" s="14"/>
      <c r="Y177" s="14"/>
      <c r="Z177" s="14"/>
      <c r="AA177" s="14"/>
    </row>
    <row r="178">
      <c r="A178" s="65"/>
      <c r="B178" s="65"/>
      <c r="C178" s="14"/>
      <c r="D178" s="14"/>
      <c r="E178" s="14"/>
      <c r="F178" s="65"/>
      <c r="G178" s="65"/>
      <c r="H178" s="65"/>
      <c r="I178" s="65"/>
      <c r="J178" s="65"/>
      <c r="K178" s="65"/>
      <c r="L178" s="65"/>
      <c r="M178" s="65"/>
      <c r="N178" s="65"/>
      <c r="O178" s="65"/>
      <c r="P178" s="14"/>
      <c r="Q178" s="14"/>
      <c r="R178" s="14"/>
      <c r="S178" s="14"/>
      <c r="T178" s="14"/>
      <c r="U178" s="14"/>
      <c r="V178" s="14"/>
      <c r="W178" s="14"/>
      <c r="X178" s="14"/>
      <c r="Y178" s="14"/>
      <c r="Z178" s="14"/>
      <c r="AA178" s="14"/>
    </row>
    <row r="179">
      <c r="A179" s="65"/>
      <c r="B179" s="65"/>
      <c r="C179" s="14"/>
      <c r="D179" s="14"/>
      <c r="E179" s="14"/>
      <c r="F179" s="65"/>
      <c r="G179" s="65"/>
      <c r="H179" s="65"/>
      <c r="I179" s="65"/>
      <c r="J179" s="65"/>
      <c r="K179" s="65"/>
      <c r="L179" s="65"/>
      <c r="M179" s="65"/>
      <c r="N179" s="65"/>
      <c r="O179" s="65"/>
      <c r="P179" s="14"/>
      <c r="Q179" s="14"/>
      <c r="R179" s="14"/>
      <c r="S179" s="14"/>
      <c r="T179" s="14"/>
      <c r="U179" s="14"/>
      <c r="V179" s="14"/>
      <c r="W179" s="14"/>
      <c r="X179" s="14"/>
      <c r="Y179" s="14"/>
      <c r="Z179" s="14"/>
      <c r="AA179" s="14"/>
    </row>
    <row r="180">
      <c r="A180" s="65"/>
      <c r="B180" s="65"/>
      <c r="C180" s="14"/>
      <c r="D180" s="14"/>
      <c r="E180" s="14"/>
      <c r="F180" s="65"/>
      <c r="G180" s="65"/>
      <c r="H180" s="65"/>
      <c r="I180" s="65"/>
      <c r="J180" s="65"/>
      <c r="K180" s="65"/>
      <c r="L180" s="65"/>
      <c r="M180" s="65"/>
      <c r="N180" s="65"/>
      <c r="O180" s="65"/>
      <c r="P180" s="14"/>
      <c r="Q180" s="14"/>
      <c r="R180" s="14"/>
      <c r="S180" s="14"/>
      <c r="T180" s="14"/>
      <c r="U180" s="14"/>
      <c r="V180" s="14"/>
      <c r="W180" s="14"/>
      <c r="X180" s="14"/>
      <c r="Y180" s="14"/>
      <c r="Z180" s="14"/>
      <c r="AA180" s="14"/>
    </row>
    <row r="181">
      <c r="A181" s="65"/>
      <c r="B181" s="65"/>
      <c r="C181" s="14"/>
      <c r="D181" s="14"/>
      <c r="E181" s="14"/>
      <c r="F181" s="65"/>
      <c r="G181" s="65"/>
      <c r="H181" s="65"/>
      <c r="I181" s="65"/>
      <c r="J181" s="65"/>
      <c r="K181" s="65"/>
      <c r="L181" s="65"/>
      <c r="M181" s="65"/>
      <c r="N181" s="65"/>
      <c r="O181" s="65"/>
      <c r="P181" s="14"/>
      <c r="Q181" s="14"/>
      <c r="R181" s="14"/>
      <c r="S181" s="14"/>
      <c r="T181" s="14"/>
      <c r="U181" s="14"/>
      <c r="V181" s="14"/>
      <c r="W181" s="14"/>
      <c r="X181" s="14"/>
      <c r="Y181" s="14"/>
      <c r="Z181" s="14"/>
      <c r="AA181" s="14"/>
    </row>
    <row r="182">
      <c r="A182" s="65"/>
      <c r="B182" s="65"/>
      <c r="C182" s="14"/>
      <c r="D182" s="14"/>
      <c r="E182" s="14"/>
      <c r="F182" s="65"/>
      <c r="G182" s="65"/>
      <c r="H182" s="65"/>
      <c r="I182" s="65"/>
      <c r="J182" s="65"/>
      <c r="K182" s="65"/>
      <c r="L182" s="65"/>
      <c r="M182" s="65"/>
      <c r="N182" s="65"/>
      <c r="O182" s="65"/>
      <c r="P182" s="14"/>
      <c r="Q182" s="14"/>
      <c r="R182" s="14"/>
      <c r="S182" s="14"/>
      <c r="T182" s="14"/>
      <c r="U182" s="14"/>
      <c r="V182" s="14"/>
      <c r="W182" s="14"/>
      <c r="X182" s="14"/>
      <c r="Y182" s="14"/>
      <c r="Z182" s="14"/>
      <c r="AA182" s="14"/>
    </row>
    <row r="183">
      <c r="A183" s="65"/>
      <c r="B183" s="65"/>
      <c r="C183" s="14"/>
      <c r="D183" s="14"/>
      <c r="E183" s="14"/>
      <c r="F183" s="65"/>
      <c r="G183" s="65"/>
      <c r="H183" s="65"/>
      <c r="I183" s="65"/>
      <c r="J183" s="65"/>
      <c r="K183" s="65"/>
      <c r="L183" s="65"/>
      <c r="M183" s="65"/>
      <c r="N183" s="65"/>
      <c r="O183" s="65"/>
      <c r="P183" s="14"/>
      <c r="Q183" s="14"/>
      <c r="R183" s="14"/>
      <c r="S183" s="14"/>
      <c r="T183" s="14"/>
      <c r="U183" s="14"/>
      <c r="V183" s="14"/>
      <c r="W183" s="14"/>
      <c r="X183" s="14"/>
      <c r="Y183" s="14"/>
      <c r="Z183" s="14"/>
      <c r="AA183" s="14"/>
    </row>
    <row r="184">
      <c r="A184" s="65"/>
      <c r="B184" s="65"/>
      <c r="C184" s="14"/>
      <c r="D184" s="14"/>
      <c r="E184" s="14"/>
      <c r="F184" s="65"/>
      <c r="G184" s="65"/>
      <c r="H184" s="65"/>
      <c r="I184" s="65"/>
      <c r="J184" s="65"/>
      <c r="K184" s="65"/>
      <c r="L184" s="65"/>
      <c r="M184" s="65"/>
      <c r="N184" s="65"/>
      <c r="O184" s="65"/>
      <c r="P184" s="14"/>
      <c r="Q184" s="14"/>
      <c r="R184" s="14"/>
      <c r="S184" s="14"/>
      <c r="T184" s="14"/>
      <c r="U184" s="14"/>
      <c r="V184" s="14"/>
      <c r="W184" s="14"/>
      <c r="X184" s="14"/>
      <c r="Y184" s="14"/>
      <c r="Z184" s="14"/>
      <c r="AA184" s="14"/>
    </row>
    <row r="185">
      <c r="A185" s="65"/>
      <c r="B185" s="65"/>
      <c r="C185" s="14"/>
      <c r="D185" s="14"/>
      <c r="E185" s="14"/>
      <c r="F185" s="65"/>
      <c r="G185" s="65"/>
      <c r="H185" s="65"/>
      <c r="I185" s="65"/>
      <c r="J185" s="65"/>
      <c r="K185" s="65"/>
      <c r="L185" s="65"/>
      <c r="M185" s="65"/>
      <c r="N185" s="65"/>
      <c r="O185" s="65"/>
      <c r="P185" s="14"/>
      <c r="Q185" s="14"/>
      <c r="R185" s="14"/>
      <c r="S185" s="14"/>
      <c r="T185" s="14"/>
      <c r="U185" s="14"/>
      <c r="V185" s="14"/>
      <c r="W185" s="14"/>
      <c r="X185" s="14"/>
      <c r="Y185" s="14"/>
      <c r="Z185" s="14"/>
      <c r="AA185" s="14"/>
    </row>
    <row r="186">
      <c r="A186" s="65"/>
      <c r="B186" s="65"/>
      <c r="C186" s="14"/>
      <c r="D186" s="14"/>
      <c r="E186" s="14"/>
      <c r="F186" s="65"/>
      <c r="G186" s="65"/>
      <c r="H186" s="65"/>
      <c r="I186" s="65"/>
      <c r="J186" s="65"/>
      <c r="K186" s="65"/>
      <c r="L186" s="65"/>
      <c r="M186" s="65"/>
      <c r="N186" s="65"/>
      <c r="O186" s="65"/>
      <c r="P186" s="14"/>
      <c r="Q186" s="14"/>
      <c r="R186" s="14"/>
      <c r="S186" s="14"/>
      <c r="T186" s="14"/>
      <c r="U186" s="14"/>
      <c r="V186" s="14"/>
      <c r="W186" s="14"/>
      <c r="X186" s="14"/>
      <c r="Y186" s="14"/>
      <c r="Z186" s="14"/>
      <c r="AA186" s="14"/>
    </row>
    <row r="187">
      <c r="A187" s="65"/>
      <c r="B187" s="65"/>
      <c r="C187" s="14"/>
      <c r="D187" s="14"/>
      <c r="E187" s="14"/>
      <c r="F187" s="65"/>
      <c r="G187" s="65"/>
      <c r="H187" s="65"/>
      <c r="I187" s="65"/>
      <c r="J187" s="65"/>
      <c r="K187" s="65"/>
      <c r="L187" s="65"/>
      <c r="M187" s="65"/>
      <c r="N187" s="65"/>
      <c r="O187" s="65"/>
      <c r="P187" s="14"/>
      <c r="Q187" s="14"/>
      <c r="R187" s="14"/>
      <c r="S187" s="14"/>
      <c r="T187" s="14"/>
      <c r="U187" s="14"/>
      <c r="V187" s="14"/>
      <c r="W187" s="14"/>
      <c r="X187" s="14"/>
      <c r="Y187" s="14"/>
      <c r="Z187" s="14"/>
      <c r="AA187" s="14"/>
    </row>
    <row r="188">
      <c r="A188" s="65"/>
      <c r="B188" s="65"/>
      <c r="C188" s="14"/>
      <c r="D188" s="14"/>
      <c r="E188" s="14"/>
      <c r="F188" s="65"/>
      <c r="G188" s="65"/>
      <c r="H188" s="65"/>
      <c r="I188" s="65"/>
      <c r="J188" s="65"/>
      <c r="K188" s="65"/>
      <c r="L188" s="65"/>
      <c r="M188" s="65"/>
      <c r="N188" s="65"/>
      <c r="O188" s="65"/>
      <c r="P188" s="14"/>
      <c r="Q188" s="14"/>
      <c r="R188" s="14"/>
      <c r="S188" s="14"/>
      <c r="T188" s="14"/>
      <c r="U188" s="14"/>
      <c r="V188" s="14"/>
      <c r="W188" s="14"/>
      <c r="X188" s="14"/>
      <c r="Y188" s="14"/>
      <c r="Z188" s="14"/>
      <c r="AA188" s="14"/>
    </row>
    <row r="189">
      <c r="A189" s="65"/>
      <c r="B189" s="65"/>
      <c r="C189" s="14"/>
      <c r="D189" s="14"/>
      <c r="E189" s="14"/>
      <c r="F189" s="65"/>
      <c r="G189" s="65"/>
      <c r="H189" s="65"/>
      <c r="I189" s="65"/>
      <c r="J189" s="65"/>
      <c r="K189" s="65"/>
      <c r="L189" s="65"/>
      <c r="M189" s="65"/>
      <c r="N189" s="65"/>
      <c r="O189" s="65"/>
      <c r="P189" s="14"/>
      <c r="Q189" s="14"/>
      <c r="R189" s="14"/>
      <c r="S189" s="14"/>
      <c r="T189" s="14"/>
      <c r="U189" s="14"/>
      <c r="V189" s="14"/>
      <c r="W189" s="14"/>
      <c r="X189" s="14"/>
      <c r="Y189" s="14"/>
      <c r="Z189" s="14"/>
      <c r="AA189" s="14"/>
    </row>
    <row r="190">
      <c r="A190" s="65"/>
      <c r="B190" s="65"/>
      <c r="C190" s="14"/>
      <c r="D190" s="14"/>
      <c r="E190" s="14"/>
      <c r="F190" s="65"/>
      <c r="G190" s="65"/>
      <c r="H190" s="65"/>
      <c r="I190" s="65"/>
      <c r="J190" s="65"/>
      <c r="K190" s="65"/>
      <c r="L190" s="65"/>
      <c r="M190" s="65"/>
      <c r="N190" s="65"/>
      <c r="O190" s="65"/>
      <c r="P190" s="14"/>
      <c r="Q190" s="14"/>
      <c r="R190" s="14"/>
      <c r="S190" s="14"/>
      <c r="T190" s="14"/>
      <c r="U190" s="14"/>
      <c r="V190" s="14"/>
      <c r="W190" s="14"/>
      <c r="X190" s="14"/>
      <c r="Y190" s="14"/>
      <c r="Z190" s="14"/>
      <c r="AA190" s="14"/>
    </row>
    <row r="191">
      <c r="A191" s="65"/>
      <c r="B191" s="65"/>
      <c r="C191" s="14"/>
      <c r="D191" s="14"/>
      <c r="E191" s="14"/>
      <c r="F191" s="65"/>
      <c r="G191" s="65"/>
      <c r="H191" s="65"/>
      <c r="I191" s="65"/>
      <c r="J191" s="65"/>
      <c r="K191" s="65"/>
      <c r="L191" s="65"/>
      <c r="M191" s="65"/>
      <c r="N191" s="65"/>
      <c r="O191" s="65"/>
      <c r="P191" s="14"/>
      <c r="Q191" s="14"/>
      <c r="R191" s="14"/>
      <c r="S191" s="14"/>
      <c r="T191" s="14"/>
      <c r="U191" s="14"/>
      <c r="V191" s="14"/>
      <c r="W191" s="14"/>
      <c r="X191" s="14"/>
      <c r="Y191" s="14"/>
      <c r="Z191" s="14"/>
      <c r="AA191" s="14"/>
    </row>
    <row r="192">
      <c r="A192" s="65"/>
      <c r="B192" s="65"/>
      <c r="C192" s="14"/>
      <c r="D192" s="14"/>
      <c r="E192" s="14"/>
      <c r="F192" s="65"/>
      <c r="G192" s="65"/>
      <c r="H192" s="65"/>
      <c r="I192" s="65"/>
      <c r="J192" s="65"/>
      <c r="K192" s="65"/>
      <c r="L192" s="65"/>
      <c r="M192" s="65"/>
      <c r="N192" s="65"/>
      <c r="O192" s="65"/>
      <c r="P192" s="14"/>
      <c r="Q192" s="14"/>
      <c r="R192" s="14"/>
      <c r="S192" s="14"/>
      <c r="T192" s="14"/>
      <c r="U192" s="14"/>
      <c r="V192" s="14"/>
      <c r="W192" s="14"/>
      <c r="X192" s="14"/>
      <c r="Y192" s="14"/>
      <c r="Z192" s="14"/>
      <c r="AA192" s="14"/>
    </row>
    <row r="193">
      <c r="A193" s="65"/>
      <c r="B193" s="65"/>
      <c r="C193" s="14"/>
      <c r="D193" s="14"/>
      <c r="E193" s="14"/>
      <c r="F193" s="65"/>
      <c r="G193" s="65"/>
      <c r="H193" s="65"/>
      <c r="I193" s="65"/>
      <c r="J193" s="65"/>
      <c r="K193" s="65"/>
      <c r="L193" s="65"/>
      <c r="M193" s="65"/>
      <c r="N193" s="65"/>
      <c r="O193" s="65"/>
      <c r="P193" s="14"/>
      <c r="Q193" s="14"/>
      <c r="R193" s="14"/>
      <c r="S193" s="14"/>
      <c r="T193" s="14"/>
      <c r="U193" s="14"/>
      <c r="V193" s="14"/>
      <c r="W193" s="14"/>
      <c r="X193" s="14"/>
      <c r="Y193" s="14"/>
      <c r="Z193" s="14"/>
      <c r="AA193" s="14"/>
    </row>
    <row r="194">
      <c r="A194" s="65"/>
      <c r="B194" s="65"/>
      <c r="C194" s="14"/>
      <c r="D194" s="14"/>
      <c r="E194" s="14"/>
      <c r="F194" s="65"/>
      <c r="G194" s="65"/>
      <c r="H194" s="65"/>
      <c r="I194" s="65"/>
      <c r="J194" s="65"/>
      <c r="K194" s="65"/>
      <c r="L194" s="65"/>
      <c r="M194" s="65"/>
      <c r="N194" s="65"/>
      <c r="O194" s="65"/>
      <c r="P194" s="14"/>
      <c r="Q194" s="14"/>
      <c r="R194" s="14"/>
      <c r="S194" s="14"/>
      <c r="T194" s="14"/>
      <c r="U194" s="14"/>
      <c r="V194" s="14"/>
      <c r="W194" s="14"/>
      <c r="X194" s="14"/>
      <c r="Y194" s="14"/>
      <c r="Z194" s="14"/>
      <c r="AA194" s="14"/>
    </row>
    <row r="195">
      <c r="A195" s="65"/>
      <c r="B195" s="65"/>
      <c r="C195" s="14"/>
      <c r="D195" s="14"/>
      <c r="E195" s="14"/>
      <c r="F195" s="65"/>
      <c r="G195" s="65"/>
      <c r="H195" s="65"/>
      <c r="I195" s="65"/>
      <c r="J195" s="65"/>
      <c r="K195" s="65"/>
      <c r="L195" s="65"/>
      <c r="M195" s="65"/>
      <c r="N195" s="65"/>
      <c r="O195" s="65"/>
      <c r="P195" s="14"/>
      <c r="Q195" s="14"/>
      <c r="R195" s="14"/>
      <c r="S195" s="14"/>
      <c r="T195" s="14"/>
      <c r="U195" s="14"/>
      <c r="V195" s="14"/>
      <c r="W195" s="14"/>
      <c r="X195" s="14"/>
      <c r="Y195" s="14"/>
      <c r="Z195" s="14"/>
      <c r="AA195" s="14"/>
    </row>
    <row r="196">
      <c r="A196" s="65"/>
      <c r="B196" s="65"/>
      <c r="C196" s="14"/>
      <c r="D196" s="14"/>
      <c r="E196" s="14"/>
      <c r="F196" s="65"/>
      <c r="G196" s="65"/>
      <c r="H196" s="65"/>
      <c r="I196" s="65"/>
      <c r="J196" s="65"/>
      <c r="K196" s="65"/>
      <c r="L196" s="65"/>
      <c r="M196" s="65"/>
      <c r="N196" s="65"/>
      <c r="O196" s="65"/>
      <c r="P196" s="14"/>
      <c r="Q196" s="14"/>
      <c r="R196" s="14"/>
      <c r="S196" s="14"/>
      <c r="T196" s="14"/>
      <c r="U196" s="14"/>
      <c r="V196" s="14"/>
      <c r="W196" s="14"/>
      <c r="X196" s="14"/>
      <c r="Y196" s="14"/>
      <c r="Z196" s="14"/>
      <c r="AA196" s="14"/>
    </row>
    <row r="197">
      <c r="A197" s="65"/>
      <c r="B197" s="65"/>
      <c r="C197" s="14"/>
      <c r="D197" s="14"/>
      <c r="E197" s="14"/>
      <c r="F197" s="65"/>
      <c r="G197" s="65"/>
      <c r="H197" s="65"/>
      <c r="I197" s="65"/>
      <c r="J197" s="65"/>
      <c r="K197" s="65"/>
      <c r="L197" s="65"/>
      <c r="M197" s="65"/>
      <c r="N197" s="65"/>
      <c r="O197" s="65"/>
      <c r="P197" s="14"/>
      <c r="Q197" s="14"/>
      <c r="R197" s="14"/>
      <c r="S197" s="14"/>
      <c r="T197" s="14"/>
      <c r="U197" s="14"/>
      <c r="V197" s="14"/>
      <c r="W197" s="14"/>
      <c r="X197" s="14"/>
      <c r="Y197" s="14"/>
      <c r="Z197" s="14"/>
      <c r="AA197" s="14"/>
    </row>
    <row r="198">
      <c r="A198" s="65"/>
      <c r="B198" s="65"/>
      <c r="C198" s="14"/>
      <c r="D198" s="14"/>
      <c r="E198" s="14"/>
      <c r="F198" s="65"/>
      <c r="G198" s="65"/>
      <c r="H198" s="65"/>
      <c r="I198" s="65"/>
      <c r="J198" s="65"/>
      <c r="K198" s="65"/>
      <c r="L198" s="65"/>
      <c r="M198" s="65"/>
      <c r="N198" s="65"/>
      <c r="O198" s="65"/>
      <c r="P198" s="14"/>
      <c r="Q198" s="14"/>
      <c r="R198" s="14"/>
      <c r="S198" s="14"/>
      <c r="T198" s="14"/>
      <c r="U198" s="14"/>
      <c r="V198" s="14"/>
      <c r="W198" s="14"/>
      <c r="X198" s="14"/>
      <c r="Y198" s="14"/>
      <c r="Z198" s="14"/>
      <c r="AA198" s="14"/>
    </row>
    <row r="199">
      <c r="A199" s="65"/>
      <c r="B199" s="65"/>
      <c r="C199" s="14"/>
      <c r="D199" s="14"/>
      <c r="E199" s="14"/>
      <c r="F199" s="65"/>
      <c r="G199" s="65"/>
      <c r="H199" s="65"/>
      <c r="I199" s="65"/>
      <c r="J199" s="65"/>
      <c r="K199" s="65"/>
      <c r="L199" s="65"/>
      <c r="M199" s="65"/>
      <c r="N199" s="65"/>
      <c r="O199" s="65"/>
      <c r="P199" s="14"/>
      <c r="Q199" s="14"/>
      <c r="R199" s="14"/>
      <c r="S199" s="14"/>
      <c r="T199" s="14"/>
      <c r="U199" s="14"/>
      <c r="V199" s="14"/>
      <c r="W199" s="14"/>
      <c r="X199" s="14"/>
      <c r="Y199" s="14"/>
      <c r="Z199" s="14"/>
      <c r="AA199" s="14"/>
    </row>
    <row r="200">
      <c r="A200" s="65"/>
      <c r="B200" s="65"/>
      <c r="C200" s="14"/>
      <c r="D200" s="14"/>
      <c r="E200" s="14"/>
      <c r="F200" s="65"/>
      <c r="G200" s="65"/>
      <c r="H200" s="65"/>
      <c r="I200" s="65"/>
      <c r="J200" s="65"/>
      <c r="K200" s="65"/>
      <c r="L200" s="65"/>
      <c r="M200" s="65"/>
      <c r="N200" s="65"/>
      <c r="O200" s="65"/>
      <c r="P200" s="14"/>
      <c r="Q200" s="14"/>
      <c r="R200" s="14"/>
      <c r="S200" s="14"/>
      <c r="T200" s="14"/>
      <c r="U200" s="14"/>
      <c r="V200" s="14"/>
      <c r="W200" s="14"/>
      <c r="X200" s="14"/>
      <c r="Y200" s="14"/>
      <c r="Z200" s="14"/>
      <c r="AA200" s="14"/>
    </row>
    <row r="201">
      <c r="A201" s="65"/>
      <c r="B201" s="65"/>
      <c r="C201" s="14"/>
      <c r="D201" s="14"/>
      <c r="E201" s="14"/>
      <c r="F201" s="65"/>
      <c r="G201" s="65"/>
      <c r="H201" s="65"/>
      <c r="I201" s="65"/>
      <c r="J201" s="65"/>
      <c r="K201" s="65"/>
      <c r="L201" s="65"/>
      <c r="M201" s="65"/>
      <c r="N201" s="65"/>
      <c r="O201" s="65"/>
      <c r="P201" s="14"/>
      <c r="Q201" s="14"/>
      <c r="R201" s="14"/>
      <c r="S201" s="14"/>
      <c r="T201" s="14"/>
      <c r="U201" s="14"/>
      <c r="V201" s="14"/>
      <c r="W201" s="14"/>
      <c r="X201" s="14"/>
      <c r="Y201" s="14"/>
      <c r="Z201" s="14"/>
      <c r="AA201" s="14"/>
    </row>
    <row r="202">
      <c r="A202" s="65"/>
      <c r="B202" s="65"/>
      <c r="C202" s="14"/>
      <c r="D202" s="14"/>
      <c r="E202" s="14"/>
      <c r="F202" s="65"/>
      <c r="G202" s="65"/>
      <c r="H202" s="65"/>
      <c r="I202" s="65"/>
      <c r="J202" s="65"/>
      <c r="K202" s="65"/>
      <c r="L202" s="65"/>
      <c r="M202" s="65"/>
      <c r="N202" s="65"/>
      <c r="O202" s="65"/>
      <c r="P202" s="14"/>
      <c r="Q202" s="14"/>
      <c r="R202" s="14"/>
      <c r="S202" s="14"/>
      <c r="T202" s="14"/>
      <c r="U202" s="14"/>
      <c r="V202" s="14"/>
      <c r="W202" s="14"/>
      <c r="X202" s="14"/>
      <c r="Y202" s="14"/>
      <c r="Z202" s="14"/>
      <c r="AA202" s="14"/>
    </row>
    <row r="203">
      <c r="A203" s="65"/>
      <c r="B203" s="65"/>
      <c r="C203" s="14"/>
      <c r="D203" s="14"/>
      <c r="E203" s="14"/>
      <c r="F203" s="65"/>
      <c r="G203" s="65"/>
      <c r="H203" s="65"/>
      <c r="I203" s="65"/>
      <c r="J203" s="65"/>
      <c r="K203" s="65"/>
      <c r="L203" s="65"/>
      <c r="M203" s="65"/>
      <c r="N203" s="65"/>
      <c r="O203" s="65"/>
      <c r="P203" s="14"/>
      <c r="Q203" s="14"/>
      <c r="R203" s="14"/>
      <c r="S203" s="14"/>
      <c r="T203" s="14"/>
      <c r="U203" s="14"/>
      <c r="V203" s="14"/>
      <c r="W203" s="14"/>
      <c r="X203" s="14"/>
      <c r="Y203" s="14"/>
      <c r="Z203" s="14"/>
      <c r="AA203" s="14"/>
    </row>
    <row r="204">
      <c r="A204" s="65"/>
      <c r="B204" s="65"/>
      <c r="C204" s="14"/>
      <c r="D204" s="14"/>
      <c r="E204" s="14"/>
      <c r="F204" s="65"/>
      <c r="G204" s="65"/>
      <c r="H204" s="65"/>
      <c r="I204" s="65"/>
      <c r="J204" s="65"/>
      <c r="K204" s="65"/>
      <c r="L204" s="65"/>
      <c r="M204" s="65"/>
      <c r="N204" s="65"/>
      <c r="O204" s="65"/>
      <c r="P204" s="14"/>
      <c r="Q204" s="14"/>
      <c r="R204" s="14"/>
      <c r="S204" s="14"/>
      <c r="T204" s="14"/>
      <c r="U204" s="14"/>
      <c r="V204" s="14"/>
      <c r="W204" s="14"/>
      <c r="X204" s="14"/>
      <c r="Y204" s="14"/>
      <c r="Z204" s="14"/>
      <c r="AA204" s="14"/>
    </row>
    <row r="205">
      <c r="A205" s="65"/>
      <c r="B205" s="65"/>
      <c r="C205" s="14"/>
      <c r="D205" s="14"/>
      <c r="E205" s="14"/>
      <c r="F205" s="65"/>
      <c r="G205" s="65"/>
      <c r="H205" s="65"/>
      <c r="I205" s="65"/>
      <c r="J205" s="65"/>
      <c r="K205" s="65"/>
      <c r="L205" s="65"/>
      <c r="M205" s="65"/>
      <c r="N205" s="65"/>
      <c r="O205" s="65"/>
      <c r="P205" s="14"/>
      <c r="Q205" s="14"/>
      <c r="R205" s="14"/>
      <c r="S205" s="14"/>
      <c r="T205" s="14"/>
      <c r="U205" s="14"/>
      <c r="V205" s="14"/>
      <c r="W205" s="14"/>
      <c r="X205" s="14"/>
      <c r="Y205" s="14"/>
      <c r="Z205" s="14"/>
      <c r="AA205" s="14"/>
    </row>
    <row r="206">
      <c r="A206" s="65"/>
      <c r="B206" s="65"/>
      <c r="C206" s="14"/>
      <c r="D206" s="14"/>
      <c r="E206" s="14"/>
      <c r="F206" s="65"/>
      <c r="G206" s="65"/>
      <c r="H206" s="65"/>
      <c r="I206" s="65"/>
      <c r="J206" s="65"/>
      <c r="K206" s="65"/>
      <c r="L206" s="65"/>
      <c r="M206" s="65"/>
      <c r="N206" s="65"/>
      <c r="O206" s="65"/>
      <c r="P206" s="14"/>
      <c r="Q206" s="14"/>
      <c r="R206" s="14"/>
      <c r="S206" s="14"/>
      <c r="T206" s="14"/>
      <c r="U206" s="14"/>
      <c r="V206" s="14"/>
      <c r="W206" s="14"/>
      <c r="X206" s="14"/>
      <c r="Y206" s="14"/>
      <c r="Z206" s="14"/>
      <c r="AA206" s="14"/>
    </row>
    <row r="207">
      <c r="A207" s="65"/>
      <c r="B207" s="65"/>
      <c r="C207" s="14"/>
      <c r="D207" s="14"/>
      <c r="E207" s="14"/>
      <c r="F207" s="65"/>
      <c r="G207" s="65"/>
      <c r="H207" s="65"/>
      <c r="I207" s="65"/>
      <c r="J207" s="65"/>
      <c r="K207" s="65"/>
      <c r="L207" s="65"/>
      <c r="M207" s="65"/>
      <c r="N207" s="65"/>
      <c r="O207" s="65"/>
      <c r="P207" s="14"/>
      <c r="Q207" s="14"/>
      <c r="R207" s="14"/>
      <c r="S207" s="14"/>
      <c r="T207" s="14"/>
      <c r="U207" s="14"/>
      <c r="V207" s="14"/>
      <c r="W207" s="14"/>
      <c r="X207" s="14"/>
      <c r="Y207" s="14"/>
      <c r="Z207" s="14"/>
      <c r="AA207" s="14"/>
    </row>
    <row r="208">
      <c r="A208" s="65"/>
      <c r="B208" s="65"/>
      <c r="C208" s="14"/>
      <c r="D208" s="14"/>
      <c r="E208" s="14"/>
      <c r="F208" s="65"/>
      <c r="G208" s="65"/>
      <c r="H208" s="65"/>
      <c r="I208" s="65"/>
      <c r="J208" s="65"/>
      <c r="K208" s="65"/>
      <c r="L208" s="65"/>
      <c r="M208" s="65"/>
      <c r="N208" s="65"/>
      <c r="O208" s="65"/>
      <c r="P208" s="14"/>
      <c r="Q208" s="14"/>
      <c r="R208" s="14"/>
      <c r="S208" s="14"/>
      <c r="T208" s="14"/>
      <c r="U208" s="14"/>
      <c r="V208" s="14"/>
      <c r="W208" s="14"/>
      <c r="X208" s="14"/>
      <c r="Y208" s="14"/>
      <c r="Z208" s="14"/>
      <c r="AA208" s="14"/>
    </row>
    <row r="209">
      <c r="A209" s="65"/>
      <c r="B209" s="65"/>
      <c r="C209" s="14"/>
      <c r="D209" s="14"/>
      <c r="E209" s="14"/>
      <c r="F209" s="65"/>
      <c r="G209" s="65"/>
      <c r="H209" s="65"/>
      <c r="I209" s="65"/>
      <c r="J209" s="65"/>
      <c r="K209" s="65"/>
      <c r="L209" s="65"/>
      <c r="M209" s="65"/>
      <c r="N209" s="65"/>
      <c r="O209" s="65"/>
      <c r="P209" s="14"/>
      <c r="Q209" s="14"/>
      <c r="R209" s="14"/>
      <c r="S209" s="14"/>
      <c r="T209" s="14"/>
      <c r="U209" s="14"/>
      <c r="V209" s="14"/>
      <c r="W209" s="14"/>
      <c r="X209" s="14"/>
      <c r="Y209" s="14"/>
      <c r="Z209" s="14"/>
      <c r="AA209" s="14"/>
    </row>
    <row r="210">
      <c r="A210" s="65"/>
      <c r="B210" s="65"/>
      <c r="C210" s="14"/>
      <c r="D210" s="14"/>
      <c r="E210" s="14"/>
      <c r="F210" s="65"/>
      <c r="G210" s="65"/>
      <c r="H210" s="65"/>
      <c r="I210" s="65"/>
      <c r="J210" s="65"/>
      <c r="K210" s="65"/>
      <c r="L210" s="65"/>
      <c r="M210" s="65"/>
      <c r="N210" s="65"/>
      <c r="O210" s="65"/>
      <c r="P210" s="14"/>
      <c r="Q210" s="14"/>
      <c r="R210" s="14"/>
      <c r="S210" s="14"/>
      <c r="T210" s="14"/>
      <c r="U210" s="14"/>
      <c r="V210" s="14"/>
      <c r="W210" s="14"/>
      <c r="X210" s="14"/>
      <c r="Y210" s="14"/>
      <c r="Z210" s="14"/>
      <c r="AA210" s="14"/>
    </row>
    <row r="211">
      <c r="A211" s="65"/>
      <c r="B211" s="65"/>
      <c r="C211" s="14"/>
      <c r="D211" s="14"/>
      <c r="E211" s="14"/>
      <c r="F211" s="65"/>
      <c r="G211" s="65"/>
      <c r="H211" s="65"/>
      <c r="I211" s="65"/>
      <c r="J211" s="65"/>
      <c r="K211" s="65"/>
      <c r="L211" s="65"/>
      <c r="M211" s="65"/>
      <c r="N211" s="65"/>
      <c r="O211" s="65"/>
      <c r="P211" s="14"/>
      <c r="Q211" s="14"/>
      <c r="R211" s="14"/>
      <c r="S211" s="14"/>
      <c r="T211" s="14"/>
      <c r="U211" s="14"/>
      <c r="V211" s="14"/>
      <c r="W211" s="14"/>
      <c r="X211" s="14"/>
      <c r="Y211" s="14"/>
      <c r="Z211" s="14"/>
      <c r="AA211" s="14"/>
    </row>
    <row r="212">
      <c r="A212" s="65"/>
      <c r="B212" s="65"/>
      <c r="C212" s="14"/>
      <c r="D212" s="14"/>
      <c r="E212" s="14"/>
      <c r="F212" s="65"/>
      <c r="G212" s="65"/>
      <c r="H212" s="65"/>
      <c r="I212" s="65"/>
      <c r="J212" s="65"/>
      <c r="K212" s="65"/>
      <c r="L212" s="65"/>
      <c r="M212" s="65"/>
      <c r="N212" s="65"/>
      <c r="O212" s="65"/>
      <c r="P212" s="14"/>
      <c r="Q212" s="14"/>
      <c r="R212" s="14"/>
      <c r="S212" s="14"/>
      <c r="T212" s="14"/>
      <c r="U212" s="14"/>
      <c r="V212" s="14"/>
      <c r="W212" s="14"/>
      <c r="X212" s="14"/>
      <c r="Y212" s="14"/>
      <c r="Z212" s="14"/>
      <c r="AA212" s="14"/>
    </row>
    <row r="213">
      <c r="A213" s="65"/>
      <c r="B213" s="65"/>
      <c r="C213" s="14"/>
      <c r="D213" s="14"/>
      <c r="E213" s="14"/>
      <c r="F213" s="65"/>
      <c r="G213" s="65"/>
      <c r="H213" s="65"/>
      <c r="I213" s="65"/>
      <c r="J213" s="65"/>
      <c r="K213" s="65"/>
      <c r="L213" s="65"/>
      <c r="M213" s="65"/>
      <c r="N213" s="65"/>
      <c r="O213" s="65"/>
      <c r="P213" s="14"/>
      <c r="Q213" s="14"/>
      <c r="R213" s="14"/>
      <c r="S213" s="14"/>
      <c r="T213" s="14"/>
      <c r="U213" s="14"/>
      <c r="V213" s="14"/>
      <c r="W213" s="14"/>
      <c r="X213" s="14"/>
      <c r="Y213" s="14"/>
      <c r="Z213" s="14"/>
      <c r="AA213" s="14"/>
    </row>
    <row r="214">
      <c r="A214" s="65"/>
      <c r="B214" s="65"/>
      <c r="C214" s="14"/>
      <c r="D214" s="14"/>
      <c r="E214" s="14"/>
      <c r="F214" s="65"/>
      <c r="G214" s="65"/>
      <c r="H214" s="65"/>
      <c r="I214" s="65"/>
      <c r="J214" s="65"/>
      <c r="K214" s="65"/>
      <c r="L214" s="65"/>
      <c r="M214" s="65"/>
      <c r="N214" s="65"/>
      <c r="O214" s="65"/>
      <c r="P214" s="14"/>
      <c r="Q214" s="14"/>
      <c r="R214" s="14"/>
      <c r="S214" s="14"/>
      <c r="T214" s="14"/>
      <c r="U214" s="14"/>
      <c r="V214" s="14"/>
      <c r="W214" s="14"/>
      <c r="X214" s="14"/>
      <c r="Y214" s="14"/>
      <c r="Z214" s="14"/>
      <c r="AA214" s="14"/>
    </row>
    <row r="215">
      <c r="A215" s="65"/>
      <c r="B215" s="65"/>
      <c r="C215" s="14"/>
      <c r="D215" s="14"/>
      <c r="E215" s="14"/>
      <c r="F215" s="65"/>
      <c r="G215" s="65"/>
      <c r="H215" s="65"/>
      <c r="I215" s="65"/>
      <c r="J215" s="65"/>
      <c r="K215" s="65"/>
      <c r="L215" s="65"/>
      <c r="M215" s="65"/>
      <c r="N215" s="65"/>
      <c r="O215" s="65"/>
      <c r="P215" s="14"/>
      <c r="Q215" s="14"/>
      <c r="R215" s="14"/>
      <c r="S215" s="14"/>
      <c r="T215" s="14"/>
      <c r="U215" s="14"/>
      <c r="V215" s="14"/>
      <c r="W215" s="14"/>
      <c r="X215" s="14"/>
      <c r="Y215" s="14"/>
      <c r="Z215" s="14"/>
      <c r="AA215" s="14"/>
    </row>
    <row r="216">
      <c r="A216" s="65"/>
      <c r="B216" s="65"/>
      <c r="C216" s="14"/>
      <c r="D216" s="14"/>
      <c r="E216" s="14"/>
      <c r="F216" s="65"/>
      <c r="G216" s="65"/>
      <c r="H216" s="65"/>
      <c r="I216" s="65"/>
      <c r="J216" s="65"/>
      <c r="K216" s="65"/>
      <c r="L216" s="65"/>
      <c r="M216" s="65"/>
      <c r="N216" s="65"/>
      <c r="O216" s="65"/>
      <c r="P216" s="14"/>
      <c r="Q216" s="14"/>
      <c r="R216" s="14"/>
      <c r="S216" s="14"/>
      <c r="T216" s="14"/>
      <c r="U216" s="14"/>
      <c r="V216" s="14"/>
      <c r="W216" s="14"/>
      <c r="X216" s="14"/>
      <c r="Y216" s="14"/>
      <c r="Z216" s="14"/>
      <c r="AA216" s="14"/>
    </row>
    <row r="217">
      <c r="A217" s="65"/>
      <c r="B217" s="65"/>
      <c r="C217" s="14"/>
      <c r="D217" s="14"/>
      <c r="E217" s="14"/>
      <c r="F217" s="65"/>
      <c r="G217" s="65"/>
      <c r="H217" s="65"/>
      <c r="I217" s="65"/>
      <c r="J217" s="65"/>
      <c r="K217" s="65"/>
      <c r="L217" s="65"/>
      <c r="M217" s="65"/>
      <c r="N217" s="65"/>
      <c r="O217" s="65"/>
      <c r="P217" s="14"/>
      <c r="Q217" s="14"/>
      <c r="R217" s="14"/>
      <c r="S217" s="14"/>
      <c r="T217" s="14"/>
      <c r="U217" s="14"/>
      <c r="V217" s="14"/>
      <c r="W217" s="14"/>
      <c r="X217" s="14"/>
      <c r="Y217" s="14"/>
      <c r="Z217" s="14"/>
      <c r="AA217" s="14"/>
    </row>
    <row r="218">
      <c r="A218" s="65"/>
      <c r="B218" s="65"/>
      <c r="C218" s="14"/>
      <c r="D218" s="14"/>
      <c r="E218" s="14"/>
      <c r="F218" s="65"/>
      <c r="G218" s="65"/>
      <c r="H218" s="65"/>
      <c r="I218" s="65"/>
      <c r="J218" s="65"/>
      <c r="K218" s="65"/>
      <c r="L218" s="65"/>
      <c r="M218" s="65"/>
      <c r="N218" s="65"/>
      <c r="O218" s="65"/>
      <c r="P218" s="14"/>
      <c r="Q218" s="14"/>
      <c r="R218" s="14"/>
      <c r="S218" s="14"/>
      <c r="T218" s="14"/>
      <c r="U218" s="14"/>
      <c r="V218" s="14"/>
      <c r="W218" s="14"/>
      <c r="X218" s="14"/>
      <c r="Y218" s="14"/>
      <c r="Z218" s="14"/>
      <c r="AA218" s="14"/>
    </row>
    <row r="219">
      <c r="A219" s="65"/>
      <c r="B219" s="65"/>
      <c r="C219" s="14"/>
      <c r="D219" s="14"/>
      <c r="E219" s="14"/>
      <c r="F219" s="65"/>
      <c r="G219" s="65"/>
      <c r="H219" s="65"/>
      <c r="I219" s="65"/>
      <c r="J219" s="65"/>
      <c r="K219" s="65"/>
      <c r="L219" s="65"/>
      <c r="M219" s="65"/>
      <c r="N219" s="65"/>
      <c r="O219" s="65"/>
      <c r="P219" s="14"/>
      <c r="Q219" s="14"/>
      <c r="R219" s="14"/>
      <c r="S219" s="14"/>
      <c r="T219" s="14"/>
      <c r="U219" s="14"/>
      <c r="V219" s="14"/>
      <c r="W219" s="14"/>
      <c r="X219" s="14"/>
      <c r="Y219" s="14"/>
      <c r="Z219" s="14"/>
      <c r="AA219" s="14"/>
    </row>
    <row r="220">
      <c r="A220" s="65"/>
      <c r="B220" s="65"/>
      <c r="C220" s="14"/>
      <c r="D220" s="14"/>
      <c r="E220" s="14"/>
      <c r="F220" s="65"/>
      <c r="G220" s="65"/>
      <c r="H220" s="65"/>
      <c r="I220" s="65"/>
      <c r="J220" s="65"/>
      <c r="K220" s="65"/>
      <c r="L220" s="65"/>
      <c r="M220" s="65"/>
      <c r="N220" s="65"/>
      <c r="O220" s="65"/>
      <c r="P220" s="14"/>
      <c r="Q220" s="14"/>
      <c r="R220" s="14"/>
      <c r="S220" s="14"/>
      <c r="T220" s="14"/>
      <c r="U220" s="14"/>
      <c r="V220" s="14"/>
      <c r="W220" s="14"/>
      <c r="X220" s="14"/>
      <c r="Y220" s="14"/>
      <c r="Z220" s="14"/>
      <c r="AA220" s="14"/>
    </row>
    <row r="221">
      <c r="A221" s="65"/>
      <c r="B221" s="65"/>
      <c r="C221" s="14"/>
      <c r="D221" s="14"/>
      <c r="E221" s="14"/>
      <c r="F221" s="65"/>
      <c r="G221" s="65"/>
      <c r="H221" s="65"/>
      <c r="I221" s="65"/>
      <c r="J221" s="65"/>
      <c r="K221" s="65"/>
      <c r="L221" s="65"/>
      <c r="M221" s="65"/>
      <c r="N221" s="65"/>
      <c r="O221" s="65"/>
      <c r="P221" s="14"/>
      <c r="Q221" s="14"/>
      <c r="R221" s="14"/>
      <c r="S221" s="14"/>
      <c r="T221" s="14"/>
      <c r="U221" s="14"/>
      <c r="V221" s="14"/>
      <c r="W221" s="14"/>
      <c r="X221" s="14"/>
      <c r="Y221" s="14"/>
      <c r="Z221" s="14"/>
      <c r="AA221" s="14"/>
    </row>
    <row r="222">
      <c r="A222" s="65"/>
      <c r="B222" s="65"/>
      <c r="C222" s="14"/>
      <c r="D222" s="14"/>
      <c r="E222" s="14"/>
      <c r="F222" s="65"/>
      <c r="G222" s="65"/>
      <c r="H222" s="65"/>
      <c r="I222" s="65"/>
      <c r="J222" s="65"/>
      <c r="K222" s="65"/>
      <c r="L222" s="65"/>
      <c r="M222" s="65"/>
      <c r="N222" s="65"/>
      <c r="O222" s="65"/>
      <c r="P222" s="14"/>
      <c r="Q222" s="14"/>
      <c r="R222" s="14"/>
      <c r="S222" s="14"/>
      <c r="T222" s="14"/>
      <c r="U222" s="14"/>
      <c r="V222" s="14"/>
      <c r="W222" s="14"/>
      <c r="X222" s="14"/>
      <c r="Y222" s="14"/>
      <c r="Z222" s="14"/>
      <c r="AA222" s="14"/>
    </row>
    <row r="223">
      <c r="A223" s="65"/>
      <c r="B223" s="65"/>
      <c r="C223" s="14"/>
      <c r="D223" s="14"/>
      <c r="E223" s="14"/>
      <c r="F223" s="65"/>
      <c r="G223" s="65"/>
      <c r="H223" s="65"/>
      <c r="I223" s="65"/>
      <c r="J223" s="65"/>
      <c r="K223" s="65"/>
      <c r="L223" s="65"/>
      <c r="M223" s="65"/>
      <c r="N223" s="65"/>
      <c r="O223" s="65"/>
      <c r="P223" s="14"/>
      <c r="Q223" s="14"/>
      <c r="R223" s="14"/>
      <c r="S223" s="14"/>
      <c r="T223" s="14"/>
      <c r="U223" s="14"/>
      <c r="V223" s="14"/>
      <c r="W223" s="14"/>
      <c r="X223" s="14"/>
      <c r="Y223" s="14"/>
      <c r="Z223" s="14"/>
      <c r="AA223" s="14"/>
    </row>
    <row r="224">
      <c r="A224" s="65"/>
      <c r="B224" s="65"/>
      <c r="C224" s="14"/>
      <c r="D224" s="14"/>
      <c r="E224" s="14"/>
      <c r="F224" s="65"/>
      <c r="G224" s="65"/>
      <c r="H224" s="65"/>
      <c r="I224" s="65"/>
      <c r="J224" s="65"/>
      <c r="K224" s="65"/>
      <c r="L224" s="65"/>
      <c r="M224" s="65"/>
      <c r="N224" s="65"/>
      <c r="O224" s="65"/>
      <c r="P224" s="14"/>
      <c r="Q224" s="14"/>
      <c r="R224" s="14"/>
      <c r="S224" s="14"/>
      <c r="T224" s="14"/>
      <c r="U224" s="14"/>
      <c r="V224" s="14"/>
      <c r="W224" s="14"/>
      <c r="X224" s="14"/>
      <c r="Y224" s="14"/>
      <c r="Z224" s="14"/>
      <c r="AA224" s="14"/>
    </row>
    <row r="225">
      <c r="A225" s="65"/>
      <c r="B225" s="65"/>
      <c r="C225" s="14"/>
      <c r="D225" s="14"/>
      <c r="E225" s="14"/>
      <c r="F225" s="65"/>
      <c r="G225" s="65"/>
      <c r="H225" s="65"/>
      <c r="I225" s="65"/>
      <c r="J225" s="65"/>
      <c r="K225" s="65"/>
      <c r="L225" s="65"/>
      <c r="M225" s="65"/>
      <c r="N225" s="65"/>
      <c r="O225" s="65"/>
      <c r="P225" s="14"/>
      <c r="Q225" s="14"/>
      <c r="R225" s="14"/>
      <c r="S225" s="14"/>
      <c r="T225" s="14"/>
      <c r="U225" s="14"/>
      <c r="V225" s="14"/>
      <c r="W225" s="14"/>
      <c r="X225" s="14"/>
      <c r="Y225" s="14"/>
      <c r="Z225" s="14"/>
      <c r="AA225" s="14"/>
    </row>
    <row r="226">
      <c r="A226" s="65"/>
      <c r="B226" s="65"/>
      <c r="C226" s="14"/>
      <c r="D226" s="14"/>
      <c r="E226" s="14"/>
      <c r="F226" s="65"/>
      <c r="G226" s="65"/>
      <c r="H226" s="65"/>
      <c r="I226" s="65"/>
      <c r="J226" s="65"/>
      <c r="K226" s="65"/>
      <c r="L226" s="65"/>
      <c r="M226" s="65"/>
      <c r="N226" s="65"/>
      <c r="O226" s="65"/>
      <c r="P226" s="14"/>
      <c r="Q226" s="14"/>
      <c r="R226" s="14"/>
      <c r="S226" s="14"/>
      <c r="T226" s="14"/>
      <c r="U226" s="14"/>
      <c r="V226" s="14"/>
      <c r="W226" s="14"/>
      <c r="X226" s="14"/>
      <c r="Y226" s="14"/>
      <c r="Z226" s="14"/>
      <c r="AA226" s="14"/>
    </row>
    <row r="227">
      <c r="A227" s="65"/>
      <c r="B227" s="65"/>
      <c r="C227" s="14"/>
      <c r="D227" s="14"/>
      <c r="E227" s="14"/>
      <c r="F227" s="65"/>
      <c r="G227" s="65"/>
      <c r="H227" s="65"/>
      <c r="I227" s="65"/>
      <c r="J227" s="65"/>
      <c r="K227" s="65"/>
      <c r="L227" s="65"/>
      <c r="M227" s="65"/>
      <c r="N227" s="65"/>
      <c r="O227" s="65"/>
      <c r="P227" s="14"/>
      <c r="Q227" s="14"/>
      <c r="R227" s="14"/>
      <c r="S227" s="14"/>
      <c r="T227" s="14"/>
      <c r="U227" s="14"/>
      <c r="V227" s="14"/>
      <c r="W227" s="14"/>
      <c r="X227" s="14"/>
      <c r="Y227" s="14"/>
      <c r="Z227" s="14"/>
      <c r="AA227" s="14"/>
    </row>
    <row r="228">
      <c r="A228" s="65"/>
      <c r="B228" s="65"/>
      <c r="C228" s="14"/>
      <c r="D228" s="14"/>
      <c r="E228" s="14"/>
      <c r="F228" s="65"/>
      <c r="G228" s="65"/>
      <c r="H228" s="65"/>
      <c r="I228" s="65"/>
      <c r="J228" s="65"/>
      <c r="K228" s="65"/>
      <c r="L228" s="65"/>
      <c r="M228" s="65"/>
      <c r="N228" s="65"/>
      <c r="O228" s="65"/>
      <c r="P228" s="14"/>
      <c r="Q228" s="14"/>
      <c r="R228" s="14"/>
      <c r="S228" s="14"/>
      <c r="T228" s="14"/>
      <c r="U228" s="14"/>
      <c r="V228" s="14"/>
      <c r="W228" s="14"/>
      <c r="X228" s="14"/>
      <c r="Y228" s="14"/>
      <c r="Z228" s="14"/>
      <c r="AA228" s="14"/>
    </row>
    <row r="229">
      <c r="A229" s="65"/>
      <c r="B229" s="65"/>
      <c r="C229" s="14"/>
      <c r="D229" s="14"/>
      <c r="E229" s="14"/>
      <c r="F229" s="65"/>
      <c r="G229" s="65"/>
      <c r="H229" s="65"/>
      <c r="I229" s="65"/>
      <c r="J229" s="65"/>
      <c r="K229" s="65"/>
      <c r="L229" s="65"/>
      <c r="M229" s="65"/>
      <c r="N229" s="65"/>
      <c r="O229" s="65"/>
      <c r="P229" s="14"/>
      <c r="Q229" s="14"/>
      <c r="R229" s="14"/>
      <c r="S229" s="14"/>
      <c r="T229" s="14"/>
      <c r="U229" s="14"/>
      <c r="V229" s="14"/>
      <c r="W229" s="14"/>
      <c r="X229" s="14"/>
      <c r="Y229" s="14"/>
      <c r="Z229" s="14"/>
      <c r="AA229" s="14"/>
    </row>
    <row r="230">
      <c r="A230" s="65"/>
      <c r="B230" s="65"/>
      <c r="C230" s="14"/>
      <c r="D230" s="14"/>
      <c r="E230" s="14"/>
      <c r="F230" s="65"/>
      <c r="G230" s="65"/>
      <c r="H230" s="65"/>
      <c r="I230" s="65"/>
      <c r="J230" s="65"/>
      <c r="K230" s="65"/>
      <c r="L230" s="65"/>
      <c r="M230" s="65"/>
      <c r="N230" s="65"/>
      <c r="O230" s="65"/>
      <c r="P230" s="14"/>
      <c r="Q230" s="14"/>
      <c r="R230" s="14"/>
      <c r="S230" s="14"/>
      <c r="T230" s="14"/>
      <c r="U230" s="14"/>
      <c r="V230" s="14"/>
      <c r="W230" s="14"/>
      <c r="X230" s="14"/>
      <c r="Y230" s="14"/>
      <c r="Z230" s="14"/>
      <c r="AA230" s="14"/>
    </row>
    <row r="231">
      <c r="A231" s="65"/>
      <c r="B231" s="65"/>
      <c r="C231" s="14"/>
      <c r="D231" s="14"/>
      <c r="E231" s="14"/>
      <c r="F231" s="65"/>
      <c r="G231" s="65"/>
      <c r="H231" s="65"/>
      <c r="I231" s="65"/>
      <c r="J231" s="65"/>
      <c r="K231" s="65"/>
      <c r="L231" s="65"/>
      <c r="M231" s="65"/>
      <c r="N231" s="65"/>
      <c r="O231" s="65"/>
      <c r="P231" s="14"/>
      <c r="Q231" s="14"/>
      <c r="R231" s="14"/>
      <c r="S231" s="14"/>
      <c r="T231" s="14"/>
      <c r="U231" s="14"/>
      <c r="V231" s="14"/>
      <c r="W231" s="14"/>
      <c r="X231" s="14"/>
      <c r="Y231" s="14"/>
      <c r="Z231" s="14"/>
      <c r="AA231" s="14"/>
    </row>
    <row r="232">
      <c r="A232" s="65"/>
      <c r="B232" s="65"/>
      <c r="C232" s="14"/>
      <c r="D232" s="14"/>
      <c r="E232" s="14"/>
      <c r="F232" s="65"/>
      <c r="G232" s="65"/>
      <c r="H232" s="65"/>
      <c r="I232" s="65"/>
      <c r="J232" s="65"/>
      <c r="K232" s="65"/>
      <c r="L232" s="65"/>
      <c r="M232" s="65"/>
      <c r="N232" s="65"/>
      <c r="O232" s="65"/>
      <c r="P232" s="14"/>
      <c r="Q232" s="14"/>
      <c r="R232" s="14"/>
      <c r="S232" s="14"/>
      <c r="T232" s="14"/>
      <c r="U232" s="14"/>
      <c r="V232" s="14"/>
      <c r="W232" s="14"/>
      <c r="X232" s="14"/>
      <c r="Y232" s="14"/>
      <c r="Z232" s="14"/>
      <c r="AA232" s="14"/>
    </row>
    <row r="233">
      <c r="A233" s="65"/>
      <c r="B233" s="65"/>
      <c r="C233" s="14"/>
      <c r="D233" s="14"/>
      <c r="E233" s="14"/>
      <c r="F233" s="65"/>
      <c r="G233" s="65"/>
      <c r="H233" s="65"/>
      <c r="I233" s="65"/>
      <c r="J233" s="65"/>
      <c r="K233" s="65"/>
      <c r="L233" s="65"/>
      <c r="M233" s="65"/>
      <c r="N233" s="65"/>
      <c r="O233" s="65"/>
      <c r="P233" s="14"/>
      <c r="Q233" s="14"/>
      <c r="R233" s="14"/>
      <c r="S233" s="14"/>
      <c r="T233" s="14"/>
      <c r="U233" s="14"/>
      <c r="V233" s="14"/>
      <c r="W233" s="14"/>
      <c r="X233" s="14"/>
      <c r="Y233" s="14"/>
      <c r="Z233" s="14"/>
      <c r="AA233" s="14"/>
    </row>
    <row r="234">
      <c r="A234" s="65"/>
      <c r="B234" s="65"/>
      <c r="C234" s="14"/>
      <c r="D234" s="14"/>
      <c r="E234" s="14"/>
      <c r="F234" s="65"/>
      <c r="G234" s="65"/>
      <c r="H234" s="65"/>
      <c r="I234" s="65"/>
      <c r="J234" s="65"/>
      <c r="K234" s="65"/>
      <c r="L234" s="65"/>
      <c r="M234" s="65"/>
      <c r="N234" s="65"/>
      <c r="O234" s="65"/>
      <c r="P234" s="14"/>
      <c r="Q234" s="14"/>
      <c r="R234" s="14"/>
      <c r="S234" s="14"/>
      <c r="T234" s="14"/>
      <c r="U234" s="14"/>
      <c r="V234" s="14"/>
      <c r="W234" s="14"/>
      <c r="X234" s="14"/>
      <c r="Y234" s="14"/>
      <c r="Z234" s="14"/>
      <c r="AA234" s="14"/>
    </row>
    <row r="235">
      <c r="A235" s="65"/>
      <c r="B235" s="65"/>
      <c r="C235" s="14"/>
      <c r="D235" s="14"/>
      <c r="E235" s="14"/>
      <c r="F235" s="65"/>
      <c r="G235" s="65"/>
      <c r="H235" s="65"/>
      <c r="I235" s="65"/>
      <c r="J235" s="65"/>
      <c r="K235" s="65"/>
      <c r="L235" s="65"/>
      <c r="M235" s="65"/>
      <c r="N235" s="65"/>
      <c r="O235" s="65"/>
      <c r="P235" s="14"/>
      <c r="Q235" s="14"/>
      <c r="R235" s="14"/>
      <c r="S235" s="14"/>
      <c r="T235" s="14"/>
      <c r="U235" s="14"/>
      <c r="V235" s="14"/>
      <c r="W235" s="14"/>
      <c r="X235" s="14"/>
      <c r="Y235" s="14"/>
      <c r="Z235" s="14"/>
      <c r="AA235" s="14"/>
    </row>
    <row r="236">
      <c r="A236" s="65"/>
      <c r="B236" s="65"/>
      <c r="C236" s="14"/>
      <c r="D236" s="14"/>
      <c r="E236" s="14"/>
      <c r="F236" s="65"/>
      <c r="G236" s="65"/>
      <c r="H236" s="65"/>
      <c r="I236" s="65"/>
      <c r="J236" s="65"/>
      <c r="K236" s="65"/>
      <c r="L236" s="65"/>
      <c r="M236" s="65"/>
      <c r="N236" s="65"/>
      <c r="O236" s="65"/>
      <c r="P236" s="14"/>
      <c r="Q236" s="14"/>
      <c r="R236" s="14"/>
      <c r="S236" s="14"/>
      <c r="T236" s="14"/>
      <c r="U236" s="14"/>
      <c r="V236" s="14"/>
      <c r="W236" s="14"/>
      <c r="X236" s="14"/>
      <c r="Y236" s="14"/>
      <c r="Z236" s="14"/>
      <c r="AA236" s="14"/>
    </row>
    <row r="237">
      <c r="A237" s="65"/>
      <c r="B237" s="65"/>
      <c r="C237" s="14"/>
      <c r="D237" s="14"/>
      <c r="E237" s="14"/>
      <c r="F237" s="65"/>
      <c r="G237" s="65"/>
      <c r="H237" s="65"/>
      <c r="I237" s="65"/>
      <c r="J237" s="65"/>
      <c r="K237" s="65"/>
      <c r="L237" s="65"/>
      <c r="M237" s="65"/>
      <c r="N237" s="65"/>
      <c r="O237" s="65"/>
      <c r="P237" s="14"/>
      <c r="Q237" s="14"/>
      <c r="R237" s="14"/>
      <c r="S237" s="14"/>
      <c r="T237" s="14"/>
      <c r="U237" s="14"/>
      <c r="V237" s="14"/>
      <c r="W237" s="14"/>
      <c r="X237" s="14"/>
      <c r="Y237" s="14"/>
      <c r="Z237" s="14"/>
      <c r="AA237" s="14"/>
    </row>
    <row r="238">
      <c r="A238" s="65"/>
      <c r="B238" s="65"/>
      <c r="C238" s="14"/>
      <c r="D238" s="14"/>
      <c r="E238" s="14"/>
      <c r="F238" s="65"/>
      <c r="G238" s="65"/>
      <c r="H238" s="65"/>
      <c r="I238" s="65"/>
      <c r="J238" s="65"/>
      <c r="K238" s="65"/>
      <c r="L238" s="65"/>
      <c r="M238" s="65"/>
      <c r="N238" s="65"/>
      <c r="O238" s="65"/>
      <c r="P238" s="14"/>
      <c r="Q238" s="14"/>
      <c r="R238" s="14"/>
      <c r="S238" s="14"/>
      <c r="T238" s="14"/>
      <c r="U238" s="14"/>
      <c r="V238" s="14"/>
      <c r="W238" s="14"/>
      <c r="X238" s="14"/>
      <c r="Y238" s="14"/>
      <c r="Z238" s="14"/>
      <c r="AA238" s="14"/>
    </row>
    <row r="239">
      <c r="A239" s="65"/>
      <c r="B239" s="65"/>
      <c r="C239" s="14"/>
      <c r="D239" s="14"/>
      <c r="E239" s="14"/>
      <c r="F239" s="65"/>
      <c r="G239" s="65"/>
      <c r="H239" s="65"/>
      <c r="I239" s="65"/>
      <c r="J239" s="65"/>
      <c r="K239" s="65"/>
      <c r="L239" s="65"/>
      <c r="M239" s="65"/>
      <c r="N239" s="65"/>
      <c r="O239" s="65"/>
      <c r="P239" s="14"/>
      <c r="Q239" s="14"/>
      <c r="R239" s="14"/>
      <c r="S239" s="14"/>
      <c r="T239" s="14"/>
      <c r="U239" s="14"/>
      <c r="V239" s="14"/>
      <c r="W239" s="14"/>
      <c r="X239" s="14"/>
      <c r="Y239" s="14"/>
      <c r="Z239" s="14"/>
      <c r="AA239" s="14"/>
    </row>
    <row r="240">
      <c r="A240" s="65"/>
      <c r="B240" s="65"/>
      <c r="C240" s="14"/>
      <c r="D240" s="14"/>
      <c r="E240" s="14"/>
      <c r="F240" s="65"/>
      <c r="G240" s="65"/>
      <c r="H240" s="65"/>
      <c r="I240" s="65"/>
      <c r="J240" s="65"/>
      <c r="K240" s="65"/>
      <c r="L240" s="65"/>
      <c r="M240" s="65"/>
      <c r="N240" s="65"/>
      <c r="O240" s="65"/>
      <c r="P240" s="14"/>
      <c r="Q240" s="14"/>
      <c r="R240" s="14"/>
      <c r="S240" s="14"/>
      <c r="T240" s="14"/>
      <c r="U240" s="14"/>
      <c r="V240" s="14"/>
      <c r="W240" s="14"/>
      <c r="X240" s="14"/>
      <c r="Y240" s="14"/>
      <c r="Z240" s="14"/>
      <c r="AA240" s="14"/>
    </row>
    <row r="241">
      <c r="A241" s="65"/>
      <c r="B241" s="65"/>
      <c r="C241" s="14"/>
      <c r="D241" s="14"/>
      <c r="E241" s="14"/>
      <c r="F241" s="65"/>
      <c r="G241" s="65"/>
      <c r="H241" s="65"/>
      <c r="I241" s="65"/>
      <c r="J241" s="65"/>
      <c r="K241" s="65"/>
      <c r="L241" s="65"/>
      <c r="M241" s="65"/>
      <c r="N241" s="65"/>
      <c r="O241" s="65"/>
      <c r="P241" s="14"/>
      <c r="Q241" s="14"/>
      <c r="R241" s="14"/>
      <c r="S241" s="14"/>
      <c r="T241" s="14"/>
      <c r="U241" s="14"/>
      <c r="V241" s="14"/>
      <c r="W241" s="14"/>
      <c r="X241" s="14"/>
      <c r="Y241" s="14"/>
      <c r="Z241" s="14"/>
      <c r="AA241" s="14"/>
    </row>
    <row r="242">
      <c r="A242" s="65"/>
      <c r="B242" s="65"/>
      <c r="C242" s="14"/>
      <c r="D242" s="14"/>
      <c r="E242" s="14"/>
      <c r="F242" s="65"/>
      <c r="G242" s="65"/>
      <c r="H242" s="65"/>
      <c r="I242" s="65"/>
      <c r="J242" s="65"/>
      <c r="K242" s="65"/>
      <c r="L242" s="65"/>
      <c r="M242" s="65"/>
      <c r="N242" s="65"/>
      <c r="O242" s="65"/>
      <c r="P242" s="14"/>
      <c r="Q242" s="14"/>
      <c r="R242" s="14"/>
      <c r="S242" s="14"/>
      <c r="T242" s="14"/>
      <c r="U242" s="14"/>
      <c r="V242" s="14"/>
      <c r="W242" s="14"/>
      <c r="X242" s="14"/>
      <c r="Y242" s="14"/>
      <c r="Z242" s="14"/>
      <c r="AA242" s="14"/>
    </row>
    <row r="243">
      <c r="A243" s="65"/>
      <c r="B243" s="65"/>
      <c r="C243" s="14"/>
      <c r="D243" s="14"/>
      <c r="E243" s="14"/>
      <c r="F243" s="65"/>
      <c r="G243" s="65"/>
      <c r="H243" s="65"/>
      <c r="I243" s="65"/>
      <c r="J243" s="65"/>
      <c r="K243" s="65"/>
      <c r="L243" s="65"/>
      <c r="M243" s="65"/>
      <c r="N243" s="65"/>
      <c r="O243" s="65"/>
      <c r="P243" s="14"/>
      <c r="Q243" s="14"/>
      <c r="R243" s="14"/>
      <c r="S243" s="14"/>
      <c r="T243" s="14"/>
      <c r="U243" s="14"/>
      <c r="V243" s="14"/>
      <c r="W243" s="14"/>
      <c r="X243" s="14"/>
      <c r="Y243" s="14"/>
      <c r="Z243" s="14"/>
      <c r="AA243" s="14"/>
    </row>
    <row r="244">
      <c r="A244" s="65"/>
      <c r="B244" s="65"/>
      <c r="C244" s="14"/>
      <c r="D244" s="14"/>
      <c r="E244" s="14"/>
      <c r="F244" s="65"/>
      <c r="G244" s="65"/>
      <c r="H244" s="65"/>
      <c r="I244" s="65"/>
      <c r="J244" s="65"/>
      <c r="K244" s="65"/>
      <c r="L244" s="65"/>
      <c r="M244" s="65"/>
      <c r="N244" s="65"/>
      <c r="O244" s="65"/>
      <c r="P244" s="14"/>
      <c r="Q244" s="14"/>
      <c r="R244" s="14"/>
      <c r="S244" s="14"/>
      <c r="T244" s="14"/>
      <c r="U244" s="14"/>
      <c r="V244" s="14"/>
      <c r="W244" s="14"/>
      <c r="X244" s="14"/>
      <c r="Y244" s="14"/>
      <c r="Z244" s="14"/>
      <c r="AA244" s="14"/>
    </row>
    <row r="245">
      <c r="A245" s="65"/>
      <c r="B245" s="65"/>
      <c r="C245" s="14"/>
      <c r="D245" s="14"/>
      <c r="E245" s="14"/>
      <c r="F245" s="65"/>
      <c r="G245" s="65"/>
      <c r="H245" s="65"/>
      <c r="I245" s="65"/>
      <c r="J245" s="65"/>
      <c r="K245" s="65"/>
      <c r="L245" s="65"/>
      <c r="M245" s="65"/>
      <c r="N245" s="65"/>
      <c r="O245" s="65"/>
      <c r="P245" s="14"/>
      <c r="Q245" s="14"/>
      <c r="R245" s="14"/>
      <c r="S245" s="14"/>
      <c r="T245" s="14"/>
      <c r="U245" s="14"/>
      <c r="V245" s="14"/>
      <c r="W245" s="14"/>
      <c r="X245" s="14"/>
      <c r="Y245" s="14"/>
      <c r="Z245" s="14"/>
      <c r="AA245" s="14"/>
    </row>
    <row r="246">
      <c r="A246" s="65"/>
      <c r="B246" s="65"/>
      <c r="C246" s="14"/>
      <c r="D246" s="14"/>
      <c r="E246" s="14"/>
      <c r="F246" s="65"/>
      <c r="G246" s="65"/>
      <c r="H246" s="65"/>
      <c r="I246" s="65"/>
      <c r="J246" s="65"/>
      <c r="K246" s="65"/>
      <c r="L246" s="65"/>
      <c r="M246" s="65"/>
      <c r="N246" s="65"/>
      <c r="O246" s="65"/>
      <c r="P246" s="14"/>
      <c r="Q246" s="14"/>
      <c r="R246" s="14"/>
      <c r="S246" s="14"/>
      <c r="T246" s="14"/>
      <c r="U246" s="14"/>
      <c r="V246" s="14"/>
      <c r="W246" s="14"/>
      <c r="X246" s="14"/>
      <c r="Y246" s="14"/>
      <c r="Z246" s="14"/>
      <c r="AA246" s="14"/>
    </row>
    <row r="247">
      <c r="A247" s="65"/>
      <c r="B247" s="65"/>
      <c r="C247" s="14"/>
      <c r="D247" s="14"/>
      <c r="E247" s="14"/>
      <c r="F247" s="65"/>
      <c r="G247" s="65"/>
      <c r="H247" s="65"/>
      <c r="I247" s="65"/>
      <c r="J247" s="65"/>
      <c r="K247" s="65"/>
      <c r="L247" s="65"/>
      <c r="M247" s="65"/>
      <c r="N247" s="65"/>
      <c r="O247" s="65"/>
      <c r="P247" s="14"/>
      <c r="Q247" s="14"/>
      <c r="R247" s="14"/>
      <c r="S247" s="14"/>
      <c r="T247" s="14"/>
      <c r="U247" s="14"/>
      <c r="V247" s="14"/>
      <c r="W247" s="14"/>
      <c r="X247" s="14"/>
      <c r="Y247" s="14"/>
      <c r="Z247" s="14"/>
      <c r="AA247" s="14"/>
    </row>
    <row r="248">
      <c r="A248" s="65"/>
      <c r="B248" s="65"/>
      <c r="C248" s="14"/>
      <c r="D248" s="14"/>
      <c r="E248" s="14"/>
      <c r="F248" s="65"/>
      <c r="G248" s="65"/>
      <c r="H248" s="65"/>
      <c r="I248" s="65"/>
      <c r="J248" s="65"/>
      <c r="K248" s="65"/>
      <c r="L248" s="65"/>
      <c r="M248" s="65"/>
      <c r="N248" s="65"/>
      <c r="O248" s="65"/>
      <c r="P248" s="14"/>
      <c r="Q248" s="14"/>
      <c r="R248" s="14"/>
      <c r="S248" s="14"/>
      <c r="T248" s="14"/>
      <c r="U248" s="14"/>
      <c r="V248" s="14"/>
      <c r="W248" s="14"/>
      <c r="X248" s="14"/>
      <c r="Y248" s="14"/>
      <c r="Z248" s="14"/>
      <c r="AA248" s="14"/>
    </row>
    <row r="249">
      <c r="A249" s="65"/>
      <c r="B249" s="65"/>
      <c r="C249" s="14"/>
      <c r="D249" s="14"/>
      <c r="E249" s="14"/>
      <c r="F249" s="65"/>
      <c r="G249" s="65"/>
      <c r="H249" s="65"/>
      <c r="I249" s="65"/>
      <c r="J249" s="65"/>
      <c r="K249" s="65"/>
      <c r="L249" s="65"/>
      <c r="M249" s="65"/>
      <c r="N249" s="65"/>
      <c r="O249" s="65"/>
      <c r="P249" s="14"/>
      <c r="Q249" s="14"/>
      <c r="R249" s="14"/>
      <c r="S249" s="14"/>
      <c r="T249" s="14"/>
      <c r="U249" s="14"/>
      <c r="V249" s="14"/>
      <c r="W249" s="14"/>
      <c r="X249" s="14"/>
      <c r="Y249" s="14"/>
      <c r="Z249" s="14"/>
      <c r="AA249" s="14"/>
    </row>
    <row r="250">
      <c r="A250" s="65"/>
      <c r="B250" s="65"/>
      <c r="C250" s="14"/>
      <c r="D250" s="14"/>
      <c r="E250" s="14"/>
      <c r="F250" s="65"/>
      <c r="G250" s="65"/>
      <c r="H250" s="65"/>
      <c r="I250" s="65"/>
      <c r="J250" s="65"/>
      <c r="K250" s="65"/>
      <c r="L250" s="65"/>
      <c r="M250" s="65"/>
      <c r="N250" s="65"/>
      <c r="O250" s="65"/>
      <c r="P250" s="14"/>
      <c r="Q250" s="14"/>
      <c r="R250" s="14"/>
      <c r="S250" s="14"/>
      <c r="T250" s="14"/>
      <c r="U250" s="14"/>
      <c r="V250" s="14"/>
      <c r="W250" s="14"/>
      <c r="X250" s="14"/>
      <c r="Y250" s="14"/>
      <c r="Z250" s="14"/>
      <c r="AA250" s="14"/>
    </row>
    <row r="251">
      <c r="A251" s="65"/>
      <c r="B251" s="65"/>
      <c r="C251" s="14"/>
      <c r="D251" s="14"/>
      <c r="E251" s="14"/>
      <c r="F251" s="65"/>
      <c r="G251" s="65"/>
      <c r="H251" s="65"/>
      <c r="I251" s="65"/>
      <c r="J251" s="65"/>
      <c r="K251" s="65"/>
      <c r="L251" s="65"/>
      <c r="M251" s="65"/>
      <c r="N251" s="65"/>
      <c r="O251" s="65"/>
      <c r="P251" s="14"/>
      <c r="Q251" s="14"/>
      <c r="R251" s="14"/>
      <c r="S251" s="14"/>
      <c r="T251" s="14"/>
      <c r="U251" s="14"/>
      <c r="V251" s="14"/>
      <c r="W251" s="14"/>
      <c r="X251" s="14"/>
      <c r="Y251" s="14"/>
      <c r="Z251" s="14"/>
      <c r="AA251" s="14"/>
    </row>
    <row r="252">
      <c r="A252" s="65"/>
      <c r="B252" s="65"/>
      <c r="C252" s="14"/>
      <c r="D252" s="14"/>
      <c r="E252" s="14"/>
      <c r="F252" s="65"/>
      <c r="G252" s="65"/>
      <c r="H252" s="65"/>
      <c r="I252" s="65"/>
      <c r="J252" s="65"/>
      <c r="K252" s="65"/>
      <c r="L252" s="65"/>
      <c r="M252" s="65"/>
      <c r="N252" s="65"/>
      <c r="O252" s="65"/>
      <c r="P252" s="14"/>
      <c r="Q252" s="14"/>
      <c r="R252" s="14"/>
      <c r="S252" s="14"/>
      <c r="T252" s="14"/>
      <c r="U252" s="14"/>
      <c r="V252" s="14"/>
      <c r="W252" s="14"/>
      <c r="X252" s="14"/>
      <c r="Y252" s="14"/>
      <c r="Z252" s="14"/>
      <c r="AA252" s="14"/>
    </row>
    <row r="253">
      <c r="A253" s="65"/>
      <c r="B253" s="65"/>
      <c r="C253" s="14"/>
      <c r="D253" s="14"/>
      <c r="E253" s="14"/>
      <c r="F253" s="65"/>
      <c r="G253" s="65"/>
      <c r="H253" s="65"/>
      <c r="I253" s="65"/>
      <c r="J253" s="65"/>
      <c r="K253" s="65"/>
      <c r="L253" s="65"/>
      <c r="M253" s="65"/>
      <c r="N253" s="65"/>
      <c r="O253" s="65"/>
      <c r="P253" s="14"/>
      <c r="Q253" s="14"/>
      <c r="R253" s="14"/>
      <c r="S253" s="14"/>
      <c r="T253" s="14"/>
      <c r="U253" s="14"/>
      <c r="V253" s="14"/>
      <c r="W253" s="14"/>
      <c r="X253" s="14"/>
      <c r="Y253" s="14"/>
      <c r="Z253" s="14"/>
      <c r="AA253" s="14"/>
    </row>
    <row r="254">
      <c r="A254" s="65"/>
      <c r="B254" s="65"/>
      <c r="C254" s="14"/>
      <c r="D254" s="14"/>
      <c r="E254" s="14"/>
      <c r="F254" s="65"/>
      <c r="G254" s="65"/>
      <c r="H254" s="65"/>
      <c r="I254" s="65"/>
      <c r="J254" s="65"/>
      <c r="K254" s="65"/>
      <c r="L254" s="65"/>
      <c r="M254" s="65"/>
      <c r="N254" s="65"/>
      <c r="O254" s="65"/>
      <c r="P254" s="14"/>
      <c r="Q254" s="14"/>
      <c r="R254" s="14"/>
      <c r="S254" s="14"/>
      <c r="T254" s="14"/>
      <c r="U254" s="14"/>
      <c r="V254" s="14"/>
      <c r="W254" s="14"/>
      <c r="X254" s="14"/>
      <c r="Y254" s="14"/>
      <c r="Z254" s="14"/>
      <c r="AA254" s="14"/>
    </row>
    <row r="255">
      <c r="A255" s="65"/>
      <c r="B255" s="65"/>
      <c r="C255" s="14"/>
      <c r="D255" s="14"/>
      <c r="E255" s="14"/>
      <c r="F255" s="65"/>
      <c r="G255" s="65"/>
      <c r="H255" s="65"/>
      <c r="I255" s="65"/>
      <c r="J255" s="65"/>
      <c r="K255" s="65"/>
      <c r="L255" s="65"/>
      <c r="M255" s="65"/>
      <c r="N255" s="65"/>
      <c r="O255" s="65"/>
      <c r="P255" s="14"/>
      <c r="Q255" s="14"/>
      <c r="R255" s="14"/>
      <c r="S255" s="14"/>
      <c r="T255" s="14"/>
      <c r="U255" s="14"/>
      <c r="V255" s="14"/>
      <c r="W255" s="14"/>
      <c r="X255" s="14"/>
      <c r="Y255" s="14"/>
      <c r="Z255" s="14"/>
      <c r="AA255" s="14"/>
    </row>
    <row r="256">
      <c r="A256" s="65"/>
      <c r="B256" s="65"/>
      <c r="C256" s="14"/>
      <c r="D256" s="14"/>
      <c r="E256" s="14"/>
      <c r="F256" s="65"/>
      <c r="G256" s="65"/>
      <c r="H256" s="65"/>
      <c r="I256" s="65"/>
      <c r="J256" s="65"/>
      <c r="K256" s="65"/>
      <c r="L256" s="65"/>
      <c r="M256" s="65"/>
      <c r="N256" s="65"/>
      <c r="O256" s="65"/>
      <c r="P256" s="14"/>
      <c r="Q256" s="14"/>
      <c r="R256" s="14"/>
      <c r="S256" s="14"/>
      <c r="T256" s="14"/>
      <c r="U256" s="14"/>
      <c r="V256" s="14"/>
      <c r="W256" s="14"/>
      <c r="X256" s="14"/>
      <c r="Y256" s="14"/>
      <c r="Z256" s="14"/>
      <c r="AA256" s="14"/>
    </row>
    <row r="257">
      <c r="A257" s="65"/>
      <c r="B257" s="65"/>
      <c r="C257" s="14"/>
      <c r="D257" s="14"/>
      <c r="E257" s="14"/>
      <c r="F257" s="65"/>
      <c r="G257" s="65"/>
      <c r="H257" s="65"/>
      <c r="I257" s="65"/>
      <c r="J257" s="65"/>
      <c r="K257" s="65"/>
      <c r="L257" s="65"/>
      <c r="M257" s="65"/>
      <c r="N257" s="65"/>
      <c r="O257" s="65"/>
      <c r="P257" s="14"/>
      <c r="Q257" s="14"/>
      <c r="R257" s="14"/>
      <c r="S257" s="14"/>
      <c r="T257" s="14"/>
      <c r="U257" s="14"/>
      <c r="V257" s="14"/>
      <c r="W257" s="14"/>
      <c r="X257" s="14"/>
      <c r="Y257" s="14"/>
      <c r="Z257" s="14"/>
      <c r="AA257" s="14"/>
    </row>
    <row r="258">
      <c r="A258" s="65"/>
      <c r="B258" s="65"/>
      <c r="C258" s="14"/>
      <c r="D258" s="14"/>
      <c r="E258" s="14"/>
      <c r="F258" s="65"/>
      <c r="G258" s="65"/>
      <c r="H258" s="65"/>
      <c r="I258" s="65"/>
      <c r="J258" s="65"/>
      <c r="K258" s="65"/>
      <c r="L258" s="65"/>
      <c r="M258" s="65"/>
      <c r="N258" s="65"/>
      <c r="O258" s="65"/>
      <c r="P258" s="14"/>
      <c r="Q258" s="14"/>
      <c r="R258" s="14"/>
      <c r="S258" s="14"/>
      <c r="T258" s="14"/>
      <c r="U258" s="14"/>
      <c r="V258" s="14"/>
      <c r="W258" s="14"/>
      <c r="X258" s="14"/>
      <c r="Y258" s="14"/>
      <c r="Z258" s="14"/>
      <c r="AA258" s="14"/>
    </row>
    <row r="259">
      <c r="A259" s="65"/>
      <c r="B259" s="65"/>
      <c r="C259" s="14"/>
      <c r="D259" s="14"/>
      <c r="E259" s="14"/>
      <c r="F259" s="65"/>
      <c r="G259" s="65"/>
      <c r="H259" s="65"/>
      <c r="I259" s="65"/>
      <c r="J259" s="65"/>
      <c r="K259" s="65"/>
      <c r="L259" s="65"/>
      <c r="M259" s="65"/>
      <c r="N259" s="65"/>
      <c r="O259" s="65"/>
      <c r="P259" s="14"/>
      <c r="Q259" s="14"/>
      <c r="R259" s="14"/>
      <c r="S259" s="14"/>
      <c r="T259" s="14"/>
      <c r="U259" s="14"/>
      <c r="V259" s="14"/>
      <c r="W259" s="14"/>
      <c r="X259" s="14"/>
      <c r="Y259" s="14"/>
      <c r="Z259" s="14"/>
      <c r="AA259" s="14"/>
    </row>
    <row r="260">
      <c r="A260" s="65"/>
      <c r="B260" s="65"/>
      <c r="C260" s="14"/>
      <c r="D260" s="14"/>
      <c r="E260" s="14"/>
      <c r="F260" s="65"/>
      <c r="G260" s="65"/>
      <c r="H260" s="65"/>
      <c r="I260" s="65"/>
      <c r="J260" s="65"/>
      <c r="K260" s="65"/>
      <c r="L260" s="65"/>
      <c r="M260" s="65"/>
      <c r="N260" s="65"/>
      <c r="O260" s="65"/>
      <c r="P260" s="14"/>
      <c r="Q260" s="14"/>
      <c r="R260" s="14"/>
      <c r="S260" s="14"/>
      <c r="T260" s="14"/>
      <c r="U260" s="14"/>
      <c r="V260" s="14"/>
      <c r="W260" s="14"/>
      <c r="X260" s="14"/>
      <c r="Y260" s="14"/>
      <c r="Z260" s="14"/>
      <c r="AA260" s="14"/>
    </row>
    <row r="261">
      <c r="A261" s="65"/>
      <c r="B261" s="65"/>
      <c r="C261" s="14"/>
      <c r="D261" s="14"/>
      <c r="E261" s="14"/>
      <c r="F261" s="65"/>
      <c r="G261" s="65"/>
      <c r="H261" s="65"/>
      <c r="I261" s="65"/>
      <c r="J261" s="65"/>
      <c r="K261" s="65"/>
      <c r="L261" s="65"/>
      <c r="M261" s="65"/>
      <c r="N261" s="65"/>
      <c r="O261" s="65"/>
      <c r="P261" s="14"/>
      <c r="Q261" s="14"/>
      <c r="R261" s="14"/>
      <c r="S261" s="14"/>
      <c r="T261" s="14"/>
      <c r="U261" s="14"/>
      <c r="V261" s="14"/>
      <c r="W261" s="14"/>
      <c r="X261" s="14"/>
      <c r="Y261" s="14"/>
      <c r="Z261" s="14"/>
      <c r="AA261" s="14"/>
    </row>
    <row r="262">
      <c r="A262" s="65"/>
      <c r="B262" s="65"/>
      <c r="C262" s="14"/>
      <c r="D262" s="14"/>
      <c r="E262" s="14"/>
      <c r="F262" s="65"/>
      <c r="G262" s="65"/>
      <c r="H262" s="65"/>
      <c r="I262" s="65"/>
      <c r="J262" s="65"/>
      <c r="K262" s="65"/>
      <c r="L262" s="65"/>
      <c r="M262" s="65"/>
      <c r="N262" s="65"/>
      <c r="O262" s="65"/>
      <c r="P262" s="14"/>
      <c r="Q262" s="14"/>
      <c r="R262" s="14"/>
      <c r="S262" s="14"/>
      <c r="T262" s="14"/>
      <c r="U262" s="14"/>
      <c r="V262" s="14"/>
      <c r="W262" s="14"/>
      <c r="X262" s="14"/>
      <c r="Y262" s="14"/>
      <c r="Z262" s="14"/>
      <c r="AA262" s="14"/>
    </row>
    <row r="263">
      <c r="A263" s="65"/>
      <c r="B263" s="65"/>
      <c r="C263" s="14"/>
      <c r="D263" s="14"/>
      <c r="E263" s="14"/>
      <c r="F263" s="65"/>
      <c r="G263" s="65"/>
      <c r="H263" s="65"/>
      <c r="I263" s="65"/>
      <c r="J263" s="65"/>
      <c r="K263" s="65"/>
      <c r="L263" s="65"/>
      <c r="M263" s="65"/>
      <c r="N263" s="65"/>
      <c r="O263" s="65"/>
      <c r="P263" s="14"/>
      <c r="Q263" s="14"/>
      <c r="R263" s="14"/>
      <c r="S263" s="14"/>
      <c r="T263" s="14"/>
      <c r="U263" s="14"/>
      <c r="V263" s="14"/>
      <c r="W263" s="14"/>
      <c r="X263" s="14"/>
      <c r="Y263" s="14"/>
      <c r="Z263" s="14"/>
      <c r="AA263" s="14"/>
    </row>
    <row r="264">
      <c r="A264" s="65"/>
      <c r="B264" s="65"/>
      <c r="C264" s="14"/>
      <c r="D264" s="14"/>
      <c r="E264" s="14"/>
      <c r="F264" s="65"/>
      <c r="G264" s="65"/>
      <c r="H264" s="65"/>
      <c r="I264" s="65"/>
      <c r="J264" s="65"/>
      <c r="K264" s="65"/>
      <c r="L264" s="65"/>
      <c r="M264" s="65"/>
      <c r="N264" s="65"/>
      <c r="O264" s="65"/>
      <c r="P264" s="14"/>
      <c r="Q264" s="14"/>
      <c r="R264" s="14"/>
      <c r="S264" s="14"/>
      <c r="T264" s="14"/>
      <c r="U264" s="14"/>
      <c r="V264" s="14"/>
      <c r="W264" s="14"/>
      <c r="X264" s="14"/>
      <c r="Y264" s="14"/>
      <c r="Z264" s="14"/>
      <c r="AA264" s="14"/>
    </row>
    <row r="265">
      <c r="A265" s="65"/>
      <c r="B265" s="65"/>
      <c r="C265" s="14"/>
      <c r="D265" s="14"/>
      <c r="E265" s="14"/>
      <c r="F265" s="65"/>
      <c r="G265" s="65"/>
      <c r="H265" s="65"/>
      <c r="I265" s="65"/>
      <c r="J265" s="65"/>
      <c r="K265" s="65"/>
      <c r="L265" s="65"/>
      <c r="M265" s="65"/>
      <c r="N265" s="65"/>
      <c r="O265" s="65"/>
      <c r="P265" s="14"/>
      <c r="Q265" s="14"/>
      <c r="R265" s="14"/>
      <c r="S265" s="14"/>
      <c r="T265" s="14"/>
      <c r="U265" s="14"/>
      <c r="V265" s="14"/>
      <c r="W265" s="14"/>
      <c r="X265" s="14"/>
      <c r="Y265" s="14"/>
      <c r="Z265" s="14"/>
      <c r="AA265" s="14"/>
    </row>
    <row r="266">
      <c r="A266" s="65"/>
      <c r="B266" s="65"/>
      <c r="C266" s="14"/>
      <c r="D266" s="14"/>
      <c r="E266" s="14"/>
      <c r="F266" s="65"/>
      <c r="G266" s="65"/>
      <c r="H266" s="65"/>
      <c r="I266" s="65"/>
      <c r="J266" s="65"/>
      <c r="K266" s="65"/>
      <c r="L266" s="65"/>
      <c r="M266" s="65"/>
      <c r="N266" s="65"/>
      <c r="O266" s="65"/>
      <c r="P266" s="14"/>
      <c r="Q266" s="14"/>
      <c r="R266" s="14"/>
      <c r="S266" s="14"/>
      <c r="T266" s="14"/>
      <c r="U266" s="14"/>
      <c r="V266" s="14"/>
      <c r="W266" s="14"/>
      <c r="X266" s="14"/>
      <c r="Y266" s="14"/>
      <c r="Z266" s="14"/>
      <c r="AA266" s="14"/>
    </row>
    <row r="267">
      <c r="A267" s="65"/>
      <c r="B267" s="65"/>
      <c r="C267" s="14"/>
      <c r="D267" s="14"/>
      <c r="E267" s="14"/>
      <c r="F267" s="65"/>
      <c r="G267" s="65"/>
      <c r="H267" s="65"/>
      <c r="I267" s="65"/>
      <c r="J267" s="65"/>
      <c r="K267" s="65"/>
      <c r="L267" s="65"/>
      <c r="M267" s="65"/>
      <c r="N267" s="65"/>
      <c r="O267" s="65"/>
      <c r="P267" s="14"/>
      <c r="Q267" s="14"/>
      <c r="R267" s="14"/>
      <c r="S267" s="14"/>
      <c r="T267" s="14"/>
      <c r="U267" s="14"/>
      <c r="V267" s="14"/>
      <c r="W267" s="14"/>
      <c r="X267" s="14"/>
      <c r="Y267" s="14"/>
      <c r="Z267" s="14"/>
      <c r="AA267" s="14"/>
    </row>
    <row r="268">
      <c r="A268" s="65"/>
      <c r="B268" s="65"/>
      <c r="C268" s="14"/>
      <c r="D268" s="14"/>
      <c r="E268" s="14"/>
      <c r="F268" s="65"/>
      <c r="G268" s="65"/>
      <c r="H268" s="65"/>
      <c r="I268" s="65"/>
      <c r="J268" s="65"/>
      <c r="K268" s="65"/>
      <c r="L268" s="65"/>
      <c r="M268" s="65"/>
      <c r="N268" s="65"/>
      <c r="O268" s="65"/>
      <c r="P268" s="14"/>
      <c r="Q268" s="14"/>
      <c r="R268" s="14"/>
      <c r="S268" s="14"/>
      <c r="T268" s="14"/>
      <c r="U268" s="14"/>
      <c r="V268" s="14"/>
      <c r="W268" s="14"/>
      <c r="X268" s="14"/>
      <c r="Y268" s="14"/>
      <c r="Z268" s="14"/>
      <c r="AA268" s="14"/>
    </row>
    <row r="269">
      <c r="A269" s="65"/>
      <c r="B269" s="65"/>
      <c r="C269" s="14"/>
      <c r="D269" s="14"/>
      <c r="E269" s="14"/>
      <c r="F269" s="65"/>
      <c r="G269" s="65"/>
      <c r="H269" s="65"/>
      <c r="I269" s="65"/>
      <c r="J269" s="65"/>
      <c r="K269" s="65"/>
      <c r="L269" s="65"/>
      <c r="M269" s="65"/>
      <c r="N269" s="65"/>
      <c r="O269" s="65"/>
      <c r="P269" s="14"/>
      <c r="Q269" s="14"/>
      <c r="R269" s="14"/>
      <c r="S269" s="14"/>
      <c r="T269" s="14"/>
      <c r="U269" s="14"/>
      <c r="V269" s="14"/>
      <c r="W269" s="14"/>
      <c r="X269" s="14"/>
      <c r="Y269" s="14"/>
      <c r="Z269" s="14"/>
      <c r="AA269" s="14"/>
    </row>
    <row r="270">
      <c r="A270" s="65"/>
      <c r="B270" s="65"/>
      <c r="C270" s="14"/>
      <c r="D270" s="14"/>
      <c r="E270" s="14"/>
      <c r="F270" s="65"/>
      <c r="G270" s="65"/>
      <c r="H270" s="65"/>
      <c r="I270" s="65"/>
      <c r="J270" s="65"/>
      <c r="K270" s="65"/>
      <c r="L270" s="65"/>
      <c r="M270" s="65"/>
      <c r="N270" s="65"/>
      <c r="O270" s="65"/>
      <c r="P270" s="14"/>
      <c r="Q270" s="14"/>
      <c r="R270" s="14"/>
      <c r="S270" s="14"/>
      <c r="T270" s="14"/>
      <c r="U270" s="14"/>
      <c r="V270" s="14"/>
      <c r="W270" s="14"/>
      <c r="X270" s="14"/>
      <c r="Y270" s="14"/>
      <c r="Z270" s="14"/>
      <c r="AA270" s="14"/>
    </row>
    <row r="271">
      <c r="A271" s="65"/>
      <c r="B271" s="65"/>
      <c r="C271" s="14"/>
      <c r="D271" s="14"/>
      <c r="E271" s="14"/>
      <c r="F271" s="65"/>
      <c r="G271" s="65"/>
      <c r="H271" s="65"/>
      <c r="I271" s="65"/>
      <c r="J271" s="65"/>
      <c r="K271" s="65"/>
      <c r="L271" s="65"/>
      <c r="M271" s="65"/>
      <c r="N271" s="65"/>
      <c r="O271" s="65"/>
      <c r="P271" s="14"/>
      <c r="Q271" s="14"/>
      <c r="R271" s="14"/>
      <c r="S271" s="14"/>
      <c r="T271" s="14"/>
      <c r="U271" s="14"/>
      <c r="V271" s="14"/>
      <c r="W271" s="14"/>
      <c r="X271" s="14"/>
      <c r="Y271" s="14"/>
      <c r="Z271" s="14"/>
      <c r="AA271" s="14"/>
    </row>
    <row r="272">
      <c r="A272" s="65"/>
      <c r="B272" s="65"/>
      <c r="C272" s="14"/>
      <c r="D272" s="14"/>
      <c r="E272" s="14"/>
      <c r="F272" s="65"/>
      <c r="G272" s="65"/>
      <c r="H272" s="65"/>
      <c r="I272" s="65"/>
      <c r="J272" s="65"/>
      <c r="K272" s="65"/>
      <c r="L272" s="65"/>
      <c r="M272" s="65"/>
      <c r="N272" s="65"/>
      <c r="O272" s="65"/>
      <c r="P272" s="14"/>
      <c r="Q272" s="14"/>
      <c r="R272" s="14"/>
      <c r="S272" s="14"/>
      <c r="T272" s="14"/>
      <c r="U272" s="14"/>
      <c r="V272" s="14"/>
      <c r="W272" s="14"/>
      <c r="X272" s="14"/>
      <c r="Y272" s="14"/>
      <c r="Z272" s="14"/>
      <c r="AA272" s="14"/>
    </row>
    <row r="273">
      <c r="A273" s="65"/>
      <c r="B273" s="65"/>
      <c r="C273" s="14"/>
      <c r="D273" s="14"/>
      <c r="E273" s="14"/>
      <c r="F273" s="65"/>
      <c r="G273" s="65"/>
      <c r="H273" s="65"/>
      <c r="I273" s="65"/>
      <c r="J273" s="65"/>
      <c r="K273" s="65"/>
      <c r="L273" s="65"/>
      <c r="M273" s="65"/>
      <c r="N273" s="65"/>
      <c r="O273" s="65"/>
      <c r="P273" s="14"/>
      <c r="Q273" s="14"/>
      <c r="R273" s="14"/>
      <c r="S273" s="14"/>
      <c r="T273" s="14"/>
      <c r="U273" s="14"/>
      <c r="V273" s="14"/>
      <c r="W273" s="14"/>
      <c r="X273" s="14"/>
      <c r="Y273" s="14"/>
      <c r="Z273" s="14"/>
      <c r="AA273" s="14"/>
    </row>
    <row r="274">
      <c r="A274" s="65"/>
      <c r="B274" s="65"/>
      <c r="C274" s="14"/>
      <c r="D274" s="14"/>
      <c r="E274" s="14"/>
      <c r="F274" s="65"/>
      <c r="G274" s="65"/>
      <c r="H274" s="65"/>
      <c r="I274" s="65"/>
      <c r="J274" s="65"/>
      <c r="K274" s="65"/>
      <c r="L274" s="65"/>
      <c r="M274" s="65"/>
      <c r="N274" s="65"/>
      <c r="O274" s="65"/>
      <c r="P274" s="14"/>
      <c r="Q274" s="14"/>
      <c r="R274" s="14"/>
      <c r="S274" s="14"/>
      <c r="T274" s="14"/>
      <c r="U274" s="14"/>
      <c r="V274" s="14"/>
      <c r="W274" s="14"/>
      <c r="X274" s="14"/>
      <c r="Y274" s="14"/>
      <c r="Z274" s="14"/>
      <c r="AA274" s="14"/>
    </row>
    <row r="275">
      <c r="A275" s="65"/>
      <c r="B275" s="65"/>
      <c r="C275" s="14"/>
      <c r="D275" s="14"/>
      <c r="E275" s="14"/>
      <c r="F275" s="65"/>
      <c r="G275" s="65"/>
      <c r="H275" s="65"/>
      <c r="I275" s="65"/>
      <c r="J275" s="65"/>
      <c r="K275" s="65"/>
      <c r="L275" s="65"/>
      <c r="M275" s="65"/>
      <c r="N275" s="65"/>
      <c r="O275" s="65"/>
      <c r="P275" s="14"/>
      <c r="Q275" s="14"/>
      <c r="R275" s="14"/>
      <c r="S275" s="14"/>
      <c r="T275" s="14"/>
      <c r="U275" s="14"/>
      <c r="V275" s="14"/>
      <c r="W275" s="14"/>
      <c r="X275" s="14"/>
      <c r="Y275" s="14"/>
      <c r="Z275" s="14"/>
      <c r="AA275" s="14"/>
    </row>
    <row r="276">
      <c r="A276" s="65"/>
      <c r="B276" s="65"/>
      <c r="C276" s="14"/>
      <c r="D276" s="14"/>
      <c r="E276" s="14"/>
      <c r="F276" s="65"/>
      <c r="G276" s="65"/>
      <c r="H276" s="65"/>
      <c r="I276" s="65"/>
      <c r="J276" s="65"/>
      <c r="K276" s="65"/>
      <c r="L276" s="65"/>
      <c r="M276" s="65"/>
      <c r="N276" s="65"/>
      <c r="O276" s="65"/>
      <c r="P276" s="14"/>
      <c r="Q276" s="14"/>
      <c r="R276" s="14"/>
      <c r="S276" s="14"/>
      <c r="T276" s="14"/>
      <c r="U276" s="14"/>
      <c r="V276" s="14"/>
      <c r="W276" s="14"/>
      <c r="X276" s="14"/>
      <c r="Y276" s="14"/>
      <c r="Z276" s="14"/>
      <c r="AA276" s="14"/>
    </row>
    <row r="277">
      <c r="A277" s="65"/>
      <c r="B277" s="65"/>
      <c r="C277" s="14"/>
      <c r="D277" s="14"/>
      <c r="E277" s="14"/>
      <c r="F277" s="65"/>
      <c r="G277" s="65"/>
      <c r="H277" s="65"/>
      <c r="I277" s="65"/>
      <c r="J277" s="65"/>
      <c r="K277" s="65"/>
      <c r="L277" s="65"/>
      <c r="M277" s="65"/>
      <c r="N277" s="65"/>
      <c r="O277" s="65"/>
      <c r="P277" s="14"/>
      <c r="Q277" s="14"/>
      <c r="R277" s="14"/>
      <c r="S277" s="14"/>
      <c r="T277" s="14"/>
      <c r="U277" s="14"/>
      <c r="V277" s="14"/>
      <c r="W277" s="14"/>
      <c r="X277" s="14"/>
      <c r="Y277" s="14"/>
      <c r="Z277" s="14"/>
      <c r="AA277" s="14"/>
    </row>
    <row r="278">
      <c r="A278" s="65"/>
      <c r="B278" s="65"/>
      <c r="C278" s="14"/>
      <c r="D278" s="14"/>
      <c r="E278" s="14"/>
      <c r="F278" s="65"/>
      <c r="G278" s="65"/>
      <c r="H278" s="65"/>
      <c r="I278" s="65"/>
      <c r="J278" s="65"/>
      <c r="K278" s="65"/>
      <c r="L278" s="65"/>
      <c r="M278" s="65"/>
      <c r="N278" s="65"/>
      <c r="O278" s="65"/>
      <c r="P278" s="14"/>
      <c r="Q278" s="14"/>
      <c r="R278" s="14"/>
      <c r="S278" s="14"/>
      <c r="T278" s="14"/>
      <c r="U278" s="14"/>
      <c r="V278" s="14"/>
      <c r="W278" s="14"/>
      <c r="X278" s="14"/>
      <c r="Y278" s="14"/>
      <c r="Z278" s="14"/>
      <c r="AA278" s="14"/>
    </row>
    <row r="279">
      <c r="A279" s="65"/>
      <c r="B279" s="65"/>
      <c r="C279" s="14"/>
      <c r="D279" s="14"/>
      <c r="E279" s="14"/>
      <c r="F279" s="65"/>
      <c r="G279" s="65"/>
      <c r="H279" s="65"/>
      <c r="I279" s="65"/>
      <c r="J279" s="65"/>
      <c r="K279" s="65"/>
      <c r="L279" s="65"/>
      <c r="M279" s="65"/>
      <c r="N279" s="65"/>
      <c r="O279" s="65"/>
      <c r="P279" s="14"/>
      <c r="Q279" s="14"/>
      <c r="R279" s="14"/>
      <c r="S279" s="14"/>
      <c r="T279" s="14"/>
      <c r="U279" s="14"/>
      <c r="V279" s="14"/>
      <c r="W279" s="14"/>
      <c r="X279" s="14"/>
      <c r="Y279" s="14"/>
      <c r="Z279" s="14"/>
      <c r="AA279" s="14"/>
    </row>
    <row r="280">
      <c r="A280" s="65"/>
      <c r="B280" s="65"/>
      <c r="C280" s="14"/>
      <c r="D280" s="14"/>
      <c r="E280" s="14"/>
      <c r="F280" s="65"/>
      <c r="G280" s="65"/>
      <c r="H280" s="65"/>
      <c r="I280" s="65"/>
      <c r="J280" s="65"/>
      <c r="K280" s="65"/>
      <c r="L280" s="65"/>
      <c r="M280" s="65"/>
      <c r="N280" s="65"/>
      <c r="O280" s="65"/>
      <c r="P280" s="14"/>
      <c r="Q280" s="14"/>
      <c r="R280" s="14"/>
      <c r="S280" s="14"/>
      <c r="T280" s="14"/>
      <c r="U280" s="14"/>
      <c r="V280" s="14"/>
      <c r="W280" s="14"/>
      <c r="X280" s="14"/>
      <c r="Y280" s="14"/>
      <c r="Z280" s="14"/>
      <c r="AA280" s="14"/>
    </row>
    <row r="281">
      <c r="A281" s="65"/>
      <c r="B281" s="65"/>
      <c r="C281" s="14"/>
      <c r="D281" s="14"/>
      <c r="E281" s="14"/>
      <c r="F281" s="65"/>
      <c r="G281" s="65"/>
      <c r="H281" s="65"/>
      <c r="I281" s="65"/>
      <c r="J281" s="65"/>
      <c r="K281" s="65"/>
      <c r="L281" s="65"/>
      <c r="M281" s="65"/>
      <c r="N281" s="65"/>
      <c r="O281" s="65"/>
      <c r="P281" s="14"/>
      <c r="Q281" s="14"/>
      <c r="R281" s="14"/>
      <c r="S281" s="14"/>
      <c r="T281" s="14"/>
      <c r="U281" s="14"/>
      <c r="V281" s="14"/>
      <c r="W281" s="14"/>
      <c r="X281" s="14"/>
      <c r="Y281" s="14"/>
      <c r="Z281" s="14"/>
      <c r="AA281" s="14"/>
    </row>
    <row r="282">
      <c r="A282" s="65"/>
      <c r="B282" s="65"/>
      <c r="C282" s="14"/>
      <c r="D282" s="14"/>
      <c r="E282" s="14"/>
      <c r="F282" s="65"/>
      <c r="G282" s="65"/>
      <c r="H282" s="65"/>
      <c r="I282" s="65"/>
      <c r="J282" s="65"/>
      <c r="K282" s="65"/>
      <c r="L282" s="65"/>
      <c r="M282" s="65"/>
      <c r="N282" s="65"/>
      <c r="O282" s="65"/>
      <c r="P282" s="14"/>
      <c r="Q282" s="14"/>
      <c r="R282" s="14"/>
      <c r="S282" s="14"/>
      <c r="T282" s="14"/>
      <c r="U282" s="14"/>
      <c r="V282" s="14"/>
      <c r="W282" s="14"/>
      <c r="X282" s="14"/>
      <c r="Y282" s="14"/>
      <c r="Z282" s="14"/>
      <c r="AA282" s="14"/>
    </row>
    <row r="283">
      <c r="A283" s="65"/>
      <c r="B283" s="65"/>
      <c r="C283" s="14"/>
      <c r="D283" s="14"/>
      <c r="E283" s="14"/>
      <c r="F283" s="65"/>
      <c r="G283" s="65"/>
      <c r="H283" s="65"/>
      <c r="I283" s="65"/>
      <c r="J283" s="65"/>
      <c r="K283" s="65"/>
      <c r="L283" s="65"/>
      <c r="M283" s="65"/>
      <c r="N283" s="65"/>
      <c r="O283" s="65"/>
      <c r="P283" s="14"/>
      <c r="Q283" s="14"/>
      <c r="R283" s="14"/>
      <c r="S283" s="14"/>
      <c r="T283" s="14"/>
      <c r="U283" s="14"/>
      <c r="V283" s="14"/>
      <c r="W283" s="14"/>
      <c r="X283" s="14"/>
      <c r="Y283" s="14"/>
      <c r="Z283" s="14"/>
      <c r="AA283" s="14"/>
    </row>
    <row r="284">
      <c r="A284" s="65"/>
      <c r="B284" s="65"/>
      <c r="C284" s="14"/>
      <c r="D284" s="14"/>
      <c r="E284" s="14"/>
      <c r="F284" s="65"/>
      <c r="G284" s="65"/>
      <c r="H284" s="65"/>
      <c r="I284" s="65"/>
      <c r="J284" s="65"/>
      <c r="K284" s="65"/>
      <c r="L284" s="65"/>
      <c r="M284" s="65"/>
      <c r="N284" s="65"/>
      <c r="O284" s="65"/>
      <c r="P284" s="14"/>
      <c r="Q284" s="14"/>
      <c r="R284" s="14"/>
      <c r="S284" s="14"/>
      <c r="T284" s="14"/>
      <c r="U284" s="14"/>
      <c r="V284" s="14"/>
      <c r="W284" s="14"/>
      <c r="X284" s="14"/>
      <c r="Y284" s="14"/>
      <c r="Z284" s="14"/>
      <c r="AA284" s="14"/>
    </row>
    <row r="285">
      <c r="A285" s="65"/>
      <c r="B285" s="65"/>
      <c r="C285" s="14"/>
      <c r="D285" s="14"/>
      <c r="E285" s="14"/>
      <c r="F285" s="65"/>
      <c r="G285" s="65"/>
      <c r="H285" s="65"/>
      <c r="I285" s="65"/>
      <c r="J285" s="65"/>
      <c r="K285" s="65"/>
      <c r="L285" s="65"/>
      <c r="M285" s="65"/>
      <c r="N285" s="65"/>
      <c r="O285" s="65"/>
      <c r="P285" s="14"/>
      <c r="Q285" s="14"/>
      <c r="R285" s="14"/>
      <c r="S285" s="14"/>
      <c r="T285" s="14"/>
      <c r="U285" s="14"/>
      <c r="V285" s="14"/>
      <c r="W285" s="14"/>
      <c r="X285" s="14"/>
      <c r="Y285" s="14"/>
      <c r="Z285" s="14"/>
      <c r="AA285" s="14"/>
    </row>
    <row r="286">
      <c r="A286" s="65"/>
      <c r="B286" s="65"/>
      <c r="C286" s="14"/>
      <c r="D286" s="14"/>
      <c r="E286" s="14"/>
      <c r="F286" s="65"/>
      <c r="G286" s="65"/>
      <c r="H286" s="65"/>
      <c r="I286" s="65"/>
      <c r="J286" s="65"/>
      <c r="K286" s="65"/>
      <c r="L286" s="65"/>
      <c r="M286" s="65"/>
      <c r="N286" s="65"/>
      <c r="O286" s="65"/>
      <c r="P286" s="14"/>
      <c r="Q286" s="14"/>
      <c r="R286" s="14"/>
      <c r="S286" s="14"/>
      <c r="T286" s="14"/>
      <c r="U286" s="14"/>
      <c r="V286" s="14"/>
      <c r="W286" s="14"/>
      <c r="X286" s="14"/>
      <c r="Y286" s="14"/>
      <c r="Z286" s="14"/>
      <c r="AA286" s="14"/>
    </row>
    <row r="287">
      <c r="A287" s="65"/>
      <c r="B287" s="65"/>
      <c r="C287" s="14"/>
      <c r="D287" s="14"/>
      <c r="E287" s="14"/>
      <c r="F287" s="65"/>
      <c r="G287" s="65"/>
      <c r="H287" s="65"/>
      <c r="I287" s="65"/>
      <c r="J287" s="65"/>
      <c r="K287" s="65"/>
      <c r="L287" s="65"/>
      <c r="M287" s="65"/>
      <c r="N287" s="65"/>
      <c r="O287" s="65"/>
      <c r="P287" s="14"/>
      <c r="Q287" s="14"/>
      <c r="R287" s="14"/>
      <c r="S287" s="14"/>
      <c r="T287" s="14"/>
      <c r="U287" s="14"/>
      <c r="V287" s="14"/>
      <c r="W287" s="14"/>
      <c r="X287" s="14"/>
      <c r="Y287" s="14"/>
      <c r="Z287" s="14"/>
      <c r="AA287" s="14"/>
    </row>
    <row r="288">
      <c r="A288" s="65"/>
      <c r="B288" s="65"/>
      <c r="C288" s="14"/>
      <c r="D288" s="14"/>
      <c r="E288" s="14"/>
      <c r="F288" s="65"/>
      <c r="G288" s="65"/>
      <c r="H288" s="65"/>
      <c r="I288" s="65"/>
      <c r="J288" s="65"/>
      <c r="K288" s="65"/>
      <c r="L288" s="65"/>
      <c r="M288" s="65"/>
      <c r="N288" s="65"/>
      <c r="O288" s="65"/>
      <c r="P288" s="14"/>
      <c r="Q288" s="14"/>
      <c r="R288" s="14"/>
      <c r="S288" s="14"/>
      <c r="T288" s="14"/>
      <c r="U288" s="14"/>
      <c r="V288" s="14"/>
      <c r="W288" s="14"/>
      <c r="X288" s="14"/>
      <c r="Y288" s="14"/>
      <c r="Z288" s="14"/>
      <c r="AA288" s="14"/>
    </row>
    <row r="289">
      <c r="A289" s="65"/>
      <c r="B289" s="65"/>
      <c r="C289" s="14"/>
      <c r="D289" s="14"/>
      <c r="E289" s="14"/>
      <c r="F289" s="65"/>
      <c r="G289" s="65"/>
      <c r="H289" s="65"/>
      <c r="I289" s="65"/>
      <c r="J289" s="65"/>
      <c r="K289" s="65"/>
      <c r="L289" s="65"/>
      <c r="M289" s="65"/>
      <c r="N289" s="65"/>
      <c r="O289" s="65"/>
      <c r="P289" s="14"/>
      <c r="Q289" s="14"/>
      <c r="R289" s="14"/>
      <c r="S289" s="14"/>
      <c r="T289" s="14"/>
      <c r="U289" s="14"/>
      <c r="V289" s="14"/>
      <c r="W289" s="14"/>
      <c r="X289" s="14"/>
      <c r="Y289" s="14"/>
      <c r="Z289" s="14"/>
      <c r="AA289" s="14"/>
    </row>
    <row r="290">
      <c r="A290" s="65"/>
      <c r="B290" s="65"/>
      <c r="C290" s="14"/>
      <c r="D290" s="14"/>
      <c r="E290" s="14"/>
      <c r="F290" s="65"/>
      <c r="G290" s="65"/>
      <c r="H290" s="65"/>
      <c r="I290" s="65"/>
      <c r="J290" s="65"/>
      <c r="K290" s="65"/>
      <c r="L290" s="65"/>
      <c r="M290" s="65"/>
      <c r="N290" s="65"/>
      <c r="O290" s="65"/>
      <c r="P290" s="14"/>
      <c r="Q290" s="14"/>
      <c r="R290" s="14"/>
      <c r="S290" s="14"/>
      <c r="T290" s="14"/>
      <c r="U290" s="14"/>
      <c r="V290" s="14"/>
      <c r="W290" s="14"/>
      <c r="X290" s="14"/>
      <c r="Y290" s="14"/>
      <c r="Z290" s="14"/>
      <c r="AA290" s="14"/>
    </row>
    <row r="291">
      <c r="A291" s="65"/>
      <c r="B291" s="65"/>
      <c r="C291" s="14"/>
      <c r="D291" s="14"/>
      <c r="E291" s="14"/>
      <c r="F291" s="65"/>
      <c r="G291" s="65"/>
      <c r="H291" s="65"/>
      <c r="I291" s="65"/>
      <c r="J291" s="65"/>
      <c r="K291" s="65"/>
      <c r="L291" s="65"/>
      <c r="M291" s="65"/>
      <c r="N291" s="65"/>
      <c r="O291" s="65"/>
      <c r="P291" s="14"/>
      <c r="Q291" s="14"/>
      <c r="R291" s="14"/>
      <c r="S291" s="14"/>
      <c r="T291" s="14"/>
      <c r="U291" s="14"/>
      <c r="V291" s="14"/>
      <c r="W291" s="14"/>
      <c r="X291" s="14"/>
      <c r="Y291" s="14"/>
      <c r="Z291" s="14"/>
      <c r="AA291" s="14"/>
    </row>
    <row r="292">
      <c r="A292" s="65"/>
      <c r="B292" s="65"/>
      <c r="C292" s="14"/>
      <c r="D292" s="14"/>
      <c r="E292" s="14"/>
      <c r="F292" s="65"/>
      <c r="G292" s="65"/>
      <c r="H292" s="65"/>
      <c r="I292" s="65"/>
      <c r="J292" s="65"/>
      <c r="K292" s="65"/>
      <c r="L292" s="65"/>
      <c r="M292" s="65"/>
      <c r="N292" s="65"/>
      <c r="O292" s="65"/>
      <c r="P292" s="14"/>
      <c r="Q292" s="14"/>
      <c r="R292" s="14"/>
      <c r="S292" s="14"/>
      <c r="T292" s="14"/>
      <c r="U292" s="14"/>
      <c r="V292" s="14"/>
      <c r="W292" s="14"/>
      <c r="X292" s="14"/>
      <c r="Y292" s="14"/>
      <c r="Z292" s="14"/>
      <c r="AA292" s="14"/>
    </row>
    <row r="293">
      <c r="A293" s="65"/>
      <c r="B293" s="65"/>
      <c r="C293" s="14"/>
      <c r="D293" s="14"/>
      <c r="E293" s="14"/>
      <c r="F293" s="65"/>
      <c r="G293" s="65"/>
      <c r="H293" s="65"/>
      <c r="I293" s="65"/>
      <c r="J293" s="65"/>
      <c r="K293" s="65"/>
      <c r="L293" s="65"/>
      <c r="M293" s="65"/>
      <c r="N293" s="65"/>
      <c r="O293" s="65"/>
      <c r="P293" s="14"/>
      <c r="Q293" s="14"/>
      <c r="R293" s="14"/>
      <c r="S293" s="14"/>
      <c r="T293" s="14"/>
      <c r="U293" s="14"/>
      <c r="V293" s="14"/>
      <c r="W293" s="14"/>
      <c r="X293" s="14"/>
      <c r="Y293" s="14"/>
      <c r="Z293" s="14"/>
      <c r="AA293" s="14"/>
    </row>
    <row r="294">
      <c r="A294" s="65"/>
      <c r="B294" s="65"/>
      <c r="C294" s="14"/>
      <c r="D294" s="14"/>
      <c r="E294" s="14"/>
      <c r="F294" s="65"/>
      <c r="G294" s="65"/>
      <c r="H294" s="65"/>
      <c r="I294" s="65"/>
      <c r="J294" s="65"/>
      <c r="K294" s="65"/>
      <c r="L294" s="65"/>
      <c r="M294" s="65"/>
      <c r="N294" s="65"/>
      <c r="O294" s="65"/>
      <c r="P294" s="14"/>
      <c r="Q294" s="14"/>
      <c r="R294" s="14"/>
      <c r="S294" s="14"/>
      <c r="T294" s="14"/>
      <c r="U294" s="14"/>
      <c r="V294" s="14"/>
      <c r="W294" s="14"/>
      <c r="X294" s="14"/>
      <c r="Y294" s="14"/>
      <c r="Z294" s="14"/>
      <c r="AA294" s="14"/>
    </row>
    <row r="295">
      <c r="A295" s="65"/>
      <c r="B295" s="65"/>
      <c r="C295" s="14"/>
      <c r="D295" s="14"/>
      <c r="E295" s="14"/>
      <c r="F295" s="65"/>
      <c r="G295" s="65"/>
      <c r="H295" s="65"/>
      <c r="I295" s="65"/>
      <c r="J295" s="65"/>
      <c r="K295" s="65"/>
      <c r="L295" s="65"/>
      <c r="M295" s="65"/>
      <c r="N295" s="65"/>
      <c r="O295" s="65"/>
      <c r="P295" s="14"/>
      <c r="Q295" s="14"/>
      <c r="R295" s="14"/>
      <c r="S295" s="14"/>
      <c r="T295" s="14"/>
      <c r="U295" s="14"/>
      <c r="V295" s="14"/>
      <c r="W295" s="14"/>
      <c r="X295" s="14"/>
      <c r="Y295" s="14"/>
      <c r="Z295" s="14"/>
      <c r="AA295" s="14"/>
    </row>
    <row r="296">
      <c r="A296" s="65"/>
      <c r="B296" s="65"/>
      <c r="C296" s="14"/>
      <c r="D296" s="14"/>
      <c r="E296" s="14"/>
      <c r="F296" s="65"/>
      <c r="G296" s="65"/>
      <c r="H296" s="65"/>
      <c r="I296" s="65"/>
      <c r="J296" s="65"/>
      <c r="K296" s="65"/>
      <c r="L296" s="65"/>
      <c r="M296" s="65"/>
      <c r="N296" s="65"/>
      <c r="O296" s="65"/>
      <c r="P296" s="14"/>
      <c r="Q296" s="14"/>
      <c r="R296" s="14"/>
      <c r="S296" s="14"/>
      <c r="T296" s="14"/>
      <c r="U296" s="14"/>
      <c r="V296" s="14"/>
      <c r="W296" s="14"/>
      <c r="X296" s="14"/>
      <c r="Y296" s="14"/>
      <c r="Z296" s="14"/>
      <c r="AA296" s="14"/>
    </row>
    <row r="297">
      <c r="A297" s="65"/>
      <c r="B297" s="65"/>
      <c r="C297" s="14"/>
      <c r="D297" s="14"/>
      <c r="E297" s="14"/>
      <c r="F297" s="65"/>
      <c r="G297" s="65"/>
      <c r="H297" s="65"/>
      <c r="I297" s="65"/>
      <c r="J297" s="65"/>
      <c r="K297" s="65"/>
      <c r="L297" s="65"/>
      <c r="M297" s="65"/>
      <c r="N297" s="65"/>
      <c r="O297" s="65"/>
      <c r="P297" s="14"/>
      <c r="Q297" s="14"/>
      <c r="R297" s="14"/>
      <c r="S297" s="14"/>
      <c r="T297" s="14"/>
      <c r="U297" s="14"/>
      <c r="V297" s="14"/>
      <c r="W297" s="14"/>
      <c r="X297" s="14"/>
      <c r="Y297" s="14"/>
      <c r="Z297" s="14"/>
      <c r="AA297" s="14"/>
    </row>
    <row r="298">
      <c r="A298" s="65"/>
      <c r="B298" s="65"/>
      <c r="C298" s="14"/>
      <c r="D298" s="14"/>
      <c r="E298" s="14"/>
      <c r="F298" s="65"/>
      <c r="G298" s="65"/>
      <c r="H298" s="65"/>
      <c r="I298" s="65"/>
      <c r="J298" s="65"/>
      <c r="K298" s="65"/>
      <c r="L298" s="65"/>
      <c r="M298" s="65"/>
      <c r="N298" s="65"/>
      <c r="O298" s="65"/>
      <c r="P298" s="14"/>
      <c r="Q298" s="14"/>
      <c r="R298" s="14"/>
      <c r="S298" s="14"/>
      <c r="T298" s="14"/>
      <c r="U298" s="14"/>
      <c r="V298" s="14"/>
      <c r="W298" s="14"/>
      <c r="X298" s="14"/>
      <c r="Y298" s="14"/>
      <c r="Z298" s="14"/>
      <c r="AA298" s="14"/>
    </row>
    <row r="299">
      <c r="A299" s="65"/>
      <c r="B299" s="65"/>
      <c r="C299" s="14"/>
      <c r="D299" s="14"/>
      <c r="E299" s="14"/>
      <c r="F299" s="65"/>
      <c r="G299" s="65"/>
      <c r="H299" s="65"/>
      <c r="I299" s="65"/>
      <c r="J299" s="65"/>
      <c r="K299" s="65"/>
      <c r="L299" s="65"/>
      <c r="M299" s="65"/>
      <c r="N299" s="65"/>
      <c r="O299" s="65"/>
      <c r="P299" s="14"/>
      <c r="Q299" s="14"/>
      <c r="R299" s="14"/>
      <c r="S299" s="14"/>
      <c r="T299" s="14"/>
      <c r="U299" s="14"/>
      <c r="V299" s="14"/>
      <c r="W299" s="14"/>
      <c r="X299" s="14"/>
      <c r="Y299" s="14"/>
      <c r="Z299" s="14"/>
      <c r="AA299" s="14"/>
    </row>
    <row r="300">
      <c r="A300" s="65"/>
      <c r="B300" s="65"/>
      <c r="C300" s="14"/>
      <c r="D300" s="14"/>
      <c r="E300" s="14"/>
      <c r="F300" s="65"/>
      <c r="G300" s="65"/>
      <c r="H300" s="65"/>
      <c r="I300" s="65"/>
      <c r="J300" s="65"/>
      <c r="K300" s="65"/>
      <c r="L300" s="65"/>
      <c r="M300" s="65"/>
      <c r="N300" s="65"/>
      <c r="O300" s="65"/>
      <c r="P300" s="14"/>
      <c r="Q300" s="14"/>
      <c r="R300" s="14"/>
      <c r="S300" s="14"/>
      <c r="T300" s="14"/>
      <c r="U300" s="14"/>
      <c r="V300" s="14"/>
      <c r="W300" s="14"/>
      <c r="X300" s="14"/>
      <c r="Y300" s="14"/>
      <c r="Z300" s="14"/>
      <c r="AA300" s="14"/>
    </row>
    <row r="301">
      <c r="A301" s="65"/>
      <c r="B301" s="65"/>
      <c r="C301" s="14"/>
      <c r="D301" s="14"/>
      <c r="E301" s="14"/>
      <c r="F301" s="65"/>
      <c r="G301" s="65"/>
      <c r="H301" s="65"/>
      <c r="I301" s="65"/>
      <c r="J301" s="65"/>
      <c r="K301" s="65"/>
      <c r="L301" s="65"/>
      <c r="M301" s="65"/>
      <c r="N301" s="65"/>
      <c r="O301" s="65"/>
      <c r="P301" s="14"/>
      <c r="Q301" s="14"/>
      <c r="R301" s="14"/>
      <c r="S301" s="14"/>
      <c r="T301" s="14"/>
      <c r="U301" s="14"/>
      <c r="V301" s="14"/>
      <c r="W301" s="14"/>
      <c r="X301" s="14"/>
      <c r="Y301" s="14"/>
      <c r="Z301" s="14"/>
      <c r="AA301" s="14"/>
    </row>
    <row r="302">
      <c r="A302" s="65"/>
      <c r="B302" s="65"/>
      <c r="C302" s="14"/>
      <c r="D302" s="14"/>
      <c r="E302" s="14"/>
      <c r="F302" s="65"/>
      <c r="G302" s="65"/>
      <c r="H302" s="65"/>
      <c r="I302" s="65"/>
      <c r="J302" s="65"/>
      <c r="K302" s="65"/>
      <c r="L302" s="65"/>
      <c r="M302" s="65"/>
      <c r="N302" s="65"/>
      <c r="O302" s="65"/>
      <c r="P302" s="14"/>
      <c r="Q302" s="14"/>
      <c r="R302" s="14"/>
      <c r="S302" s="14"/>
      <c r="T302" s="14"/>
      <c r="U302" s="14"/>
      <c r="V302" s="14"/>
      <c r="W302" s="14"/>
      <c r="X302" s="14"/>
      <c r="Y302" s="14"/>
      <c r="Z302" s="14"/>
      <c r="AA302" s="14"/>
    </row>
    <row r="303">
      <c r="A303" s="65"/>
      <c r="B303" s="65"/>
      <c r="C303" s="14"/>
      <c r="D303" s="14"/>
      <c r="E303" s="14"/>
      <c r="F303" s="65"/>
      <c r="G303" s="65"/>
      <c r="H303" s="65"/>
      <c r="I303" s="65"/>
      <c r="J303" s="65"/>
      <c r="K303" s="65"/>
      <c r="L303" s="65"/>
      <c r="M303" s="65"/>
      <c r="N303" s="65"/>
      <c r="O303" s="65"/>
      <c r="P303" s="14"/>
      <c r="Q303" s="14"/>
      <c r="R303" s="14"/>
      <c r="S303" s="14"/>
      <c r="T303" s="14"/>
      <c r="U303" s="14"/>
      <c r="V303" s="14"/>
      <c r="W303" s="14"/>
      <c r="X303" s="14"/>
      <c r="Y303" s="14"/>
      <c r="Z303" s="14"/>
      <c r="AA303" s="14"/>
    </row>
    <row r="304">
      <c r="A304" s="65"/>
      <c r="B304" s="65"/>
      <c r="C304" s="14"/>
      <c r="D304" s="14"/>
      <c r="E304" s="14"/>
      <c r="F304" s="65"/>
      <c r="G304" s="65"/>
      <c r="H304" s="65"/>
      <c r="I304" s="65"/>
      <c r="J304" s="65"/>
      <c r="K304" s="65"/>
      <c r="L304" s="65"/>
      <c r="M304" s="65"/>
      <c r="N304" s="65"/>
      <c r="O304" s="65"/>
      <c r="P304" s="14"/>
      <c r="Q304" s="14"/>
      <c r="R304" s="14"/>
      <c r="S304" s="14"/>
      <c r="T304" s="14"/>
      <c r="U304" s="14"/>
      <c r="V304" s="14"/>
      <c r="W304" s="14"/>
      <c r="X304" s="14"/>
      <c r="Y304" s="14"/>
      <c r="Z304" s="14"/>
      <c r="AA304" s="14"/>
    </row>
    <row r="305">
      <c r="A305" s="65"/>
      <c r="B305" s="65"/>
      <c r="C305" s="14"/>
      <c r="D305" s="14"/>
      <c r="E305" s="14"/>
      <c r="F305" s="65"/>
      <c r="G305" s="65"/>
      <c r="H305" s="65"/>
      <c r="I305" s="65"/>
      <c r="J305" s="65"/>
      <c r="K305" s="65"/>
      <c r="L305" s="65"/>
      <c r="M305" s="65"/>
      <c r="N305" s="65"/>
      <c r="O305" s="65"/>
      <c r="P305" s="14"/>
      <c r="Q305" s="14"/>
      <c r="R305" s="14"/>
      <c r="S305" s="14"/>
      <c r="T305" s="14"/>
      <c r="U305" s="14"/>
      <c r="V305" s="14"/>
      <c r="W305" s="14"/>
      <c r="X305" s="14"/>
      <c r="Y305" s="14"/>
      <c r="Z305" s="14"/>
      <c r="AA305" s="14"/>
    </row>
    <row r="306">
      <c r="A306" s="65"/>
      <c r="B306" s="65"/>
      <c r="C306" s="14"/>
      <c r="D306" s="14"/>
      <c r="E306" s="14"/>
      <c r="F306" s="65"/>
      <c r="G306" s="65"/>
      <c r="H306" s="65"/>
      <c r="I306" s="65"/>
      <c r="J306" s="65"/>
      <c r="K306" s="65"/>
      <c r="L306" s="65"/>
      <c r="M306" s="65"/>
      <c r="N306" s="65"/>
      <c r="O306" s="65"/>
      <c r="P306" s="14"/>
      <c r="Q306" s="14"/>
      <c r="R306" s="14"/>
      <c r="S306" s="14"/>
      <c r="T306" s="14"/>
      <c r="U306" s="14"/>
      <c r="V306" s="14"/>
      <c r="W306" s="14"/>
      <c r="X306" s="14"/>
      <c r="Y306" s="14"/>
      <c r="Z306" s="14"/>
      <c r="AA306" s="14"/>
    </row>
    <row r="307">
      <c r="A307" s="65"/>
      <c r="B307" s="65"/>
      <c r="C307" s="14"/>
      <c r="D307" s="14"/>
      <c r="E307" s="14"/>
      <c r="F307" s="65"/>
      <c r="G307" s="65"/>
      <c r="H307" s="65"/>
      <c r="I307" s="65"/>
      <c r="J307" s="65"/>
      <c r="K307" s="65"/>
      <c r="L307" s="65"/>
      <c r="M307" s="65"/>
      <c r="N307" s="65"/>
      <c r="O307" s="65"/>
      <c r="P307" s="14"/>
      <c r="Q307" s="14"/>
      <c r="R307" s="14"/>
      <c r="S307" s="14"/>
      <c r="T307" s="14"/>
      <c r="U307" s="14"/>
      <c r="V307" s="14"/>
      <c r="W307" s="14"/>
      <c r="X307" s="14"/>
      <c r="Y307" s="14"/>
      <c r="Z307" s="14"/>
      <c r="AA307" s="14"/>
    </row>
    <row r="308">
      <c r="A308" s="65"/>
      <c r="B308" s="65"/>
      <c r="C308" s="14"/>
      <c r="D308" s="14"/>
      <c r="E308" s="14"/>
      <c r="F308" s="65"/>
      <c r="G308" s="65"/>
      <c r="H308" s="65"/>
      <c r="I308" s="65"/>
      <c r="J308" s="65"/>
      <c r="K308" s="65"/>
      <c r="L308" s="65"/>
      <c r="M308" s="65"/>
      <c r="N308" s="65"/>
      <c r="O308" s="65"/>
      <c r="P308" s="14"/>
      <c r="Q308" s="14"/>
      <c r="R308" s="14"/>
      <c r="S308" s="14"/>
      <c r="T308" s="14"/>
      <c r="U308" s="14"/>
      <c r="V308" s="14"/>
      <c r="W308" s="14"/>
      <c r="X308" s="14"/>
      <c r="Y308" s="14"/>
      <c r="Z308" s="14"/>
      <c r="AA308" s="14"/>
    </row>
    <row r="309">
      <c r="A309" s="65"/>
      <c r="B309" s="65"/>
      <c r="C309" s="14"/>
      <c r="D309" s="14"/>
      <c r="E309" s="14"/>
      <c r="F309" s="65"/>
      <c r="G309" s="65"/>
      <c r="H309" s="65"/>
      <c r="I309" s="65"/>
      <c r="J309" s="65"/>
      <c r="K309" s="65"/>
      <c r="L309" s="65"/>
      <c r="M309" s="65"/>
      <c r="N309" s="65"/>
      <c r="O309" s="65"/>
      <c r="P309" s="14"/>
      <c r="Q309" s="14"/>
      <c r="R309" s="14"/>
      <c r="S309" s="14"/>
      <c r="T309" s="14"/>
      <c r="U309" s="14"/>
      <c r="V309" s="14"/>
      <c r="W309" s="14"/>
      <c r="X309" s="14"/>
      <c r="Y309" s="14"/>
      <c r="Z309" s="14"/>
      <c r="AA309" s="14"/>
    </row>
    <row r="310">
      <c r="A310" s="65"/>
      <c r="B310" s="65"/>
      <c r="C310" s="14"/>
      <c r="D310" s="14"/>
      <c r="E310" s="14"/>
      <c r="F310" s="65"/>
      <c r="G310" s="65"/>
      <c r="H310" s="65"/>
      <c r="I310" s="65"/>
      <c r="J310" s="65"/>
      <c r="K310" s="65"/>
      <c r="L310" s="65"/>
      <c r="M310" s="65"/>
      <c r="N310" s="65"/>
      <c r="O310" s="65"/>
      <c r="P310" s="14"/>
      <c r="Q310" s="14"/>
      <c r="R310" s="14"/>
      <c r="S310" s="14"/>
      <c r="T310" s="14"/>
      <c r="U310" s="14"/>
      <c r="V310" s="14"/>
      <c r="W310" s="14"/>
      <c r="X310" s="14"/>
      <c r="Y310" s="14"/>
      <c r="Z310" s="14"/>
      <c r="AA310" s="14"/>
    </row>
    <row r="311">
      <c r="A311" s="65"/>
      <c r="B311" s="65"/>
      <c r="C311" s="14"/>
      <c r="D311" s="14"/>
      <c r="E311" s="14"/>
      <c r="F311" s="65"/>
      <c r="G311" s="65"/>
      <c r="H311" s="65"/>
      <c r="I311" s="65"/>
      <c r="J311" s="65"/>
      <c r="K311" s="65"/>
      <c r="L311" s="65"/>
      <c r="M311" s="65"/>
      <c r="N311" s="65"/>
      <c r="O311" s="65"/>
      <c r="P311" s="14"/>
      <c r="Q311" s="14"/>
      <c r="R311" s="14"/>
      <c r="S311" s="14"/>
      <c r="T311" s="14"/>
      <c r="U311" s="14"/>
      <c r="V311" s="14"/>
      <c r="W311" s="14"/>
      <c r="X311" s="14"/>
      <c r="Y311" s="14"/>
      <c r="Z311" s="14"/>
      <c r="AA311" s="14"/>
    </row>
    <row r="312">
      <c r="A312" s="65"/>
      <c r="B312" s="65"/>
      <c r="C312" s="14"/>
      <c r="D312" s="14"/>
      <c r="E312" s="14"/>
      <c r="F312" s="65"/>
      <c r="G312" s="65"/>
      <c r="H312" s="65"/>
      <c r="I312" s="65"/>
      <c r="J312" s="65"/>
      <c r="K312" s="65"/>
      <c r="L312" s="65"/>
      <c r="M312" s="65"/>
      <c r="N312" s="65"/>
      <c r="O312" s="65"/>
      <c r="P312" s="14"/>
      <c r="Q312" s="14"/>
      <c r="R312" s="14"/>
      <c r="S312" s="14"/>
      <c r="T312" s="14"/>
      <c r="U312" s="14"/>
      <c r="V312" s="14"/>
      <c r="W312" s="14"/>
      <c r="X312" s="14"/>
      <c r="Y312" s="14"/>
      <c r="Z312" s="14"/>
      <c r="AA312" s="14"/>
    </row>
    <row r="313">
      <c r="A313" s="65"/>
      <c r="B313" s="65"/>
      <c r="C313" s="14"/>
      <c r="D313" s="14"/>
      <c r="E313" s="14"/>
      <c r="F313" s="65"/>
      <c r="G313" s="65"/>
      <c r="H313" s="65"/>
      <c r="I313" s="65"/>
      <c r="J313" s="65"/>
      <c r="K313" s="65"/>
      <c r="L313" s="65"/>
      <c r="M313" s="65"/>
      <c r="N313" s="65"/>
      <c r="O313" s="65"/>
      <c r="P313" s="14"/>
      <c r="Q313" s="14"/>
      <c r="R313" s="14"/>
      <c r="S313" s="14"/>
      <c r="T313" s="14"/>
      <c r="U313" s="14"/>
      <c r="V313" s="14"/>
      <c r="W313" s="14"/>
      <c r="X313" s="14"/>
      <c r="Y313" s="14"/>
      <c r="Z313" s="14"/>
      <c r="AA313" s="14"/>
    </row>
    <row r="314">
      <c r="A314" s="65"/>
      <c r="B314" s="65"/>
      <c r="C314" s="14"/>
      <c r="D314" s="14"/>
      <c r="E314" s="14"/>
      <c r="F314" s="65"/>
      <c r="G314" s="65"/>
      <c r="H314" s="65"/>
      <c r="I314" s="65"/>
      <c r="J314" s="65"/>
      <c r="K314" s="65"/>
      <c r="L314" s="65"/>
      <c r="M314" s="65"/>
      <c r="N314" s="65"/>
      <c r="O314" s="65"/>
      <c r="P314" s="14"/>
      <c r="Q314" s="14"/>
      <c r="R314" s="14"/>
      <c r="S314" s="14"/>
      <c r="T314" s="14"/>
      <c r="U314" s="14"/>
      <c r="V314" s="14"/>
      <c r="W314" s="14"/>
      <c r="X314" s="14"/>
      <c r="Y314" s="14"/>
      <c r="Z314" s="14"/>
      <c r="AA314" s="14"/>
    </row>
    <row r="315">
      <c r="A315" s="65"/>
      <c r="B315" s="65"/>
      <c r="C315" s="14"/>
      <c r="D315" s="14"/>
      <c r="E315" s="14"/>
      <c r="F315" s="65"/>
      <c r="G315" s="65"/>
      <c r="H315" s="65"/>
      <c r="I315" s="65"/>
      <c r="J315" s="65"/>
      <c r="K315" s="65"/>
      <c r="L315" s="65"/>
      <c r="M315" s="65"/>
      <c r="N315" s="65"/>
      <c r="O315" s="65"/>
      <c r="P315" s="14"/>
      <c r="Q315" s="14"/>
      <c r="R315" s="14"/>
      <c r="S315" s="14"/>
      <c r="T315" s="14"/>
      <c r="U315" s="14"/>
      <c r="V315" s="14"/>
      <c r="W315" s="14"/>
      <c r="X315" s="14"/>
      <c r="Y315" s="14"/>
      <c r="Z315" s="14"/>
      <c r="AA315" s="14"/>
    </row>
    <row r="316">
      <c r="A316" s="65"/>
      <c r="B316" s="65"/>
      <c r="C316" s="14"/>
      <c r="D316" s="14"/>
      <c r="E316" s="14"/>
      <c r="F316" s="65"/>
      <c r="G316" s="65"/>
      <c r="H316" s="65"/>
      <c r="I316" s="65"/>
      <c r="J316" s="65"/>
      <c r="K316" s="65"/>
      <c r="L316" s="65"/>
      <c r="M316" s="65"/>
      <c r="N316" s="65"/>
      <c r="O316" s="65"/>
      <c r="P316" s="14"/>
      <c r="Q316" s="14"/>
      <c r="R316" s="14"/>
      <c r="S316" s="14"/>
      <c r="T316" s="14"/>
      <c r="U316" s="14"/>
      <c r="V316" s="14"/>
      <c r="W316" s="14"/>
      <c r="X316" s="14"/>
      <c r="Y316" s="14"/>
      <c r="Z316" s="14"/>
      <c r="AA316" s="14"/>
    </row>
    <row r="317">
      <c r="A317" s="65"/>
      <c r="B317" s="65"/>
      <c r="C317" s="14"/>
      <c r="D317" s="14"/>
      <c r="E317" s="14"/>
      <c r="F317" s="65"/>
      <c r="G317" s="65"/>
      <c r="H317" s="65"/>
      <c r="I317" s="65"/>
      <c r="J317" s="65"/>
      <c r="K317" s="65"/>
      <c r="L317" s="65"/>
      <c r="M317" s="65"/>
      <c r="N317" s="65"/>
      <c r="O317" s="65"/>
      <c r="P317" s="14"/>
      <c r="Q317" s="14"/>
      <c r="R317" s="14"/>
      <c r="S317" s="14"/>
      <c r="T317" s="14"/>
      <c r="U317" s="14"/>
      <c r="V317" s="14"/>
      <c r="W317" s="14"/>
      <c r="X317" s="14"/>
      <c r="Y317" s="14"/>
      <c r="Z317" s="14"/>
      <c r="AA317" s="14"/>
    </row>
    <row r="318">
      <c r="A318" s="65"/>
      <c r="B318" s="65"/>
      <c r="C318" s="14"/>
      <c r="D318" s="14"/>
      <c r="E318" s="14"/>
      <c r="F318" s="65"/>
      <c r="G318" s="65"/>
      <c r="H318" s="65"/>
      <c r="I318" s="65"/>
      <c r="J318" s="65"/>
      <c r="K318" s="65"/>
      <c r="L318" s="65"/>
      <c r="M318" s="65"/>
      <c r="N318" s="65"/>
      <c r="O318" s="65"/>
      <c r="P318" s="14"/>
      <c r="Q318" s="14"/>
      <c r="R318" s="14"/>
      <c r="S318" s="14"/>
      <c r="T318" s="14"/>
      <c r="U318" s="14"/>
      <c r="V318" s="14"/>
      <c r="W318" s="14"/>
      <c r="X318" s="14"/>
      <c r="Y318" s="14"/>
      <c r="Z318" s="14"/>
      <c r="AA318" s="14"/>
    </row>
    <row r="319">
      <c r="A319" s="65"/>
      <c r="B319" s="65"/>
      <c r="C319" s="14"/>
      <c r="D319" s="14"/>
      <c r="E319" s="14"/>
      <c r="F319" s="65"/>
      <c r="G319" s="65"/>
      <c r="H319" s="65"/>
      <c r="I319" s="65"/>
      <c r="J319" s="65"/>
      <c r="K319" s="65"/>
      <c r="L319" s="65"/>
      <c r="M319" s="65"/>
      <c r="N319" s="65"/>
      <c r="O319" s="65"/>
      <c r="P319" s="14"/>
      <c r="Q319" s="14"/>
      <c r="R319" s="14"/>
      <c r="S319" s="14"/>
      <c r="T319" s="14"/>
      <c r="U319" s="14"/>
      <c r="V319" s="14"/>
      <c r="W319" s="14"/>
      <c r="X319" s="14"/>
      <c r="Y319" s="14"/>
      <c r="Z319" s="14"/>
      <c r="AA319" s="14"/>
    </row>
    <row r="320">
      <c r="A320" s="65"/>
      <c r="B320" s="65"/>
      <c r="C320" s="14"/>
      <c r="D320" s="14"/>
      <c r="E320" s="14"/>
      <c r="F320" s="65"/>
      <c r="G320" s="65"/>
      <c r="H320" s="65"/>
      <c r="I320" s="65"/>
      <c r="J320" s="65"/>
      <c r="K320" s="65"/>
      <c r="L320" s="65"/>
      <c r="M320" s="65"/>
      <c r="N320" s="65"/>
      <c r="O320" s="65"/>
      <c r="P320" s="14"/>
      <c r="Q320" s="14"/>
      <c r="R320" s="14"/>
      <c r="S320" s="14"/>
      <c r="T320" s="14"/>
      <c r="U320" s="14"/>
      <c r="V320" s="14"/>
      <c r="W320" s="14"/>
      <c r="X320" s="14"/>
      <c r="Y320" s="14"/>
      <c r="Z320" s="14"/>
      <c r="AA320" s="14"/>
    </row>
    <row r="321">
      <c r="A321" s="65"/>
      <c r="B321" s="65"/>
      <c r="C321" s="14"/>
      <c r="D321" s="14"/>
      <c r="E321" s="14"/>
      <c r="F321" s="65"/>
      <c r="G321" s="65"/>
      <c r="H321" s="65"/>
      <c r="I321" s="65"/>
      <c r="J321" s="65"/>
      <c r="K321" s="65"/>
      <c r="L321" s="65"/>
      <c r="M321" s="65"/>
      <c r="N321" s="65"/>
      <c r="O321" s="65"/>
      <c r="P321" s="14"/>
      <c r="Q321" s="14"/>
      <c r="R321" s="14"/>
      <c r="S321" s="14"/>
      <c r="T321" s="14"/>
      <c r="U321" s="14"/>
      <c r="V321" s="14"/>
      <c r="W321" s="14"/>
      <c r="X321" s="14"/>
      <c r="Y321" s="14"/>
      <c r="Z321" s="14"/>
      <c r="AA321" s="14"/>
    </row>
    <row r="322">
      <c r="A322" s="65"/>
      <c r="B322" s="65"/>
      <c r="C322" s="14"/>
      <c r="D322" s="14"/>
      <c r="E322" s="14"/>
      <c r="F322" s="65"/>
      <c r="G322" s="65"/>
      <c r="H322" s="65"/>
      <c r="I322" s="65"/>
      <c r="J322" s="65"/>
      <c r="K322" s="65"/>
      <c r="L322" s="65"/>
      <c r="M322" s="65"/>
      <c r="N322" s="65"/>
      <c r="O322" s="65"/>
      <c r="P322" s="14"/>
      <c r="Q322" s="14"/>
      <c r="R322" s="14"/>
      <c r="S322" s="14"/>
      <c r="T322" s="14"/>
      <c r="U322" s="14"/>
      <c r="V322" s="14"/>
      <c r="W322" s="14"/>
      <c r="X322" s="14"/>
      <c r="Y322" s="14"/>
      <c r="Z322" s="14"/>
      <c r="AA322" s="14"/>
    </row>
    <row r="323">
      <c r="A323" s="65"/>
      <c r="B323" s="65"/>
      <c r="C323" s="14"/>
      <c r="D323" s="14"/>
      <c r="E323" s="14"/>
      <c r="F323" s="65"/>
      <c r="G323" s="65"/>
      <c r="H323" s="65"/>
      <c r="I323" s="65"/>
      <c r="J323" s="65"/>
      <c r="K323" s="65"/>
      <c r="L323" s="65"/>
      <c r="M323" s="65"/>
      <c r="N323" s="65"/>
      <c r="O323" s="65"/>
      <c r="P323" s="14"/>
      <c r="Q323" s="14"/>
      <c r="R323" s="14"/>
      <c r="S323" s="14"/>
      <c r="T323" s="14"/>
      <c r="U323" s="14"/>
      <c r="V323" s="14"/>
      <c r="W323" s="14"/>
      <c r="X323" s="14"/>
      <c r="Y323" s="14"/>
      <c r="Z323" s="14"/>
      <c r="AA323" s="14"/>
    </row>
    <row r="324">
      <c r="A324" s="65"/>
      <c r="B324" s="65"/>
      <c r="C324" s="14"/>
      <c r="D324" s="14"/>
      <c r="E324" s="14"/>
      <c r="F324" s="65"/>
      <c r="G324" s="65"/>
      <c r="H324" s="65"/>
      <c r="I324" s="65"/>
      <c r="J324" s="65"/>
      <c r="K324" s="65"/>
      <c r="L324" s="65"/>
      <c r="M324" s="65"/>
      <c r="N324" s="65"/>
      <c r="O324" s="65"/>
      <c r="P324" s="14"/>
      <c r="Q324" s="14"/>
      <c r="R324" s="14"/>
      <c r="S324" s="14"/>
      <c r="T324" s="14"/>
      <c r="U324" s="14"/>
      <c r="V324" s="14"/>
      <c r="W324" s="14"/>
      <c r="X324" s="14"/>
      <c r="Y324" s="14"/>
      <c r="Z324" s="14"/>
      <c r="AA324" s="14"/>
    </row>
    <row r="325">
      <c r="A325" s="65"/>
      <c r="B325" s="65"/>
      <c r="C325" s="14"/>
      <c r="D325" s="14"/>
      <c r="E325" s="14"/>
      <c r="F325" s="65"/>
      <c r="G325" s="65"/>
      <c r="H325" s="65"/>
      <c r="I325" s="65"/>
      <c r="J325" s="65"/>
      <c r="K325" s="65"/>
      <c r="L325" s="65"/>
      <c r="M325" s="65"/>
      <c r="N325" s="65"/>
      <c r="O325" s="65"/>
      <c r="P325" s="14"/>
      <c r="Q325" s="14"/>
      <c r="R325" s="14"/>
      <c r="S325" s="14"/>
      <c r="T325" s="14"/>
      <c r="U325" s="14"/>
      <c r="V325" s="14"/>
      <c r="W325" s="14"/>
      <c r="X325" s="14"/>
      <c r="Y325" s="14"/>
      <c r="Z325" s="14"/>
      <c r="AA325" s="14"/>
    </row>
    <row r="326">
      <c r="A326" s="65"/>
      <c r="B326" s="65"/>
      <c r="C326" s="14"/>
      <c r="D326" s="14"/>
      <c r="E326" s="14"/>
      <c r="F326" s="65"/>
      <c r="G326" s="65"/>
      <c r="H326" s="65"/>
      <c r="I326" s="65"/>
      <c r="J326" s="65"/>
      <c r="K326" s="65"/>
      <c r="L326" s="65"/>
      <c r="M326" s="65"/>
      <c r="N326" s="65"/>
      <c r="O326" s="65"/>
      <c r="P326" s="14"/>
      <c r="Q326" s="14"/>
      <c r="R326" s="14"/>
      <c r="S326" s="14"/>
      <c r="T326" s="14"/>
      <c r="U326" s="14"/>
      <c r="V326" s="14"/>
      <c r="W326" s="14"/>
      <c r="X326" s="14"/>
      <c r="Y326" s="14"/>
      <c r="Z326" s="14"/>
      <c r="AA326" s="14"/>
    </row>
    <row r="327">
      <c r="A327" s="65"/>
      <c r="B327" s="65"/>
      <c r="C327" s="14"/>
      <c r="D327" s="14"/>
      <c r="E327" s="14"/>
      <c r="F327" s="65"/>
      <c r="G327" s="65"/>
      <c r="H327" s="65"/>
      <c r="I327" s="65"/>
      <c r="J327" s="65"/>
      <c r="K327" s="65"/>
      <c r="L327" s="65"/>
      <c r="M327" s="65"/>
      <c r="N327" s="65"/>
      <c r="O327" s="65"/>
      <c r="P327" s="14"/>
      <c r="Q327" s="14"/>
      <c r="R327" s="14"/>
      <c r="S327" s="14"/>
      <c r="T327" s="14"/>
      <c r="U327" s="14"/>
      <c r="V327" s="14"/>
      <c r="W327" s="14"/>
      <c r="X327" s="14"/>
      <c r="Y327" s="14"/>
      <c r="Z327" s="14"/>
      <c r="AA327" s="14"/>
    </row>
    <row r="328">
      <c r="A328" s="65"/>
      <c r="B328" s="65"/>
      <c r="C328" s="14"/>
      <c r="D328" s="14"/>
      <c r="E328" s="14"/>
      <c r="F328" s="65"/>
      <c r="G328" s="65"/>
      <c r="H328" s="65"/>
      <c r="I328" s="65"/>
      <c r="J328" s="65"/>
      <c r="K328" s="65"/>
      <c r="L328" s="65"/>
      <c r="M328" s="65"/>
      <c r="N328" s="65"/>
      <c r="O328" s="65"/>
      <c r="P328" s="14"/>
      <c r="Q328" s="14"/>
      <c r="R328" s="14"/>
      <c r="S328" s="14"/>
      <c r="T328" s="14"/>
      <c r="U328" s="14"/>
      <c r="V328" s="14"/>
      <c r="W328" s="14"/>
      <c r="X328" s="14"/>
      <c r="Y328" s="14"/>
      <c r="Z328" s="14"/>
      <c r="AA328" s="14"/>
    </row>
    <row r="329">
      <c r="A329" s="65"/>
      <c r="B329" s="65"/>
      <c r="C329" s="14"/>
      <c r="D329" s="14"/>
      <c r="E329" s="14"/>
      <c r="F329" s="65"/>
      <c r="G329" s="65"/>
      <c r="H329" s="65"/>
      <c r="I329" s="65"/>
      <c r="J329" s="65"/>
      <c r="K329" s="65"/>
      <c r="L329" s="65"/>
      <c r="M329" s="65"/>
      <c r="N329" s="65"/>
      <c r="O329" s="65"/>
      <c r="P329" s="14"/>
      <c r="Q329" s="14"/>
      <c r="R329" s="14"/>
      <c r="S329" s="14"/>
      <c r="T329" s="14"/>
      <c r="U329" s="14"/>
      <c r="V329" s="14"/>
      <c r="W329" s="14"/>
      <c r="X329" s="14"/>
      <c r="Y329" s="14"/>
      <c r="Z329" s="14"/>
      <c r="AA329" s="14"/>
    </row>
    <row r="330">
      <c r="A330" s="65"/>
      <c r="B330" s="65"/>
      <c r="C330" s="14"/>
      <c r="D330" s="14"/>
      <c r="E330" s="14"/>
      <c r="F330" s="65"/>
      <c r="G330" s="65"/>
      <c r="H330" s="65"/>
      <c r="I330" s="65"/>
      <c r="J330" s="65"/>
      <c r="K330" s="65"/>
      <c r="L330" s="65"/>
      <c r="M330" s="65"/>
      <c r="N330" s="65"/>
      <c r="O330" s="65"/>
      <c r="P330" s="14"/>
      <c r="Q330" s="14"/>
      <c r="R330" s="14"/>
      <c r="S330" s="14"/>
      <c r="T330" s="14"/>
      <c r="U330" s="14"/>
      <c r="V330" s="14"/>
      <c r="W330" s="14"/>
      <c r="X330" s="14"/>
      <c r="Y330" s="14"/>
      <c r="Z330" s="14"/>
      <c r="AA330" s="14"/>
    </row>
    <row r="331">
      <c r="A331" s="65"/>
      <c r="B331" s="65"/>
      <c r="C331" s="14"/>
      <c r="D331" s="14"/>
      <c r="E331" s="14"/>
      <c r="F331" s="65"/>
      <c r="G331" s="65"/>
      <c r="H331" s="65"/>
      <c r="I331" s="65"/>
      <c r="J331" s="65"/>
      <c r="K331" s="65"/>
      <c r="L331" s="65"/>
      <c r="M331" s="65"/>
      <c r="N331" s="65"/>
      <c r="O331" s="65"/>
      <c r="P331" s="14"/>
      <c r="Q331" s="14"/>
      <c r="R331" s="14"/>
      <c r="S331" s="14"/>
      <c r="T331" s="14"/>
      <c r="U331" s="14"/>
      <c r="V331" s="14"/>
      <c r="W331" s="14"/>
      <c r="X331" s="14"/>
      <c r="Y331" s="14"/>
      <c r="Z331" s="14"/>
      <c r="AA331" s="14"/>
    </row>
    <row r="332">
      <c r="A332" s="65"/>
      <c r="B332" s="65"/>
      <c r="C332" s="14"/>
      <c r="D332" s="14"/>
      <c r="E332" s="14"/>
      <c r="F332" s="65"/>
      <c r="G332" s="65"/>
      <c r="H332" s="65"/>
      <c r="I332" s="65"/>
      <c r="J332" s="65"/>
      <c r="K332" s="65"/>
      <c r="L332" s="65"/>
      <c r="M332" s="65"/>
      <c r="N332" s="65"/>
      <c r="O332" s="65"/>
      <c r="P332" s="14"/>
      <c r="Q332" s="14"/>
      <c r="R332" s="14"/>
      <c r="S332" s="14"/>
      <c r="T332" s="14"/>
      <c r="U332" s="14"/>
      <c r="V332" s="14"/>
      <c r="W332" s="14"/>
      <c r="X332" s="14"/>
      <c r="Y332" s="14"/>
      <c r="Z332" s="14"/>
      <c r="AA332" s="14"/>
    </row>
    <row r="333">
      <c r="A333" s="65"/>
      <c r="B333" s="65"/>
      <c r="C333" s="14"/>
      <c r="D333" s="14"/>
      <c r="E333" s="14"/>
      <c r="F333" s="65"/>
      <c r="G333" s="65"/>
      <c r="H333" s="65"/>
      <c r="I333" s="65"/>
      <c r="J333" s="65"/>
      <c r="K333" s="65"/>
      <c r="L333" s="65"/>
      <c r="M333" s="65"/>
      <c r="N333" s="65"/>
      <c r="O333" s="65"/>
      <c r="P333" s="14"/>
      <c r="Q333" s="14"/>
      <c r="R333" s="14"/>
      <c r="S333" s="14"/>
      <c r="T333" s="14"/>
      <c r="U333" s="14"/>
      <c r="V333" s="14"/>
      <c r="W333" s="14"/>
      <c r="X333" s="14"/>
      <c r="Y333" s="14"/>
      <c r="Z333" s="14"/>
      <c r="AA333" s="14"/>
    </row>
    <row r="334">
      <c r="A334" s="65"/>
      <c r="B334" s="65"/>
      <c r="C334" s="14"/>
      <c r="D334" s="14"/>
      <c r="E334" s="14"/>
      <c r="F334" s="65"/>
      <c r="G334" s="65"/>
      <c r="H334" s="65"/>
      <c r="I334" s="65"/>
      <c r="J334" s="65"/>
      <c r="K334" s="65"/>
      <c r="L334" s="65"/>
      <c r="M334" s="65"/>
      <c r="N334" s="65"/>
      <c r="O334" s="65"/>
      <c r="P334" s="14"/>
      <c r="Q334" s="14"/>
      <c r="R334" s="14"/>
      <c r="S334" s="14"/>
      <c r="T334" s="14"/>
      <c r="U334" s="14"/>
      <c r="V334" s="14"/>
      <c r="W334" s="14"/>
      <c r="X334" s="14"/>
      <c r="Y334" s="14"/>
      <c r="Z334" s="14"/>
      <c r="AA334" s="14"/>
    </row>
    <row r="335">
      <c r="A335" s="65"/>
      <c r="B335" s="65"/>
      <c r="C335" s="14"/>
      <c r="D335" s="14"/>
      <c r="E335" s="14"/>
      <c r="F335" s="65"/>
      <c r="G335" s="65"/>
      <c r="H335" s="65"/>
      <c r="I335" s="65"/>
      <c r="J335" s="65"/>
      <c r="K335" s="65"/>
      <c r="L335" s="65"/>
      <c r="M335" s="65"/>
      <c r="N335" s="65"/>
      <c r="O335" s="65"/>
      <c r="P335" s="14"/>
      <c r="Q335" s="14"/>
      <c r="R335" s="14"/>
      <c r="S335" s="14"/>
      <c r="T335" s="14"/>
      <c r="U335" s="14"/>
      <c r="V335" s="14"/>
      <c r="W335" s="14"/>
      <c r="X335" s="14"/>
      <c r="Y335" s="14"/>
      <c r="Z335" s="14"/>
      <c r="AA335" s="14"/>
    </row>
    <row r="336">
      <c r="A336" s="65"/>
      <c r="B336" s="65"/>
      <c r="C336" s="14"/>
      <c r="D336" s="14"/>
      <c r="E336" s="14"/>
      <c r="F336" s="65"/>
      <c r="G336" s="65"/>
      <c r="H336" s="65"/>
      <c r="I336" s="65"/>
      <c r="J336" s="65"/>
      <c r="K336" s="65"/>
      <c r="L336" s="65"/>
      <c r="M336" s="65"/>
      <c r="N336" s="65"/>
      <c r="O336" s="65"/>
      <c r="P336" s="14"/>
      <c r="Q336" s="14"/>
      <c r="R336" s="14"/>
      <c r="S336" s="14"/>
      <c r="T336" s="14"/>
      <c r="U336" s="14"/>
      <c r="V336" s="14"/>
      <c r="W336" s="14"/>
      <c r="X336" s="14"/>
      <c r="Y336" s="14"/>
      <c r="Z336" s="14"/>
      <c r="AA336" s="14"/>
    </row>
    <row r="337">
      <c r="A337" s="65"/>
      <c r="B337" s="65"/>
      <c r="C337" s="14"/>
      <c r="D337" s="14"/>
      <c r="E337" s="14"/>
      <c r="F337" s="65"/>
      <c r="G337" s="65"/>
      <c r="H337" s="65"/>
      <c r="I337" s="65"/>
      <c r="J337" s="65"/>
      <c r="K337" s="65"/>
      <c r="L337" s="65"/>
      <c r="M337" s="65"/>
      <c r="N337" s="65"/>
      <c r="O337" s="65"/>
      <c r="P337" s="14"/>
      <c r="Q337" s="14"/>
      <c r="R337" s="14"/>
      <c r="S337" s="14"/>
      <c r="T337" s="14"/>
      <c r="U337" s="14"/>
      <c r="V337" s="14"/>
      <c r="W337" s="14"/>
      <c r="X337" s="14"/>
      <c r="Y337" s="14"/>
      <c r="Z337" s="14"/>
      <c r="AA337" s="14"/>
    </row>
    <row r="338">
      <c r="A338" s="65"/>
      <c r="B338" s="65"/>
      <c r="C338" s="14"/>
      <c r="D338" s="14"/>
      <c r="E338" s="14"/>
      <c r="F338" s="65"/>
      <c r="G338" s="65"/>
      <c r="H338" s="65"/>
      <c r="I338" s="65"/>
      <c r="J338" s="65"/>
      <c r="K338" s="65"/>
      <c r="L338" s="65"/>
      <c r="M338" s="65"/>
      <c r="N338" s="65"/>
      <c r="O338" s="65"/>
      <c r="P338" s="14"/>
      <c r="Q338" s="14"/>
      <c r="R338" s="14"/>
      <c r="S338" s="14"/>
      <c r="T338" s="14"/>
      <c r="U338" s="14"/>
      <c r="V338" s="14"/>
      <c r="W338" s="14"/>
      <c r="X338" s="14"/>
      <c r="Y338" s="14"/>
      <c r="Z338" s="14"/>
      <c r="AA338" s="14"/>
    </row>
    <row r="339">
      <c r="A339" s="65"/>
      <c r="B339" s="65"/>
      <c r="C339" s="14"/>
      <c r="D339" s="14"/>
      <c r="E339" s="14"/>
      <c r="F339" s="65"/>
      <c r="G339" s="65"/>
      <c r="H339" s="65"/>
      <c r="I339" s="65"/>
      <c r="J339" s="65"/>
      <c r="K339" s="65"/>
      <c r="L339" s="65"/>
      <c r="M339" s="65"/>
      <c r="N339" s="65"/>
      <c r="O339" s="65"/>
      <c r="P339" s="14"/>
      <c r="Q339" s="14"/>
      <c r="R339" s="14"/>
      <c r="S339" s="14"/>
      <c r="T339" s="14"/>
      <c r="U339" s="14"/>
      <c r="V339" s="14"/>
      <c r="W339" s="14"/>
      <c r="X339" s="14"/>
      <c r="Y339" s="14"/>
      <c r="Z339" s="14"/>
      <c r="AA339" s="14"/>
    </row>
    <row r="340">
      <c r="A340" s="65"/>
      <c r="B340" s="65"/>
      <c r="C340" s="14"/>
      <c r="D340" s="14"/>
      <c r="E340" s="14"/>
      <c r="F340" s="65"/>
      <c r="G340" s="65"/>
      <c r="H340" s="65"/>
      <c r="I340" s="65"/>
      <c r="J340" s="65"/>
      <c r="K340" s="65"/>
      <c r="L340" s="65"/>
      <c r="M340" s="65"/>
      <c r="N340" s="65"/>
      <c r="O340" s="65"/>
      <c r="P340" s="14"/>
      <c r="Q340" s="14"/>
      <c r="R340" s="14"/>
      <c r="S340" s="14"/>
      <c r="T340" s="14"/>
      <c r="U340" s="14"/>
      <c r="V340" s="14"/>
      <c r="W340" s="14"/>
      <c r="X340" s="14"/>
      <c r="Y340" s="14"/>
      <c r="Z340" s="14"/>
      <c r="AA340" s="14"/>
    </row>
    <row r="341">
      <c r="A341" s="65"/>
      <c r="B341" s="65"/>
      <c r="C341" s="14"/>
      <c r="D341" s="14"/>
      <c r="E341" s="14"/>
      <c r="F341" s="65"/>
      <c r="G341" s="65"/>
      <c r="H341" s="65"/>
      <c r="I341" s="65"/>
      <c r="J341" s="65"/>
      <c r="K341" s="65"/>
      <c r="L341" s="65"/>
      <c r="M341" s="65"/>
      <c r="N341" s="65"/>
      <c r="O341" s="65"/>
      <c r="P341" s="14"/>
      <c r="Q341" s="14"/>
      <c r="R341" s="14"/>
      <c r="S341" s="14"/>
      <c r="T341" s="14"/>
      <c r="U341" s="14"/>
      <c r="V341" s="14"/>
      <c r="W341" s="14"/>
      <c r="X341" s="14"/>
      <c r="Y341" s="14"/>
      <c r="Z341" s="14"/>
      <c r="AA341" s="14"/>
    </row>
    <row r="342">
      <c r="A342" s="65"/>
      <c r="B342" s="65"/>
      <c r="C342" s="14"/>
      <c r="D342" s="14"/>
      <c r="E342" s="14"/>
      <c r="F342" s="65"/>
      <c r="G342" s="65"/>
      <c r="H342" s="65"/>
      <c r="I342" s="65"/>
      <c r="J342" s="65"/>
      <c r="K342" s="65"/>
      <c r="L342" s="65"/>
      <c r="M342" s="65"/>
      <c r="N342" s="65"/>
      <c r="O342" s="65"/>
      <c r="P342" s="14"/>
      <c r="Q342" s="14"/>
      <c r="R342" s="14"/>
      <c r="S342" s="14"/>
      <c r="T342" s="14"/>
      <c r="U342" s="14"/>
      <c r="V342" s="14"/>
      <c r="W342" s="14"/>
      <c r="X342" s="14"/>
      <c r="Y342" s="14"/>
      <c r="Z342" s="14"/>
      <c r="AA342" s="14"/>
    </row>
    <row r="343">
      <c r="A343" s="65"/>
      <c r="B343" s="65"/>
      <c r="C343" s="14"/>
      <c r="D343" s="14"/>
      <c r="E343" s="14"/>
      <c r="F343" s="65"/>
      <c r="G343" s="65"/>
      <c r="H343" s="65"/>
      <c r="I343" s="65"/>
      <c r="J343" s="65"/>
      <c r="K343" s="65"/>
      <c r="L343" s="65"/>
      <c r="M343" s="65"/>
      <c r="N343" s="65"/>
      <c r="O343" s="65"/>
      <c r="P343" s="14"/>
      <c r="Q343" s="14"/>
      <c r="R343" s="14"/>
      <c r="S343" s="14"/>
      <c r="T343" s="14"/>
      <c r="U343" s="14"/>
      <c r="V343" s="14"/>
      <c r="W343" s="14"/>
      <c r="X343" s="14"/>
      <c r="Y343" s="14"/>
      <c r="Z343" s="14"/>
      <c r="AA343" s="14"/>
    </row>
    <row r="344">
      <c r="A344" s="65"/>
      <c r="B344" s="65"/>
      <c r="C344" s="14"/>
      <c r="D344" s="14"/>
      <c r="E344" s="14"/>
      <c r="F344" s="65"/>
      <c r="G344" s="65"/>
      <c r="H344" s="65"/>
      <c r="I344" s="65"/>
      <c r="J344" s="65"/>
      <c r="K344" s="65"/>
      <c r="L344" s="65"/>
      <c r="M344" s="65"/>
      <c r="N344" s="65"/>
      <c r="O344" s="65"/>
      <c r="P344" s="14"/>
      <c r="Q344" s="14"/>
      <c r="R344" s="14"/>
      <c r="S344" s="14"/>
      <c r="T344" s="14"/>
      <c r="U344" s="14"/>
      <c r="V344" s="14"/>
      <c r="W344" s="14"/>
      <c r="X344" s="14"/>
      <c r="Y344" s="14"/>
      <c r="Z344" s="14"/>
      <c r="AA344" s="14"/>
    </row>
    <row r="345">
      <c r="A345" s="65"/>
      <c r="B345" s="65"/>
      <c r="C345" s="14"/>
      <c r="D345" s="14"/>
      <c r="E345" s="14"/>
      <c r="F345" s="65"/>
      <c r="G345" s="65"/>
      <c r="H345" s="65"/>
      <c r="I345" s="65"/>
      <c r="J345" s="65"/>
      <c r="K345" s="65"/>
      <c r="L345" s="65"/>
      <c r="M345" s="65"/>
      <c r="N345" s="65"/>
      <c r="O345" s="65"/>
      <c r="P345" s="14"/>
      <c r="Q345" s="14"/>
      <c r="R345" s="14"/>
      <c r="S345" s="14"/>
      <c r="T345" s="14"/>
      <c r="U345" s="14"/>
      <c r="V345" s="14"/>
      <c r="W345" s="14"/>
      <c r="X345" s="14"/>
      <c r="Y345" s="14"/>
      <c r="Z345" s="14"/>
      <c r="AA345" s="14"/>
    </row>
    <row r="346">
      <c r="A346" s="65"/>
      <c r="B346" s="65"/>
      <c r="C346" s="14"/>
      <c r="D346" s="14"/>
      <c r="E346" s="14"/>
      <c r="F346" s="65"/>
      <c r="G346" s="65"/>
      <c r="H346" s="65"/>
      <c r="I346" s="65"/>
      <c r="J346" s="65"/>
      <c r="K346" s="65"/>
      <c r="L346" s="65"/>
      <c r="M346" s="65"/>
      <c r="N346" s="65"/>
      <c r="O346" s="65"/>
      <c r="P346" s="14"/>
      <c r="Q346" s="14"/>
      <c r="R346" s="14"/>
      <c r="S346" s="14"/>
      <c r="T346" s="14"/>
      <c r="U346" s="14"/>
      <c r="V346" s="14"/>
      <c r="W346" s="14"/>
      <c r="X346" s="14"/>
      <c r="Y346" s="14"/>
      <c r="Z346" s="14"/>
      <c r="AA346" s="14"/>
    </row>
    <row r="347">
      <c r="A347" s="65"/>
      <c r="B347" s="65"/>
      <c r="C347" s="14"/>
      <c r="D347" s="14"/>
      <c r="E347" s="14"/>
      <c r="F347" s="65"/>
      <c r="G347" s="65"/>
      <c r="H347" s="65"/>
      <c r="I347" s="65"/>
      <c r="J347" s="65"/>
      <c r="K347" s="65"/>
      <c r="L347" s="65"/>
      <c r="M347" s="65"/>
      <c r="N347" s="65"/>
      <c r="O347" s="65"/>
      <c r="P347" s="14"/>
      <c r="Q347" s="14"/>
      <c r="R347" s="14"/>
      <c r="S347" s="14"/>
      <c r="T347" s="14"/>
      <c r="U347" s="14"/>
      <c r="V347" s="14"/>
      <c r="W347" s="14"/>
      <c r="X347" s="14"/>
      <c r="Y347" s="14"/>
      <c r="Z347" s="14"/>
      <c r="AA347" s="14"/>
    </row>
    <row r="348">
      <c r="A348" s="65"/>
      <c r="B348" s="65"/>
      <c r="C348" s="14"/>
      <c r="D348" s="14"/>
      <c r="E348" s="14"/>
      <c r="F348" s="65"/>
      <c r="G348" s="65"/>
      <c r="H348" s="65"/>
      <c r="I348" s="65"/>
      <c r="J348" s="65"/>
      <c r="K348" s="65"/>
      <c r="L348" s="65"/>
      <c r="M348" s="65"/>
      <c r="N348" s="65"/>
      <c r="O348" s="65"/>
      <c r="P348" s="14"/>
      <c r="Q348" s="14"/>
      <c r="R348" s="14"/>
      <c r="S348" s="14"/>
      <c r="T348" s="14"/>
      <c r="U348" s="14"/>
      <c r="V348" s="14"/>
      <c r="W348" s="14"/>
      <c r="X348" s="14"/>
      <c r="Y348" s="14"/>
      <c r="Z348" s="14"/>
      <c r="AA348" s="14"/>
    </row>
    <row r="349">
      <c r="A349" s="65"/>
      <c r="B349" s="65"/>
      <c r="C349" s="14"/>
      <c r="D349" s="14"/>
      <c r="E349" s="14"/>
      <c r="F349" s="65"/>
      <c r="G349" s="65"/>
      <c r="H349" s="65"/>
      <c r="I349" s="65"/>
      <c r="J349" s="65"/>
      <c r="K349" s="65"/>
      <c r="L349" s="65"/>
      <c r="M349" s="65"/>
      <c r="N349" s="65"/>
      <c r="O349" s="65"/>
      <c r="P349" s="14"/>
      <c r="Q349" s="14"/>
      <c r="R349" s="14"/>
      <c r="S349" s="14"/>
      <c r="T349" s="14"/>
      <c r="U349" s="14"/>
      <c r="V349" s="14"/>
      <c r="W349" s="14"/>
      <c r="X349" s="14"/>
      <c r="Y349" s="14"/>
      <c r="Z349" s="14"/>
      <c r="AA349" s="14"/>
    </row>
    <row r="350">
      <c r="A350" s="65"/>
      <c r="B350" s="65"/>
      <c r="C350" s="14"/>
      <c r="D350" s="14"/>
      <c r="E350" s="14"/>
      <c r="F350" s="65"/>
      <c r="G350" s="65"/>
      <c r="H350" s="65"/>
      <c r="I350" s="65"/>
      <c r="J350" s="65"/>
      <c r="K350" s="65"/>
      <c r="L350" s="65"/>
      <c r="M350" s="65"/>
      <c r="N350" s="65"/>
      <c r="O350" s="65"/>
      <c r="P350" s="14"/>
      <c r="Q350" s="14"/>
      <c r="R350" s="14"/>
      <c r="S350" s="14"/>
      <c r="T350" s="14"/>
      <c r="U350" s="14"/>
      <c r="V350" s="14"/>
      <c r="W350" s="14"/>
      <c r="X350" s="14"/>
      <c r="Y350" s="14"/>
      <c r="Z350" s="14"/>
      <c r="AA350" s="14"/>
    </row>
    <row r="351">
      <c r="A351" s="65"/>
      <c r="B351" s="65"/>
      <c r="C351" s="14"/>
      <c r="D351" s="14"/>
      <c r="E351" s="14"/>
      <c r="F351" s="65"/>
      <c r="G351" s="65"/>
      <c r="H351" s="65"/>
      <c r="I351" s="65"/>
      <c r="J351" s="65"/>
      <c r="K351" s="65"/>
      <c r="L351" s="65"/>
      <c r="M351" s="65"/>
      <c r="N351" s="65"/>
      <c r="O351" s="65"/>
      <c r="P351" s="14"/>
      <c r="Q351" s="14"/>
      <c r="R351" s="14"/>
      <c r="S351" s="14"/>
      <c r="T351" s="14"/>
      <c r="U351" s="14"/>
      <c r="V351" s="14"/>
      <c r="W351" s="14"/>
      <c r="X351" s="14"/>
      <c r="Y351" s="14"/>
      <c r="Z351" s="14"/>
      <c r="AA351" s="14"/>
    </row>
    <row r="352">
      <c r="A352" s="65"/>
      <c r="B352" s="65"/>
      <c r="C352" s="14"/>
      <c r="D352" s="14"/>
      <c r="E352" s="14"/>
      <c r="F352" s="65"/>
      <c r="G352" s="65"/>
      <c r="H352" s="65"/>
      <c r="I352" s="65"/>
      <c r="J352" s="65"/>
      <c r="K352" s="65"/>
      <c r="L352" s="65"/>
      <c r="M352" s="65"/>
      <c r="N352" s="65"/>
      <c r="O352" s="65"/>
      <c r="P352" s="14"/>
      <c r="Q352" s="14"/>
      <c r="R352" s="14"/>
      <c r="S352" s="14"/>
      <c r="T352" s="14"/>
      <c r="U352" s="14"/>
      <c r="V352" s="14"/>
      <c r="W352" s="14"/>
      <c r="X352" s="14"/>
      <c r="Y352" s="14"/>
      <c r="Z352" s="14"/>
      <c r="AA352" s="14"/>
    </row>
    <row r="353">
      <c r="A353" s="65"/>
      <c r="B353" s="65"/>
      <c r="C353" s="14"/>
      <c r="D353" s="14"/>
      <c r="E353" s="14"/>
      <c r="F353" s="65"/>
      <c r="G353" s="65"/>
      <c r="H353" s="65"/>
      <c r="I353" s="65"/>
      <c r="J353" s="65"/>
      <c r="K353" s="65"/>
      <c r="L353" s="65"/>
      <c r="M353" s="65"/>
      <c r="N353" s="65"/>
      <c r="O353" s="65"/>
      <c r="P353" s="14"/>
      <c r="Q353" s="14"/>
      <c r="R353" s="14"/>
      <c r="S353" s="14"/>
      <c r="T353" s="14"/>
      <c r="U353" s="14"/>
      <c r="V353" s="14"/>
      <c r="W353" s="14"/>
      <c r="X353" s="14"/>
      <c r="Y353" s="14"/>
      <c r="Z353" s="14"/>
      <c r="AA353" s="14"/>
    </row>
    <row r="354">
      <c r="A354" s="65"/>
      <c r="B354" s="65"/>
      <c r="C354" s="14"/>
      <c r="D354" s="14"/>
      <c r="E354" s="14"/>
      <c r="F354" s="65"/>
      <c r="G354" s="65"/>
      <c r="H354" s="65"/>
      <c r="I354" s="65"/>
      <c r="J354" s="65"/>
      <c r="K354" s="65"/>
      <c r="L354" s="65"/>
      <c r="M354" s="65"/>
      <c r="N354" s="65"/>
      <c r="O354" s="65"/>
      <c r="P354" s="14"/>
      <c r="Q354" s="14"/>
      <c r="R354" s="14"/>
      <c r="S354" s="14"/>
      <c r="T354" s="14"/>
      <c r="U354" s="14"/>
      <c r="V354" s="14"/>
      <c r="W354" s="14"/>
      <c r="X354" s="14"/>
      <c r="Y354" s="14"/>
      <c r="Z354" s="14"/>
      <c r="AA354" s="14"/>
    </row>
    <row r="355">
      <c r="A355" s="65"/>
      <c r="B355" s="65"/>
      <c r="C355" s="14"/>
      <c r="D355" s="14"/>
      <c r="E355" s="14"/>
      <c r="F355" s="65"/>
      <c r="G355" s="65"/>
      <c r="H355" s="65"/>
      <c r="I355" s="65"/>
      <c r="J355" s="65"/>
      <c r="K355" s="65"/>
      <c r="L355" s="65"/>
      <c r="M355" s="65"/>
      <c r="N355" s="65"/>
      <c r="O355" s="65"/>
      <c r="P355" s="14"/>
      <c r="Q355" s="14"/>
      <c r="R355" s="14"/>
      <c r="S355" s="14"/>
      <c r="T355" s="14"/>
      <c r="U355" s="14"/>
      <c r="V355" s="14"/>
      <c r="W355" s="14"/>
      <c r="X355" s="14"/>
      <c r="Y355" s="14"/>
      <c r="Z355" s="14"/>
      <c r="AA355" s="14"/>
    </row>
    <row r="356">
      <c r="A356" s="65"/>
      <c r="B356" s="65"/>
      <c r="C356" s="14"/>
      <c r="D356" s="14"/>
      <c r="E356" s="14"/>
      <c r="F356" s="65"/>
      <c r="G356" s="65"/>
      <c r="H356" s="65"/>
      <c r="I356" s="65"/>
      <c r="J356" s="65"/>
      <c r="K356" s="65"/>
      <c r="L356" s="65"/>
      <c r="M356" s="65"/>
      <c r="N356" s="65"/>
      <c r="O356" s="65"/>
      <c r="P356" s="14"/>
      <c r="Q356" s="14"/>
      <c r="R356" s="14"/>
      <c r="S356" s="14"/>
      <c r="T356" s="14"/>
      <c r="U356" s="14"/>
      <c r="V356" s="14"/>
      <c r="W356" s="14"/>
      <c r="X356" s="14"/>
      <c r="Y356" s="14"/>
      <c r="Z356" s="14"/>
      <c r="AA356" s="14"/>
    </row>
    <row r="357">
      <c r="A357" s="65"/>
      <c r="B357" s="65"/>
      <c r="C357" s="14"/>
      <c r="D357" s="14"/>
      <c r="E357" s="14"/>
      <c r="F357" s="65"/>
      <c r="G357" s="65"/>
      <c r="H357" s="65"/>
      <c r="I357" s="65"/>
      <c r="J357" s="65"/>
      <c r="K357" s="65"/>
      <c r="L357" s="65"/>
      <c r="M357" s="65"/>
      <c r="N357" s="65"/>
      <c r="O357" s="65"/>
      <c r="P357" s="14"/>
      <c r="Q357" s="14"/>
      <c r="R357" s="14"/>
      <c r="S357" s="14"/>
      <c r="T357" s="14"/>
      <c r="U357" s="14"/>
      <c r="V357" s="14"/>
      <c r="W357" s="14"/>
      <c r="X357" s="14"/>
      <c r="Y357" s="14"/>
      <c r="Z357" s="14"/>
      <c r="AA357" s="14"/>
    </row>
    <row r="358">
      <c r="A358" s="65"/>
      <c r="B358" s="65"/>
      <c r="C358" s="14"/>
      <c r="D358" s="14"/>
      <c r="E358" s="14"/>
      <c r="F358" s="65"/>
      <c r="G358" s="65"/>
      <c r="H358" s="65"/>
      <c r="I358" s="65"/>
      <c r="J358" s="65"/>
      <c r="K358" s="65"/>
      <c r="L358" s="65"/>
      <c r="M358" s="65"/>
      <c r="N358" s="65"/>
      <c r="O358" s="65"/>
      <c r="P358" s="14"/>
      <c r="Q358" s="14"/>
      <c r="R358" s="14"/>
      <c r="S358" s="14"/>
      <c r="T358" s="14"/>
      <c r="U358" s="14"/>
      <c r="V358" s="14"/>
      <c r="W358" s="14"/>
      <c r="X358" s="14"/>
      <c r="Y358" s="14"/>
      <c r="Z358" s="14"/>
      <c r="AA358" s="14"/>
    </row>
    <row r="359">
      <c r="A359" s="65"/>
      <c r="B359" s="65"/>
      <c r="C359" s="14"/>
      <c r="D359" s="14"/>
      <c r="E359" s="14"/>
      <c r="F359" s="65"/>
      <c r="G359" s="65"/>
      <c r="H359" s="65"/>
      <c r="I359" s="65"/>
      <c r="J359" s="65"/>
      <c r="K359" s="65"/>
      <c r="L359" s="65"/>
      <c r="M359" s="65"/>
      <c r="N359" s="65"/>
      <c r="O359" s="65"/>
      <c r="P359" s="14"/>
      <c r="Q359" s="14"/>
      <c r="R359" s="14"/>
      <c r="S359" s="14"/>
      <c r="T359" s="14"/>
      <c r="U359" s="14"/>
      <c r="V359" s="14"/>
      <c r="W359" s="14"/>
      <c r="X359" s="14"/>
      <c r="Y359" s="14"/>
      <c r="Z359" s="14"/>
      <c r="AA359" s="14"/>
    </row>
    <row r="360">
      <c r="A360" s="65"/>
      <c r="B360" s="65"/>
      <c r="C360" s="14"/>
      <c r="D360" s="14"/>
      <c r="E360" s="14"/>
      <c r="F360" s="65"/>
      <c r="G360" s="65"/>
      <c r="H360" s="65"/>
      <c r="I360" s="65"/>
      <c r="J360" s="65"/>
      <c r="K360" s="65"/>
      <c r="L360" s="65"/>
      <c r="M360" s="65"/>
      <c r="N360" s="65"/>
      <c r="O360" s="65"/>
      <c r="P360" s="14"/>
      <c r="Q360" s="14"/>
      <c r="R360" s="14"/>
      <c r="S360" s="14"/>
      <c r="T360" s="14"/>
      <c r="U360" s="14"/>
      <c r="V360" s="14"/>
      <c r="W360" s="14"/>
      <c r="X360" s="14"/>
      <c r="Y360" s="14"/>
      <c r="Z360" s="14"/>
      <c r="AA360" s="14"/>
    </row>
    <row r="361">
      <c r="A361" s="65"/>
      <c r="B361" s="65"/>
      <c r="C361" s="14"/>
      <c r="D361" s="14"/>
      <c r="E361" s="14"/>
      <c r="F361" s="65"/>
      <c r="G361" s="65"/>
      <c r="H361" s="65"/>
      <c r="I361" s="65"/>
      <c r="J361" s="65"/>
      <c r="K361" s="65"/>
      <c r="L361" s="65"/>
      <c r="M361" s="65"/>
      <c r="N361" s="65"/>
      <c r="O361" s="65"/>
      <c r="P361" s="14"/>
      <c r="Q361" s="14"/>
      <c r="R361" s="14"/>
      <c r="S361" s="14"/>
      <c r="T361" s="14"/>
      <c r="U361" s="14"/>
      <c r="V361" s="14"/>
      <c r="W361" s="14"/>
      <c r="X361" s="14"/>
      <c r="Y361" s="14"/>
      <c r="Z361" s="14"/>
      <c r="AA361" s="14"/>
    </row>
    <row r="362">
      <c r="A362" s="65"/>
      <c r="B362" s="65"/>
      <c r="C362" s="14"/>
      <c r="D362" s="14"/>
      <c r="E362" s="14"/>
      <c r="F362" s="65"/>
      <c r="G362" s="65"/>
      <c r="H362" s="65"/>
      <c r="I362" s="65"/>
      <c r="J362" s="65"/>
      <c r="K362" s="65"/>
      <c r="L362" s="65"/>
      <c r="M362" s="65"/>
      <c r="N362" s="65"/>
      <c r="O362" s="65"/>
      <c r="P362" s="14"/>
      <c r="Q362" s="14"/>
      <c r="R362" s="14"/>
      <c r="S362" s="14"/>
      <c r="T362" s="14"/>
      <c r="U362" s="14"/>
      <c r="V362" s="14"/>
      <c r="W362" s="14"/>
      <c r="X362" s="14"/>
      <c r="Y362" s="14"/>
      <c r="Z362" s="14"/>
      <c r="AA362" s="14"/>
    </row>
    <row r="363">
      <c r="A363" s="65"/>
      <c r="B363" s="65"/>
      <c r="C363" s="14"/>
      <c r="D363" s="14"/>
      <c r="E363" s="14"/>
      <c r="F363" s="65"/>
      <c r="G363" s="65"/>
      <c r="H363" s="65"/>
      <c r="I363" s="65"/>
      <c r="J363" s="65"/>
      <c r="K363" s="65"/>
      <c r="L363" s="65"/>
      <c r="M363" s="65"/>
      <c r="N363" s="65"/>
      <c r="O363" s="65"/>
      <c r="P363" s="14"/>
      <c r="Q363" s="14"/>
      <c r="R363" s="14"/>
      <c r="S363" s="14"/>
      <c r="T363" s="14"/>
      <c r="U363" s="14"/>
      <c r="V363" s="14"/>
      <c r="W363" s="14"/>
      <c r="X363" s="14"/>
      <c r="Y363" s="14"/>
      <c r="Z363" s="14"/>
      <c r="AA363" s="14"/>
    </row>
    <row r="364">
      <c r="A364" s="65"/>
      <c r="B364" s="65"/>
      <c r="C364" s="14"/>
      <c r="D364" s="14"/>
      <c r="E364" s="14"/>
      <c r="F364" s="65"/>
      <c r="G364" s="65"/>
      <c r="H364" s="65"/>
      <c r="I364" s="65"/>
      <c r="J364" s="65"/>
      <c r="K364" s="65"/>
      <c r="L364" s="65"/>
      <c r="M364" s="65"/>
      <c r="N364" s="65"/>
      <c r="O364" s="65"/>
      <c r="P364" s="14"/>
      <c r="Q364" s="14"/>
      <c r="R364" s="14"/>
      <c r="S364" s="14"/>
      <c r="T364" s="14"/>
      <c r="U364" s="14"/>
      <c r="V364" s="14"/>
      <c r="W364" s="14"/>
      <c r="X364" s="14"/>
      <c r="Y364" s="14"/>
      <c r="Z364" s="14"/>
      <c r="AA364" s="14"/>
    </row>
    <row r="365">
      <c r="A365" s="65"/>
      <c r="B365" s="65"/>
      <c r="C365" s="14"/>
      <c r="D365" s="14"/>
      <c r="E365" s="14"/>
      <c r="F365" s="65"/>
      <c r="G365" s="65"/>
      <c r="H365" s="65"/>
      <c r="I365" s="65"/>
      <c r="J365" s="65"/>
      <c r="K365" s="65"/>
      <c r="L365" s="65"/>
      <c r="M365" s="65"/>
      <c r="N365" s="65"/>
      <c r="O365" s="65"/>
      <c r="P365" s="14"/>
      <c r="Q365" s="14"/>
      <c r="R365" s="14"/>
      <c r="S365" s="14"/>
      <c r="T365" s="14"/>
      <c r="U365" s="14"/>
      <c r="V365" s="14"/>
      <c r="W365" s="14"/>
      <c r="X365" s="14"/>
      <c r="Y365" s="14"/>
      <c r="Z365" s="14"/>
      <c r="AA365" s="14"/>
    </row>
    <row r="366">
      <c r="A366" s="65"/>
      <c r="B366" s="65"/>
      <c r="C366" s="14"/>
      <c r="D366" s="14"/>
      <c r="E366" s="14"/>
      <c r="F366" s="65"/>
      <c r="G366" s="65"/>
      <c r="H366" s="65"/>
      <c r="I366" s="65"/>
      <c r="J366" s="65"/>
      <c r="K366" s="65"/>
      <c r="L366" s="65"/>
      <c r="M366" s="65"/>
      <c r="N366" s="65"/>
      <c r="O366" s="65"/>
      <c r="P366" s="14"/>
      <c r="Q366" s="14"/>
      <c r="R366" s="14"/>
      <c r="S366" s="14"/>
      <c r="T366" s="14"/>
      <c r="U366" s="14"/>
      <c r="V366" s="14"/>
      <c r="W366" s="14"/>
      <c r="X366" s="14"/>
      <c r="Y366" s="14"/>
      <c r="Z366" s="14"/>
      <c r="AA366" s="14"/>
    </row>
    <row r="367">
      <c r="A367" s="65"/>
      <c r="B367" s="65"/>
      <c r="C367" s="14"/>
      <c r="D367" s="14"/>
      <c r="E367" s="14"/>
      <c r="F367" s="65"/>
      <c r="G367" s="65"/>
      <c r="H367" s="65"/>
      <c r="I367" s="65"/>
      <c r="J367" s="65"/>
      <c r="K367" s="65"/>
      <c r="L367" s="65"/>
      <c r="M367" s="65"/>
      <c r="N367" s="65"/>
      <c r="O367" s="65"/>
      <c r="P367" s="14"/>
      <c r="Q367" s="14"/>
      <c r="R367" s="14"/>
      <c r="S367" s="14"/>
      <c r="T367" s="14"/>
      <c r="U367" s="14"/>
      <c r="V367" s="14"/>
      <c r="W367" s="14"/>
      <c r="X367" s="14"/>
      <c r="Y367" s="14"/>
      <c r="Z367" s="14"/>
      <c r="AA367" s="14"/>
    </row>
    <row r="368">
      <c r="A368" s="65"/>
      <c r="B368" s="65"/>
      <c r="C368" s="14"/>
      <c r="D368" s="14"/>
      <c r="E368" s="14"/>
      <c r="F368" s="65"/>
      <c r="G368" s="65"/>
      <c r="H368" s="65"/>
      <c r="I368" s="65"/>
      <c r="J368" s="65"/>
      <c r="K368" s="65"/>
      <c r="L368" s="65"/>
      <c r="M368" s="65"/>
      <c r="N368" s="65"/>
      <c r="O368" s="65"/>
      <c r="P368" s="14"/>
      <c r="Q368" s="14"/>
      <c r="R368" s="14"/>
      <c r="S368" s="14"/>
      <c r="T368" s="14"/>
      <c r="U368" s="14"/>
      <c r="V368" s="14"/>
      <c r="W368" s="14"/>
      <c r="X368" s="14"/>
      <c r="Y368" s="14"/>
      <c r="Z368" s="14"/>
      <c r="AA368" s="14"/>
    </row>
    <row r="369">
      <c r="A369" s="65"/>
      <c r="B369" s="65"/>
      <c r="C369" s="14"/>
      <c r="D369" s="14"/>
      <c r="E369" s="14"/>
      <c r="F369" s="65"/>
      <c r="G369" s="65"/>
      <c r="H369" s="65"/>
      <c r="I369" s="65"/>
      <c r="J369" s="65"/>
      <c r="K369" s="65"/>
      <c r="L369" s="65"/>
      <c r="M369" s="65"/>
      <c r="N369" s="65"/>
      <c r="O369" s="65"/>
      <c r="P369" s="14"/>
      <c r="Q369" s="14"/>
      <c r="R369" s="14"/>
      <c r="S369" s="14"/>
      <c r="T369" s="14"/>
      <c r="U369" s="14"/>
      <c r="V369" s="14"/>
      <c r="W369" s="14"/>
      <c r="X369" s="14"/>
      <c r="Y369" s="14"/>
      <c r="Z369" s="14"/>
      <c r="AA369" s="14"/>
    </row>
    <row r="370">
      <c r="A370" s="65"/>
      <c r="B370" s="65"/>
      <c r="C370" s="14"/>
      <c r="D370" s="14"/>
      <c r="E370" s="14"/>
      <c r="F370" s="65"/>
      <c r="G370" s="65"/>
      <c r="H370" s="65"/>
      <c r="I370" s="65"/>
      <c r="J370" s="65"/>
      <c r="K370" s="65"/>
      <c r="L370" s="65"/>
      <c r="M370" s="65"/>
      <c r="N370" s="65"/>
      <c r="O370" s="65"/>
      <c r="P370" s="14"/>
      <c r="Q370" s="14"/>
      <c r="R370" s="14"/>
      <c r="S370" s="14"/>
      <c r="T370" s="14"/>
      <c r="U370" s="14"/>
      <c r="V370" s="14"/>
      <c r="W370" s="14"/>
      <c r="X370" s="14"/>
      <c r="Y370" s="14"/>
      <c r="Z370" s="14"/>
      <c r="AA370" s="14"/>
    </row>
    <row r="371">
      <c r="A371" s="65"/>
      <c r="B371" s="65"/>
      <c r="C371" s="14"/>
      <c r="D371" s="14"/>
      <c r="E371" s="14"/>
      <c r="F371" s="65"/>
      <c r="G371" s="65"/>
      <c r="H371" s="65"/>
      <c r="I371" s="65"/>
      <c r="J371" s="65"/>
      <c r="K371" s="65"/>
      <c r="L371" s="65"/>
      <c r="M371" s="65"/>
      <c r="N371" s="65"/>
      <c r="O371" s="65"/>
      <c r="P371" s="14"/>
      <c r="Q371" s="14"/>
      <c r="R371" s="14"/>
      <c r="S371" s="14"/>
      <c r="T371" s="14"/>
      <c r="U371" s="14"/>
      <c r="V371" s="14"/>
      <c r="W371" s="14"/>
      <c r="X371" s="14"/>
      <c r="Y371" s="14"/>
      <c r="Z371" s="14"/>
      <c r="AA371" s="14"/>
    </row>
    <row r="372">
      <c r="A372" s="65"/>
      <c r="B372" s="65"/>
      <c r="C372" s="14"/>
      <c r="D372" s="14"/>
      <c r="E372" s="14"/>
      <c r="F372" s="65"/>
      <c r="G372" s="65"/>
      <c r="H372" s="65"/>
      <c r="I372" s="65"/>
      <c r="J372" s="65"/>
      <c r="K372" s="65"/>
      <c r="L372" s="65"/>
      <c r="M372" s="65"/>
      <c r="N372" s="65"/>
      <c r="O372" s="65"/>
      <c r="P372" s="14"/>
      <c r="Q372" s="14"/>
      <c r="R372" s="14"/>
      <c r="S372" s="14"/>
      <c r="T372" s="14"/>
      <c r="U372" s="14"/>
      <c r="V372" s="14"/>
      <c r="W372" s="14"/>
      <c r="X372" s="14"/>
      <c r="Y372" s="14"/>
      <c r="Z372" s="14"/>
      <c r="AA372" s="14"/>
    </row>
    <row r="373">
      <c r="A373" s="65"/>
      <c r="B373" s="65"/>
      <c r="C373" s="14"/>
      <c r="D373" s="14"/>
      <c r="E373" s="14"/>
      <c r="F373" s="65"/>
      <c r="G373" s="65"/>
      <c r="H373" s="65"/>
      <c r="I373" s="65"/>
      <c r="J373" s="65"/>
      <c r="K373" s="65"/>
      <c r="L373" s="65"/>
      <c r="M373" s="65"/>
      <c r="N373" s="65"/>
      <c r="O373" s="65"/>
      <c r="P373" s="14"/>
      <c r="Q373" s="14"/>
      <c r="R373" s="14"/>
      <c r="S373" s="14"/>
      <c r="T373" s="14"/>
      <c r="U373" s="14"/>
      <c r="V373" s="14"/>
      <c r="W373" s="14"/>
      <c r="X373" s="14"/>
      <c r="Y373" s="14"/>
      <c r="Z373" s="14"/>
      <c r="AA373" s="14"/>
    </row>
    <row r="374">
      <c r="A374" s="65"/>
      <c r="B374" s="65"/>
      <c r="C374" s="14"/>
      <c r="D374" s="14"/>
      <c r="E374" s="14"/>
      <c r="F374" s="65"/>
      <c r="G374" s="65"/>
      <c r="H374" s="65"/>
      <c r="I374" s="65"/>
      <c r="J374" s="65"/>
      <c r="K374" s="65"/>
      <c r="L374" s="65"/>
      <c r="M374" s="65"/>
      <c r="N374" s="65"/>
      <c r="O374" s="65"/>
      <c r="P374" s="14"/>
      <c r="Q374" s="14"/>
      <c r="R374" s="14"/>
      <c r="S374" s="14"/>
      <c r="T374" s="14"/>
      <c r="U374" s="14"/>
      <c r="V374" s="14"/>
      <c r="W374" s="14"/>
      <c r="X374" s="14"/>
      <c r="Y374" s="14"/>
      <c r="Z374" s="14"/>
      <c r="AA374" s="14"/>
    </row>
    <row r="375">
      <c r="A375" s="65"/>
      <c r="B375" s="65"/>
      <c r="C375" s="14"/>
      <c r="D375" s="14"/>
      <c r="E375" s="14"/>
      <c r="F375" s="65"/>
      <c r="G375" s="65"/>
      <c r="H375" s="65"/>
      <c r="I375" s="65"/>
      <c r="J375" s="65"/>
      <c r="K375" s="65"/>
      <c r="L375" s="65"/>
      <c r="M375" s="65"/>
      <c r="N375" s="65"/>
      <c r="O375" s="65"/>
      <c r="P375" s="14"/>
      <c r="Q375" s="14"/>
      <c r="R375" s="14"/>
      <c r="S375" s="14"/>
      <c r="T375" s="14"/>
      <c r="U375" s="14"/>
      <c r="V375" s="14"/>
      <c r="W375" s="14"/>
      <c r="X375" s="14"/>
      <c r="Y375" s="14"/>
      <c r="Z375" s="14"/>
      <c r="AA375" s="14"/>
    </row>
    <row r="376">
      <c r="A376" s="65"/>
      <c r="B376" s="65"/>
      <c r="C376" s="14"/>
      <c r="D376" s="14"/>
      <c r="E376" s="14"/>
      <c r="F376" s="65"/>
      <c r="G376" s="65"/>
      <c r="H376" s="65"/>
      <c r="I376" s="65"/>
      <c r="J376" s="65"/>
      <c r="K376" s="65"/>
      <c r="L376" s="65"/>
      <c r="M376" s="65"/>
      <c r="N376" s="65"/>
      <c r="O376" s="65"/>
      <c r="P376" s="14"/>
      <c r="Q376" s="14"/>
      <c r="R376" s="14"/>
      <c r="S376" s="14"/>
      <c r="T376" s="14"/>
      <c r="U376" s="14"/>
      <c r="V376" s="14"/>
      <c r="W376" s="14"/>
      <c r="X376" s="14"/>
      <c r="Y376" s="14"/>
      <c r="Z376" s="14"/>
      <c r="AA376" s="14"/>
    </row>
    <row r="377">
      <c r="A377" s="65"/>
      <c r="B377" s="65"/>
      <c r="C377" s="14"/>
      <c r="D377" s="14"/>
      <c r="E377" s="14"/>
      <c r="F377" s="65"/>
      <c r="G377" s="65"/>
      <c r="H377" s="65"/>
      <c r="I377" s="65"/>
      <c r="J377" s="65"/>
      <c r="K377" s="65"/>
      <c r="L377" s="65"/>
      <c r="M377" s="65"/>
      <c r="N377" s="65"/>
      <c r="O377" s="65"/>
      <c r="P377" s="14"/>
      <c r="Q377" s="14"/>
      <c r="R377" s="14"/>
      <c r="S377" s="14"/>
      <c r="T377" s="14"/>
      <c r="U377" s="14"/>
      <c r="V377" s="14"/>
      <c r="W377" s="14"/>
      <c r="X377" s="14"/>
      <c r="Y377" s="14"/>
      <c r="Z377" s="14"/>
      <c r="AA377" s="14"/>
    </row>
    <row r="378">
      <c r="A378" s="65"/>
      <c r="B378" s="65"/>
      <c r="C378" s="14"/>
      <c r="D378" s="14"/>
      <c r="E378" s="14"/>
      <c r="F378" s="65"/>
      <c r="G378" s="65"/>
      <c r="H378" s="65"/>
      <c r="I378" s="65"/>
      <c r="J378" s="65"/>
      <c r="K378" s="65"/>
      <c r="L378" s="65"/>
      <c r="M378" s="65"/>
      <c r="N378" s="65"/>
      <c r="O378" s="65"/>
      <c r="P378" s="14"/>
      <c r="Q378" s="14"/>
      <c r="R378" s="14"/>
      <c r="S378" s="14"/>
      <c r="T378" s="14"/>
      <c r="U378" s="14"/>
      <c r="V378" s="14"/>
      <c r="W378" s="14"/>
      <c r="X378" s="14"/>
      <c r="Y378" s="14"/>
      <c r="Z378" s="14"/>
      <c r="AA378" s="14"/>
    </row>
    <row r="379">
      <c r="A379" s="65"/>
      <c r="B379" s="65"/>
      <c r="C379" s="14"/>
      <c r="D379" s="14"/>
      <c r="E379" s="14"/>
      <c r="F379" s="65"/>
      <c r="G379" s="65"/>
      <c r="H379" s="65"/>
      <c r="I379" s="65"/>
      <c r="J379" s="65"/>
      <c r="K379" s="65"/>
      <c r="L379" s="65"/>
      <c r="M379" s="65"/>
      <c r="N379" s="65"/>
      <c r="O379" s="65"/>
      <c r="P379" s="14"/>
      <c r="Q379" s="14"/>
      <c r="R379" s="14"/>
      <c r="S379" s="14"/>
      <c r="T379" s="14"/>
      <c r="U379" s="14"/>
      <c r="V379" s="14"/>
      <c r="W379" s="14"/>
      <c r="X379" s="14"/>
      <c r="Y379" s="14"/>
      <c r="Z379" s="14"/>
      <c r="AA379" s="14"/>
    </row>
    <row r="380">
      <c r="A380" s="65"/>
      <c r="B380" s="65"/>
      <c r="C380" s="14"/>
      <c r="D380" s="14"/>
      <c r="E380" s="14"/>
      <c r="F380" s="65"/>
      <c r="G380" s="65"/>
      <c r="H380" s="65"/>
      <c r="I380" s="65"/>
      <c r="J380" s="65"/>
      <c r="K380" s="65"/>
      <c r="L380" s="65"/>
      <c r="M380" s="65"/>
      <c r="N380" s="65"/>
      <c r="O380" s="65"/>
      <c r="P380" s="14"/>
      <c r="Q380" s="14"/>
      <c r="R380" s="14"/>
      <c r="S380" s="14"/>
      <c r="T380" s="14"/>
      <c r="U380" s="14"/>
      <c r="V380" s="14"/>
      <c r="W380" s="14"/>
      <c r="X380" s="14"/>
      <c r="Y380" s="14"/>
      <c r="Z380" s="14"/>
      <c r="AA380" s="14"/>
    </row>
    <row r="381">
      <c r="A381" s="65"/>
      <c r="B381" s="65"/>
      <c r="C381" s="14"/>
      <c r="D381" s="14"/>
      <c r="E381" s="14"/>
      <c r="F381" s="65"/>
      <c r="G381" s="65"/>
      <c r="H381" s="65"/>
      <c r="I381" s="65"/>
      <c r="J381" s="65"/>
      <c r="K381" s="65"/>
      <c r="L381" s="65"/>
      <c r="M381" s="65"/>
      <c r="N381" s="65"/>
      <c r="O381" s="65"/>
      <c r="P381" s="14"/>
      <c r="Q381" s="14"/>
      <c r="R381" s="14"/>
      <c r="S381" s="14"/>
      <c r="T381" s="14"/>
      <c r="U381" s="14"/>
      <c r="V381" s="14"/>
      <c r="W381" s="14"/>
      <c r="X381" s="14"/>
      <c r="Y381" s="14"/>
      <c r="Z381" s="14"/>
      <c r="AA381" s="14"/>
    </row>
    <row r="382">
      <c r="A382" s="65"/>
      <c r="B382" s="65"/>
      <c r="C382" s="14"/>
      <c r="D382" s="14"/>
      <c r="E382" s="14"/>
      <c r="F382" s="65"/>
      <c r="G382" s="65"/>
      <c r="H382" s="65"/>
      <c r="I382" s="65"/>
      <c r="J382" s="65"/>
      <c r="K382" s="65"/>
      <c r="L382" s="65"/>
      <c r="M382" s="65"/>
      <c r="N382" s="65"/>
      <c r="O382" s="65"/>
      <c r="P382" s="14"/>
      <c r="Q382" s="14"/>
      <c r="R382" s="14"/>
      <c r="S382" s="14"/>
      <c r="T382" s="14"/>
      <c r="U382" s="14"/>
      <c r="V382" s="14"/>
      <c r="W382" s="14"/>
      <c r="X382" s="14"/>
      <c r="Y382" s="14"/>
      <c r="Z382" s="14"/>
      <c r="AA382" s="14"/>
    </row>
    <row r="383">
      <c r="A383" s="65"/>
      <c r="B383" s="65"/>
      <c r="C383" s="14"/>
      <c r="D383" s="14"/>
      <c r="E383" s="14"/>
      <c r="F383" s="65"/>
      <c r="G383" s="65"/>
      <c r="H383" s="65"/>
      <c r="I383" s="65"/>
      <c r="J383" s="65"/>
      <c r="K383" s="65"/>
      <c r="L383" s="65"/>
      <c r="M383" s="65"/>
      <c r="N383" s="65"/>
      <c r="O383" s="65"/>
      <c r="P383" s="14"/>
      <c r="Q383" s="14"/>
      <c r="R383" s="14"/>
      <c r="S383" s="14"/>
      <c r="T383" s="14"/>
      <c r="U383" s="14"/>
      <c r="V383" s="14"/>
      <c r="W383" s="14"/>
      <c r="X383" s="14"/>
      <c r="Y383" s="14"/>
      <c r="Z383" s="14"/>
      <c r="AA383" s="14"/>
    </row>
    <row r="384">
      <c r="A384" s="65"/>
      <c r="B384" s="65"/>
      <c r="C384" s="14"/>
      <c r="D384" s="14"/>
      <c r="E384" s="14"/>
      <c r="F384" s="65"/>
      <c r="G384" s="65"/>
      <c r="H384" s="65"/>
      <c r="I384" s="65"/>
      <c r="J384" s="65"/>
      <c r="K384" s="65"/>
      <c r="L384" s="65"/>
      <c r="M384" s="65"/>
      <c r="N384" s="65"/>
      <c r="O384" s="65"/>
      <c r="P384" s="14"/>
      <c r="Q384" s="14"/>
      <c r="R384" s="14"/>
      <c r="S384" s="14"/>
      <c r="T384" s="14"/>
      <c r="U384" s="14"/>
      <c r="V384" s="14"/>
      <c r="W384" s="14"/>
      <c r="X384" s="14"/>
      <c r="Y384" s="14"/>
      <c r="Z384" s="14"/>
      <c r="AA384" s="14"/>
    </row>
    <row r="385">
      <c r="A385" s="65"/>
      <c r="B385" s="65"/>
      <c r="C385" s="14"/>
      <c r="D385" s="14"/>
      <c r="E385" s="14"/>
      <c r="F385" s="65"/>
      <c r="G385" s="65"/>
      <c r="H385" s="65"/>
      <c r="I385" s="65"/>
      <c r="J385" s="65"/>
      <c r="K385" s="65"/>
      <c r="L385" s="65"/>
      <c r="M385" s="65"/>
      <c r="N385" s="65"/>
      <c r="O385" s="65"/>
      <c r="P385" s="14"/>
      <c r="Q385" s="14"/>
      <c r="R385" s="14"/>
      <c r="S385" s="14"/>
      <c r="T385" s="14"/>
      <c r="U385" s="14"/>
      <c r="V385" s="14"/>
      <c r="W385" s="14"/>
      <c r="X385" s="14"/>
      <c r="Y385" s="14"/>
      <c r="Z385" s="14"/>
      <c r="AA385" s="14"/>
    </row>
    <row r="386">
      <c r="A386" s="65"/>
      <c r="B386" s="65"/>
      <c r="C386" s="14"/>
      <c r="D386" s="14"/>
      <c r="E386" s="14"/>
      <c r="F386" s="65"/>
      <c r="G386" s="65"/>
      <c r="H386" s="65"/>
      <c r="I386" s="65"/>
      <c r="J386" s="65"/>
      <c r="K386" s="65"/>
      <c r="L386" s="65"/>
      <c r="M386" s="65"/>
      <c r="N386" s="65"/>
      <c r="O386" s="65"/>
      <c r="P386" s="14"/>
      <c r="Q386" s="14"/>
      <c r="R386" s="14"/>
      <c r="S386" s="14"/>
      <c r="T386" s="14"/>
      <c r="U386" s="14"/>
      <c r="V386" s="14"/>
      <c r="W386" s="14"/>
      <c r="X386" s="14"/>
      <c r="Y386" s="14"/>
      <c r="Z386" s="14"/>
      <c r="AA386" s="14"/>
    </row>
    <row r="387">
      <c r="A387" s="65"/>
      <c r="B387" s="65"/>
      <c r="C387" s="14"/>
      <c r="D387" s="14"/>
      <c r="E387" s="14"/>
      <c r="F387" s="65"/>
      <c r="G387" s="65"/>
      <c r="H387" s="65"/>
      <c r="I387" s="65"/>
      <c r="J387" s="65"/>
      <c r="K387" s="65"/>
      <c r="L387" s="65"/>
      <c r="M387" s="65"/>
      <c r="N387" s="65"/>
      <c r="O387" s="65"/>
      <c r="P387" s="14"/>
      <c r="Q387" s="14"/>
      <c r="R387" s="14"/>
      <c r="S387" s="14"/>
      <c r="T387" s="14"/>
      <c r="U387" s="14"/>
      <c r="V387" s="14"/>
      <c r="W387" s="14"/>
      <c r="X387" s="14"/>
      <c r="Y387" s="14"/>
      <c r="Z387" s="14"/>
      <c r="AA387" s="14"/>
    </row>
    <row r="388">
      <c r="A388" s="65"/>
      <c r="B388" s="65"/>
      <c r="C388" s="14"/>
      <c r="D388" s="14"/>
      <c r="E388" s="14"/>
      <c r="F388" s="65"/>
      <c r="G388" s="65"/>
      <c r="H388" s="65"/>
      <c r="I388" s="65"/>
      <c r="J388" s="65"/>
      <c r="K388" s="65"/>
      <c r="L388" s="65"/>
      <c r="M388" s="65"/>
      <c r="N388" s="65"/>
      <c r="O388" s="65"/>
      <c r="P388" s="14"/>
      <c r="Q388" s="14"/>
      <c r="R388" s="14"/>
      <c r="S388" s="14"/>
      <c r="T388" s="14"/>
      <c r="U388" s="14"/>
      <c r="V388" s="14"/>
      <c r="W388" s="14"/>
      <c r="X388" s="14"/>
      <c r="Y388" s="14"/>
      <c r="Z388" s="14"/>
      <c r="AA388" s="14"/>
    </row>
    <row r="389">
      <c r="A389" s="65"/>
      <c r="B389" s="65"/>
      <c r="C389" s="14"/>
      <c r="D389" s="14"/>
      <c r="E389" s="14"/>
      <c r="F389" s="65"/>
      <c r="G389" s="65"/>
      <c r="H389" s="65"/>
      <c r="I389" s="65"/>
      <c r="J389" s="65"/>
      <c r="K389" s="65"/>
      <c r="L389" s="65"/>
      <c r="M389" s="65"/>
      <c r="N389" s="65"/>
      <c r="O389" s="65"/>
      <c r="P389" s="14"/>
      <c r="Q389" s="14"/>
      <c r="R389" s="14"/>
      <c r="S389" s="14"/>
      <c r="T389" s="14"/>
      <c r="U389" s="14"/>
      <c r="V389" s="14"/>
      <c r="W389" s="14"/>
      <c r="X389" s="14"/>
      <c r="Y389" s="14"/>
      <c r="Z389" s="14"/>
      <c r="AA389" s="14"/>
    </row>
    <row r="390">
      <c r="A390" s="65"/>
      <c r="B390" s="65"/>
      <c r="C390" s="14"/>
      <c r="D390" s="14"/>
      <c r="E390" s="14"/>
      <c r="F390" s="65"/>
      <c r="G390" s="65"/>
      <c r="H390" s="65"/>
      <c r="I390" s="65"/>
      <c r="J390" s="65"/>
      <c r="K390" s="65"/>
      <c r="L390" s="65"/>
      <c r="M390" s="65"/>
      <c r="N390" s="65"/>
      <c r="O390" s="65"/>
      <c r="P390" s="14"/>
      <c r="Q390" s="14"/>
      <c r="R390" s="14"/>
      <c r="S390" s="14"/>
      <c r="T390" s="14"/>
      <c r="U390" s="14"/>
      <c r="V390" s="14"/>
      <c r="W390" s="14"/>
      <c r="X390" s="14"/>
      <c r="Y390" s="14"/>
      <c r="Z390" s="14"/>
      <c r="AA390" s="14"/>
    </row>
    <row r="391">
      <c r="A391" s="65"/>
      <c r="B391" s="65"/>
      <c r="C391" s="14"/>
      <c r="D391" s="14"/>
      <c r="E391" s="14"/>
      <c r="F391" s="65"/>
      <c r="G391" s="65"/>
      <c r="H391" s="65"/>
      <c r="I391" s="65"/>
      <c r="J391" s="65"/>
      <c r="K391" s="65"/>
      <c r="L391" s="65"/>
      <c r="M391" s="65"/>
      <c r="N391" s="65"/>
      <c r="O391" s="65"/>
      <c r="P391" s="14"/>
      <c r="Q391" s="14"/>
      <c r="R391" s="14"/>
      <c r="S391" s="14"/>
      <c r="T391" s="14"/>
      <c r="U391" s="14"/>
      <c r="V391" s="14"/>
      <c r="W391" s="14"/>
      <c r="X391" s="14"/>
      <c r="Y391" s="14"/>
      <c r="Z391" s="14"/>
      <c r="AA391" s="14"/>
    </row>
    <row r="392">
      <c r="A392" s="65"/>
      <c r="B392" s="65"/>
      <c r="C392" s="14"/>
      <c r="D392" s="14"/>
      <c r="E392" s="14"/>
      <c r="F392" s="65"/>
      <c r="G392" s="65"/>
      <c r="H392" s="65"/>
      <c r="I392" s="65"/>
      <c r="J392" s="65"/>
      <c r="K392" s="65"/>
      <c r="L392" s="65"/>
      <c r="M392" s="65"/>
      <c r="N392" s="65"/>
      <c r="O392" s="65"/>
      <c r="P392" s="14"/>
      <c r="Q392" s="14"/>
      <c r="R392" s="14"/>
      <c r="S392" s="14"/>
      <c r="T392" s="14"/>
      <c r="U392" s="14"/>
      <c r="V392" s="14"/>
      <c r="W392" s="14"/>
      <c r="X392" s="14"/>
      <c r="Y392" s="14"/>
      <c r="Z392" s="14"/>
      <c r="AA392" s="14"/>
    </row>
    <row r="393">
      <c r="A393" s="65"/>
      <c r="B393" s="65"/>
      <c r="C393" s="14"/>
      <c r="D393" s="14"/>
      <c r="E393" s="14"/>
      <c r="F393" s="65"/>
      <c r="G393" s="65"/>
      <c r="H393" s="65"/>
      <c r="I393" s="65"/>
      <c r="J393" s="65"/>
      <c r="K393" s="65"/>
      <c r="L393" s="65"/>
      <c r="M393" s="65"/>
      <c r="N393" s="65"/>
      <c r="O393" s="65"/>
      <c r="P393" s="14"/>
      <c r="Q393" s="14"/>
      <c r="R393" s="14"/>
      <c r="S393" s="14"/>
      <c r="T393" s="14"/>
      <c r="U393" s="14"/>
      <c r="V393" s="14"/>
      <c r="W393" s="14"/>
      <c r="X393" s="14"/>
      <c r="Y393" s="14"/>
      <c r="Z393" s="14"/>
      <c r="AA393" s="14"/>
    </row>
    <row r="394">
      <c r="A394" s="65"/>
      <c r="B394" s="65"/>
      <c r="C394" s="14"/>
      <c r="D394" s="14"/>
      <c r="E394" s="14"/>
      <c r="F394" s="65"/>
      <c r="G394" s="65"/>
      <c r="H394" s="65"/>
      <c r="I394" s="65"/>
      <c r="J394" s="65"/>
      <c r="K394" s="65"/>
      <c r="L394" s="65"/>
      <c r="M394" s="65"/>
      <c r="N394" s="65"/>
      <c r="O394" s="65"/>
      <c r="P394" s="14"/>
      <c r="Q394" s="14"/>
      <c r="R394" s="14"/>
      <c r="S394" s="14"/>
      <c r="T394" s="14"/>
      <c r="U394" s="14"/>
      <c r="V394" s="14"/>
      <c r="W394" s="14"/>
      <c r="X394" s="14"/>
      <c r="Y394" s="14"/>
      <c r="Z394" s="14"/>
      <c r="AA394" s="14"/>
    </row>
    <row r="395">
      <c r="A395" s="65"/>
      <c r="B395" s="65"/>
      <c r="C395" s="14"/>
      <c r="D395" s="14"/>
      <c r="E395" s="14"/>
      <c r="F395" s="65"/>
      <c r="G395" s="65"/>
      <c r="H395" s="65"/>
      <c r="I395" s="65"/>
      <c r="J395" s="65"/>
      <c r="K395" s="65"/>
      <c r="L395" s="65"/>
      <c r="M395" s="65"/>
      <c r="N395" s="65"/>
      <c r="O395" s="65"/>
      <c r="P395" s="14"/>
      <c r="Q395" s="14"/>
      <c r="R395" s="14"/>
      <c r="S395" s="14"/>
      <c r="T395" s="14"/>
      <c r="U395" s="14"/>
      <c r="V395" s="14"/>
      <c r="W395" s="14"/>
      <c r="X395" s="14"/>
      <c r="Y395" s="14"/>
      <c r="Z395" s="14"/>
      <c r="AA395" s="14"/>
    </row>
    <row r="396">
      <c r="A396" s="65"/>
      <c r="B396" s="65"/>
      <c r="C396" s="14"/>
      <c r="D396" s="14"/>
      <c r="E396" s="14"/>
      <c r="F396" s="65"/>
      <c r="G396" s="65"/>
      <c r="H396" s="65"/>
      <c r="I396" s="65"/>
      <c r="J396" s="65"/>
      <c r="K396" s="65"/>
      <c r="L396" s="65"/>
      <c r="M396" s="65"/>
      <c r="N396" s="65"/>
      <c r="O396" s="65"/>
      <c r="P396" s="14"/>
      <c r="Q396" s="14"/>
      <c r="R396" s="14"/>
      <c r="S396" s="14"/>
      <c r="T396" s="14"/>
      <c r="U396" s="14"/>
      <c r="V396" s="14"/>
      <c r="W396" s="14"/>
      <c r="X396" s="14"/>
      <c r="Y396" s="14"/>
      <c r="Z396" s="14"/>
      <c r="AA396" s="14"/>
    </row>
    <row r="397">
      <c r="A397" s="65"/>
      <c r="B397" s="65"/>
      <c r="C397" s="14"/>
      <c r="D397" s="14"/>
      <c r="E397" s="14"/>
      <c r="F397" s="65"/>
      <c r="G397" s="65"/>
      <c r="H397" s="65"/>
      <c r="I397" s="65"/>
      <c r="J397" s="65"/>
      <c r="K397" s="65"/>
      <c r="L397" s="65"/>
      <c r="M397" s="65"/>
      <c r="N397" s="65"/>
      <c r="O397" s="65"/>
      <c r="P397" s="14"/>
      <c r="Q397" s="14"/>
      <c r="R397" s="14"/>
      <c r="S397" s="14"/>
      <c r="T397" s="14"/>
      <c r="U397" s="14"/>
      <c r="V397" s="14"/>
      <c r="W397" s="14"/>
      <c r="X397" s="14"/>
      <c r="Y397" s="14"/>
      <c r="Z397" s="14"/>
      <c r="AA397" s="14"/>
    </row>
    <row r="398">
      <c r="A398" s="65"/>
      <c r="B398" s="65"/>
      <c r="C398" s="14"/>
      <c r="D398" s="14"/>
      <c r="E398" s="14"/>
      <c r="F398" s="65"/>
      <c r="G398" s="65"/>
      <c r="H398" s="65"/>
      <c r="I398" s="65"/>
      <c r="J398" s="65"/>
      <c r="K398" s="65"/>
      <c r="L398" s="65"/>
      <c r="M398" s="65"/>
      <c r="N398" s="65"/>
      <c r="O398" s="65"/>
      <c r="P398" s="14"/>
      <c r="Q398" s="14"/>
      <c r="R398" s="14"/>
      <c r="S398" s="14"/>
      <c r="T398" s="14"/>
      <c r="U398" s="14"/>
      <c r="V398" s="14"/>
      <c r="W398" s="14"/>
      <c r="X398" s="14"/>
      <c r="Y398" s="14"/>
      <c r="Z398" s="14"/>
      <c r="AA398" s="14"/>
    </row>
    <row r="399">
      <c r="A399" s="65"/>
      <c r="B399" s="65"/>
      <c r="C399" s="14"/>
      <c r="D399" s="14"/>
      <c r="E399" s="14"/>
      <c r="F399" s="65"/>
      <c r="G399" s="65"/>
      <c r="H399" s="65"/>
      <c r="I399" s="65"/>
      <c r="J399" s="65"/>
      <c r="K399" s="65"/>
      <c r="L399" s="65"/>
      <c r="M399" s="65"/>
      <c r="N399" s="65"/>
      <c r="O399" s="65"/>
      <c r="P399" s="14"/>
      <c r="Q399" s="14"/>
      <c r="R399" s="14"/>
      <c r="S399" s="14"/>
      <c r="T399" s="14"/>
      <c r="U399" s="14"/>
      <c r="V399" s="14"/>
      <c r="W399" s="14"/>
      <c r="X399" s="14"/>
      <c r="Y399" s="14"/>
      <c r="Z399" s="14"/>
      <c r="AA399" s="14"/>
    </row>
    <row r="400">
      <c r="A400" s="65"/>
      <c r="B400" s="65"/>
      <c r="C400" s="14"/>
      <c r="D400" s="14"/>
      <c r="E400" s="14"/>
      <c r="F400" s="65"/>
      <c r="G400" s="65"/>
      <c r="H400" s="65"/>
      <c r="I400" s="65"/>
      <c r="J400" s="65"/>
      <c r="K400" s="65"/>
      <c r="L400" s="65"/>
      <c r="M400" s="65"/>
      <c r="N400" s="65"/>
      <c r="O400" s="65"/>
      <c r="P400" s="14"/>
      <c r="Q400" s="14"/>
      <c r="R400" s="14"/>
      <c r="S400" s="14"/>
      <c r="T400" s="14"/>
      <c r="U400" s="14"/>
      <c r="V400" s="14"/>
      <c r="W400" s="14"/>
      <c r="X400" s="14"/>
      <c r="Y400" s="14"/>
      <c r="Z400" s="14"/>
      <c r="AA400" s="14"/>
    </row>
    <row r="401">
      <c r="A401" s="65"/>
      <c r="B401" s="65"/>
      <c r="C401" s="14"/>
      <c r="D401" s="14"/>
      <c r="E401" s="14"/>
      <c r="F401" s="65"/>
      <c r="G401" s="65"/>
      <c r="H401" s="65"/>
      <c r="I401" s="65"/>
      <c r="J401" s="65"/>
      <c r="K401" s="65"/>
      <c r="L401" s="65"/>
      <c r="M401" s="65"/>
      <c r="N401" s="65"/>
      <c r="O401" s="65"/>
      <c r="P401" s="14"/>
      <c r="Q401" s="14"/>
      <c r="R401" s="14"/>
      <c r="S401" s="14"/>
      <c r="T401" s="14"/>
      <c r="U401" s="14"/>
      <c r="V401" s="14"/>
      <c r="W401" s="14"/>
      <c r="X401" s="14"/>
      <c r="Y401" s="14"/>
      <c r="Z401" s="14"/>
      <c r="AA401" s="14"/>
    </row>
    <row r="402">
      <c r="A402" s="65"/>
      <c r="B402" s="65"/>
      <c r="C402" s="14"/>
      <c r="D402" s="14"/>
      <c r="E402" s="14"/>
      <c r="F402" s="65"/>
      <c r="G402" s="65"/>
      <c r="H402" s="65"/>
      <c r="I402" s="65"/>
      <c r="J402" s="65"/>
      <c r="K402" s="65"/>
      <c r="L402" s="65"/>
      <c r="M402" s="65"/>
      <c r="N402" s="65"/>
      <c r="O402" s="65"/>
      <c r="P402" s="14"/>
      <c r="Q402" s="14"/>
      <c r="R402" s="14"/>
      <c r="S402" s="14"/>
      <c r="T402" s="14"/>
      <c r="U402" s="14"/>
      <c r="V402" s="14"/>
      <c r="W402" s="14"/>
      <c r="X402" s="14"/>
      <c r="Y402" s="14"/>
      <c r="Z402" s="14"/>
      <c r="AA402" s="14"/>
    </row>
    <row r="403">
      <c r="A403" s="65"/>
      <c r="B403" s="65"/>
      <c r="C403" s="14"/>
      <c r="D403" s="14"/>
      <c r="E403" s="14"/>
      <c r="F403" s="65"/>
      <c r="G403" s="65"/>
      <c r="H403" s="65"/>
      <c r="I403" s="65"/>
      <c r="J403" s="65"/>
      <c r="K403" s="65"/>
      <c r="L403" s="65"/>
      <c r="M403" s="65"/>
      <c r="N403" s="65"/>
      <c r="O403" s="65"/>
      <c r="P403" s="14"/>
      <c r="Q403" s="14"/>
      <c r="R403" s="14"/>
      <c r="S403" s="14"/>
      <c r="T403" s="14"/>
      <c r="U403" s="14"/>
      <c r="V403" s="14"/>
      <c r="W403" s="14"/>
      <c r="X403" s="14"/>
      <c r="Y403" s="14"/>
      <c r="Z403" s="14"/>
      <c r="AA403" s="14"/>
    </row>
    <row r="404">
      <c r="A404" s="65"/>
      <c r="B404" s="65"/>
      <c r="C404" s="14"/>
      <c r="D404" s="14"/>
      <c r="E404" s="14"/>
      <c r="F404" s="65"/>
      <c r="G404" s="65"/>
      <c r="H404" s="65"/>
      <c r="I404" s="65"/>
      <c r="J404" s="65"/>
      <c r="K404" s="65"/>
      <c r="L404" s="65"/>
      <c r="M404" s="65"/>
      <c r="N404" s="65"/>
      <c r="O404" s="65"/>
      <c r="P404" s="14"/>
      <c r="Q404" s="14"/>
      <c r="R404" s="14"/>
      <c r="S404" s="14"/>
      <c r="T404" s="14"/>
      <c r="U404" s="14"/>
      <c r="V404" s="14"/>
      <c r="W404" s="14"/>
      <c r="X404" s="14"/>
      <c r="Y404" s="14"/>
      <c r="Z404" s="14"/>
      <c r="AA404" s="14"/>
    </row>
    <row r="405">
      <c r="A405" s="65"/>
      <c r="B405" s="65"/>
      <c r="C405" s="14"/>
      <c r="D405" s="14"/>
      <c r="E405" s="14"/>
      <c r="F405" s="65"/>
      <c r="G405" s="65"/>
      <c r="H405" s="65"/>
      <c r="I405" s="65"/>
      <c r="J405" s="65"/>
      <c r="K405" s="65"/>
      <c r="L405" s="65"/>
      <c r="M405" s="65"/>
      <c r="N405" s="65"/>
      <c r="O405" s="65"/>
      <c r="P405" s="14"/>
      <c r="Q405" s="14"/>
      <c r="R405" s="14"/>
      <c r="S405" s="14"/>
      <c r="T405" s="14"/>
      <c r="U405" s="14"/>
      <c r="V405" s="14"/>
      <c r="W405" s="14"/>
      <c r="X405" s="14"/>
      <c r="Y405" s="14"/>
      <c r="Z405" s="14"/>
      <c r="AA405" s="14"/>
    </row>
    <row r="406">
      <c r="A406" s="65"/>
      <c r="B406" s="65"/>
      <c r="C406" s="14"/>
      <c r="D406" s="14"/>
      <c r="E406" s="14"/>
      <c r="F406" s="65"/>
      <c r="G406" s="65"/>
      <c r="H406" s="65"/>
      <c r="I406" s="65"/>
      <c r="J406" s="65"/>
      <c r="K406" s="65"/>
      <c r="L406" s="65"/>
      <c r="M406" s="65"/>
      <c r="N406" s="65"/>
      <c r="O406" s="65"/>
      <c r="P406" s="14"/>
      <c r="Q406" s="14"/>
      <c r="R406" s="14"/>
      <c r="S406" s="14"/>
      <c r="T406" s="14"/>
      <c r="U406" s="14"/>
      <c r="V406" s="14"/>
      <c r="W406" s="14"/>
      <c r="X406" s="14"/>
      <c r="Y406" s="14"/>
      <c r="Z406" s="14"/>
      <c r="AA406" s="14"/>
    </row>
    <row r="407">
      <c r="A407" s="65"/>
      <c r="B407" s="65"/>
      <c r="C407" s="14"/>
      <c r="D407" s="14"/>
      <c r="E407" s="14"/>
      <c r="F407" s="65"/>
      <c r="G407" s="65"/>
      <c r="H407" s="65"/>
      <c r="I407" s="65"/>
      <c r="J407" s="65"/>
      <c r="K407" s="65"/>
      <c r="L407" s="65"/>
      <c r="M407" s="65"/>
      <c r="N407" s="65"/>
      <c r="O407" s="65"/>
      <c r="P407" s="14"/>
      <c r="Q407" s="14"/>
      <c r="R407" s="14"/>
      <c r="S407" s="14"/>
      <c r="T407" s="14"/>
      <c r="U407" s="14"/>
      <c r="V407" s="14"/>
      <c r="W407" s="14"/>
      <c r="X407" s="14"/>
      <c r="Y407" s="14"/>
      <c r="Z407" s="14"/>
      <c r="AA407" s="14"/>
    </row>
    <row r="408">
      <c r="A408" s="65"/>
      <c r="B408" s="65"/>
      <c r="C408" s="14"/>
      <c r="D408" s="14"/>
      <c r="E408" s="14"/>
      <c r="F408" s="65"/>
      <c r="G408" s="65"/>
      <c r="H408" s="65"/>
      <c r="I408" s="65"/>
      <c r="J408" s="65"/>
      <c r="K408" s="65"/>
      <c r="L408" s="65"/>
      <c r="M408" s="65"/>
      <c r="N408" s="65"/>
      <c r="O408" s="65"/>
      <c r="P408" s="14"/>
      <c r="Q408" s="14"/>
      <c r="R408" s="14"/>
      <c r="S408" s="14"/>
      <c r="T408" s="14"/>
      <c r="U408" s="14"/>
      <c r="V408" s="14"/>
      <c r="W408" s="14"/>
      <c r="X408" s="14"/>
      <c r="Y408" s="14"/>
      <c r="Z408" s="14"/>
      <c r="AA408" s="14"/>
    </row>
    <row r="409">
      <c r="A409" s="65"/>
      <c r="B409" s="65"/>
      <c r="C409" s="14"/>
      <c r="D409" s="14"/>
      <c r="E409" s="14"/>
      <c r="F409" s="65"/>
      <c r="G409" s="65"/>
      <c r="H409" s="65"/>
      <c r="I409" s="65"/>
      <c r="J409" s="65"/>
      <c r="K409" s="65"/>
      <c r="L409" s="65"/>
      <c r="M409" s="65"/>
      <c r="N409" s="65"/>
      <c r="O409" s="65"/>
      <c r="P409" s="14"/>
      <c r="Q409" s="14"/>
      <c r="R409" s="14"/>
      <c r="S409" s="14"/>
      <c r="T409" s="14"/>
      <c r="U409" s="14"/>
      <c r="V409" s="14"/>
      <c r="W409" s="14"/>
      <c r="X409" s="14"/>
      <c r="Y409" s="14"/>
      <c r="Z409" s="14"/>
      <c r="AA409" s="14"/>
    </row>
    <row r="410">
      <c r="A410" s="65"/>
      <c r="B410" s="65"/>
      <c r="C410" s="14"/>
      <c r="D410" s="14"/>
      <c r="E410" s="14"/>
      <c r="F410" s="65"/>
      <c r="G410" s="65"/>
      <c r="H410" s="65"/>
      <c r="I410" s="65"/>
      <c r="J410" s="65"/>
      <c r="K410" s="65"/>
      <c r="L410" s="65"/>
      <c r="M410" s="65"/>
      <c r="N410" s="65"/>
      <c r="O410" s="65"/>
      <c r="P410" s="14"/>
      <c r="Q410" s="14"/>
      <c r="R410" s="14"/>
      <c r="S410" s="14"/>
      <c r="T410" s="14"/>
      <c r="U410" s="14"/>
      <c r="V410" s="14"/>
      <c r="W410" s="14"/>
      <c r="X410" s="14"/>
      <c r="Y410" s="14"/>
      <c r="Z410" s="14"/>
      <c r="AA410" s="14"/>
    </row>
    <row r="411">
      <c r="A411" s="65"/>
      <c r="B411" s="65"/>
      <c r="C411" s="14"/>
      <c r="D411" s="14"/>
      <c r="E411" s="14"/>
      <c r="F411" s="65"/>
      <c r="G411" s="65"/>
      <c r="H411" s="65"/>
      <c r="I411" s="65"/>
      <c r="J411" s="65"/>
      <c r="K411" s="65"/>
      <c r="L411" s="65"/>
      <c r="M411" s="65"/>
      <c r="N411" s="65"/>
      <c r="O411" s="65"/>
      <c r="P411" s="14"/>
      <c r="Q411" s="14"/>
      <c r="R411" s="14"/>
      <c r="S411" s="14"/>
      <c r="T411" s="14"/>
      <c r="U411" s="14"/>
      <c r="V411" s="14"/>
      <c r="W411" s="14"/>
      <c r="X411" s="14"/>
      <c r="Y411" s="14"/>
      <c r="Z411" s="14"/>
      <c r="AA411" s="14"/>
    </row>
    <row r="412">
      <c r="A412" s="65"/>
      <c r="B412" s="65"/>
      <c r="C412" s="14"/>
      <c r="D412" s="14"/>
      <c r="E412" s="14"/>
      <c r="F412" s="65"/>
      <c r="G412" s="65"/>
      <c r="H412" s="65"/>
      <c r="I412" s="65"/>
      <c r="J412" s="65"/>
      <c r="K412" s="65"/>
      <c r="L412" s="65"/>
      <c r="M412" s="65"/>
      <c r="N412" s="65"/>
      <c r="O412" s="65"/>
      <c r="P412" s="14"/>
      <c r="Q412" s="14"/>
      <c r="R412" s="14"/>
      <c r="S412" s="14"/>
      <c r="T412" s="14"/>
      <c r="U412" s="14"/>
      <c r="V412" s="14"/>
      <c r="W412" s="14"/>
      <c r="X412" s="14"/>
      <c r="Y412" s="14"/>
      <c r="Z412" s="14"/>
      <c r="AA412" s="14"/>
    </row>
    <row r="413">
      <c r="A413" s="65"/>
      <c r="B413" s="65"/>
      <c r="C413" s="14"/>
      <c r="D413" s="14"/>
      <c r="E413" s="14"/>
      <c r="F413" s="65"/>
      <c r="G413" s="65"/>
      <c r="H413" s="65"/>
      <c r="I413" s="65"/>
      <c r="J413" s="65"/>
      <c r="K413" s="65"/>
      <c r="L413" s="65"/>
      <c r="M413" s="65"/>
      <c r="N413" s="65"/>
      <c r="O413" s="65"/>
      <c r="P413" s="14"/>
      <c r="Q413" s="14"/>
      <c r="R413" s="14"/>
      <c r="S413" s="14"/>
      <c r="T413" s="14"/>
      <c r="U413" s="14"/>
      <c r="V413" s="14"/>
      <c r="W413" s="14"/>
      <c r="X413" s="14"/>
      <c r="Y413" s="14"/>
      <c r="Z413" s="14"/>
      <c r="AA413" s="14"/>
    </row>
    <row r="414">
      <c r="A414" s="65"/>
      <c r="B414" s="65"/>
      <c r="C414" s="14"/>
      <c r="D414" s="14"/>
      <c r="E414" s="14"/>
      <c r="F414" s="65"/>
      <c r="G414" s="65"/>
      <c r="H414" s="65"/>
      <c r="I414" s="65"/>
      <c r="J414" s="65"/>
      <c r="K414" s="65"/>
      <c r="L414" s="65"/>
      <c r="M414" s="65"/>
      <c r="N414" s="65"/>
      <c r="O414" s="65"/>
      <c r="P414" s="14"/>
      <c r="Q414" s="14"/>
      <c r="R414" s="14"/>
      <c r="S414" s="14"/>
      <c r="T414" s="14"/>
      <c r="U414" s="14"/>
      <c r="V414" s="14"/>
      <c r="W414" s="14"/>
      <c r="X414" s="14"/>
      <c r="Y414" s="14"/>
      <c r="Z414" s="14"/>
      <c r="AA414" s="14"/>
    </row>
    <row r="415">
      <c r="A415" s="65"/>
      <c r="B415" s="65"/>
      <c r="C415" s="14"/>
      <c r="D415" s="14"/>
      <c r="E415" s="14"/>
      <c r="F415" s="65"/>
      <c r="G415" s="65"/>
      <c r="H415" s="65"/>
      <c r="I415" s="65"/>
      <c r="J415" s="65"/>
      <c r="K415" s="65"/>
      <c r="L415" s="65"/>
      <c r="M415" s="65"/>
      <c r="N415" s="65"/>
      <c r="O415" s="65"/>
      <c r="P415" s="14"/>
      <c r="Q415" s="14"/>
      <c r="R415" s="14"/>
      <c r="S415" s="14"/>
      <c r="T415" s="14"/>
      <c r="U415" s="14"/>
      <c r="V415" s="14"/>
      <c r="W415" s="14"/>
      <c r="X415" s="14"/>
      <c r="Y415" s="14"/>
      <c r="Z415" s="14"/>
      <c r="AA415" s="14"/>
    </row>
    <row r="416">
      <c r="A416" s="65"/>
      <c r="B416" s="65"/>
      <c r="C416" s="14"/>
      <c r="D416" s="14"/>
      <c r="E416" s="14"/>
      <c r="F416" s="65"/>
      <c r="G416" s="65"/>
      <c r="H416" s="65"/>
      <c r="I416" s="65"/>
      <c r="J416" s="65"/>
      <c r="K416" s="65"/>
      <c r="L416" s="65"/>
      <c r="M416" s="65"/>
      <c r="N416" s="65"/>
      <c r="O416" s="65"/>
      <c r="P416" s="14"/>
      <c r="Q416" s="14"/>
      <c r="R416" s="14"/>
      <c r="S416" s="14"/>
      <c r="T416" s="14"/>
      <c r="U416" s="14"/>
      <c r="V416" s="14"/>
      <c r="W416" s="14"/>
      <c r="X416" s="14"/>
      <c r="Y416" s="14"/>
      <c r="Z416" s="14"/>
      <c r="AA416" s="14"/>
    </row>
    <row r="417">
      <c r="A417" s="65"/>
      <c r="B417" s="65"/>
      <c r="C417" s="14"/>
      <c r="D417" s="14"/>
      <c r="E417" s="14"/>
      <c r="F417" s="65"/>
      <c r="G417" s="65"/>
      <c r="H417" s="65"/>
      <c r="I417" s="65"/>
      <c r="J417" s="65"/>
      <c r="K417" s="65"/>
      <c r="L417" s="65"/>
      <c r="M417" s="65"/>
      <c r="N417" s="65"/>
      <c r="O417" s="65"/>
      <c r="P417" s="14"/>
      <c r="Q417" s="14"/>
      <c r="R417" s="14"/>
      <c r="S417" s="14"/>
      <c r="T417" s="14"/>
      <c r="U417" s="14"/>
      <c r="V417" s="14"/>
      <c r="W417" s="14"/>
      <c r="X417" s="14"/>
      <c r="Y417" s="14"/>
      <c r="Z417" s="14"/>
      <c r="AA417" s="14"/>
    </row>
    <row r="418">
      <c r="A418" s="65"/>
      <c r="B418" s="65"/>
      <c r="C418" s="14"/>
      <c r="D418" s="14"/>
      <c r="E418" s="14"/>
      <c r="F418" s="65"/>
      <c r="G418" s="65"/>
      <c r="H418" s="65"/>
      <c r="I418" s="65"/>
      <c r="J418" s="65"/>
      <c r="K418" s="65"/>
      <c r="L418" s="65"/>
      <c r="M418" s="65"/>
      <c r="N418" s="65"/>
      <c r="O418" s="65"/>
      <c r="P418" s="14"/>
      <c r="Q418" s="14"/>
      <c r="R418" s="14"/>
      <c r="S418" s="14"/>
      <c r="T418" s="14"/>
      <c r="U418" s="14"/>
      <c r="V418" s="14"/>
      <c r="W418" s="14"/>
      <c r="X418" s="14"/>
      <c r="Y418" s="14"/>
      <c r="Z418" s="14"/>
      <c r="AA418" s="14"/>
    </row>
    <row r="419">
      <c r="A419" s="65"/>
      <c r="B419" s="65"/>
      <c r="C419" s="14"/>
      <c r="D419" s="14"/>
      <c r="E419" s="14"/>
      <c r="F419" s="65"/>
      <c r="G419" s="65"/>
      <c r="H419" s="65"/>
      <c r="I419" s="65"/>
      <c r="J419" s="65"/>
      <c r="K419" s="65"/>
      <c r="L419" s="65"/>
      <c r="M419" s="65"/>
      <c r="N419" s="65"/>
      <c r="O419" s="65"/>
      <c r="P419" s="14"/>
      <c r="Q419" s="14"/>
      <c r="R419" s="14"/>
      <c r="S419" s="14"/>
      <c r="T419" s="14"/>
      <c r="U419" s="14"/>
      <c r="V419" s="14"/>
      <c r="W419" s="14"/>
      <c r="X419" s="14"/>
      <c r="Y419" s="14"/>
      <c r="Z419" s="14"/>
      <c r="AA419" s="14"/>
    </row>
    <row r="420">
      <c r="A420" s="65"/>
      <c r="B420" s="65"/>
      <c r="C420" s="14"/>
      <c r="D420" s="14"/>
      <c r="E420" s="14"/>
      <c r="F420" s="65"/>
      <c r="G420" s="65"/>
      <c r="H420" s="65"/>
      <c r="I420" s="65"/>
      <c r="J420" s="65"/>
      <c r="K420" s="65"/>
      <c r="L420" s="65"/>
      <c r="M420" s="65"/>
      <c r="N420" s="65"/>
      <c r="O420" s="65"/>
      <c r="P420" s="14"/>
      <c r="Q420" s="14"/>
      <c r="R420" s="14"/>
      <c r="S420" s="14"/>
      <c r="T420" s="14"/>
      <c r="U420" s="14"/>
      <c r="V420" s="14"/>
      <c r="W420" s="14"/>
      <c r="X420" s="14"/>
      <c r="Y420" s="14"/>
      <c r="Z420" s="14"/>
      <c r="AA420" s="14"/>
    </row>
    <row r="421">
      <c r="A421" s="65"/>
      <c r="B421" s="65"/>
      <c r="C421" s="14"/>
      <c r="D421" s="14"/>
      <c r="E421" s="14"/>
      <c r="F421" s="65"/>
      <c r="G421" s="65"/>
      <c r="H421" s="65"/>
      <c r="I421" s="65"/>
      <c r="J421" s="65"/>
      <c r="K421" s="65"/>
      <c r="L421" s="65"/>
      <c r="M421" s="65"/>
      <c r="N421" s="65"/>
      <c r="O421" s="65"/>
      <c r="P421" s="14"/>
      <c r="Q421" s="14"/>
      <c r="R421" s="14"/>
      <c r="S421" s="14"/>
      <c r="T421" s="14"/>
      <c r="U421" s="14"/>
      <c r="V421" s="14"/>
      <c r="W421" s="14"/>
      <c r="X421" s="14"/>
      <c r="Y421" s="14"/>
      <c r="Z421" s="14"/>
      <c r="AA421" s="14"/>
    </row>
    <row r="422">
      <c r="A422" s="65"/>
      <c r="B422" s="65"/>
      <c r="C422" s="14"/>
      <c r="D422" s="14"/>
      <c r="E422" s="14"/>
      <c r="F422" s="65"/>
      <c r="G422" s="65"/>
      <c r="H422" s="65"/>
      <c r="I422" s="65"/>
      <c r="J422" s="65"/>
      <c r="K422" s="65"/>
      <c r="L422" s="65"/>
      <c r="M422" s="65"/>
      <c r="N422" s="65"/>
      <c r="O422" s="65"/>
      <c r="P422" s="14"/>
      <c r="Q422" s="14"/>
      <c r="R422" s="14"/>
      <c r="S422" s="14"/>
      <c r="T422" s="14"/>
      <c r="U422" s="14"/>
      <c r="V422" s="14"/>
      <c r="W422" s="14"/>
      <c r="X422" s="14"/>
      <c r="Y422" s="14"/>
      <c r="Z422" s="14"/>
      <c r="AA422" s="14"/>
    </row>
    <row r="423">
      <c r="A423" s="65"/>
      <c r="B423" s="65"/>
      <c r="C423" s="14"/>
      <c r="D423" s="14"/>
      <c r="E423" s="14"/>
      <c r="F423" s="65"/>
      <c r="G423" s="65"/>
      <c r="H423" s="65"/>
      <c r="I423" s="65"/>
      <c r="J423" s="65"/>
      <c r="K423" s="65"/>
      <c r="L423" s="65"/>
      <c r="M423" s="65"/>
      <c r="N423" s="65"/>
      <c r="O423" s="65"/>
      <c r="P423" s="14"/>
      <c r="Q423" s="14"/>
      <c r="R423" s="14"/>
      <c r="S423" s="14"/>
      <c r="T423" s="14"/>
      <c r="U423" s="14"/>
      <c r="V423" s="14"/>
      <c r="W423" s="14"/>
      <c r="X423" s="14"/>
      <c r="Y423" s="14"/>
      <c r="Z423" s="14"/>
      <c r="AA423" s="14"/>
    </row>
    <row r="424">
      <c r="A424" s="65"/>
      <c r="B424" s="65"/>
      <c r="C424" s="14"/>
      <c r="D424" s="14"/>
      <c r="E424" s="14"/>
      <c r="F424" s="65"/>
      <c r="G424" s="65"/>
      <c r="H424" s="65"/>
      <c r="I424" s="65"/>
      <c r="J424" s="65"/>
      <c r="K424" s="65"/>
      <c r="L424" s="65"/>
      <c r="M424" s="65"/>
      <c r="N424" s="65"/>
      <c r="O424" s="65"/>
      <c r="P424" s="14"/>
      <c r="Q424" s="14"/>
      <c r="R424" s="14"/>
      <c r="S424" s="14"/>
      <c r="T424" s="14"/>
      <c r="U424" s="14"/>
      <c r="V424" s="14"/>
      <c r="W424" s="14"/>
      <c r="X424" s="14"/>
      <c r="Y424" s="14"/>
      <c r="Z424" s="14"/>
      <c r="AA424" s="14"/>
    </row>
    <row r="425">
      <c r="A425" s="65"/>
      <c r="B425" s="65"/>
      <c r="C425" s="14"/>
      <c r="D425" s="14"/>
      <c r="E425" s="14"/>
      <c r="F425" s="65"/>
      <c r="G425" s="65"/>
      <c r="H425" s="65"/>
      <c r="I425" s="65"/>
      <c r="J425" s="65"/>
      <c r="K425" s="65"/>
      <c r="L425" s="65"/>
      <c r="M425" s="65"/>
      <c r="N425" s="65"/>
      <c r="O425" s="65"/>
      <c r="P425" s="14"/>
      <c r="Q425" s="14"/>
      <c r="R425" s="14"/>
      <c r="S425" s="14"/>
      <c r="T425" s="14"/>
      <c r="U425" s="14"/>
      <c r="V425" s="14"/>
      <c r="W425" s="14"/>
      <c r="X425" s="14"/>
      <c r="Y425" s="14"/>
      <c r="Z425" s="14"/>
      <c r="AA425" s="14"/>
    </row>
    <row r="426">
      <c r="A426" s="65"/>
      <c r="B426" s="65"/>
      <c r="C426" s="14"/>
      <c r="D426" s="14"/>
      <c r="E426" s="14"/>
      <c r="F426" s="65"/>
      <c r="G426" s="65"/>
      <c r="H426" s="65"/>
      <c r="I426" s="65"/>
      <c r="J426" s="65"/>
      <c r="K426" s="65"/>
      <c r="L426" s="65"/>
      <c r="M426" s="65"/>
      <c r="N426" s="65"/>
      <c r="O426" s="65"/>
      <c r="P426" s="14"/>
      <c r="Q426" s="14"/>
      <c r="R426" s="14"/>
      <c r="S426" s="14"/>
      <c r="T426" s="14"/>
      <c r="U426" s="14"/>
      <c r="V426" s="14"/>
      <c r="W426" s="14"/>
      <c r="X426" s="14"/>
      <c r="Y426" s="14"/>
      <c r="Z426" s="14"/>
      <c r="AA426" s="14"/>
    </row>
    <row r="427">
      <c r="A427" s="65"/>
      <c r="B427" s="65"/>
      <c r="C427" s="14"/>
      <c r="D427" s="14"/>
      <c r="E427" s="14"/>
      <c r="F427" s="65"/>
      <c r="G427" s="65"/>
      <c r="H427" s="65"/>
      <c r="I427" s="65"/>
      <c r="J427" s="65"/>
      <c r="K427" s="65"/>
      <c r="L427" s="65"/>
      <c r="M427" s="65"/>
      <c r="N427" s="65"/>
      <c r="O427" s="65"/>
      <c r="P427" s="14"/>
      <c r="Q427" s="14"/>
      <c r="R427" s="14"/>
      <c r="S427" s="14"/>
      <c r="T427" s="14"/>
      <c r="U427" s="14"/>
      <c r="V427" s="14"/>
      <c r="W427" s="14"/>
      <c r="X427" s="14"/>
      <c r="Y427" s="14"/>
      <c r="Z427" s="14"/>
      <c r="AA427" s="14"/>
    </row>
    <row r="428">
      <c r="A428" s="65"/>
      <c r="B428" s="65"/>
      <c r="C428" s="14"/>
      <c r="D428" s="14"/>
      <c r="E428" s="14"/>
      <c r="F428" s="65"/>
      <c r="G428" s="65"/>
      <c r="H428" s="65"/>
      <c r="I428" s="65"/>
      <c r="J428" s="65"/>
      <c r="K428" s="65"/>
      <c r="L428" s="65"/>
      <c r="M428" s="65"/>
      <c r="N428" s="65"/>
      <c r="O428" s="65"/>
      <c r="P428" s="14"/>
      <c r="Q428" s="14"/>
      <c r="R428" s="14"/>
      <c r="S428" s="14"/>
      <c r="T428" s="14"/>
      <c r="U428" s="14"/>
      <c r="V428" s="14"/>
      <c r="W428" s="14"/>
      <c r="X428" s="14"/>
      <c r="Y428" s="14"/>
      <c r="Z428" s="14"/>
      <c r="AA428" s="14"/>
    </row>
    <row r="429">
      <c r="A429" s="65"/>
      <c r="B429" s="65"/>
      <c r="C429" s="14"/>
      <c r="D429" s="14"/>
      <c r="E429" s="14"/>
      <c r="F429" s="65"/>
      <c r="G429" s="65"/>
      <c r="H429" s="65"/>
      <c r="I429" s="65"/>
      <c r="J429" s="65"/>
      <c r="K429" s="65"/>
      <c r="L429" s="65"/>
      <c r="M429" s="65"/>
      <c r="N429" s="65"/>
      <c r="O429" s="65"/>
      <c r="P429" s="14"/>
      <c r="Q429" s="14"/>
      <c r="R429" s="14"/>
      <c r="S429" s="14"/>
      <c r="T429" s="14"/>
      <c r="U429" s="14"/>
      <c r="V429" s="14"/>
      <c r="W429" s="14"/>
      <c r="X429" s="14"/>
      <c r="Y429" s="14"/>
      <c r="Z429" s="14"/>
      <c r="AA429" s="14"/>
    </row>
    <row r="430">
      <c r="A430" s="65"/>
      <c r="B430" s="65"/>
      <c r="C430" s="14"/>
      <c r="D430" s="14"/>
      <c r="E430" s="14"/>
      <c r="F430" s="65"/>
      <c r="G430" s="65"/>
      <c r="H430" s="65"/>
      <c r="I430" s="65"/>
      <c r="J430" s="65"/>
      <c r="K430" s="65"/>
      <c r="L430" s="65"/>
      <c r="M430" s="65"/>
      <c r="N430" s="65"/>
      <c r="O430" s="65"/>
      <c r="P430" s="14"/>
      <c r="Q430" s="14"/>
      <c r="R430" s="14"/>
      <c r="S430" s="14"/>
      <c r="T430" s="14"/>
      <c r="U430" s="14"/>
      <c r="V430" s="14"/>
      <c r="W430" s="14"/>
      <c r="X430" s="14"/>
      <c r="Y430" s="14"/>
      <c r="Z430" s="14"/>
      <c r="AA430" s="14"/>
    </row>
    <row r="431">
      <c r="A431" s="65"/>
      <c r="B431" s="65"/>
      <c r="C431" s="14"/>
      <c r="D431" s="14"/>
      <c r="E431" s="14"/>
      <c r="F431" s="65"/>
      <c r="G431" s="65"/>
      <c r="H431" s="65"/>
      <c r="I431" s="65"/>
      <c r="J431" s="65"/>
      <c r="K431" s="65"/>
      <c r="L431" s="65"/>
      <c r="M431" s="65"/>
      <c r="N431" s="65"/>
      <c r="O431" s="65"/>
      <c r="P431" s="14"/>
      <c r="Q431" s="14"/>
      <c r="R431" s="14"/>
      <c r="S431" s="14"/>
      <c r="T431" s="14"/>
      <c r="U431" s="14"/>
      <c r="V431" s="14"/>
      <c r="W431" s="14"/>
      <c r="X431" s="14"/>
      <c r="Y431" s="14"/>
      <c r="Z431" s="14"/>
      <c r="AA431" s="14"/>
    </row>
    <row r="432">
      <c r="A432" s="65"/>
      <c r="B432" s="65"/>
      <c r="C432" s="14"/>
      <c r="D432" s="14"/>
      <c r="E432" s="14"/>
      <c r="F432" s="65"/>
      <c r="G432" s="65"/>
      <c r="H432" s="65"/>
      <c r="I432" s="65"/>
      <c r="J432" s="65"/>
      <c r="K432" s="65"/>
      <c r="L432" s="65"/>
      <c r="M432" s="65"/>
      <c r="N432" s="65"/>
      <c r="O432" s="65"/>
      <c r="P432" s="14"/>
      <c r="Q432" s="14"/>
      <c r="R432" s="14"/>
      <c r="S432" s="14"/>
      <c r="T432" s="14"/>
      <c r="U432" s="14"/>
      <c r="V432" s="14"/>
      <c r="W432" s="14"/>
      <c r="X432" s="14"/>
      <c r="Y432" s="14"/>
      <c r="Z432" s="14"/>
      <c r="AA432" s="14"/>
    </row>
    <row r="433">
      <c r="A433" s="65"/>
      <c r="B433" s="65"/>
      <c r="C433" s="14"/>
      <c r="D433" s="14"/>
      <c r="E433" s="14"/>
      <c r="F433" s="65"/>
      <c r="G433" s="65"/>
      <c r="H433" s="65"/>
      <c r="I433" s="65"/>
      <c r="J433" s="65"/>
      <c r="K433" s="65"/>
      <c r="L433" s="65"/>
      <c r="M433" s="65"/>
      <c r="N433" s="65"/>
      <c r="O433" s="65"/>
      <c r="P433" s="14"/>
      <c r="Q433" s="14"/>
      <c r="R433" s="14"/>
      <c r="S433" s="14"/>
      <c r="T433" s="14"/>
      <c r="U433" s="14"/>
      <c r="V433" s="14"/>
      <c r="W433" s="14"/>
      <c r="X433" s="14"/>
      <c r="Y433" s="14"/>
      <c r="Z433" s="14"/>
      <c r="AA433" s="14"/>
    </row>
    <row r="434">
      <c r="A434" s="65"/>
      <c r="B434" s="65"/>
      <c r="C434" s="14"/>
      <c r="D434" s="14"/>
      <c r="E434" s="14"/>
      <c r="F434" s="65"/>
      <c r="G434" s="65"/>
      <c r="H434" s="65"/>
      <c r="I434" s="65"/>
      <c r="J434" s="65"/>
      <c r="K434" s="65"/>
      <c r="L434" s="65"/>
      <c r="M434" s="65"/>
      <c r="N434" s="65"/>
      <c r="O434" s="65"/>
      <c r="P434" s="14"/>
      <c r="Q434" s="14"/>
      <c r="R434" s="14"/>
      <c r="S434" s="14"/>
      <c r="T434" s="14"/>
      <c r="U434" s="14"/>
      <c r="V434" s="14"/>
      <c r="W434" s="14"/>
      <c r="X434" s="14"/>
      <c r="Y434" s="14"/>
      <c r="Z434" s="14"/>
      <c r="AA434" s="14"/>
    </row>
    <row r="435">
      <c r="A435" s="65"/>
      <c r="B435" s="65"/>
      <c r="C435" s="14"/>
      <c r="D435" s="14"/>
      <c r="E435" s="14"/>
      <c r="F435" s="65"/>
      <c r="G435" s="65"/>
      <c r="H435" s="65"/>
      <c r="I435" s="65"/>
      <c r="J435" s="65"/>
      <c r="K435" s="65"/>
      <c r="L435" s="65"/>
      <c r="M435" s="65"/>
      <c r="N435" s="65"/>
      <c r="O435" s="65"/>
      <c r="P435" s="14"/>
      <c r="Q435" s="14"/>
      <c r="R435" s="14"/>
      <c r="S435" s="14"/>
      <c r="T435" s="14"/>
      <c r="U435" s="14"/>
      <c r="V435" s="14"/>
      <c r="W435" s="14"/>
      <c r="X435" s="14"/>
      <c r="Y435" s="14"/>
      <c r="Z435" s="14"/>
      <c r="AA435" s="14"/>
    </row>
    <row r="436">
      <c r="A436" s="65"/>
      <c r="B436" s="65"/>
      <c r="C436" s="14"/>
      <c r="D436" s="14"/>
      <c r="E436" s="14"/>
      <c r="F436" s="65"/>
      <c r="G436" s="65"/>
      <c r="H436" s="65"/>
      <c r="I436" s="65"/>
      <c r="J436" s="65"/>
      <c r="K436" s="65"/>
      <c r="L436" s="65"/>
      <c r="M436" s="65"/>
      <c r="N436" s="65"/>
      <c r="O436" s="65"/>
      <c r="P436" s="14"/>
      <c r="Q436" s="14"/>
      <c r="R436" s="14"/>
      <c r="S436" s="14"/>
      <c r="T436" s="14"/>
      <c r="U436" s="14"/>
      <c r="V436" s="14"/>
      <c r="W436" s="14"/>
      <c r="X436" s="14"/>
      <c r="Y436" s="14"/>
      <c r="Z436" s="14"/>
      <c r="AA436" s="14"/>
    </row>
    <row r="437">
      <c r="A437" s="65"/>
      <c r="B437" s="65"/>
      <c r="C437" s="14"/>
      <c r="D437" s="14"/>
      <c r="E437" s="14"/>
      <c r="F437" s="65"/>
      <c r="G437" s="65"/>
      <c r="H437" s="65"/>
      <c r="I437" s="65"/>
      <c r="J437" s="65"/>
      <c r="K437" s="65"/>
      <c r="L437" s="65"/>
      <c r="M437" s="65"/>
      <c r="N437" s="65"/>
      <c r="O437" s="65"/>
      <c r="P437" s="14"/>
      <c r="Q437" s="14"/>
      <c r="R437" s="14"/>
      <c r="S437" s="14"/>
      <c r="T437" s="14"/>
      <c r="U437" s="14"/>
      <c r="V437" s="14"/>
      <c r="W437" s="14"/>
      <c r="X437" s="14"/>
      <c r="Y437" s="14"/>
      <c r="Z437" s="14"/>
      <c r="AA437" s="14"/>
    </row>
    <row r="438">
      <c r="A438" s="65"/>
      <c r="B438" s="65"/>
      <c r="C438" s="14"/>
      <c r="D438" s="14"/>
      <c r="E438" s="14"/>
      <c r="F438" s="65"/>
      <c r="G438" s="65"/>
      <c r="H438" s="65"/>
      <c r="I438" s="65"/>
      <c r="J438" s="65"/>
      <c r="K438" s="65"/>
      <c r="L438" s="65"/>
      <c r="M438" s="65"/>
      <c r="N438" s="65"/>
      <c r="O438" s="65"/>
      <c r="P438" s="14"/>
      <c r="Q438" s="14"/>
      <c r="R438" s="14"/>
      <c r="S438" s="14"/>
      <c r="T438" s="14"/>
      <c r="U438" s="14"/>
      <c r="V438" s="14"/>
      <c r="W438" s="14"/>
      <c r="X438" s="14"/>
      <c r="Y438" s="14"/>
      <c r="Z438" s="14"/>
      <c r="AA438" s="14"/>
    </row>
    <row r="439">
      <c r="A439" s="65"/>
      <c r="B439" s="65"/>
      <c r="C439" s="14"/>
      <c r="D439" s="14"/>
      <c r="E439" s="14"/>
      <c r="F439" s="65"/>
      <c r="G439" s="65"/>
      <c r="H439" s="65"/>
      <c r="I439" s="65"/>
      <c r="J439" s="65"/>
      <c r="K439" s="65"/>
      <c r="L439" s="65"/>
      <c r="M439" s="65"/>
      <c r="N439" s="65"/>
      <c r="O439" s="65"/>
      <c r="P439" s="14"/>
      <c r="Q439" s="14"/>
      <c r="R439" s="14"/>
      <c r="S439" s="14"/>
      <c r="T439" s="14"/>
      <c r="U439" s="14"/>
      <c r="V439" s="14"/>
      <c r="W439" s="14"/>
      <c r="X439" s="14"/>
      <c r="Y439" s="14"/>
      <c r="Z439" s="14"/>
      <c r="AA439" s="14"/>
    </row>
    <row r="440">
      <c r="A440" s="65"/>
      <c r="B440" s="65"/>
      <c r="C440" s="14"/>
      <c r="D440" s="14"/>
      <c r="E440" s="14"/>
      <c r="F440" s="65"/>
      <c r="G440" s="65"/>
      <c r="H440" s="65"/>
      <c r="I440" s="65"/>
      <c r="J440" s="65"/>
      <c r="K440" s="65"/>
      <c r="L440" s="65"/>
      <c r="M440" s="65"/>
      <c r="N440" s="65"/>
      <c r="O440" s="65"/>
      <c r="P440" s="14"/>
      <c r="Q440" s="14"/>
      <c r="R440" s="14"/>
      <c r="S440" s="14"/>
      <c r="T440" s="14"/>
      <c r="U440" s="14"/>
      <c r="V440" s="14"/>
      <c r="W440" s="14"/>
      <c r="X440" s="14"/>
      <c r="Y440" s="14"/>
      <c r="Z440" s="14"/>
      <c r="AA440" s="14"/>
    </row>
    <row r="441">
      <c r="A441" s="65"/>
      <c r="B441" s="65"/>
      <c r="C441" s="14"/>
      <c r="D441" s="14"/>
      <c r="E441" s="14"/>
      <c r="F441" s="65"/>
      <c r="G441" s="65"/>
      <c r="H441" s="65"/>
      <c r="I441" s="65"/>
      <c r="J441" s="65"/>
      <c r="K441" s="65"/>
      <c r="L441" s="65"/>
      <c r="M441" s="65"/>
      <c r="N441" s="65"/>
      <c r="O441" s="65"/>
      <c r="P441" s="14"/>
      <c r="Q441" s="14"/>
      <c r="R441" s="14"/>
      <c r="S441" s="14"/>
      <c r="T441" s="14"/>
      <c r="U441" s="14"/>
      <c r="V441" s="14"/>
      <c r="W441" s="14"/>
      <c r="X441" s="14"/>
      <c r="Y441" s="14"/>
      <c r="Z441" s="14"/>
      <c r="AA441" s="14"/>
    </row>
    <row r="442">
      <c r="A442" s="65"/>
      <c r="B442" s="65"/>
      <c r="C442" s="14"/>
      <c r="D442" s="14"/>
      <c r="E442" s="14"/>
      <c r="F442" s="65"/>
      <c r="G442" s="65"/>
      <c r="H442" s="65"/>
      <c r="I442" s="65"/>
      <c r="J442" s="65"/>
      <c r="K442" s="65"/>
      <c r="L442" s="65"/>
      <c r="M442" s="65"/>
      <c r="N442" s="65"/>
      <c r="O442" s="65"/>
      <c r="P442" s="14"/>
      <c r="Q442" s="14"/>
      <c r="R442" s="14"/>
      <c r="S442" s="14"/>
      <c r="T442" s="14"/>
      <c r="U442" s="14"/>
      <c r="V442" s="14"/>
      <c r="W442" s="14"/>
      <c r="X442" s="14"/>
      <c r="Y442" s="14"/>
      <c r="Z442" s="14"/>
      <c r="AA442" s="14"/>
    </row>
    <row r="443">
      <c r="A443" s="65"/>
      <c r="B443" s="65"/>
      <c r="C443" s="14"/>
      <c r="D443" s="14"/>
      <c r="E443" s="14"/>
      <c r="F443" s="65"/>
      <c r="G443" s="65"/>
      <c r="H443" s="65"/>
      <c r="I443" s="65"/>
      <c r="J443" s="65"/>
      <c r="K443" s="65"/>
      <c r="L443" s="65"/>
      <c r="M443" s="65"/>
      <c r="N443" s="65"/>
      <c r="O443" s="65"/>
      <c r="P443" s="14"/>
      <c r="Q443" s="14"/>
      <c r="R443" s="14"/>
      <c r="S443" s="14"/>
      <c r="T443" s="14"/>
      <c r="U443" s="14"/>
      <c r="V443" s="14"/>
      <c r="W443" s="14"/>
      <c r="X443" s="14"/>
      <c r="Y443" s="14"/>
      <c r="Z443" s="14"/>
      <c r="AA443" s="14"/>
    </row>
    <row r="444">
      <c r="A444" s="65"/>
      <c r="B444" s="65"/>
      <c r="C444" s="14"/>
      <c r="D444" s="14"/>
      <c r="E444" s="14"/>
      <c r="F444" s="65"/>
      <c r="G444" s="65"/>
      <c r="H444" s="65"/>
      <c r="I444" s="65"/>
      <c r="J444" s="65"/>
      <c r="K444" s="65"/>
      <c r="L444" s="65"/>
      <c r="M444" s="65"/>
      <c r="N444" s="65"/>
      <c r="O444" s="65"/>
      <c r="P444" s="14"/>
      <c r="Q444" s="14"/>
      <c r="R444" s="14"/>
      <c r="S444" s="14"/>
      <c r="T444" s="14"/>
      <c r="U444" s="14"/>
      <c r="V444" s="14"/>
      <c r="W444" s="14"/>
      <c r="X444" s="14"/>
      <c r="Y444" s="14"/>
      <c r="Z444" s="14"/>
      <c r="AA444" s="14"/>
    </row>
    <row r="445">
      <c r="A445" s="65"/>
      <c r="B445" s="65"/>
      <c r="C445" s="14"/>
      <c r="D445" s="14"/>
      <c r="E445" s="14"/>
      <c r="F445" s="65"/>
      <c r="G445" s="65"/>
      <c r="H445" s="65"/>
      <c r="I445" s="65"/>
      <c r="J445" s="65"/>
      <c r="K445" s="65"/>
      <c r="L445" s="65"/>
      <c r="M445" s="65"/>
      <c r="N445" s="65"/>
      <c r="O445" s="65"/>
      <c r="P445" s="14"/>
      <c r="Q445" s="14"/>
      <c r="R445" s="14"/>
      <c r="S445" s="14"/>
      <c r="T445" s="14"/>
      <c r="U445" s="14"/>
      <c r="V445" s="14"/>
      <c r="W445" s="14"/>
      <c r="X445" s="14"/>
      <c r="Y445" s="14"/>
      <c r="Z445" s="14"/>
      <c r="AA445" s="14"/>
    </row>
    <row r="446">
      <c r="A446" s="65"/>
      <c r="B446" s="65"/>
      <c r="C446" s="14"/>
      <c r="D446" s="14"/>
      <c r="E446" s="14"/>
      <c r="F446" s="65"/>
      <c r="G446" s="65"/>
      <c r="H446" s="65"/>
      <c r="I446" s="65"/>
      <c r="J446" s="65"/>
      <c r="K446" s="65"/>
      <c r="L446" s="65"/>
      <c r="M446" s="65"/>
      <c r="N446" s="65"/>
      <c r="O446" s="65"/>
      <c r="P446" s="14"/>
      <c r="Q446" s="14"/>
      <c r="R446" s="14"/>
      <c r="S446" s="14"/>
      <c r="T446" s="14"/>
      <c r="U446" s="14"/>
      <c r="V446" s="14"/>
      <c r="W446" s="14"/>
      <c r="X446" s="14"/>
      <c r="Y446" s="14"/>
      <c r="Z446" s="14"/>
      <c r="AA446" s="14"/>
    </row>
    <row r="447">
      <c r="A447" s="65"/>
      <c r="B447" s="65"/>
      <c r="C447" s="14"/>
      <c r="D447" s="14"/>
      <c r="E447" s="14"/>
      <c r="F447" s="65"/>
      <c r="G447" s="65"/>
      <c r="H447" s="65"/>
      <c r="I447" s="65"/>
      <c r="J447" s="65"/>
      <c r="K447" s="65"/>
      <c r="L447" s="65"/>
      <c r="M447" s="65"/>
      <c r="N447" s="65"/>
      <c r="O447" s="65"/>
      <c r="P447" s="14"/>
      <c r="Q447" s="14"/>
      <c r="R447" s="14"/>
      <c r="S447" s="14"/>
      <c r="T447" s="14"/>
      <c r="U447" s="14"/>
      <c r="V447" s="14"/>
      <c r="W447" s="14"/>
      <c r="X447" s="14"/>
      <c r="Y447" s="14"/>
      <c r="Z447" s="14"/>
      <c r="AA447" s="14"/>
    </row>
    <row r="448">
      <c r="A448" s="65"/>
      <c r="B448" s="65"/>
      <c r="C448" s="14"/>
      <c r="D448" s="14"/>
      <c r="E448" s="14"/>
      <c r="F448" s="65"/>
      <c r="G448" s="65"/>
      <c r="H448" s="65"/>
      <c r="I448" s="65"/>
      <c r="J448" s="65"/>
      <c r="K448" s="65"/>
      <c r="L448" s="65"/>
      <c r="M448" s="65"/>
      <c r="N448" s="65"/>
      <c r="O448" s="65"/>
      <c r="P448" s="14"/>
      <c r="Q448" s="14"/>
      <c r="R448" s="14"/>
      <c r="S448" s="14"/>
      <c r="T448" s="14"/>
      <c r="U448" s="14"/>
      <c r="V448" s="14"/>
      <c r="W448" s="14"/>
      <c r="X448" s="14"/>
      <c r="Y448" s="14"/>
      <c r="Z448" s="14"/>
      <c r="AA448" s="14"/>
    </row>
    <row r="449">
      <c r="A449" s="65"/>
      <c r="B449" s="65"/>
      <c r="C449" s="14"/>
      <c r="D449" s="14"/>
      <c r="E449" s="14"/>
      <c r="F449" s="65"/>
      <c r="G449" s="65"/>
      <c r="H449" s="65"/>
      <c r="I449" s="65"/>
      <c r="J449" s="65"/>
      <c r="K449" s="65"/>
      <c r="L449" s="65"/>
      <c r="M449" s="65"/>
      <c r="N449" s="65"/>
      <c r="O449" s="65"/>
      <c r="P449" s="14"/>
      <c r="Q449" s="14"/>
      <c r="R449" s="14"/>
      <c r="S449" s="14"/>
      <c r="T449" s="14"/>
      <c r="U449" s="14"/>
      <c r="V449" s="14"/>
      <c r="W449" s="14"/>
      <c r="X449" s="14"/>
      <c r="Y449" s="14"/>
      <c r="Z449" s="14"/>
      <c r="AA449" s="14"/>
    </row>
    <row r="450">
      <c r="A450" s="65"/>
      <c r="B450" s="65"/>
      <c r="C450" s="14"/>
      <c r="D450" s="14"/>
      <c r="E450" s="14"/>
      <c r="F450" s="65"/>
      <c r="G450" s="65"/>
      <c r="H450" s="65"/>
      <c r="I450" s="65"/>
      <c r="J450" s="65"/>
      <c r="K450" s="65"/>
      <c r="L450" s="65"/>
      <c r="M450" s="65"/>
      <c r="N450" s="65"/>
      <c r="O450" s="65"/>
      <c r="P450" s="14"/>
      <c r="Q450" s="14"/>
      <c r="R450" s="14"/>
      <c r="S450" s="14"/>
      <c r="T450" s="14"/>
      <c r="U450" s="14"/>
      <c r="V450" s="14"/>
      <c r="W450" s="14"/>
      <c r="X450" s="14"/>
      <c r="Y450" s="14"/>
      <c r="Z450" s="14"/>
      <c r="AA450" s="14"/>
    </row>
    <row r="451">
      <c r="A451" s="65"/>
      <c r="B451" s="65"/>
      <c r="C451" s="14"/>
      <c r="D451" s="14"/>
      <c r="E451" s="14"/>
      <c r="F451" s="65"/>
      <c r="G451" s="65"/>
      <c r="H451" s="65"/>
      <c r="I451" s="65"/>
      <c r="J451" s="65"/>
      <c r="K451" s="65"/>
      <c r="L451" s="65"/>
      <c r="M451" s="65"/>
      <c r="N451" s="65"/>
      <c r="O451" s="65"/>
      <c r="P451" s="14"/>
      <c r="Q451" s="14"/>
      <c r="R451" s="14"/>
      <c r="S451" s="14"/>
      <c r="T451" s="14"/>
      <c r="U451" s="14"/>
      <c r="V451" s="14"/>
      <c r="W451" s="14"/>
      <c r="X451" s="14"/>
      <c r="Y451" s="14"/>
      <c r="Z451" s="14"/>
      <c r="AA451" s="14"/>
    </row>
    <row r="452">
      <c r="A452" s="65"/>
      <c r="B452" s="65"/>
      <c r="C452" s="14"/>
      <c r="D452" s="14"/>
      <c r="E452" s="14"/>
      <c r="F452" s="65"/>
      <c r="G452" s="65"/>
      <c r="H452" s="65"/>
      <c r="I452" s="65"/>
      <c r="J452" s="65"/>
      <c r="K452" s="65"/>
      <c r="L452" s="65"/>
      <c r="M452" s="65"/>
      <c r="N452" s="65"/>
      <c r="O452" s="65"/>
      <c r="P452" s="14"/>
      <c r="Q452" s="14"/>
      <c r="R452" s="14"/>
      <c r="S452" s="14"/>
      <c r="T452" s="14"/>
      <c r="U452" s="14"/>
      <c r="V452" s="14"/>
      <c r="W452" s="14"/>
      <c r="X452" s="14"/>
      <c r="Y452" s="14"/>
      <c r="Z452" s="14"/>
      <c r="AA452" s="14"/>
    </row>
    <row r="453">
      <c r="A453" s="65"/>
      <c r="B453" s="65"/>
      <c r="C453" s="14"/>
      <c r="D453" s="14"/>
      <c r="E453" s="14"/>
      <c r="F453" s="65"/>
      <c r="G453" s="65"/>
      <c r="H453" s="65"/>
      <c r="I453" s="65"/>
      <c r="J453" s="65"/>
      <c r="K453" s="65"/>
      <c r="L453" s="65"/>
      <c r="M453" s="65"/>
      <c r="N453" s="65"/>
      <c r="O453" s="65"/>
      <c r="P453" s="14"/>
      <c r="Q453" s="14"/>
      <c r="R453" s="14"/>
      <c r="S453" s="14"/>
      <c r="T453" s="14"/>
      <c r="U453" s="14"/>
      <c r="V453" s="14"/>
      <c r="W453" s="14"/>
      <c r="X453" s="14"/>
      <c r="Y453" s="14"/>
      <c r="Z453" s="14"/>
      <c r="AA453" s="14"/>
    </row>
    <row r="454">
      <c r="A454" s="65"/>
      <c r="B454" s="65"/>
      <c r="C454" s="14"/>
      <c r="D454" s="14"/>
      <c r="E454" s="14"/>
      <c r="F454" s="65"/>
      <c r="G454" s="65"/>
      <c r="H454" s="65"/>
      <c r="I454" s="65"/>
      <c r="J454" s="65"/>
      <c r="K454" s="65"/>
      <c r="L454" s="65"/>
      <c r="M454" s="65"/>
      <c r="N454" s="65"/>
      <c r="O454" s="65"/>
      <c r="P454" s="14"/>
      <c r="Q454" s="14"/>
      <c r="R454" s="14"/>
      <c r="S454" s="14"/>
      <c r="T454" s="14"/>
      <c r="U454" s="14"/>
      <c r="V454" s="14"/>
      <c r="W454" s="14"/>
      <c r="X454" s="14"/>
      <c r="Y454" s="14"/>
      <c r="Z454" s="14"/>
      <c r="AA454" s="14"/>
    </row>
    <row r="455">
      <c r="A455" s="65"/>
      <c r="B455" s="65"/>
      <c r="C455" s="14"/>
      <c r="D455" s="14"/>
      <c r="E455" s="14"/>
      <c r="F455" s="65"/>
      <c r="G455" s="65"/>
      <c r="H455" s="65"/>
      <c r="I455" s="65"/>
      <c r="J455" s="65"/>
      <c r="K455" s="65"/>
      <c r="L455" s="65"/>
      <c r="M455" s="65"/>
      <c r="N455" s="65"/>
      <c r="O455" s="65"/>
      <c r="P455" s="14"/>
      <c r="Q455" s="14"/>
      <c r="R455" s="14"/>
      <c r="S455" s="14"/>
      <c r="T455" s="14"/>
      <c r="U455" s="14"/>
      <c r="V455" s="14"/>
      <c r="W455" s="14"/>
      <c r="X455" s="14"/>
      <c r="Y455" s="14"/>
      <c r="Z455" s="14"/>
      <c r="AA455" s="14"/>
    </row>
    <row r="456">
      <c r="A456" s="65"/>
      <c r="B456" s="65"/>
      <c r="C456" s="14"/>
      <c r="D456" s="14"/>
      <c r="E456" s="14"/>
      <c r="F456" s="65"/>
      <c r="G456" s="65"/>
      <c r="H456" s="65"/>
      <c r="I456" s="65"/>
      <c r="J456" s="65"/>
      <c r="K456" s="65"/>
      <c r="L456" s="65"/>
      <c r="M456" s="65"/>
      <c r="N456" s="65"/>
      <c r="O456" s="65"/>
      <c r="P456" s="14"/>
      <c r="Q456" s="14"/>
      <c r="R456" s="14"/>
      <c r="S456" s="14"/>
      <c r="T456" s="14"/>
      <c r="U456" s="14"/>
      <c r="V456" s="14"/>
      <c r="W456" s="14"/>
      <c r="X456" s="14"/>
      <c r="Y456" s="14"/>
      <c r="Z456" s="14"/>
      <c r="AA456" s="14"/>
    </row>
    <row r="457">
      <c r="A457" s="65"/>
      <c r="B457" s="65"/>
      <c r="C457" s="14"/>
      <c r="D457" s="14"/>
      <c r="E457" s="14"/>
      <c r="F457" s="65"/>
      <c r="G457" s="65"/>
      <c r="H457" s="65"/>
      <c r="I457" s="65"/>
      <c r="J457" s="65"/>
      <c r="K457" s="65"/>
      <c r="L457" s="65"/>
      <c r="M457" s="65"/>
      <c r="N457" s="65"/>
      <c r="O457" s="65"/>
      <c r="P457" s="14"/>
      <c r="Q457" s="14"/>
      <c r="R457" s="14"/>
      <c r="S457" s="14"/>
      <c r="T457" s="14"/>
      <c r="U457" s="14"/>
      <c r="V457" s="14"/>
      <c r="W457" s="14"/>
      <c r="X457" s="14"/>
      <c r="Y457" s="14"/>
      <c r="Z457" s="14"/>
      <c r="AA457" s="14"/>
    </row>
    <row r="458">
      <c r="A458" s="65"/>
      <c r="B458" s="65"/>
      <c r="C458" s="14"/>
      <c r="D458" s="14"/>
      <c r="E458" s="14"/>
      <c r="F458" s="65"/>
      <c r="G458" s="65"/>
      <c r="H458" s="65"/>
      <c r="I458" s="65"/>
      <c r="J458" s="65"/>
      <c r="K458" s="65"/>
      <c r="L458" s="65"/>
      <c r="M458" s="65"/>
      <c r="N458" s="65"/>
      <c r="O458" s="65"/>
      <c r="P458" s="14"/>
      <c r="Q458" s="14"/>
      <c r="R458" s="14"/>
      <c r="S458" s="14"/>
      <c r="T458" s="14"/>
      <c r="U458" s="14"/>
      <c r="V458" s="14"/>
      <c r="W458" s="14"/>
      <c r="X458" s="14"/>
      <c r="Y458" s="14"/>
      <c r="Z458" s="14"/>
      <c r="AA458" s="14"/>
    </row>
    <row r="459">
      <c r="A459" s="65"/>
      <c r="B459" s="65"/>
      <c r="C459" s="14"/>
      <c r="D459" s="14"/>
      <c r="E459" s="14"/>
      <c r="F459" s="65"/>
      <c r="G459" s="65"/>
      <c r="H459" s="65"/>
      <c r="I459" s="65"/>
      <c r="J459" s="65"/>
      <c r="K459" s="65"/>
      <c r="L459" s="65"/>
      <c r="M459" s="65"/>
      <c r="N459" s="65"/>
      <c r="O459" s="65"/>
      <c r="P459" s="14"/>
      <c r="Q459" s="14"/>
      <c r="R459" s="14"/>
      <c r="S459" s="14"/>
      <c r="T459" s="14"/>
      <c r="U459" s="14"/>
      <c r="V459" s="14"/>
      <c r="W459" s="14"/>
      <c r="X459" s="14"/>
      <c r="Y459" s="14"/>
      <c r="Z459" s="14"/>
      <c r="AA459" s="14"/>
    </row>
    <row r="460">
      <c r="A460" s="65"/>
      <c r="B460" s="65"/>
      <c r="C460" s="14"/>
      <c r="D460" s="14"/>
      <c r="E460" s="14"/>
      <c r="F460" s="65"/>
      <c r="G460" s="65"/>
      <c r="H460" s="65"/>
      <c r="I460" s="65"/>
      <c r="J460" s="65"/>
      <c r="K460" s="65"/>
      <c r="L460" s="65"/>
      <c r="M460" s="65"/>
      <c r="N460" s="65"/>
      <c r="O460" s="65"/>
      <c r="P460" s="14"/>
      <c r="Q460" s="14"/>
      <c r="R460" s="14"/>
      <c r="S460" s="14"/>
      <c r="T460" s="14"/>
      <c r="U460" s="14"/>
      <c r="V460" s="14"/>
      <c r="W460" s="14"/>
      <c r="X460" s="14"/>
      <c r="Y460" s="14"/>
      <c r="Z460" s="14"/>
      <c r="AA460" s="14"/>
    </row>
    <row r="461">
      <c r="A461" s="65"/>
      <c r="B461" s="65"/>
      <c r="C461" s="14"/>
      <c r="D461" s="14"/>
      <c r="E461" s="14"/>
      <c r="F461" s="65"/>
      <c r="G461" s="65"/>
      <c r="H461" s="65"/>
      <c r="I461" s="65"/>
      <c r="J461" s="65"/>
      <c r="K461" s="65"/>
      <c r="L461" s="65"/>
      <c r="M461" s="65"/>
      <c r="N461" s="65"/>
      <c r="O461" s="65"/>
      <c r="P461" s="14"/>
      <c r="Q461" s="14"/>
      <c r="R461" s="14"/>
      <c r="S461" s="14"/>
      <c r="T461" s="14"/>
      <c r="U461" s="14"/>
      <c r="V461" s="14"/>
      <c r="W461" s="14"/>
      <c r="X461" s="14"/>
      <c r="Y461" s="14"/>
      <c r="Z461" s="14"/>
      <c r="AA461" s="14"/>
    </row>
    <row r="462">
      <c r="A462" s="65"/>
      <c r="B462" s="65"/>
      <c r="C462" s="14"/>
      <c r="D462" s="14"/>
      <c r="E462" s="14"/>
      <c r="F462" s="65"/>
      <c r="G462" s="65"/>
      <c r="H462" s="65"/>
      <c r="I462" s="65"/>
      <c r="J462" s="65"/>
      <c r="K462" s="65"/>
      <c r="L462" s="65"/>
      <c r="M462" s="65"/>
      <c r="N462" s="65"/>
      <c r="O462" s="65"/>
      <c r="P462" s="14"/>
      <c r="Q462" s="14"/>
      <c r="R462" s="14"/>
      <c r="S462" s="14"/>
      <c r="T462" s="14"/>
      <c r="U462" s="14"/>
      <c r="V462" s="14"/>
      <c r="W462" s="14"/>
      <c r="X462" s="14"/>
      <c r="Y462" s="14"/>
      <c r="Z462" s="14"/>
      <c r="AA462" s="14"/>
    </row>
    <row r="463">
      <c r="A463" s="65"/>
      <c r="B463" s="65"/>
      <c r="C463" s="14"/>
      <c r="D463" s="14"/>
      <c r="E463" s="14"/>
      <c r="F463" s="65"/>
      <c r="G463" s="65"/>
      <c r="H463" s="65"/>
      <c r="I463" s="65"/>
      <c r="J463" s="65"/>
      <c r="K463" s="65"/>
      <c r="L463" s="65"/>
      <c r="M463" s="65"/>
      <c r="N463" s="65"/>
      <c r="O463" s="65"/>
      <c r="P463" s="14"/>
      <c r="Q463" s="14"/>
      <c r="R463" s="14"/>
      <c r="S463" s="14"/>
      <c r="T463" s="14"/>
      <c r="U463" s="14"/>
      <c r="V463" s="14"/>
      <c r="W463" s="14"/>
      <c r="X463" s="14"/>
      <c r="Y463" s="14"/>
      <c r="Z463" s="14"/>
      <c r="AA463" s="14"/>
    </row>
    <row r="464">
      <c r="A464" s="65"/>
      <c r="B464" s="65"/>
      <c r="C464" s="14"/>
      <c r="D464" s="14"/>
      <c r="E464" s="14"/>
      <c r="F464" s="65"/>
      <c r="G464" s="65"/>
      <c r="H464" s="65"/>
      <c r="I464" s="65"/>
      <c r="J464" s="65"/>
      <c r="K464" s="65"/>
      <c r="L464" s="65"/>
      <c r="M464" s="65"/>
      <c r="N464" s="65"/>
      <c r="O464" s="65"/>
      <c r="P464" s="14"/>
      <c r="Q464" s="14"/>
      <c r="R464" s="14"/>
      <c r="S464" s="14"/>
      <c r="T464" s="14"/>
      <c r="U464" s="14"/>
      <c r="V464" s="14"/>
      <c r="W464" s="14"/>
      <c r="X464" s="14"/>
      <c r="Y464" s="14"/>
      <c r="Z464" s="14"/>
      <c r="AA464" s="14"/>
    </row>
    <row r="465">
      <c r="A465" s="65"/>
      <c r="B465" s="65"/>
      <c r="C465" s="14"/>
      <c r="D465" s="14"/>
      <c r="E465" s="14"/>
      <c r="F465" s="65"/>
      <c r="G465" s="65"/>
      <c r="H465" s="65"/>
      <c r="I465" s="65"/>
      <c r="J465" s="65"/>
      <c r="K465" s="65"/>
      <c r="L465" s="65"/>
      <c r="M465" s="65"/>
      <c r="N465" s="65"/>
      <c r="O465" s="65"/>
      <c r="P465" s="14"/>
      <c r="Q465" s="14"/>
      <c r="R465" s="14"/>
      <c r="S465" s="14"/>
      <c r="T465" s="14"/>
      <c r="U465" s="14"/>
      <c r="V465" s="14"/>
      <c r="W465" s="14"/>
      <c r="X465" s="14"/>
      <c r="Y465" s="14"/>
      <c r="Z465" s="14"/>
      <c r="AA465" s="14"/>
    </row>
    <row r="466">
      <c r="A466" s="65"/>
      <c r="B466" s="65"/>
      <c r="C466" s="14"/>
      <c r="D466" s="14"/>
      <c r="E466" s="14"/>
      <c r="F466" s="65"/>
      <c r="G466" s="65"/>
      <c r="H466" s="65"/>
      <c r="I466" s="65"/>
      <c r="J466" s="65"/>
      <c r="K466" s="65"/>
      <c r="L466" s="65"/>
      <c r="M466" s="65"/>
      <c r="N466" s="65"/>
      <c r="O466" s="65"/>
      <c r="P466" s="14"/>
      <c r="Q466" s="14"/>
      <c r="R466" s="14"/>
      <c r="S466" s="14"/>
      <c r="T466" s="14"/>
      <c r="U466" s="14"/>
      <c r="V466" s="14"/>
      <c r="W466" s="14"/>
      <c r="X466" s="14"/>
      <c r="Y466" s="14"/>
      <c r="Z466" s="14"/>
      <c r="AA466" s="14"/>
    </row>
    <row r="467">
      <c r="A467" s="65"/>
      <c r="B467" s="65"/>
      <c r="C467" s="14"/>
      <c r="D467" s="14"/>
      <c r="E467" s="14"/>
      <c r="F467" s="65"/>
      <c r="G467" s="65"/>
      <c r="H467" s="65"/>
      <c r="I467" s="65"/>
      <c r="J467" s="65"/>
      <c r="K467" s="65"/>
      <c r="L467" s="65"/>
      <c r="M467" s="65"/>
      <c r="N467" s="65"/>
      <c r="O467" s="65"/>
      <c r="P467" s="14"/>
      <c r="Q467" s="14"/>
      <c r="R467" s="14"/>
      <c r="S467" s="14"/>
      <c r="T467" s="14"/>
      <c r="U467" s="14"/>
      <c r="V467" s="14"/>
      <c r="W467" s="14"/>
      <c r="X467" s="14"/>
      <c r="Y467" s="14"/>
      <c r="Z467" s="14"/>
      <c r="AA467" s="14"/>
    </row>
    <row r="468">
      <c r="A468" s="65"/>
      <c r="B468" s="65"/>
      <c r="C468" s="14"/>
      <c r="D468" s="14"/>
      <c r="E468" s="14"/>
      <c r="F468" s="65"/>
      <c r="G468" s="65"/>
      <c r="H468" s="65"/>
      <c r="I468" s="65"/>
      <c r="J468" s="65"/>
      <c r="K468" s="65"/>
      <c r="L468" s="65"/>
      <c r="M468" s="65"/>
      <c r="N468" s="65"/>
      <c r="O468" s="65"/>
      <c r="P468" s="14"/>
      <c r="Q468" s="14"/>
      <c r="R468" s="14"/>
      <c r="S468" s="14"/>
      <c r="T468" s="14"/>
      <c r="U468" s="14"/>
      <c r="V468" s="14"/>
      <c r="W468" s="14"/>
      <c r="X468" s="14"/>
      <c r="Y468" s="14"/>
      <c r="Z468" s="14"/>
      <c r="AA468" s="14"/>
    </row>
    <row r="469">
      <c r="A469" s="65"/>
      <c r="B469" s="65"/>
      <c r="C469" s="14"/>
      <c r="D469" s="14"/>
      <c r="E469" s="14"/>
      <c r="F469" s="65"/>
      <c r="G469" s="65"/>
      <c r="H469" s="65"/>
      <c r="I469" s="65"/>
      <c r="J469" s="65"/>
      <c r="K469" s="65"/>
      <c r="L469" s="65"/>
      <c r="M469" s="65"/>
      <c r="N469" s="65"/>
      <c r="O469" s="65"/>
      <c r="P469" s="14"/>
      <c r="Q469" s="14"/>
      <c r="R469" s="14"/>
      <c r="S469" s="14"/>
      <c r="T469" s="14"/>
      <c r="U469" s="14"/>
      <c r="V469" s="14"/>
      <c r="W469" s="14"/>
      <c r="X469" s="14"/>
      <c r="Y469" s="14"/>
      <c r="Z469" s="14"/>
      <c r="AA469" s="14"/>
    </row>
    <row r="470">
      <c r="A470" s="65"/>
      <c r="B470" s="65"/>
      <c r="C470" s="14"/>
      <c r="D470" s="14"/>
      <c r="E470" s="14"/>
      <c r="F470" s="65"/>
      <c r="G470" s="65"/>
      <c r="H470" s="65"/>
      <c r="I470" s="65"/>
      <c r="J470" s="65"/>
      <c r="K470" s="65"/>
      <c r="L470" s="65"/>
      <c r="M470" s="65"/>
      <c r="N470" s="65"/>
      <c r="O470" s="65"/>
      <c r="P470" s="14"/>
      <c r="Q470" s="14"/>
      <c r="R470" s="14"/>
      <c r="S470" s="14"/>
      <c r="T470" s="14"/>
      <c r="U470" s="14"/>
      <c r="V470" s="14"/>
      <c r="W470" s="14"/>
      <c r="X470" s="14"/>
      <c r="Y470" s="14"/>
      <c r="Z470" s="14"/>
      <c r="AA470" s="14"/>
    </row>
    <row r="471">
      <c r="A471" s="65"/>
      <c r="B471" s="65"/>
      <c r="C471" s="14"/>
      <c r="D471" s="14"/>
      <c r="E471" s="14"/>
      <c r="F471" s="65"/>
      <c r="G471" s="65"/>
      <c r="H471" s="65"/>
      <c r="I471" s="65"/>
      <c r="J471" s="65"/>
      <c r="K471" s="65"/>
      <c r="L471" s="65"/>
      <c r="M471" s="65"/>
      <c r="N471" s="65"/>
      <c r="O471" s="65"/>
      <c r="P471" s="14"/>
      <c r="Q471" s="14"/>
      <c r="R471" s="14"/>
      <c r="S471" s="14"/>
      <c r="T471" s="14"/>
      <c r="U471" s="14"/>
      <c r="V471" s="14"/>
      <c r="W471" s="14"/>
      <c r="X471" s="14"/>
      <c r="Y471" s="14"/>
      <c r="Z471" s="14"/>
      <c r="AA471" s="14"/>
    </row>
    <row r="472">
      <c r="A472" s="65"/>
      <c r="B472" s="65"/>
      <c r="C472" s="14"/>
      <c r="D472" s="14"/>
      <c r="E472" s="14"/>
      <c r="F472" s="65"/>
      <c r="G472" s="65"/>
      <c r="H472" s="65"/>
      <c r="I472" s="65"/>
      <c r="J472" s="65"/>
      <c r="K472" s="65"/>
      <c r="L472" s="65"/>
      <c r="M472" s="65"/>
      <c r="N472" s="65"/>
      <c r="O472" s="65"/>
      <c r="P472" s="14"/>
      <c r="Q472" s="14"/>
      <c r="R472" s="14"/>
      <c r="S472" s="14"/>
      <c r="T472" s="14"/>
      <c r="U472" s="14"/>
      <c r="V472" s="14"/>
      <c r="W472" s="14"/>
      <c r="X472" s="14"/>
      <c r="Y472" s="14"/>
      <c r="Z472" s="14"/>
      <c r="AA472" s="14"/>
    </row>
    <row r="473">
      <c r="A473" s="65"/>
      <c r="B473" s="65"/>
      <c r="C473" s="14"/>
      <c r="D473" s="14"/>
      <c r="E473" s="14"/>
      <c r="F473" s="65"/>
      <c r="G473" s="65"/>
      <c r="H473" s="65"/>
      <c r="I473" s="65"/>
      <c r="J473" s="65"/>
      <c r="K473" s="65"/>
      <c r="L473" s="65"/>
      <c r="M473" s="65"/>
      <c r="N473" s="65"/>
      <c r="O473" s="65"/>
      <c r="P473" s="14"/>
      <c r="Q473" s="14"/>
      <c r="R473" s="14"/>
      <c r="S473" s="14"/>
      <c r="T473" s="14"/>
      <c r="U473" s="14"/>
      <c r="V473" s="14"/>
      <c r="W473" s="14"/>
      <c r="X473" s="14"/>
      <c r="Y473" s="14"/>
      <c r="Z473" s="14"/>
      <c r="AA473" s="14"/>
    </row>
    <row r="474">
      <c r="A474" s="65"/>
      <c r="B474" s="65"/>
      <c r="C474" s="14"/>
      <c r="D474" s="14"/>
      <c r="E474" s="14"/>
      <c r="F474" s="65"/>
      <c r="G474" s="65"/>
      <c r="H474" s="65"/>
      <c r="I474" s="65"/>
      <c r="J474" s="65"/>
      <c r="K474" s="65"/>
      <c r="L474" s="65"/>
      <c r="M474" s="65"/>
      <c r="N474" s="65"/>
      <c r="O474" s="65"/>
      <c r="P474" s="14"/>
      <c r="Q474" s="14"/>
      <c r="R474" s="14"/>
      <c r="S474" s="14"/>
      <c r="T474" s="14"/>
      <c r="U474" s="14"/>
      <c r="V474" s="14"/>
      <c r="W474" s="14"/>
      <c r="X474" s="14"/>
      <c r="Y474" s="14"/>
      <c r="Z474" s="14"/>
      <c r="AA474" s="14"/>
    </row>
    <row r="475">
      <c r="A475" s="65"/>
      <c r="B475" s="65"/>
      <c r="C475" s="14"/>
      <c r="D475" s="14"/>
      <c r="E475" s="14"/>
      <c r="F475" s="65"/>
      <c r="G475" s="65"/>
      <c r="H475" s="65"/>
      <c r="I475" s="65"/>
      <c r="J475" s="65"/>
      <c r="K475" s="65"/>
      <c r="L475" s="65"/>
      <c r="M475" s="65"/>
      <c r="N475" s="65"/>
      <c r="O475" s="65"/>
      <c r="P475" s="14"/>
      <c r="Q475" s="14"/>
      <c r="R475" s="14"/>
      <c r="S475" s="14"/>
      <c r="T475" s="14"/>
      <c r="U475" s="14"/>
      <c r="V475" s="14"/>
      <c r="W475" s="14"/>
      <c r="X475" s="14"/>
      <c r="Y475" s="14"/>
      <c r="Z475" s="14"/>
      <c r="AA475" s="14"/>
    </row>
    <row r="476">
      <c r="A476" s="65"/>
      <c r="B476" s="65"/>
      <c r="C476" s="14"/>
      <c r="D476" s="14"/>
      <c r="E476" s="14"/>
      <c r="F476" s="65"/>
      <c r="G476" s="65"/>
      <c r="H476" s="65"/>
      <c r="I476" s="65"/>
      <c r="J476" s="65"/>
      <c r="K476" s="65"/>
      <c r="L476" s="65"/>
      <c r="M476" s="65"/>
      <c r="N476" s="65"/>
      <c r="O476" s="65"/>
      <c r="P476" s="14"/>
      <c r="Q476" s="14"/>
      <c r="R476" s="14"/>
      <c r="S476" s="14"/>
      <c r="T476" s="14"/>
      <c r="U476" s="14"/>
      <c r="V476" s="14"/>
      <c r="W476" s="14"/>
      <c r="X476" s="14"/>
      <c r="Y476" s="14"/>
      <c r="Z476" s="14"/>
      <c r="AA476" s="14"/>
    </row>
    <row r="477">
      <c r="A477" s="65"/>
      <c r="B477" s="65"/>
      <c r="C477" s="14"/>
      <c r="D477" s="14"/>
      <c r="E477" s="14"/>
      <c r="F477" s="65"/>
      <c r="G477" s="65"/>
      <c r="H477" s="65"/>
      <c r="I477" s="65"/>
      <c r="J477" s="65"/>
      <c r="K477" s="65"/>
      <c r="L477" s="65"/>
      <c r="M477" s="65"/>
      <c r="N477" s="65"/>
      <c r="O477" s="65"/>
      <c r="P477" s="14"/>
      <c r="Q477" s="14"/>
      <c r="R477" s="14"/>
      <c r="S477" s="14"/>
      <c r="T477" s="14"/>
      <c r="U477" s="14"/>
      <c r="V477" s="14"/>
      <c r="W477" s="14"/>
      <c r="X477" s="14"/>
      <c r="Y477" s="14"/>
      <c r="Z477" s="14"/>
      <c r="AA477" s="14"/>
    </row>
    <row r="478">
      <c r="A478" s="65"/>
      <c r="B478" s="65"/>
      <c r="C478" s="14"/>
      <c r="D478" s="14"/>
      <c r="E478" s="14"/>
      <c r="F478" s="65"/>
      <c r="G478" s="65"/>
      <c r="H478" s="65"/>
      <c r="I478" s="65"/>
      <c r="J478" s="65"/>
      <c r="K478" s="65"/>
      <c r="L478" s="65"/>
      <c r="M478" s="65"/>
      <c r="N478" s="65"/>
      <c r="O478" s="65"/>
      <c r="P478" s="14"/>
      <c r="Q478" s="14"/>
      <c r="R478" s="14"/>
      <c r="S478" s="14"/>
      <c r="T478" s="14"/>
      <c r="U478" s="14"/>
      <c r="V478" s="14"/>
      <c r="W478" s="14"/>
      <c r="X478" s="14"/>
      <c r="Y478" s="14"/>
      <c r="Z478" s="14"/>
      <c r="AA478" s="14"/>
    </row>
    <row r="479">
      <c r="A479" s="65"/>
      <c r="B479" s="65"/>
      <c r="C479" s="14"/>
      <c r="D479" s="14"/>
      <c r="E479" s="14"/>
      <c r="F479" s="65"/>
      <c r="G479" s="65"/>
      <c r="H479" s="65"/>
      <c r="I479" s="65"/>
      <c r="J479" s="65"/>
      <c r="K479" s="65"/>
      <c r="L479" s="65"/>
      <c r="M479" s="65"/>
      <c r="N479" s="65"/>
      <c r="O479" s="65"/>
      <c r="P479" s="14"/>
      <c r="Q479" s="14"/>
      <c r="R479" s="14"/>
      <c r="S479" s="14"/>
      <c r="T479" s="14"/>
      <c r="U479" s="14"/>
      <c r="V479" s="14"/>
      <c r="W479" s="14"/>
      <c r="X479" s="14"/>
      <c r="Y479" s="14"/>
      <c r="Z479" s="14"/>
      <c r="AA479" s="14"/>
    </row>
    <row r="480">
      <c r="A480" s="65"/>
      <c r="B480" s="65"/>
      <c r="C480" s="14"/>
      <c r="D480" s="14"/>
      <c r="E480" s="14"/>
      <c r="F480" s="65"/>
      <c r="G480" s="65"/>
      <c r="H480" s="65"/>
      <c r="I480" s="65"/>
      <c r="J480" s="65"/>
      <c r="K480" s="65"/>
      <c r="L480" s="65"/>
      <c r="M480" s="65"/>
      <c r="N480" s="65"/>
      <c r="O480" s="65"/>
      <c r="P480" s="14"/>
      <c r="Q480" s="14"/>
      <c r="R480" s="14"/>
      <c r="S480" s="14"/>
      <c r="T480" s="14"/>
      <c r="U480" s="14"/>
      <c r="V480" s="14"/>
      <c r="W480" s="14"/>
      <c r="X480" s="14"/>
      <c r="Y480" s="14"/>
      <c r="Z480" s="14"/>
      <c r="AA480" s="14"/>
    </row>
    <row r="481">
      <c r="A481" s="65"/>
      <c r="B481" s="65"/>
      <c r="C481" s="14"/>
      <c r="D481" s="14"/>
      <c r="E481" s="14"/>
      <c r="F481" s="65"/>
      <c r="G481" s="65"/>
      <c r="H481" s="65"/>
      <c r="I481" s="65"/>
      <c r="J481" s="65"/>
      <c r="K481" s="65"/>
      <c r="L481" s="65"/>
      <c r="M481" s="65"/>
      <c r="N481" s="65"/>
      <c r="O481" s="65"/>
      <c r="P481" s="14"/>
      <c r="Q481" s="14"/>
      <c r="R481" s="14"/>
      <c r="S481" s="14"/>
      <c r="T481" s="14"/>
      <c r="U481" s="14"/>
      <c r="V481" s="14"/>
      <c r="W481" s="14"/>
      <c r="X481" s="14"/>
      <c r="Y481" s="14"/>
      <c r="Z481" s="14"/>
      <c r="AA481" s="14"/>
    </row>
    <row r="482">
      <c r="A482" s="65"/>
      <c r="B482" s="65"/>
      <c r="C482" s="14"/>
      <c r="D482" s="14"/>
      <c r="E482" s="14"/>
      <c r="F482" s="65"/>
      <c r="G482" s="65"/>
      <c r="H482" s="65"/>
      <c r="I482" s="65"/>
      <c r="J482" s="65"/>
      <c r="K482" s="65"/>
      <c r="L482" s="65"/>
      <c r="M482" s="65"/>
      <c r="N482" s="65"/>
      <c r="O482" s="65"/>
      <c r="P482" s="14"/>
      <c r="Q482" s="14"/>
      <c r="R482" s="14"/>
      <c r="S482" s="14"/>
      <c r="T482" s="14"/>
      <c r="U482" s="14"/>
      <c r="V482" s="14"/>
      <c r="W482" s="14"/>
      <c r="X482" s="14"/>
      <c r="Y482" s="14"/>
      <c r="Z482" s="14"/>
      <c r="AA482" s="14"/>
    </row>
    <row r="483">
      <c r="A483" s="65"/>
      <c r="B483" s="65"/>
      <c r="C483" s="14"/>
      <c r="D483" s="14"/>
      <c r="E483" s="14"/>
      <c r="F483" s="65"/>
      <c r="G483" s="65"/>
      <c r="H483" s="65"/>
      <c r="I483" s="65"/>
      <c r="J483" s="65"/>
      <c r="K483" s="65"/>
      <c r="L483" s="65"/>
      <c r="M483" s="65"/>
      <c r="N483" s="65"/>
      <c r="O483" s="65"/>
      <c r="P483" s="14"/>
      <c r="Q483" s="14"/>
      <c r="R483" s="14"/>
      <c r="S483" s="14"/>
      <c r="T483" s="14"/>
      <c r="U483" s="14"/>
      <c r="V483" s="14"/>
      <c r="W483" s="14"/>
      <c r="X483" s="14"/>
      <c r="Y483" s="14"/>
      <c r="Z483" s="14"/>
      <c r="AA483" s="14"/>
    </row>
    <row r="484">
      <c r="A484" s="65"/>
      <c r="B484" s="65"/>
      <c r="C484" s="14"/>
      <c r="D484" s="14"/>
      <c r="E484" s="14"/>
      <c r="F484" s="65"/>
      <c r="G484" s="65"/>
      <c r="H484" s="65"/>
      <c r="I484" s="65"/>
      <c r="J484" s="65"/>
      <c r="K484" s="65"/>
      <c r="L484" s="65"/>
      <c r="M484" s="65"/>
      <c r="N484" s="65"/>
      <c r="O484" s="65"/>
      <c r="P484" s="14"/>
      <c r="Q484" s="14"/>
      <c r="R484" s="14"/>
      <c r="S484" s="14"/>
      <c r="T484" s="14"/>
      <c r="U484" s="14"/>
      <c r="V484" s="14"/>
      <c r="W484" s="14"/>
      <c r="X484" s="14"/>
      <c r="Y484" s="14"/>
      <c r="Z484" s="14"/>
      <c r="AA484" s="14"/>
    </row>
    <row r="485">
      <c r="A485" s="65"/>
      <c r="B485" s="65"/>
      <c r="C485" s="14"/>
      <c r="D485" s="14"/>
      <c r="E485" s="14"/>
      <c r="F485" s="65"/>
      <c r="G485" s="65"/>
      <c r="H485" s="65"/>
      <c r="I485" s="65"/>
      <c r="J485" s="65"/>
      <c r="K485" s="65"/>
      <c r="L485" s="65"/>
      <c r="M485" s="65"/>
      <c r="N485" s="65"/>
      <c r="O485" s="65"/>
      <c r="P485" s="14"/>
      <c r="Q485" s="14"/>
      <c r="R485" s="14"/>
      <c r="S485" s="14"/>
      <c r="T485" s="14"/>
      <c r="U485" s="14"/>
      <c r="V485" s="14"/>
      <c r="W485" s="14"/>
      <c r="X485" s="14"/>
      <c r="Y485" s="14"/>
      <c r="Z485" s="14"/>
      <c r="AA485" s="14"/>
    </row>
    <row r="486">
      <c r="A486" s="65"/>
      <c r="B486" s="65"/>
      <c r="C486" s="14"/>
      <c r="D486" s="14"/>
      <c r="E486" s="14"/>
      <c r="F486" s="65"/>
      <c r="G486" s="65"/>
      <c r="H486" s="65"/>
      <c r="I486" s="65"/>
      <c r="J486" s="65"/>
      <c r="K486" s="65"/>
      <c r="L486" s="65"/>
      <c r="M486" s="65"/>
      <c r="N486" s="65"/>
      <c r="O486" s="65"/>
      <c r="P486" s="14"/>
      <c r="Q486" s="14"/>
      <c r="R486" s="14"/>
      <c r="S486" s="14"/>
      <c r="T486" s="14"/>
      <c r="U486" s="14"/>
      <c r="V486" s="14"/>
      <c r="W486" s="14"/>
      <c r="X486" s="14"/>
      <c r="Y486" s="14"/>
      <c r="Z486" s="14"/>
      <c r="AA486" s="14"/>
    </row>
    <row r="487">
      <c r="A487" s="65"/>
      <c r="B487" s="65"/>
      <c r="C487" s="14"/>
      <c r="D487" s="14"/>
      <c r="E487" s="14"/>
      <c r="F487" s="65"/>
      <c r="G487" s="65"/>
      <c r="H487" s="65"/>
      <c r="I487" s="65"/>
      <c r="J487" s="65"/>
      <c r="K487" s="65"/>
      <c r="L487" s="65"/>
      <c r="M487" s="65"/>
      <c r="N487" s="65"/>
      <c r="O487" s="65"/>
      <c r="P487" s="14"/>
      <c r="Q487" s="14"/>
      <c r="R487" s="14"/>
      <c r="S487" s="14"/>
      <c r="T487" s="14"/>
      <c r="U487" s="14"/>
      <c r="V487" s="14"/>
      <c r="W487" s="14"/>
      <c r="X487" s="14"/>
      <c r="Y487" s="14"/>
      <c r="Z487" s="14"/>
      <c r="AA487" s="14"/>
    </row>
    <row r="488">
      <c r="A488" s="65"/>
      <c r="B488" s="65"/>
      <c r="C488" s="14"/>
      <c r="D488" s="14"/>
      <c r="E488" s="14"/>
      <c r="F488" s="65"/>
      <c r="G488" s="65"/>
      <c r="H488" s="65"/>
      <c r="I488" s="65"/>
      <c r="J488" s="65"/>
      <c r="K488" s="65"/>
      <c r="L488" s="65"/>
      <c r="M488" s="65"/>
      <c r="N488" s="65"/>
      <c r="O488" s="65"/>
      <c r="P488" s="14"/>
      <c r="Q488" s="14"/>
      <c r="R488" s="14"/>
      <c r="S488" s="14"/>
      <c r="T488" s="14"/>
      <c r="U488" s="14"/>
      <c r="V488" s="14"/>
      <c r="W488" s="14"/>
      <c r="X488" s="14"/>
      <c r="Y488" s="14"/>
      <c r="Z488" s="14"/>
      <c r="AA488" s="14"/>
    </row>
    <row r="489">
      <c r="A489" s="65"/>
      <c r="B489" s="65"/>
      <c r="C489" s="14"/>
      <c r="D489" s="14"/>
      <c r="E489" s="14"/>
      <c r="F489" s="65"/>
      <c r="G489" s="65"/>
      <c r="H489" s="65"/>
      <c r="I489" s="65"/>
      <c r="J489" s="65"/>
      <c r="K489" s="65"/>
      <c r="L489" s="65"/>
      <c r="M489" s="65"/>
      <c r="N489" s="65"/>
      <c r="O489" s="65"/>
      <c r="P489" s="14"/>
      <c r="Q489" s="14"/>
      <c r="R489" s="14"/>
      <c r="S489" s="14"/>
      <c r="T489" s="14"/>
      <c r="U489" s="14"/>
      <c r="V489" s="14"/>
      <c r="W489" s="14"/>
      <c r="X489" s="14"/>
      <c r="Y489" s="14"/>
      <c r="Z489" s="14"/>
      <c r="AA489" s="14"/>
    </row>
    <row r="490">
      <c r="A490" s="65"/>
      <c r="B490" s="65"/>
      <c r="C490" s="14"/>
      <c r="D490" s="14"/>
      <c r="E490" s="14"/>
      <c r="F490" s="65"/>
      <c r="G490" s="65"/>
      <c r="H490" s="65"/>
      <c r="I490" s="65"/>
      <c r="J490" s="65"/>
      <c r="K490" s="65"/>
      <c r="L490" s="65"/>
      <c r="M490" s="65"/>
      <c r="N490" s="65"/>
      <c r="O490" s="65"/>
      <c r="P490" s="14"/>
      <c r="Q490" s="14"/>
      <c r="R490" s="14"/>
      <c r="S490" s="14"/>
      <c r="T490" s="14"/>
      <c r="U490" s="14"/>
      <c r="V490" s="14"/>
      <c r="W490" s="14"/>
      <c r="X490" s="14"/>
      <c r="Y490" s="14"/>
      <c r="Z490" s="14"/>
      <c r="AA490" s="14"/>
    </row>
    <row r="491">
      <c r="A491" s="65"/>
      <c r="B491" s="65"/>
      <c r="C491" s="14"/>
      <c r="D491" s="14"/>
      <c r="E491" s="14"/>
      <c r="F491" s="65"/>
      <c r="G491" s="65"/>
      <c r="H491" s="65"/>
      <c r="I491" s="65"/>
      <c r="J491" s="65"/>
      <c r="K491" s="65"/>
      <c r="L491" s="65"/>
      <c r="M491" s="65"/>
      <c r="N491" s="65"/>
      <c r="O491" s="65"/>
      <c r="P491" s="14"/>
      <c r="Q491" s="14"/>
      <c r="R491" s="14"/>
      <c r="S491" s="14"/>
      <c r="T491" s="14"/>
      <c r="U491" s="14"/>
      <c r="V491" s="14"/>
      <c r="W491" s="14"/>
      <c r="X491" s="14"/>
      <c r="Y491" s="14"/>
      <c r="Z491" s="14"/>
      <c r="AA491" s="14"/>
    </row>
    <row r="492">
      <c r="A492" s="65"/>
      <c r="B492" s="65"/>
      <c r="C492" s="14"/>
      <c r="D492" s="14"/>
      <c r="E492" s="14"/>
      <c r="F492" s="65"/>
      <c r="G492" s="65"/>
      <c r="H492" s="65"/>
      <c r="I492" s="65"/>
      <c r="J492" s="65"/>
      <c r="K492" s="65"/>
      <c r="L492" s="65"/>
      <c r="M492" s="65"/>
      <c r="N492" s="65"/>
      <c r="O492" s="65"/>
      <c r="P492" s="14"/>
      <c r="Q492" s="14"/>
      <c r="R492" s="14"/>
      <c r="S492" s="14"/>
      <c r="T492" s="14"/>
      <c r="U492" s="14"/>
      <c r="V492" s="14"/>
      <c r="W492" s="14"/>
      <c r="X492" s="14"/>
      <c r="Y492" s="14"/>
      <c r="Z492" s="14"/>
      <c r="AA492" s="14"/>
    </row>
    <row r="493">
      <c r="A493" s="65"/>
      <c r="B493" s="65"/>
      <c r="C493" s="14"/>
      <c r="D493" s="14"/>
      <c r="E493" s="14"/>
      <c r="F493" s="65"/>
      <c r="G493" s="65"/>
      <c r="H493" s="65"/>
      <c r="I493" s="65"/>
      <c r="J493" s="65"/>
      <c r="K493" s="65"/>
      <c r="L493" s="65"/>
      <c r="M493" s="65"/>
      <c r="N493" s="65"/>
      <c r="O493" s="65"/>
      <c r="P493" s="14"/>
      <c r="Q493" s="14"/>
      <c r="R493" s="14"/>
      <c r="S493" s="14"/>
      <c r="T493" s="14"/>
      <c r="U493" s="14"/>
      <c r="V493" s="14"/>
      <c r="W493" s="14"/>
      <c r="X493" s="14"/>
      <c r="Y493" s="14"/>
      <c r="Z493" s="14"/>
      <c r="AA493" s="14"/>
    </row>
    <row r="494">
      <c r="A494" s="65"/>
      <c r="B494" s="65"/>
      <c r="C494" s="14"/>
      <c r="D494" s="14"/>
      <c r="E494" s="14"/>
      <c r="F494" s="65"/>
      <c r="G494" s="65"/>
      <c r="H494" s="65"/>
      <c r="I494" s="65"/>
      <c r="J494" s="65"/>
      <c r="K494" s="65"/>
      <c r="L494" s="65"/>
      <c r="M494" s="65"/>
      <c r="N494" s="65"/>
      <c r="O494" s="65"/>
      <c r="P494" s="14"/>
      <c r="Q494" s="14"/>
      <c r="R494" s="14"/>
      <c r="S494" s="14"/>
      <c r="T494" s="14"/>
      <c r="U494" s="14"/>
      <c r="V494" s="14"/>
      <c r="W494" s="14"/>
      <c r="X494" s="14"/>
      <c r="Y494" s="14"/>
      <c r="Z494" s="14"/>
      <c r="AA494" s="14"/>
    </row>
    <row r="495">
      <c r="A495" s="65"/>
      <c r="B495" s="65"/>
      <c r="C495" s="14"/>
      <c r="D495" s="14"/>
      <c r="E495" s="14"/>
      <c r="F495" s="65"/>
      <c r="G495" s="65"/>
      <c r="H495" s="65"/>
      <c r="I495" s="65"/>
      <c r="J495" s="65"/>
      <c r="K495" s="65"/>
      <c r="L495" s="65"/>
      <c r="M495" s="65"/>
      <c r="N495" s="65"/>
      <c r="O495" s="65"/>
      <c r="P495" s="14"/>
      <c r="Q495" s="14"/>
      <c r="R495" s="14"/>
      <c r="S495" s="14"/>
      <c r="T495" s="14"/>
      <c r="U495" s="14"/>
      <c r="V495" s="14"/>
      <c r="W495" s="14"/>
      <c r="X495" s="14"/>
      <c r="Y495" s="14"/>
      <c r="Z495" s="14"/>
      <c r="AA495" s="14"/>
    </row>
    <row r="496">
      <c r="A496" s="65"/>
      <c r="B496" s="65"/>
      <c r="C496" s="14"/>
      <c r="D496" s="14"/>
      <c r="E496" s="14"/>
      <c r="F496" s="65"/>
      <c r="G496" s="65"/>
      <c r="H496" s="65"/>
      <c r="I496" s="65"/>
      <c r="J496" s="65"/>
      <c r="K496" s="65"/>
      <c r="L496" s="65"/>
      <c r="M496" s="65"/>
      <c r="N496" s="65"/>
      <c r="O496" s="65"/>
      <c r="P496" s="14"/>
      <c r="Q496" s="14"/>
      <c r="R496" s="14"/>
      <c r="S496" s="14"/>
      <c r="T496" s="14"/>
      <c r="U496" s="14"/>
      <c r="V496" s="14"/>
      <c r="W496" s="14"/>
      <c r="X496" s="14"/>
      <c r="Y496" s="14"/>
      <c r="Z496" s="14"/>
      <c r="AA496" s="14"/>
    </row>
    <row r="497">
      <c r="A497" s="65"/>
      <c r="B497" s="65"/>
      <c r="C497" s="14"/>
      <c r="D497" s="14"/>
      <c r="E497" s="14"/>
      <c r="F497" s="65"/>
      <c r="G497" s="65"/>
      <c r="H497" s="65"/>
      <c r="I497" s="65"/>
      <c r="J497" s="65"/>
      <c r="K497" s="65"/>
      <c r="L497" s="65"/>
      <c r="M497" s="65"/>
      <c r="N497" s="65"/>
      <c r="O497" s="65"/>
      <c r="P497" s="14"/>
      <c r="Q497" s="14"/>
      <c r="R497" s="14"/>
      <c r="S497" s="14"/>
      <c r="T497" s="14"/>
      <c r="U497" s="14"/>
      <c r="V497" s="14"/>
      <c r="W497" s="14"/>
      <c r="X497" s="14"/>
      <c r="Y497" s="14"/>
      <c r="Z497" s="14"/>
      <c r="AA497" s="14"/>
    </row>
    <row r="498">
      <c r="A498" s="65"/>
      <c r="B498" s="65"/>
      <c r="C498" s="14"/>
      <c r="D498" s="14"/>
      <c r="E498" s="14"/>
      <c r="F498" s="65"/>
      <c r="G498" s="65"/>
      <c r="H498" s="65"/>
      <c r="I498" s="65"/>
      <c r="J498" s="65"/>
      <c r="K498" s="65"/>
      <c r="L498" s="65"/>
      <c r="M498" s="65"/>
      <c r="N498" s="65"/>
      <c r="O498" s="65"/>
      <c r="P498" s="14"/>
      <c r="Q498" s="14"/>
      <c r="R498" s="14"/>
      <c r="S498" s="14"/>
      <c r="T498" s="14"/>
      <c r="U498" s="14"/>
      <c r="V498" s="14"/>
      <c r="W498" s="14"/>
      <c r="X498" s="14"/>
      <c r="Y498" s="14"/>
      <c r="Z498" s="14"/>
      <c r="AA498" s="14"/>
    </row>
    <row r="499">
      <c r="A499" s="65"/>
      <c r="B499" s="65"/>
      <c r="C499" s="14"/>
      <c r="D499" s="14"/>
      <c r="E499" s="14"/>
      <c r="F499" s="65"/>
      <c r="G499" s="65"/>
      <c r="H499" s="65"/>
      <c r="I499" s="65"/>
      <c r="J499" s="65"/>
      <c r="K499" s="65"/>
      <c r="L499" s="65"/>
      <c r="M499" s="65"/>
      <c r="N499" s="65"/>
      <c r="O499" s="65"/>
      <c r="P499" s="14"/>
      <c r="Q499" s="14"/>
      <c r="R499" s="14"/>
      <c r="S499" s="14"/>
      <c r="T499" s="14"/>
      <c r="U499" s="14"/>
      <c r="V499" s="14"/>
      <c r="W499" s="14"/>
      <c r="X499" s="14"/>
      <c r="Y499" s="14"/>
      <c r="Z499" s="14"/>
      <c r="AA499" s="14"/>
    </row>
    <row r="500">
      <c r="A500" s="65"/>
      <c r="B500" s="65"/>
      <c r="C500" s="14"/>
      <c r="D500" s="14"/>
      <c r="E500" s="14"/>
      <c r="F500" s="65"/>
      <c r="G500" s="65"/>
      <c r="H500" s="65"/>
      <c r="I500" s="65"/>
      <c r="J500" s="65"/>
      <c r="K500" s="65"/>
      <c r="L500" s="65"/>
      <c r="M500" s="65"/>
      <c r="N500" s="65"/>
      <c r="O500" s="65"/>
      <c r="P500" s="14"/>
      <c r="Q500" s="14"/>
      <c r="R500" s="14"/>
      <c r="S500" s="14"/>
      <c r="T500" s="14"/>
      <c r="U500" s="14"/>
      <c r="V500" s="14"/>
      <c r="W500" s="14"/>
      <c r="X500" s="14"/>
      <c r="Y500" s="14"/>
      <c r="Z500" s="14"/>
      <c r="AA500" s="14"/>
    </row>
    <row r="501">
      <c r="A501" s="65"/>
      <c r="B501" s="65"/>
      <c r="C501" s="14"/>
      <c r="D501" s="14"/>
      <c r="E501" s="14"/>
      <c r="F501" s="65"/>
      <c r="G501" s="65"/>
      <c r="H501" s="65"/>
      <c r="I501" s="65"/>
      <c r="J501" s="65"/>
      <c r="K501" s="65"/>
      <c r="L501" s="65"/>
      <c r="M501" s="65"/>
      <c r="N501" s="65"/>
      <c r="O501" s="65"/>
      <c r="P501" s="14"/>
      <c r="Q501" s="14"/>
      <c r="R501" s="14"/>
      <c r="S501" s="14"/>
      <c r="T501" s="14"/>
      <c r="U501" s="14"/>
      <c r="V501" s="14"/>
      <c r="W501" s="14"/>
      <c r="X501" s="14"/>
      <c r="Y501" s="14"/>
      <c r="Z501" s="14"/>
      <c r="AA501" s="14"/>
    </row>
    <row r="502">
      <c r="A502" s="65"/>
      <c r="B502" s="65"/>
      <c r="C502" s="14"/>
      <c r="D502" s="14"/>
      <c r="E502" s="14"/>
      <c r="F502" s="65"/>
      <c r="G502" s="65"/>
      <c r="H502" s="65"/>
      <c r="I502" s="65"/>
      <c r="J502" s="65"/>
      <c r="K502" s="65"/>
      <c r="L502" s="65"/>
      <c r="M502" s="65"/>
      <c r="N502" s="65"/>
      <c r="O502" s="65"/>
      <c r="P502" s="14"/>
      <c r="Q502" s="14"/>
      <c r="R502" s="14"/>
      <c r="S502" s="14"/>
      <c r="T502" s="14"/>
      <c r="U502" s="14"/>
      <c r="V502" s="14"/>
      <c r="W502" s="14"/>
      <c r="X502" s="14"/>
      <c r="Y502" s="14"/>
      <c r="Z502" s="14"/>
      <c r="AA502" s="14"/>
    </row>
    <row r="503">
      <c r="A503" s="65"/>
      <c r="B503" s="65"/>
      <c r="C503" s="14"/>
      <c r="D503" s="14"/>
      <c r="E503" s="14"/>
      <c r="F503" s="65"/>
      <c r="G503" s="65"/>
      <c r="H503" s="65"/>
      <c r="I503" s="65"/>
      <c r="J503" s="65"/>
      <c r="K503" s="65"/>
      <c r="L503" s="65"/>
      <c r="M503" s="65"/>
      <c r="N503" s="65"/>
      <c r="O503" s="65"/>
      <c r="P503" s="14"/>
      <c r="Q503" s="14"/>
      <c r="R503" s="14"/>
      <c r="S503" s="14"/>
      <c r="T503" s="14"/>
      <c r="U503" s="14"/>
      <c r="V503" s="14"/>
      <c r="W503" s="14"/>
      <c r="X503" s="14"/>
      <c r="Y503" s="14"/>
      <c r="Z503" s="14"/>
      <c r="AA503" s="14"/>
    </row>
    <row r="504">
      <c r="A504" s="65"/>
      <c r="B504" s="65"/>
      <c r="C504" s="14"/>
      <c r="D504" s="14"/>
      <c r="E504" s="14"/>
      <c r="F504" s="65"/>
      <c r="G504" s="65"/>
      <c r="H504" s="65"/>
      <c r="I504" s="65"/>
      <c r="J504" s="65"/>
      <c r="K504" s="65"/>
      <c r="L504" s="65"/>
      <c r="M504" s="65"/>
      <c r="N504" s="65"/>
      <c r="O504" s="65"/>
      <c r="P504" s="14"/>
      <c r="Q504" s="14"/>
      <c r="R504" s="14"/>
      <c r="S504" s="14"/>
      <c r="T504" s="14"/>
      <c r="U504" s="14"/>
      <c r="V504" s="14"/>
      <c r="W504" s="14"/>
      <c r="X504" s="14"/>
      <c r="Y504" s="14"/>
      <c r="Z504" s="14"/>
      <c r="AA504" s="14"/>
    </row>
    <row r="505">
      <c r="A505" s="65"/>
      <c r="B505" s="65"/>
      <c r="C505" s="14"/>
      <c r="D505" s="14"/>
      <c r="E505" s="14"/>
      <c r="F505" s="65"/>
      <c r="G505" s="65"/>
      <c r="H505" s="65"/>
      <c r="I505" s="65"/>
      <c r="J505" s="65"/>
      <c r="K505" s="65"/>
      <c r="L505" s="65"/>
      <c r="M505" s="65"/>
      <c r="N505" s="65"/>
      <c r="O505" s="65"/>
      <c r="P505" s="14"/>
      <c r="Q505" s="14"/>
      <c r="R505" s="14"/>
      <c r="S505" s="14"/>
      <c r="T505" s="14"/>
      <c r="U505" s="14"/>
      <c r="V505" s="14"/>
      <c r="W505" s="14"/>
      <c r="X505" s="14"/>
      <c r="Y505" s="14"/>
      <c r="Z505" s="14"/>
      <c r="AA505" s="14"/>
    </row>
    <row r="506">
      <c r="A506" s="65"/>
      <c r="B506" s="65"/>
      <c r="C506" s="14"/>
      <c r="D506" s="14"/>
      <c r="E506" s="14"/>
      <c r="F506" s="65"/>
      <c r="G506" s="65"/>
      <c r="H506" s="65"/>
      <c r="I506" s="65"/>
      <c r="J506" s="65"/>
      <c r="K506" s="65"/>
      <c r="L506" s="65"/>
      <c r="M506" s="65"/>
      <c r="N506" s="65"/>
      <c r="O506" s="65"/>
      <c r="P506" s="14"/>
      <c r="Q506" s="14"/>
      <c r="R506" s="14"/>
      <c r="S506" s="14"/>
      <c r="T506" s="14"/>
      <c r="U506" s="14"/>
      <c r="V506" s="14"/>
      <c r="W506" s="14"/>
      <c r="X506" s="14"/>
      <c r="Y506" s="14"/>
      <c r="Z506" s="14"/>
      <c r="AA506" s="14"/>
    </row>
    <row r="507">
      <c r="A507" s="65"/>
      <c r="B507" s="65"/>
      <c r="C507" s="14"/>
      <c r="D507" s="14"/>
      <c r="E507" s="14"/>
      <c r="F507" s="65"/>
      <c r="G507" s="65"/>
      <c r="H507" s="65"/>
      <c r="I507" s="65"/>
      <c r="J507" s="65"/>
      <c r="K507" s="65"/>
      <c r="L507" s="65"/>
      <c r="M507" s="65"/>
      <c r="N507" s="65"/>
      <c r="O507" s="65"/>
      <c r="P507" s="14"/>
      <c r="Q507" s="14"/>
      <c r="R507" s="14"/>
      <c r="S507" s="14"/>
      <c r="T507" s="14"/>
      <c r="U507" s="14"/>
      <c r="V507" s="14"/>
      <c r="W507" s="14"/>
      <c r="X507" s="14"/>
      <c r="Y507" s="14"/>
      <c r="Z507" s="14"/>
      <c r="AA507" s="14"/>
    </row>
    <row r="508">
      <c r="A508" s="65"/>
      <c r="B508" s="65"/>
      <c r="C508" s="14"/>
      <c r="D508" s="14"/>
      <c r="E508" s="14"/>
      <c r="F508" s="65"/>
      <c r="G508" s="65"/>
      <c r="H508" s="65"/>
      <c r="I508" s="65"/>
      <c r="J508" s="65"/>
      <c r="K508" s="65"/>
      <c r="L508" s="65"/>
      <c r="M508" s="65"/>
      <c r="N508" s="65"/>
      <c r="O508" s="65"/>
      <c r="P508" s="14"/>
      <c r="Q508" s="14"/>
      <c r="R508" s="14"/>
      <c r="S508" s="14"/>
      <c r="T508" s="14"/>
      <c r="U508" s="14"/>
      <c r="V508" s="14"/>
      <c r="W508" s="14"/>
      <c r="X508" s="14"/>
      <c r="Y508" s="14"/>
      <c r="Z508" s="14"/>
      <c r="AA508" s="14"/>
    </row>
    <row r="509">
      <c r="A509" s="65"/>
      <c r="B509" s="65"/>
      <c r="C509" s="14"/>
      <c r="D509" s="14"/>
      <c r="E509" s="14"/>
      <c r="F509" s="65"/>
      <c r="G509" s="65"/>
      <c r="H509" s="65"/>
      <c r="I509" s="65"/>
      <c r="J509" s="65"/>
      <c r="K509" s="65"/>
      <c r="L509" s="65"/>
      <c r="M509" s="65"/>
      <c r="N509" s="65"/>
      <c r="O509" s="65"/>
      <c r="P509" s="14"/>
      <c r="Q509" s="14"/>
      <c r="R509" s="14"/>
      <c r="S509" s="14"/>
      <c r="T509" s="14"/>
      <c r="U509" s="14"/>
      <c r="V509" s="14"/>
      <c r="W509" s="14"/>
      <c r="X509" s="14"/>
      <c r="Y509" s="14"/>
      <c r="Z509" s="14"/>
      <c r="AA509" s="14"/>
    </row>
    <row r="510">
      <c r="A510" s="65"/>
      <c r="B510" s="65"/>
      <c r="C510" s="14"/>
      <c r="D510" s="14"/>
      <c r="E510" s="14"/>
      <c r="F510" s="65"/>
      <c r="G510" s="65"/>
      <c r="H510" s="65"/>
      <c r="I510" s="65"/>
      <c r="J510" s="65"/>
      <c r="K510" s="65"/>
      <c r="L510" s="65"/>
      <c r="M510" s="65"/>
      <c r="N510" s="65"/>
      <c r="O510" s="65"/>
      <c r="P510" s="14"/>
      <c r="Q510" s="14"/>
      <c r="R510" s="14"/>
      <c r="S510" s="14"/>
      <c r="T510" s="14"/>
      <c r="U510" s="14"/>
      <c r="V510" s="14"/>
      <c r="W510" s="14"/>
      <c r="X510" s="14"/>
      <c r="Y510" s="14"/>
      <c r="Z510" s="14"/>
      <c r="AA510" s="14"/>
    </row>
    <row r="511">
      <c r="A511" s="65"/>
      <c r="B511" s="65"/>
      <c r="C511" s="14"/>
      <c r="D511" s="14"/>
      <c r="E511" s="14"/>
      <c r="F511" s="65"/>
      <c r="G511" s="65"/>
      <c r="H511" s="65"/>
      <c r="I511" s="65"/>
      <c r="J511" s="65"/>
      <c r="K511" s="65"/>
      <c r="L511" s="65"/>
      <c r="M511" s="65"/>
      <c r="N511" s="65"/>
      <c r="O511" s="65"/>
      <c r="P511" s="14"/>
      <c r="Q511" s="14"/>
      <c r="R511" s="14"/>
      <c r="S511" s="14"/>
      <c r="T511" s="14"/>
      <c r="U511" s="14"/>
      <c r="V511" s="14"/>
      <c r="W511" s="14"/>
      <c r="X511" s="14"/>
      <c r="Y511" s="14"/>
      <c r="Z511" s="14"/>
      <c r="AA511" s="14"/>
    </row>
    <row r="512">
      <c r="A512" s="65"/>
      <c r="B512" s="65"/>
      <c r="C512" s="14"/>
      <c r="D512" s="14"/>
      <c r="E512" s="14"/>
      <c r="F512" s="65"/>
      <c r="G512" s="65"/>
      <c r="H512" s="65"/>
      <c r="I512" s="65"/>
      <c r="J512" s="65"/>
      <c r="K512" s="65"/>
      <c r="L512" s="65"/>
      <c r="M512" s="65"/>
      <c r="N512" s="65"/>
      <c r="O512" s="65"/>
      <c r="P512" s="14"/>
      <c r="Q512" s="14"/>
      <c r="R512" s="14"/>
      <c r="S512" s="14"/>
      <c r="T512" s="14"/>
      <c r="U512" s="14"/>
      <c r="V512" s="14"/>
      <c r="W512" s="14"/>
      <c r="X512" s="14"/>
      <c r="Y512" s="14"/>
      <c r="Z512" s="14"/>
      <c r="AA512" s="14"/>
    </row>
    <row r="513">
      <c r="A513" s="65"/>
      <c r="B513" s="65"/>
      <c r="C513" s="14"/>
      <c r="D513" s="14"/>
      <c r="E513" s="14"/>
      <c r="F513" s="65"/>
      <c r="G513" s="65"/>
      <c r="H513" s="65"/>
      <c r="I513" s="65"/>
      <c r="J513" s="65"/>
      <c r="K513" s="65"/>
      <c r="L513" s="65"/>
      <c r="M513" s="65"/>
      <c r="N513" s="65"/>
      <c r="O513" s="65"/>
      <c r="P513" s="14"/>
      <c r="Q513" s="14"/>
      <c r="R513" s="14"/>
      <c r="S513" s="14"/>
      <c r="T513" s="14"/>
      <c r="U513" s="14"/>
      <c r="V513" s="14"/>
      <c r="W513" s="14"/>
      <c r="X513" s="14"/>
      <c r="Y513" s="14"/>
      <c r="Z513" s="14"/>
      <c r="AA513" s="14"/>
    </row>
    <row r="514">
      <c r="A514" s="65"/>
      <c r="B514" s="65"/>
      <c r="C514" s="14"/>
      <c r="D514" s="14"/>
      <c r="E514" s="14"/>
      <c r="F514" s="65"/>
      <c r="G514" s="65"/>
      <c r="H514" s="65"/>
      <c r="I514" s="65"/>
      <c r="J514" s="65"/>
      <c r="K514" s="65"/>
      <c r="L514" s="65"/>
      <c r="M514" s="65"/>
      <c r="N514" s="65"/>
      <c r="O514" s="65"/>
      <c r="P514" s="14"/>
      <c r="Q514" s="14"/>
      <c r="R514" s="14"/>
      <c r="S514" s="14"/>
      <c r="T514" s="14"/>
      <c r="U514" s="14"/>
      <c r="V514" s="14"/>
      <c r="W514" s="14"/>
      <c r="X514" s="14"/>
      <c r="Y514" s="14"/>
      <c r="Z514" s="14"/>
      <c r="AA514" s="14"/>
    </row>
    <row r="515">
      <c r="A515" s="65"/>
      <c r="B515" s="65"/>
      <c r="C515" s="14"/>
      <c r="D515" s="14"/>
      <c r="E515" s="14"/>
      <c r="F515" s="65"/>
      <c r="G515" s="65"/>
      <c r="H515" s="65"/>
      <c r="I515" s="65"/>
      <c r="J515" s="65"/>
      <c r="K515" s="65"/>
      <c r="L515" s="65"/>
      <c r="M515" s="65"/>
      <c r="N515" s="65"/>
      <c r="O515" s="65"/>
      <c r="P515" s="14"/>
      <c r="Q515" s="14"/>
      <c r="R515" s="14"/>
      <c r="S515" s="14"/>
      <c r="T515" s="14"/>
      <c r="U515" s="14"/>
      <c r="V515" s="14"/>
      <c r="W515" s="14"/>
      <c r="X515" s="14"/>
      <c r="Y515" s="14"/>
      <c r="Z515" s="14"/>
      <c r="AA515" s="14"/>
    </row>
    <row r="516">
      <c r="A516" s="65"/>
      <c r="B516" s="65"/>
      <c r="C516" s="14"/>
      <c r="D516" s="14"/>
      <c r="E516" s="14"/>
      <c r="F516" s="65"/>
      <c r="G516" s="65"/>
      <c r="H516" s="65"/>
      <c r="I516" s="65"/>
      <c r="J516" s="65"/>
      <c r="K516" s="65"/>
      <c r="L516" s="65"/>
      <c r="M516" s="65"/>
      <c r="N516" s="65"/>
      <c r="O516" s="65"/>
      <c r="P516" s="14"/>
      <c r="Q516" s="14"/>
      <c r="R516" s="14"/>
      <c r="S516" s="14"/>
      <c r="T516" s="14"/>
      <c r="U516" s="14"/>
      <c r="V516" s="14"/>
      <c r="W516" s="14"/>
      <c r="X516" s="14"/>
      <c r="Y516" s="14"/>
      <c r="Z516" s="14"/>
      <c r="AA516" s="14"/>
    </row>
    <row r="517">
      <c r="A517" s="65"/>
      <c r="B517" s="65"/>
      <c r="C517" s="14"/>
      <c r="D517" s="14"/>
      <c r="E517" s="14"/>
      <c r="F517" s="65"/>
      <c r="G517" s="65"/>
      <c r="H517" s="65"/>
      <c r="I517" s="65"/>
      <c r="J517" s="65"/>
      <c r="K517" s="65"/>
      <c r="L517" s="65"/>
      <c r="M517" s="65"/>
      <c r="N517" s="65"/>
      <c r="O517" s="65"/>
      <c r="P517" s="14"/>
      <c r="Q517" s="14"/>
      <c r="R517" s="14"/>
      <c r="S517" s="14"/>
      <c r="T517" s="14"/>
      <c r="U517" s="14"/>
      <c r="V517" s="14"/>
      <c r="W517" s="14"/>
      <c r="X517" s="14"/>
      <c r="Y517" s="14"/>
      <c r="Z517" s="14"/>
      <c r="AA517" s="14"/>
    </row>
    <row r="518">
      <c r="A518" s="65"/>
      <c r="B518" s="65"/>
      <c r="C518" s="14"/>
      <c r="D518" s="14"/>
      <c r="E518" s="14"/>
      <c r="F518" s="65"/>
      <c r="G518" s="65"/>
      <c r="H518" s="65"/>
      <c r="I518" s="65"/>
      <c r="J518" s="65"/>
      <c r="K518" s="65"/>
      <c r="L518" s="65"/>
      <c r="M518" s="65"/>
      <c r="N518" s="65"/>
      <c r="O518" s="65"/>
      <c r="P518" s="14"/>
      <c r="Q518" s="14"/>
      <c r="R518" s="14"/>
      <c r="S518" s="14"/>
      <c r="T518" s="14"/>
      <c r="U518" s="14"/>
      <c r="V518" s="14"/>
      <c r="W518" s="14"/>
      <c r="X518" s="14"/>
      <c r="Y518" s="14"/>
      <c r="Z518" s="14"/>
      <c r="AA518" s="14"/>
    </row>
    <row r="519">
      <c r="A519" s="65"/>
      <c r="B519" s="65"/>
      <c r="C519" s="14"/>
      <c r="D519" s="14"/>
      <c r="E519" s="14"/>
      <c r="F519" s="65"/>
      <c r="G519" s="65"/>
      <c r="H519" s="65"/>
      <c r="I519" s="65"/>
      <c r="J519" s="65"/>
      <c r="K519" s="65"/>
      <c r="L519" s="65"/>
      <c r="M519" s="65"/>
      <c r="N519" s="65"/>
      <c r="O519" s="65"/>
      <c r="P519" s="14"/>
      <c r="Q519" s="14"/>
      <c r="R519" s="14"/>
      <c r="S519" s="14"/>
      <c r="T519" s="14"/>
      <c r="U519" s="14"/>
      <c r="V519" s="14"/>
      <c r="W519" s="14"/>
      <c r="X519" s="14"/>
      <c r="Y519" s="14"/>
      <c r="Z519" s="14"/>
      <c r="AA519" s="14"/>
    </row>
    <row r="520">
      <c r="A520" s="65"/>
      <c r="B520" s="65"/>
      <c r="C520" s="14"/>
      <c r="D520" s="14"/>
      <c r="E520" s="14"/>
      <c r="F520" s="65"/>
      <c r="G520" s="65"/>
      <c r="H520" s="65"/>
      <c r="I520" s="65"/>
      <c r="J520" s="65"/>
      <c r="K520" s="65"/>
      <c r="L520" s="65"/>
      <c r="M520" s="65"/>
      <c r="N520" s="65"/>
      <c r="O520" s="65"/>
      <c r="P520" s="14"/>
      <c r="Q520" s="14"/>
      <c r="R520" s="14"/>
      <c r="S520" s="14"/>
      <c r="T520" s="14"/>
      <c r="U520" s="14"/>
      <c r="V520" s="14"/>
      <c r="W520" s="14"/>
      <c r="X520" s="14"/>
      <c r="Y520" s="14"/>
      <c r="Z520" s="14"/>
      <c r="AA520" s="14"/>
    </row>
    <row r="521">
      <c r="A521" s="65"/>
      <c r="B521" s="65"/>
      <c r="C521" s="14"/>
      <c r="D521" s="14"/>
      <c r="E521" s="14"/>
      <c r="F521" s="65"/>
      <c r="G521" s="65"/>
      <c r="H521" s="65"/>
      <c r="I521" s="65"/>
      <c r="J521" s="65"/>
      <c r="K521" s="65"/>
      <c r="L521" s="65"/>
      <c r="M521" s="65"/>
      <c r="N521" s="65"/>
      <c r="O521" s="65"/>
      <c r="P521" s="14"/>
      <c r="Q521" s="14"/>
      <c r="R521" s="14"/>
      <c r="S521" s="14"/>
      <c r="T521" s="14"/>
      <c r="U521" s="14"/>
      <c r="V521" s="14"/>
      <c r="W521" s="14"/>
      <c r="X521" s="14"/>
      <c r="Y521" s="14"/>
      <c r="Z521" s="14"/>
      <c r="AA521" s="14"/>
    </row>
    <row r="522">
      <c r="A522" s="65"/>
      <c r="B522" s="65"/>
      <c r="C522" s="14"/>
      <c r="D522" s="14"/>
      <c r="E522" s="14"/>
      <c r="F522" s="65"/>
      <c r="G522" s="65"/>
      <c r="H522" s="65"/>
      <c r="I522" s="65"/>
      <c r="J522" s="65"/>
      <c r="K522" s="65"/>
      <c r="L522" s="65"/>
      <c r="M522" s="65"/>
      <c r="N522" s="65"/>
      <c r="O522" s="65"/>
      <c r="P522" s="14"/>
      <c r="Q522" s="14"/>
      <c r="R522" s="14"/>
      <c r="S522" s="14"/>
      <c r="T522" s="14"/>
      <c r="U522" s="14"/>
      <c r="V522" s="14"/>
      <c r="W522" s="14"/>
      <c r="X522" s="14"/>
      <c r="Y522" s="14"/>
      <c r="Z522" s="14"/>
      <c r="AA522" s="14"/>
    </row>
    <row r="523">
      <c r="A523" s="65"/>
      <c r="B523" s="65"/>
      <c r="C523" s="14"/>
      <c r="D523" s="14"/>
      <c r="E523" s="14"/>
      <c r="F523" s="65"/>
      <c r="G523" s="65"/>
      <c r="H523" s="65"/>
      <c r="I523" s="65"/>
      <c r="J523" s="65"/>
      <c r="K523" s="65"/>
      <c r="L523" s="65"/>
      <c r="M523" s="65"/>
      <c r="N523" s="65"/>
      <c r="O523" s="65"/>
      <c r="P523" s="14"/>
      <c r="Q523" s="14"/>
      <c r="R523" s="14"/>
      <c r="S523" s="14"/>
      <c r="T523" s="14"/>
      <c r="U523" s="14"/>
      <c r="V523" s="14"/>
      <c r="W523" s="14"/>
      <c r="X523" s="14"/>
      <c r="Y523" s="14"/>
      <c r="Z523" s="14"/>
      <c r="AA523" s="14"/>
    </row>
    <row r="524">
      <c r="A524" s="65"/>
      <c r="B524" s="65"/>
      <c r="C524" s="14"/>
      <c r="D524" s="14"/>
      <c r="E524" s="14"/>
      <c r="F524" s="65"/>
      <c r="G524" s="65"/>
      <c r="H524" s="65"/>
      <c r="I524" s="65"/>
      <c r="J524" s="65"/>
      <c r="K524" s="65"/>
      <c r="L524" s="65"/>
      <c r="M524" s="65"/>
      <c r="N524" s="65"/>
      <c r="O524" s="65"/>
      <c r="P524" s="14"/>
      <c r="Q524" s="14"/>
      <c r="R524" s="14"/>
      <c r="S524" s="14"/>
      <c r="T524" s="14"/>
      <c r="U524" s="14"/>
      <c r="V524" s="14"/>
      <c r="W524" s="14"/>
      <c r="X524" s="14"/>
      <c r="Y524" s="14"/>
      <c r="Z524" s="14"/>
      <c r="AA524" s="14"/>
    </row>
    <row r="525">
      <c r="A525" s="65"/>
      <c r="B525" s="65"/>
      <c r="C525" s="14"/>
      <c r="D525" s="14"/>
      <c r="E525" s="14"/>
      <c r="F525" s="65"/>
      <c r="G525" s="65"/>
      <c r="H525" s="65"/>
      <c r="I525" s="65"/>
      <c r="J525" s="65"/>
      <c r="K525" s="65"/>
      <c r="L525" s="65"/>
      <c r="M525" s="65"/>
      <c r="N525" s="65"/>
      <c r="O525" s="65"/>
      <c r="P525" s="14"/>
      <c r="Q525" s="14"/>
      <c r="R525" s="14"/>
      <c r="S525" s="14"/>
      <c r="T525" s="14"/>
      <c r="U525" s="14"/>
      <c r="V525" s="14"/>
      <c r="W525" s="14"/>
      <c r="X525" s="14"/>
      <c r="Y525" s="14"/>
      <c r="Z525" s="14"/>
      <c r="AA525" s="14"/>
    </row>
    <row r="526">
      <c r="A526" s="65"/>
      <c r="B526" s="65"/>
      <c r="C526" s="14"/>
      <c r="D526" s="14"/>
      <c r="E526" s="14"/>
      <c r="F526" s="65"/>
      <c r="G526" s="65"/>
      <c r="H526" s="65"/>
      <c r="I526" s="65"/>
      <c r="J526" s="65"/>
      <c r="K526" s="65"/>
      <c r="L526" s="65"/>
      <c r="M526" s="65"/>
      <c r="N526" s="65"/>
      <c r="O526" s="65"/>
      <c r="P526" s="14"/>
      <c r="Q526" s="14"/>
      <c r="R526" s="14"/>
      <c r="S526" s="14"/>
      <c r="T526" s="14"/>
      <c r="U526" s="14"/>
      <c r="V526" s="14"/>
      <c r="W526" s="14"/>
      <c r="X526" s="14"/>
      <c r="Y526" s="14"/>
      <c r="Z526" s="14"/>
      <c r="AA526" s="14"/>
    </row>
    <row r="527">
      <c r="A527" s="65"/>
      <c r="B527" s="65"/>
      <c r="C527" s="14"/>
      <c r="D527" s="14"/>
      <c r="E527" s="14"/>
      <c r="F527" s="65"/>
      <c r="G527" s="65"/>
      <c r="H527" s="65"/>
      <c r="I527" s="65"/>
      <c r="J527" s="65"/>
      <c r="K527" s="65"/>
      <c r="L527" s="65"/>
      <c r="M527" s="65"/>
      <c r="N527" s="65"/>
      <c r="O527" s="65"/>
      <c r="P527" s="14"/>
      <c r="Q527" s="14"/>
      <c r="R527" s="14"/>
      <c r="S527" s="14"/>
      <c r="T527" s="14"/>
      <c r="U527" s="14"/>
      <c r="V527" s="14"/>
      <c r="W527" s="14"/>
      <c r="X527" s="14"/>
      <c r="Y527" s="14"/>
      <c r="Z527" s="14"/>
      <c r="AA527" s="14"/>
    </row>
    <row r="528">
      <c r="A528" s="65"/>
      <c r="B528" s="65"/>
      <c r="C528" s="14"/>
      <c r="D528" s="14"/>
      <c r="E528" s="14"/>
      <c r="F528" s="65"/>
      <c r="G528" s="65"/>
      <c r="H528" s="65"/>
      <c r="I528" s="65"/>
      <c r="J528" s="65"/>
      <c r="K528" s="65"/>
      <c r="L528" s="65"/>
      <c r="M528" s="65"/>
      <c r="N528" s="65"/>
      <c r="O528" s="65"/>
      <c r="P528" s="14"/>
      <c r="Q528" s="14"/>
      <c r="R528" s="14"/>
      <c r="S528" s="14"/>
      <c r="T528" s="14"/>
      <c r="U528" s="14"/>
      <c r="V528" s="14"/>
      <c r="W528" s="14"/>
      <c r="X528" s="14"/>
      <c r="Y528" s="14"/>
      <c r="Z528" s="14"/>
      <c r="AA528" s="14"/>
    </row>
    <row r="529">
      <c r="A529" s="65"/>
      <c r="B529" s="65"/>
      <c r="C529" s="14"/>
      <c r="D529" s="14"/>
      <c r="E529" s="14"/>
      <c r="F529" s="65"/>
      <c r="G529" s="65"/>
      <c r="H529" s="65"/>
      <c r="I529" s="65"/>
      <c r="J529" s="65"/>
      <c r="K529" s="65"/>
      <c r="L529" s="65"/>
      <c r="M529" s="65"/>
      <c r="N529" s="65"/>
      <c r="O529" s="65"/>
      <c r="P529" s="14"/>
      <c r="Q529" s="14"/>
      <c r="R529" s="14"/>
      <c r="S529" s="14"/>
      <c r="T529" s="14"/>
      <c r="U529" s="14"/>
      <c r="V529" s="14"/>
      <c r="W529" s="14"/>
      <c r="X529" s="14"/>
      <c r="Y529" s="14"/>
      <c r="Z529" s="14"/>
      <c r="AA529" s="14"/>
    </row>
    <row r="530">
      <c r="A530" s="65"/>
      <c r="B530" s="65"/>
      <c r="C530" s="14"/>
      <c r="D530" s="14"/>
      <c r="E530" s="14"/>
      <c r="F530" s="65"/>
      <c r="G530" s="65"/>
      <c r="H530" s="65"/>
      <c r="I530" s="65"/>
      <c r="J530" s="65"/>
      <c r="K530" s="65"/>
      <c r="L530" s="65"/>
      <c r="M530" s="65"/>
      <c r="N530" s="65"/>
      <c r="O530" s="65"/>
      <c r="P530" s="14"/>
      <c r="Q530" s="14"/>
      <c r="R530" s="14"/>
      <c r="S530" s="14"/>
      <c r="T530" s="14"/>
      <c r="U530" s="14"/>
      <c r="V530" s="14"/>
      <c r="W530" s="14"/>
      <c r="X530" s="14"/>
      <c r="Y530" s="14"/>
      <c r="Z530" s="14"/>
      <c r="AA530" s="14"/>
    </row>
    <row r="531">
      <c r="A531" s="65"/>
      <c r="B531" s="65"/>
      <c r="C531" s="14"/>
      <c r="D531" s="14"/>
      <c r="E531" s="14"/>
      <c r="F531" s="65"/>
      <c r="G531" s="65"/>
      <c r="H531" s="65"/>
      <c r="I531" s="65"/>
      <c r="J531" s="65"/>
      <c r="K531" s="65"/>
      <c r="L531" s="65"/>
      <c r="M531" s="65"/>
      <c r="N531" s="65"/>
      <c r="O531" s="65"/>
      <c r="P531" s="14"/>
      <c r="Q531" s="14"/>
      <c r="R531" s="14"/>
      <c r="S531" s="14"/>
      <c r="T531" s="14"/>
      <c r="U531" s="14"/>
      <c r="V531" s="14"/>
      <c r="W531" s="14"/>
      <c r="X531" s="14"/>
      <c r="Y531" s="14"/>
      <c r="Z531" s="14"/>
      <c r="AA531" s="14"/>
    </row>
    <row r="532">
      <c r="A532" s="65"/>
      <c r="B532" s="65"/>
      <c r="C532" s="14"/>
      <c r="D532" s="14"/>
      <c r="E532" s="14"/>
      <c r="F532" s="65"/>
      <c r="G532" s="65"/>
      <c r="H532" s="65"/>
      <c r="I532" s="65"/>
      <c r="J532" s="65"/>
      <c r="K532" s="65"/>
      <c r="L532" s="65"/>
      <c r="M532" s="65"/>
      <c r="N532" s="65"/>
      <c r="O532" s="65"/>
      <c r="P532" s="14"/>
      <c r="Q532" s="14"/>
      <c r="R532" s="14"/>
      <c r="S532" s="14"/>
      <c r="T532" s="14"/>
      <c r="U532" s="14"/>
      <c r="V532" s="14"/>
      <c r="W532" s="14"/>
      <c r="X532" s="14"/>
      <c r="Y532" s="14"/>
      <c r="Z532" s="14"/>
      <c r="AA532" s="14"/>
    </row>
    <row r="533">
      <c r="A533" s="65"/>
      <c r="B533" s="65"/>
      <c r="C533" s="14"/>
      <c r="D533" s="14"/>
      <c r="E533" s="14"/>
      <c r="F533" s="65"/>
      <c r="G533" s="65"/>
      <c r="H533" s="65"/>
      <c r="I533" s="65"/>
      <c r="J533" s="65"/>
      <c r="K533" s="65"/>
      <c r="L533" s="65"/>
      <c r="M533" s="65"/>
      <c r="N533" s="65"/>
      <c r="O533" s="65"/>
      <c r="P533" s="14"/>
      <c r="Q533" s="14"/>
      <c r="R533" s="14"/>
      <c r="S533" s="14"/>
      <c r="T533" s="14"/>
      <c r="U533" s="14"/>
      <c r="V533" s="14"/>
      <c r="W533" s="14"/>
      <c r="X533" s="14"/>
      <c r="Y533" s="14"/>
      <c r="Z533" s="14"/>
      <c r="AA533" s="14"/>
    </row>
    <row r="534">
      <c r="A534" s="65"/>
      <c r="B534" s="65"/>
      <c r="C534" s="14"/>
      <c r="D534" s="14"/>
      <c r="E534" s="14"/>
      <c r="F534" s="65"/>
      <c r="G534" s="65"/>
      <c r="H534" s="65"/>
      <c r="I534" s="65"/>
      <c r="J534" s="65"/>
      <c r="K534" s="65"/>
      <c r="L534" s="65"/>
      <c r="M534" s="65"/>
      <c r="N534" s="65"/>
      <c r="O534" s="65"/>
      <c r="P534" s="14"/>
      <c r="Q534" s="14"/>
      <c r="R534" s="14"/>
      <c r="S534" s="14"/>
      <c r="T534" s="14"/>
      <c r="U534" s="14"/>
      <c r="V534" s="14"/>
      <c r="W534" s="14"/>
      <c r="X534" s="14"/>
      <c r="Y534" s="14"/>
      <c r="Z534" s="14"/>
      <c r="AA534" s="14"/>
    </row>
    <row r="535">
      <c r="A535" s="65"/>
      <c r="B535" s="65"/>
      <c r="C535" s="14"/>
      <c r="D535" s="14"/>
      <c r="E535" s="14"/>
      <c r="F535" s="65"/>
      <c r="G535" s="65"/>
      <c r="H535" s="65"/>
      <c r="I535" s="65"/>
      <c r="J535" s="65"/>
      <c r="K535" s="65"/>
      <c r="L535" s="65"/>
      <c r="M535" s="65"/>
      <c r="N535" s="65"/>
      <c r="O535" s="65"/>
      <c r="P535" s="14"/>
      <c r="Q535" s="14"/>
      <c r="R535" s="14"/>
      <c r="S535" s="14"/>
      <c r="T535" s="14"/>
      <c r="U535" s="14"/>
      <c r="V535" s="14"/>
      <c r="W535" s="14"/>
      <c r="X535" s="14"/>
      <c r="Y535" s="14"/>
      <c r="Z535" s="14"/>
      <c r="AA535" s="14"/>
    </row>
    <row r="536">
      <c r="A536" s="65"/>
      <c r="B536" s="65"/>
      <c r="C536" s="14"/>
      <c r="D536" s="14"/>
      <c r="E536" s="14"/>
      <c r="F536" s="65"/>
      <c r="G536" s="65"/>
      <c r="H536" s="65"/>
      <c r="I536" s="65"/>
      <c r="J536" s="65"/>
      <c r="K536" s="65"/>
      <c r="L536" s="65"/>
      <c r="M536" s="65"/>
      <c r="N536" s="65"/>
      <c r="O536" s="65"/>
      <c r="P536" s="14"/>
      <c r="Q536" s="14"/>
      <c r="R536" s="14"/>
      <c r="S536" s="14"/>
      <c r="T536" s="14"/>
      <c r="U536" s="14"/>
      <c r="V536" s="14"/>
      <c r="W536" s="14"/>
      <c r="X536" s="14"/>
      <c r="Y536" s="14"/>
      <c r="Z536" s="14"/>
      <c r="AA536" s="14"/>
    </row>
    <row r="537">
      <c r="A537" s="65"/>
      <c r="B537" s="65"/>
      <c r="C537" s="14"/>
      <c r="D537" s="14"/>
      <c r="E537" s="14"/>
      <c r="F537" s="65"/>
      <c r="G537" s="65"/>
      <c r="H537" s="65"/>
      <c r="I537" s="65"/>
      <c r="J537" s="65"/>
      <c r="K537" s="65"/>
      <c r="L537" s="65"/>
      <c r="M537" s="65"/>
      <c r="N537" s="65"/>
      <c r="O537" s="65"/>
      <c r="P537" s="14"/>
      <c r="Q537" s="14"/>
      <c r="R537" s="14"/>
      <c r="S537" s="14"/>
      <c r="T537" s="14"/>
      <c r="U537" s="14"/>
      <c r="V537" s="14"/>
      <c r="W537" s="14"/>
      <c r="X537" s="14"/>
      <c r="Y537" s="14"/>
      <c r="Z537" s="14"/>
      <c r="AA537" s="14"/>
    </row>
    <row r="538">
      <c r="A538" s="65"/>
      <c r="B538" s="65"/>
      <c r="C538" s="14"/>
      <c r="D538" s="14"/>
      <c r="E538" s="14"/>
      <c r="F538" s="65"/>
      <c r="G538" s="65"/>
      <c r="H538" s="65"/>
      <c r="I538" s="65"/>
      <c r="J538" s="65"/>
      <c r="K538" s="65"/>
      <c r="L538" s="65"/>
      <c r="M538" s="65"/>
      <c r="N538" s="65"/>
      <c r="O538" s="65"/>
      <c r="P538" s="14"/>
      <c r="Q538" s="14"/>
      <c r="R538" s="14"/>
      <c r="S538" s="14"/>
      <c r="T538" s="14"/>
      <c r="U538" s="14"/>
      <c r="V538" s="14"/>
      <c r="W538" s="14"/>
      <c r="X538" s="14"/>
      <c r="Y538" s="14"/>
      <c r="Z538" s="14"/>
      <c r="AA538" s="14"/>
    </row>
    <row r="539">
      <c r="A539" s="65"/>
      <c r="B539" s="65"/>
      <c r="C539" s="14"/>
      <c r="D539" s="14"/>
      <c r="E539" s="14"/>
      <c r="F539" s="65"/>
      <c r="G539" s="65"/>
      <c r="H539" s="65"/>
      <c r="I539" s="65"/>
      <c r="J539" s="65"/>
      <c r="K539" s="65"/>
      <c r="L539" s="65"/>
      <c r="M539" s="65"/>
      <c r="N539" s="65"/>
      <c r="O539" s="65"/>
      <c r="P539" s="14"/>
      <c r="Q539" s="14"/>
      <c r="R539" s="14"/>
      <c r="S539" s="14"/>
      <c r="T539" s="14"/>
      <c r="U539" s="14"/>
      <c r="V539" s="14"/>
      <c r="W539" s="14"/>
      <c r="X539" s="14"/>
      <c r="Y539" s="14"/>
      <c r="Z539" s="14"/>
      <c r="AA539" s="14"/>
    </row>
    <row r="540">
      <c r="A540" s="65"/>
      <c r="B540" s="65"/>
      <c r="C540" s="14"/>
      <c r="D540" s="14"/>
      <c r="E540" s="14"/>
      <c r="F540" s="65"/>
      <c r="G540" s="65"/>
      <c r="H540" s="65"/>
      <c r="I540" s="65"/>
      <c r="J540" s="65"/>
      <c r="K540" s="65"/>
      <c r="L540" s="65"/>
      <c r="M540" s="65"/>
      <c r="N540" s="65"/>
      <c r="O540" s="65"/>
      <c r="P540" s="14"/>
      <c r="Q540" s="14"/>
      <c r="R540" s="14"/>
      <c r="S540" s="14"/>
      <c r="T540" s="14"/>
      <c r="U540" s="14"/>
      <c r="V540" s="14"/>
      <c r="W540" s="14"/>
      <c r="X540" s="14"/>
      <c r="Y540" s="14"/>
      <c r="Z540" s="14"/>
      <c r="AA540" s="14"/>
    </row>
    <row r="541">
      <c r="A541" s="65"/>
      <c r="B541" s="65"/>
      <c r="C541" s="14"/>
      <c r="D541" s="14"/>
      <c r="E541" s="14"/>
      <c r="F541" s="65"/>
      <c r="G541" s="65"/>
      <c r="H541" s="65"/>
      <c r="I541" s="65"/>
      <c r="J541" s="65"/>
      <c r="K541" s="65"/>
      <c r="L541" s="65"/>
      <c r="M541" s="65"/>
      <c r="N541" s="65"/>
      <c r="O541" s="65"/>
      <c r="P541" s="14"/>
      <c r="Q541" s="14"/>
      <c r="R541" s="14"/>
      <c r="S541" s="14"/>
      <c r="T541" s="14"/>
      <c r="U541" s="14"/>
      <c r="V541" s="14"/>
      <c r="W541" s="14"/>
      <c r="X541" s="14"/>
      <c r="Y541" s="14"/>
      <c r="Z541" s="14"/>
      <c r="AA541" s="14"/>
    </row>
    <row r="542">
      <c r="A542" s="65"/>
      <c r="B542" s="65"/>
      <c r="C542" s="14"/>
      <c r="D542" s="14"/>
      <c r="E542" s="14"/>
      <c r="F542" s="65"/>
      <c r="G542" s="65"/>
      <c r="H542" s="65"/>
      <c r="I542" s="65"/>
      <c r="J542" s="65"/>
      <c r="K542" s="65"/>
      <c r="L542" s="65"/>
      <c r="M542" s="65"/>
      <c r="N542" s="65"/>
      <c r="O542" s="65"/>
      <c r="P542" s="14"/>
      <c r="Q542" s="14"/>
      <c r="R542" s="14"/>
      <c r="S542" s="14"/>
      <c r="T542" s="14"/>
      <c r="U542" s="14"/>
      <c r="V542" s="14"/>
      <c r="W542" s="14"/>
      <c r="X542" s="14"/>
      <c r="Y542" s="14"/>
      <c r="Z542" s="14"/>
      <c r="AA542" s="14"/>
    </row>
    <row r="543">
      <c r="A543" s="65"/>
      <c r="B543" s="65"/>
      <c r="C543" s="14"/>
      <c r="D543" s="14"/>
      <c r="E543" s="14"/>
      <c r="F543" s="65"/>
      <c r="G543" s="65"/>
      <c r="H543" s="65"/>
      <c r="I543" s="65"/>
      <c r="J543" s="65"/>
      <c r="K543" s="65"/>
      <c r="L543" s="65"/>
      <c r="M543" s="65"/>
      <c r="N543" s="65"/>
      <c r="O543" s="65"/>
      <c r="P543" s="14"/>
      <c r="Q543" s="14"/>
      <c r="R543" s="14"/>
      <c r="S543" s="14"/>
      <c r="T543" s="14"/>
      <c r="U543" s="14"/>
      <c r="V543" s="14"/>
      <c r="W543" s="14"/>
      <c r="X543" s="14"/>
      <c r="Y543" s="14"/>
      <c r="Z543" s="14"/>
      <c r="AA543" s="14"/>
    </row>
    <row r="544">
      <c r="A544" s="65"/>
      <c r="B544" s="65"/>
      <c r="C544" s="14"/>
      <c r="D544" s="14"/>
      <c r="E544" s="14"/>
      <c r="F544" s="65"/>
      <c r="G544" s="65"/>
      <c r="H544" s="65"/>
      <c r="I544" s="65"/>
      <c r="J544" s="65"/>
      <c r="K544" s="65"/>
      <c r="L544" s="65"/>
      <c r="M544" s="65"/>
      <c r="N544" s="65"/>
      <c r="O544" s="65"/>
      <c r="P544" s="14"/>
      <c r="Q544" s="14"/>
      <c r="R544" s="14"/>
      <c r="S544" s="14"/>
      <c r="T544" s="14"/>
      <c r="U544" s="14"/>
      <c r="V544" s="14"/>
      <c r="W544" s="14"/>
      <c r="X544" s="14"/>
      <c r="Y544" s="14"/>
      <c r="Z544" s="14"/>
      <c r="AA544" s="14"/>
    </row>
    <row r="545">
      <c r="A545" s="65"/>
      <c r="B545" s="65"/>
      <c r="C545" s="14"/>
      <c r="D545" s="14"/>
      <c r="E545" s="14"/>
      <c r="F545" s="65"/>
      <c r="G545" s="65"/>
      <c r="H545" s="65"/>
      <c r="I545" s="65"/>
      <c r="J545" s="65"/>
      <c r="K545" s="65"/>
      <c r="L545" s="65"/>
      <c r="M545" s="65"/>
      <c r="N545" s="65"/>
      <c r="O545" s="65"/>
      <c r="P545" s="14"/>
      <c r="Q545" s="14"/>
      <c r="R545" s="14"/>
      <c r="S545" s="14"/>
      <c r="T545" s="14"/>
      <c r="U545" s="14"/>
      <c r="V545" s="14"/>
      <c r="W545" s="14"/>
      <c r="X545" s="14"/>
      <c r="Y545" s="14"/>
      <c r="Z545" s="14"/>
      <c r="AA545" s="14"/>
    </row>
    <row r="546">
      <c r="A546" s="65"/>
      <c r="B546" s="65"/>
      <c r="C546" s="14"/>
      <c r="D546" s="14"/>
      <c r="E546" s="14"/>
      <c r="F546" s="65"/>
      <c r="G546" s="65"/>
      <c r="H546" s="65"/>
      <c r="I546" s="65"/>
      <c r="J546" s="65"/>
      <c r="K546" s="65"/>
      <c r="L546" s="65"/>
      <c r="M546" s="65"/>
      <c r="N546" s="65"/>
      <c r="O546" s="65"/>
      <c r="P546" s="14"/>
      <c r="Q546" s="14"/>
      <c r="R546" s="14"/>
      <c r="S546" s="14"/>
      <c r="T546" s="14"/>
      <c r="U546" s="14"/>
      <c r="V546" s="14"/>
      <c r="W546" s="14"/>
      <c r="X546" s="14"/>
      <c r="Y546" s="14"/>
      <c r="Z546" s="14"/>
      <c r="AA546" s="14"/>
    </row>
    <row r="547">
      <c r="A547" s="65"/>
      <c r="B547" s="65"/>
      <c r="C547" s="14"/>
      <c r="D547" s="14"/>
      <c r="E547" s="14"/>
      <c r="F547" s="65"/>
      <c r="G547" s="65"/>
      <c r="H547" s="65"/>
      <c r="I547" s="65"/>
      <c r="J547" s="65"/>
      <c r="K547" s="65"/>
      <c r="L547" s="65"/>
      <c r="M547" s="65"/>
      <c r="N547" s="65"/>
      <c r="O547" s="65"/>
      <c r="P547" s="14"/>
      <c r="Q547" s="14"/>
      <c r="R547" s="14"/>
      <c r="S547" s="14"/>
      <c r="T547" s="14"/>
      <c r="U547" s="14"/>
      <c r="V547" s="14"/>
      <c r="W547" s="14"/>
      <c r="X547" s="14"/>
      <c r="Y547" s="14"/>
      <c r="Z547" s="14"/>
      <c r="AA547" s="14"/>
    </row>
    <row r="548">
      <c r="A548" s="65"/>
      <c r="B548" s="65"/>
      <c r="C548" s="14"/>
      <c r="D548" s="14"/>
      <c r="E548" s="14"/>
      <c r="F548" s="65"/>
      <c r="G548" s="65"/>
      <c r="H548" s="65"/>
      <c r="I548" s="65"/>
      <c r="J548" s="65"/>
      <c r="K548" s="65"/>
      <c r="L548" s="65"/>
      <c r="M548" s="65"/>
      <c r="N548" s="65"/>
      <c r="O548" s="65"/>
      <c r="P548" s="14"/>
      <c r="Q548" s="14"/>
      <c r="R548" s="14"/>
      <c r="S548" s="14"/>
      <c r="T548" s="14"/>
      <c r="U548" s="14"/>
      <c r="V548" s="14"/>
      <c r="W548" s="14"/>
      <c r="X548" s="14"/>
      <c r="Y548" s="14"/>
      <c r="Z548" s="14"/>
      <c r="AA548" s="14"/>
    </row>
    <row r="549">
      <c r="A549" s="65"/>
      <c r="B549" s="65"/>
      <c r="C549" s="14"/>
      <c r="D549" s="14"/>
      <c r="E549" s="14"/>
      <c r="F549" s="65"/>
      <c r="G549" s="65"/>
      <c r="H549" s="65"/>
      <c r="I549" s="65"/>
      <c r="J549" s="65"/>
      <c r="K549" s="65"/>
      <c r="L549" s="65"/>
      <c r="M549" s="65"/>
      <c r="N549" s="65"/>
      <c r="O549" s="65"/>
      <c r="P549" s="14"/>
      <c r="Q549" s="14"/>
      <c r="R549" s="14"/>
      <c r="S549" s="14"/>
      <c r="T549" s="14"/>
      <c r="U549" s="14"/>
      <c r="V549" s="14"/>
      <c r="W549" s="14"/>
      <c r="X549" s="14"/>
      <c r="Y549" s="14"/>
      <c r="Z549" s="14"/>
      <c r="AA549" s="14"/>
    </row>
    <row r="550">
      <c r="A550" s="65"/>
      <c r="B550" s="65"/>
      <c r="C550" s="14"/>
      <c r="D550" s="14"/>
      <c r="E550" s="14"/>
      <c r="F550" s="65"/>
      <c r="G550" s="65"/>
      <c r="H550" s="65"/>
      <c r="I550" s="65"/>
      <c r="J550" s="65"/>
      <c r="K550" s="65"/>
      <c r="L550" s="65"/>
      <c r="M550" s="65"/>
      <c r="N550" s="65"/>
      <c r="O550" s="65"/>
      <c r="P550" s="14"/>
      <c r="Q550" s="14"/>
      <c r="R550" s="14"/>
      <c r="S550" s="14"/>
      <c r="T550" s="14"/>
      <c r="U550" s="14"/>
      <c r="V550" s="14"/>
      <c r="W550" s="14"/>
      <c r="X550" s="14"/>
      <c r="Y550" s="14"/>
      <c r="Z550" s="14"/>
      <c r="AA550" s="14"/>
    </row>
    <row r="551">
      <c r="A551" s="65"/>
      <c r="B551" s="65"/>
      <c r="C551" s="14"/>
      <c r="D551" s="14"/>
      <c r="E551" s="14"/>
      <c r="F551" s="65"/>
      <c r="G551" s="65"/>
      <c r="H551" s="65"/>
      <c r="I551" s="65"/>
      <c r="J551" s="65"/>
      <c r="K551" s="65"/>
      <c r="L551" s="65"/>
      <c r="M551" s="65"/>
      <c r="N551" s="65"/>
      <c r="O551" s="65"/>
      <c r="P551" s="14"/>
      <c r="Q551" s="14"/>
      <c r="R551" s="14"/>
      <c r="S551" s="14"/>
      <c r="T551" s="14"/>
      <c r="U551" s="14"/>
      <c r="V551" s="14"/>
      <c r="W551" s="14"/>
      <c r="X551" s="14"/>
      <c r="Y551" s="14"/>
      <c r="Z551" s="14"/>
      <c r="AA551" s="14"/>
    </row>
    <row r="552">
      <c r="A552" s="65"/>
      <c r="B552" s="65"/>
      <c r="C552" s="14"/>
      <c r="D552" s="14"/>
      <c r="E552" s="14"/>
      <c r="F552" s="65"/>
      <c r="G552" s="65"/>
      <c r="H552" s="65"/>
      <c r="I552" s="65"/>
      <c r="J552" s="65"/>
      <c r="K552" s="65"/>
      <c r="L552" s="65"/>
      <c r="M552" s="65"/>
      <c r="N552" s="65"/>
      <c r="O552" s="65"/>
      <c r="P552" s="14"/>
      <c r="Q552" s="14"/>
      <c r="R552" s="14"/>
      <c r="S552" s="14"/>
      <c r="T552" s="14"/>
      <c r="U552" s="14"/>
      <c r="V552" s="14"/>
      <c r="W552" s="14"/>
      <c r="X552" s="14"/>
      <c r="Y552" s="14"/>
      <c r="Z552" s="14"/>
      <c r="AA552" s="14"/>
    </row>
    <row r="553">
      <c r="A553" s="65"/>
      <c r="B553" s="65"/>
      <c r="C553" s="14"/>
      <c r="D553" s="14"/>
      <c r="E553" s="14"/>
      <c r="F553" s="65"/>
      <c r="G553" s="65"/>
      <c r="H553" s="65"/>
      <c r="I553" s="65"/>
      <c r="J553" s="65"/>
      <c r="K553" s="65"/>
      <c r="L553" s="65"/>
      <c r="M553" s="65"/>
      <c r="N553" s="65"/>
      <c r="O553" s="65"/>
      <c r="P553" s="14"/>
      <c r="Q553" s="14"/>
      <c r="R553" s="14"/>
      <c r="S553" s="14"/>
      <c r="T553" s="14"/>
      <c r="U553" s="14"/>
      <c r="V553" s="14"/>
      <c r="W553" s="14"/>
      <c r="X553" s="14"/>
      <c r="Y553" s="14"/>
      <c r="Z553" s="14"/>
      <c r="AA553" s="14"/>
    </row>
    <row r="554">
      <c r="A554" s="65"/>
      <c r="B554" s="65"/>
      <c r="C554" s="14"/>
      <c r="D554" s="14"/>
      <c r="E554" s="14"/>
      <c r="F554" s="65"/>
      <c r="G554" s="65"/>
      <c r="H554" s="65"/>
      <c r="I554" s="65"/>
      <c r="J554" s="65"/>
      <c r="K554" s="65"/>
      <c r="L554" s="65"/>
      <c r="M554" s="65"/>
      <c r="N554" s="65"/>
      <c r="O554" s="65"/>
      <c r="P554" s="14"/>
      <c r="Q554" s="14"/>
      <c r="R554" s="14"/>
      <c r="S554" s="14"/>
      <c r="T554" s="14"/>
      <c r="U554" s="14"/>
      <c r="V554" s="14"/>
      <c r="W554" s="14"/>
      <c r="X554" s="14"/>
      <c r="Y554" s="14"/>
      <c r="Z554" s="14"/>
      <c r="AA554" s="14"/>
    </row>
    <row r="555">
      <c r="A555" s="65"/>
      <c r="B555" s="65"/>
      <c r="C555" s="14"/>
      <c r="D555" s="14"/>
      <c r="E555" s="14"/>
      <c r="F555" s="65"/>
      <c r="G555" s="65"/>
      <c r="H555" s="65"/>
      <c r="I555" s="65"/>
      <c r="J555" s="65"/>
      <c r="K555" s="65"/>
      <c r="L555" s="65"/>
      <c r="M555" s="65"/>
      <c r="N555" s="65"/>
      <c r="O555" s="65"/>
      <c r="P555" s="14"/>
      <c r="Q555" s="14"/>
      <c r="R555" s="14"/>
      <c r="S555" s="14"/>
      <c r="T555" s="14"/>
      <c r="U555" s="14"/>
      <c r="V555" s="14"/>
      <c r="W555" s="14"/>
      <c r="X555" s="14"/>
      <c r="Y555" s="14"/>
      <c r="Z555" s="14"/>
      <c r="AA555" s="14"/>
    </row>
    <row r="556">
      <c r="A556" s="65"/>
      <c r="B556" s="65"/>
      <c r="C556" s="14"/>
      <c r="D556" s="14"/>
      <c r="E556" s="14"/>
      <c r="F556" s="65"/>
      <c r="G556" s="65"/>
      <c r="H556" s="65"/>
      <c r="I556" s="65"/>
      <c r="J556" s="65"/>
      <c r="K556" s="65"/>
      <c r="L556" s="65"/>
      <c r="M556" s="65"/>
      <c r="N556" s="65"/>
      <c r="O556" s="65"/>
      <c r="P556" s="14"/>
      <c r="Q556" s="14"/>
      <c r="R556" s="14"/>
      <c r="S556" s="14"/>
      <c r="T556" s="14"/>
      <c r="U556" s="14"/>
      <c r="V556" s="14"/>
      <c r="W556" s="14"/>
      <c r="X556" s="14"/>
      <c r="Y556" s="14"/>
      <c r="Z556" s="14"/>
      <c r="AA556" s="14"/>
    </row>
    <row r="557">
      <c r="A557" s="65"/>
      <c r="B557" s="65"/>
      <c r="C557" s="14"/>
      <c r="D557" s="14"/>
      <c r="E557" s="14"/>
      <c r="F557" s="65"/>
      <c r="G557" s="65"/>
      <c r="H557" s="65"/>
      <c r="I557" s="65"/>
      <c r="J557" s="65"/>
      <c r="K557" s="65"/>
      <c r="L557" s="65"/>
      <c r="M557" s="65"/>
      <c r="N557" s="65"/>
      <c r="O557" s="65"/>
      <c r="P557" s="14"/>
      <c r="Q557" s="14"/>
      <c r="R557" s="14"/>
      <c r="S557" s="14"/>
      <c r="T557" s="14"/>
      <c r="U557" s="14"/>
      <c r="V557" s="14"/>
      <c r="W557" s="14"/>
      <c r="X557" s="14"/>
      <c r="Y557" s="14"/>
      <c r="Z557" s="14"/>
      <c r="AA557" s="14"/>
    </row>
    <row r="558">
      <c r="A558" s="65"/>
      <c r="B558" s="65"/>
      <c r="C558" s="14"/>
      <c r="D558" s="14"/>
      <c r="E558" s="14"/>
      <c r="F558" s="65"/>
      <c r="G558" s="65"/>
      <c r="H558" s="65"/>
      <c r="I558" s="65"/>
      <c r="J558" s="65"/>
      <c r="K558" s="65"/>
      <c r="L558" s="65"/>
      <c r="M558" s="65"/>
      <c r="N558" s="65"/>
      <c r="O558" s="65"/>
      <c r="P558" s="14"/>
      <c r="Q558" s="14"/>
      <c r="R558" s="14"/>
      <c r="S558" s="14"/>
      <c r="T558" s="14"/>
      <c r="U558" s="14"/>
      <c r="V558" s="14"/>
      <c r="W558" s="14"/>
      <c r="X558" s="14"/>
      <c r="Y558" s="14"/>
      <c r="Z558" s="14"/>
      <c r="AA558" s="14"/>
    </row>
    <row r="559">
      <c r="A559" s="65"/>
      <c r="B559" s="65"/>
      <c r="C559" s="14"/>
      <c r="D559" s="14"/>
      <c r="E559" s="14"/>
      <c r="F559" s="65"/>
      <c r="G559" s="65"/>
      <c r="H559" s="65"/>
      <c r="I559" s="65"/>
      <c r="J559" s="65"/>
      <c r="K559" s="65"/>
      <c r="L559" s="65"/>
      <c r="M559" s="65"/>
      <c r="N559" s="65"/>
      <c r="O559" s="65"/>
      <c r="P559" s="14"/>
      <c r="Q559" s="14"/>
      <c r="R559" s="14"/>
      <c r="S559" s="14"/>
      <c r="T559" s="14"/>
      <c r="U559" s="14"/>
      <c r="V559" s="14"/>
      <c r="W559" s="14"/>
      <c r="X559" s="14"/>
      <c r="Y559" s="14"/>
      <c r="Z559" s="14"/>
      <c r="AA559" s="14"/>
    </row>
    <row r="560">
      <c r="A560" s="65"/>
      <c r="B560" s="65"/>
      <c r="C560" s="14"/>
      <c r="D560" s="14"/>
      <c r="E560" s="14"/>
      <c r="F560" s="65"/>
      <c r="G560" s="65"/>
      <c r="H560" s="65"/>
      <c r="I560" s="65"/>
      <c r="J560" s="65"/>
      <c r="K560" s="65"/>
      <c r="L560" s="65"/>
      <c r="M560" s="65"/>
      <c r="N560" s="65"/>
      <c r="O560" s="65"/>
      <c r="P560" s="14"/>
      <c r="Q560" s="14"/>
      <c r="R560" s="14"/>
      <c r="S560" s="14"/>
      <c r="T560" s="14"/>
      <c r="U560" s="14"/>
      <c r="V560" s="14"/>
      <c r="W560" s="14"/>
      <c r="X560" s="14"/>
      <c r="Y560" s="14"/>
      <c r="Z560" s="14"/>
      <c r="AA560" s="14"/>
    </row>
    <row r="561">
      <c r="A561" s="65"/>
      <c r="B561" s="65"/>
      <c r="C561" s="14"/>
      <c r="D561" s="14"/>
      <c r="E561" s="14"/>
      <c r="F561" s="65"/>
      <c r="G561" s="65"/>
      <c r="H561" s="65"/>
      <c r="I561" s="65"/>
      <c r="J561" s="65"/>
      <c r="K561" s="65"/>
      <c r="L561" s="65"/>
      <c r="M561" s="65"/>
      <c r="N561" s="65"/>
      <c r="O561" s="65"/>
      <c r="P561" s="14"/>
      <c r="Q561" s="14"/>
      <c r="R561" s="14"/>
      <c r="S561" s="14"/>
      <c r="T561" s="14"/>
      <c r="U561" s="14"/>
      <c r="V561" s="14"/>
      <c r="W561" s="14"/>
      <c r="X561" s="14"/>
      <c r="Y561" s="14"/>
      <c r="Z561" s="14"/>
      <c r="AA561" s="14"/>
    </row>
    <row r="562">
      <c r="A562" s="65"/>
      <c r="B562" s="65"/>
      <c r="C562" s="14"/>
      <c r="D562" s="14"/>
      <c r="E562" s="14"/>
      <c r="F562" s="65"/>
      <c r="G562" s="65"/>
      <c r="H562" s="65"/>
      <c r="I562" s="65"/>
      <c r="J562" s="65"/>
      <c r="K562" s="65"/>
      <c r="L562" s="65"/>
      <c r="M562" s="65"/>
      <c r="N562" s="65"/>
      <c r="O562" s="65"/>
      <c r="P562" s="14"/>
      <c r="Q562" s="14"/>
      <c r="R562" s="14"/>
      <c r="S562" s="14"/>
      <c r="T562" s="14"/>
      <c r="U562" s="14"/>
      <c r="V562" s="14"/>
      <c r="W562" s="14"/>
      <c r="X562" s="14"/>
      <c r="Y562" s="14"/>
      <c r="Z562" s="14"/>
      <c r="AA562" s="14"/>
    </row>
    <row r="563">
      <c r="A563" s="65"/>
      <c r="B563" s="65"/>
      <c r="C563" s="14"/>
      <c r="D563" s="14"/>
      <c r="E563" s="14"/>
      <c r="F563" s="65"/>
      <c r="G563" s="65"/>
      <c r="H563" s="65"/>
      <c r="I563" s="65"/>
      <c r="J563" s="65"/>
      <c r="K563" s="65"/>
      <c r="L563" s="65"/>
      <c r="M563" s="65"/>
      <c r="N563" s="65"/>
      <c r="O563" s="65"/>
      <c r="P563" s="14"/>
      <c r="Q563" s="14"/>
      <c r="R563" s="14"/>
      <c r="S563" s="14"/>
      <c r="T563" s="14"/>
      <c r="U563" s="14"/>
      <c r="V563" s="14"/>
      <c r="W563" s="14"/>
      <c r="X563" s="14"/>
      <c r="Y563" s="14"/>
      <c r="Z563" s="14"/>
      <c r="AA563" s="14"/>
    </row>
    <row r="564">
      <c r="A564" s="65"/>
      <c r="B564" s="65"/>
      <c r="C564" s="14"/>
      <c r="D564" s="14"/>
      <c r="E564" s="14"/>
      <c r="F564" s="65"/>
      <c r="G564" s="65"/>
      <c r="H564" s="65"/>
      <c r="I564" s="65"/>
      <c r="J564" s="65"/>
      <c r="K564" s="65"/>
      <c r="L564" s="65"/>
      <c r="M564" s="65"/>
      <c r="N564" s="65"/>
      <c r="O564" s="65"/>
      <c r="P564" s="14"/>
      <c r="Q564" s="14"/>
      <c r="R564" s="14"/>
      <c r="S564" s="14"/>
      <c r="T564" s="14"/>
      <c r="U564" s="14"/>
      <c r="V564" s="14"/>
      <c r="W564" s="14"/>
      <c r="X564" s="14"/>
      <c r="Y564" s="14"/>
      <c r="Z564" s="14"/>
      <c r="AA564" s="14"/>
    </row>
    <row r="565">
      <c r="A565" s="65"/>
      <c r="B565" s="65"/>
      <c r="C565" s="14"/>
      <c r="D565" s="14"/>
      <c r="E565" s="14"/>
      <c r="F565" s="65"/>
      <c r="G565" s="65"/>
      <c r="H565" s="65"/>
      <c r="I565" s="65"/>
      <c r="J565" s="65"/>
      <c r="K565" s="65"/>
      <c r="L565" s="65"/>
      <c r="M565" s="65"/>
      <c r="N565" s="65"/>
      <c r="O565" s="65"/>
      <c r="P565" s="14"/>
      <c r="Q565" s="14"/>
      <c r="R565" s="14"/>
      <c r="S565" s="14"/>
      <c r="T565" s="14"/>
      <c r="U565" s="14"/>
      <c r="V565" s="14"/>
      <c r="W565" s="14"/>
      <c r="X565" s="14"/>
      <c r="Y565" s="14"/>
      <c r="Z565" s="14"/>
      <c r="AA565" s="14"/>
    </row>
    <row r="566">
      <c r="A566" s="65"/>
      <c r="B566" s="65"/>
      <c r="C566" s="14"/>
      <c r="D566" s="14"/>
      <c r="E566" s="14"/>
      <c r="F566" s="65"/>
      <c r="G566" s="65"/>
      <c r="H566" s="65"/>
      <c r="I566" s="65"/>
      <c r="J566" s="65"/>
      <c r="K566" s="65"/>
      <c r="L566" s="65"/>
      <c r="M566" s="65"/>
      <c r="N566" s="65"/>
      <c r="O566" s="65"/>
      <c r="P566" s="14"/>
      <c r="Q566" s="14"/>
      <c r="R566" s="14"/>
      <c r="S566" s="14"/>
      <c r="T566" s="14"/>
      <c r="U566" s="14"/>
      <c r="V566" s="14"/>
      <c r="W566" s="14"/>
      <c r="X566" s="14"/>
      <c r="Y566" s="14"/>
      <c r="Z566" s="14"/>
      <c r="AA566" s="14"/>
    </row>
    <row r="567">
      <c r="A567" s="65"/>
      <c r="B567" s="65"/>
      <c r="C567" s="14"/>
      <c r="D567" s="14"/>
      <c r="E567" s="14"/>
      <c r="F567" s="65"/>
      <c r="G567" s="65"/>
      <c r="H567" s="65"/>
      <c r="I567" s="65"/>
      <c r="J567" s="65"/>
      <c r="K567" s="65"/>
      <c r="L567" s="65"/>
      <c r="M567" s="65"/>
      <c r="N567" s="65"/>
      <c r="O567" s="65"/>
      <c r="P567" s="14"/>
      <c r="Q567" s="14"/>
      <c r="R567" s="14"/>
      <c r="S567" s="14"/>
      <c r="T567" s="14"/>
      <c r="U567" s="14"/>
      <c r="V567" s="14"/>
      <c r="W567" s="14"/>
      <c r="X567" s="14"/>
      <c r="Y567" s="14"/>
      <c r="Z567" s="14"/>
      <c r="AA567" s="14"/>
    </row>
    <row r="568">
      <c r="A568" s="65"/>
      <c r="B568" s="65"/>
      <c r="C568" s="14"/>
      <c r="D568" s="14"/>
      <c r="E568" s="14"/>
      <c r="F568" s="65"/>
      <c r="G568" s="65"/>
      <c r="H568" s="65"/>
      <c r="I568" s="65"/>
      <c r="J568" s="65"/>
      <c r="K568" s="65"/>
      <c r="L568" s="65"/>
      <c r="M568" s="65"/>
      <c r="N568" s="65"/>
      <c r="O568" s="65"/>
      <c r="P568" s="14"/>
      <c r="Q568" s="14"/>
      <c r="R568" s="14"/>
      <c r="S568" s="14"/>
      <c r="T568" s="14"/>
      <c r="U568" s="14"/>
      <c r="V568" s="14"/>
      <c r="W568" s="14"/>
      <c r="X568" s="14"/>
      <c r="Y568" s="14"/>
      <c r="Z568" s="14"/>
      <c r="AA568" s="14"/>
    </row>
    <row r="569">
      <c r="A569" s="65"/>
      <c r="B569" s="65"/>
      <c r="C569" s="14"/>
      <c r="D569" s="14"/>
      <c r="E569" s="14"/>
      <c r="F569" s="65"/>
      <c r="G569" s="65"/>
      <c r="H569" s="65"/>
      <c r="I569" s="65"/>
      <c r="J569" s="65"/>
      <c r="K569" s="65"/>
      <c r="L569" s="65"/>
      <c r="M569" s="65"/>
      <c r="N569" s="65"/>
      <c r="O569" s="65"/>
      <c r="P569" s="14"/>
      <c r="Q569" s="14"/>
      <c r="R569" s="14"/>
      <c r="S569" s="14"/>
      <c r="T569" s="14"/>
      <c r="U569" s="14"/>
      <c r="V569" s="14"/>
      <c r="W569" s="14"/>
      <c r="X569" s="14"/>
      <c r="Y569" s="14"/>
      <c r="Z569" s="14"/>
      <c r="AA569" s="14"/>
    </row>
    <row r="570">
      <c r="A570" s="65"/>
      <c r="B570" s="65"/>
      <c r="C570" s="14"/>
      <c r="D570" s="14"/>
      <c r="E570" s="14"/>
      <c r="F570" s="65"/>
      <c r="G570" s="65"/>
      <c r="H570" s="65"/>
      <c r="I570" s="65"/>
      <c r="J570" s="65"/>
      <c r="K570" s="65"/>
      <c r="L570" s="65"/>
      <c r="M570" s="65"/>
      <c r="N570" s="65"/>
      <c r="O570" s="65"/>
      <c r="P570" s="14"/>
      <c r="Q570" s="14"/>
      <c r="R570" s="14"/>
      <c r="S570" s="14"/>
      <c r="T570" s="14"/>
      <c r="U570" s="14"/>
      <c r="V570" s="14"/>
      <c r="W570" s="14"/>
      <c r="X570" s="14"/>
      <c r="Y570" s="14"/>
      <c r="Z570" s="14"/>
      <c r="AA570" s="14"/>
    </row>
    <row r="571">
      <c r="A571" s="65"/>
      <c r="B571" s="65"/>
      <c r="C571" s="14"/>
      <c r="D571" s="14"/>
      <c r="E571" s="14"/>
      <c r="F571" s="65"/>
      <c r="G571" s="65"/>
      <c r="H571" s="65"/>
      <c r="I571" s="65"/>
      <c r="J571" s="65"/>
      <c r="K571" s="65"/>
      <c r="L571" s="65"/>
      <c r="M571" s="65"/>
      <c r="N571" s="65"/>
      <c r="O571" s="65"/>
      <c r="P571" s="14"/>
      <c r="Q571" s="14"/>
      <c r="R571" s="14"/>
      <c r="S571" s="14"/>
      <c r="T571" s="14"/>
      <c r="U571" s="14"/>
      <c r="V571" s="14"/>
      <c r="W571" s="14"/>
      <c r="X571" s="14"/>
      <c r="Y571" s="14"/>
      <c r="Z571" s="14"/>
      <c r="AA571" s="14"/>
    </row>
    <row r="572">
      <c r="A572" s="65"/>
      <c r="B572" s="65"/>
      <c r="C572" s="14"/>
      <c r="D572" s="14"/>
      <c r="E572" s="14"/>
      <c r="F572" s="65"/>
      <c r="G572" s="65"/>
      <c r="H572" s="65"/>
      <c r="I572" s="65"/>
      <c r="J572" s="65"/>
      <c r="K572" s="65"/>
      <c r="L572" s="65"/>
      <c r="M572" s="65"/>
      <c r="N572" s="65"/>
      <c r="O572" s="65"/>
      <c r="P572" s="14"/>
      <c r="Q572" s="14"/>
      <c r="R572" s="14"/>
      <c r="S572" s="14"/>
      <c r="T572" s="14"/>
      <c r="U572" s="14"/>
      <c r="V572" s="14"/>
      <c r="W572" s="14"/>
      <c r="X572" s="14"/>
      <c r="Y572" s="14"/>
      <c r="Z572" s="14"/>
      <c r="AA572" s="14"/>
    </row>
    <row r="573">
      <c r="A573" s="65"/>
      <c r="B573" s="65"/>
      <c r="C573" s="14"/>
      <c r="D573" s="14"/>
      <c r="E573" s="14"/>
      <c r="F573" s="65"/>
      <c r="G573" s="65"/>
      <c r="H573" s="65"/>
      <c r="I573" s="65"/>
      <c r="J573" s="65"/>
      <c r="K573" s="65"/>
      <c r="L573" s="65"/>
      <c r="M573" s="65"/>
      <c r="N573" s="65"/>
      <c r="O573" s="65"/>
      <c r="P573" s="14"/>
      <c r="Q573" s="14"/>
      <c r="R573" s="14"/>
      <c r="S573" s="14"/>
      <c r="T573" s="14"/>
      <c r="U573" s="14"/>
      <c r="V573" s="14"/>
      <c r="W573" s="14"/>
      <c r="X573" s="14"/>
      <c r="Y573" s="14"/>
      <c r="Z573" s="14"/>
      <c r="AA573" s="14"/>
    </row>
    <row r="574">
      <c r="A574" s="65"/>
      <c r="B574" s="65"/>
      <c r="C574" s="14"/>
      <c r="D574" s="14"/>
      <c r="E574" s="14"/>
      <c r="F574" s="65"/>
      <c r="G574" s="65"/>
      <c r="H574" s="65"/>
      <c r="I574" s="65"/>
      <c r="J574" s="65"/>
      <c r="K574" s="65"/>
      <c r="L574" s="65"/>
      <c r="M574" s="65"/>
      <c r="N574" s="65"/>
      <c r="O574" s="65"/>
      <c r="P574" s="14"/>
      <c r="Q574" s="14"/>
      <c r="R574" s="14"/>
      <c r="S574" s="14"/>
      <c r="T574" s="14"/>
      <c r="U574" s="14"/>
      <c r="V574" s="14"/>
      <c r="W574" s="14"/>
      <c r="X574" s="14"/>
      <c r="Y574" s="14"/>
      <c r="Z574" s="14"/>
      <c r="AA574" s="14"/>
    </row>
    <row r="575">
      <c r="A575" s="65"/>
      <c r="B575" s="65"/>
      <c r="C575" s="14"/>
      <c r="D575" s="14"/>
      <c r="E575" s="14"/>
      <c r="F575" s="65"/>
      <c r="G575" s="65"/>
      <c r="H575" s="65"/>
      <c r="I575" s="65"/>
      <c r="J575" s="65"/>
      <c r="K575" s="65"/>
      <c r="L575" s="65"/>
      <c r="M575" s="65"/>
      <c r="N575" s="65"/>
      <c r="O575" s="65"/>
      <c r="P575" s="14"/>
      <c r="Q575" s="14"/>
      <c r="R575" s="14"/>
      <c r="S575" s="14"/>
      <c r="T575" s="14"/>
      <c r="U575" s="14"/>
      <c r="V575" s="14"/>
      <c r="W575" s="14"/>
      <c r="X575" s="14"/>
      <c r="Y575" s="14"/>
      <c r="Z575" s="14"/>
      <c r="AA575" s="14"/>
    </row>
    <row r="576">
      <c r="A576" s="65"/>
      <c r="B576" s="65"/>
      <c r="C576" s="14"/>
      <c r="D576" s="14"/>
      <c r="E576" s="14"/>
      <c r="F576" s="65"/>
      <c r="G576" s="65"/>
      <c r="H576" s="65"/>
      <c r="I576" s="65"/>
      <c r="J576" s="65"/>
      <c r="K576" s="65"/>
      <c r="L576" s="65"/>
      <c r="M576" s="65"/>
      <c r="N576" s="65"/>
      <c r="O576" s="65"/>
      <c r="P576" s="14"/>
      <c r="Q576" s="14"/>
      <c r="R576" s="14"/>
      <c r="S576" s="14"/>
      <c r="T576" s="14"/>
      <c r="U576" s="14"/>
      <c r="V576" s="14"/>
      <c r="W576" s="14"/>
      <c r="X576" s="14"/>
      <c r="Y576" s="14"/>
      <c r="Z576" s="14"/>
      <c r="AA576" s="14"/>
    </row>
    <row r="577">
      <c r="A577" s="65"/>
      <c r="B577" s="65"/>
      <c r="C577" s="14"/>
      <c r="D577" s="14"/>
      <c r="E577" s="14"/>
      <c r="F577" s="65"/>
      <c r="G577" s="65"/>
      <c r="H577" s="65"/>
      <c r="I577" s="65"/>
      <c r="J577" s="65"/>
      <c r="K577" s="65"/>
      <c r="L577" s="65"/>
      <c r="M577" s="65"/>
      <c r="N577" s="65"/>
      <c r="O577" s="65"/>
      <c r="P577" s="14"/>
      <c r="Q577" s="14"/>
      <c r="R577" s="14"/>
      <c r="S577" s="14"/>
      <c r="T577" s="14"/>
      <c r="U577" s="14"/>
      <c r="V577" s="14"/>
      <c r="W577" s="14"/>
      <c r="X577" s="14"/>
      <c r="Y577" s="14"/>
      <c r="Z577" s="14"/>
      <c r="AA577" s="14"/>
    </row>
    <row r="578">
      <c r="A578" s="65"/>
      <c r="B578" s="65"/>
      <c r="C578" s="14"/>
      <c r="D578" s="14"/>
      <c r="E578" s="14"/>
      <c r="F578" s="65"/>
      <c r="G578" s="65"/>
      <c r="H578" s="65"/>
      <c r="I578" s="65"/>
      <c r="J578" s="65"/>
      <c r="K578" s="65"/>
      <c r="L578" s="65"/>
      <c r="M578" s="65"/>
      <c r="N578" s="65"/>
      <c r="O578" s="65"/>
      <c r="P578" s="14"/>
      <c r="Q578" s="14"/>
      <c r="R578" s="14"/>
      <c r="S578" s="14"/>
      <c r="T578" s="14"/>
      <c r="U578" s="14"/>
      <c r="V578" s="14"/>
      <c r="W578" s="14"/>
      <c r="X578" s="14"/>
      <c r="Y578" s="14"/>
      <c r="Z578" s="14"/>
      <c r="AA578" s="14"/>
    </row>
    <row r="579">
      <c r="A579" s="65"/>
      <c r="B579" s="65"/>
      <c r="C579" s="14"/>
      <c r="D579" s="14"/>
      <c r="E579" s="14"/>
      <c r="F579" s="65"/>
      <c r="G579" s="65"/>
      <c r="H579" s="65"/>
      <c r="I579" s="65"/>
      <c r="J579" s="65"/>
      <c r="K579" s="65"/>
      <c r="L579" s="65"/>
      <c r="M579" s="65"/>
      <c r="N579" s="65"/>
      <c r="O579" s="65"/>
      <c r="P579" s="14"/>
      <c r="Q579" s="14"/>
      <c r="R579" s="14"/>
      <c r="S579" s="14"/>
      <c r="T579" s="14"/>
      <c r="U579" s="14"/>
      <c r="V579" s="14"/>
      <c r="W579" s="14"/>
      <c r="X579" s="14"/>
      <c r="Y579" s="14"/>
      <c r="Z579" s="14"/>
      <c r="AA579" s="14"/>
    </row>
    <row r="580">
      <c r="A580" s="65"/>
      <c r="B580" s="65"/>
      <c r="C580" s="14"/>
      <c r="D580" s="14"/>
      <c r="E580" s="14"/>
      <c r="F580" s="65"/>
      <c r="G580" s="65"/>
      <c r="H580" s="65"/>
      <c r="I580" s="65"/>
      <c r="J580" s="65"/>
      <c r="K580" s="65"/>
      <c r="L580" s="65"/>
      <c r="M580" s="65"/>
      <c r="N580" s="65"/>
      <c r="O580" s="65"/>
      <c r="P580" s="14"/>
      <c r="Q580" s="14"/>
      <c r="R580" s="14"/>
      <c r="S580" s="14"/>
      <c r="T580" s="14"/>
      <c r="U580" s="14"/>
      <c r="V580" s="14"/>
      <c r="W580" s="14"/>
      <c r="X580" s="14"/>
      <c r="Y580" s="14"/>
      <c r="Z580" s="14"/>
      <c r="AA580" s="14"/>
    </row>
    <row r="581">
      <c r="A581" s="65"/>
      <c r="B581" s="65"/>
      <c r="C581" s="14"/>
      <c r="D581" s="14"/>
      <c r="E581" s="14"/>
      <c r="F581" s="65"/>
      <c r="G581" s="65"/>
      <c r="H581" s="65"/>
      <c r="I581" s="65"/>
      <c r="J581" s="65"/>
      <c r="K581" s="65"/>
      <c r="L581" s="65"/>
      <c r="M581" s="65"/>
      <c r="N581" s="65"/>
      <c r="O581" s="65"/>
      <c r="P581" s="14"/>
      <c r="Q581" s="14"/>
      <c r="R581" s="14"/>
      <c r="S581" s="14"/>
      <c r="T581" s="14"/>
      <c r="U581" s="14"/>
      <c r="V581" s="14"/>
      <c r="W581" s="14"/>
      <c r="X581" s="14"/>
      <c r="Y581" s="14"/>
      <c r="Z581" s="14"/>
      <c r="AA581" s="14"/>
    </row>
    <row r="582">
      <c r="A582" s="65"/>
      <c r="B582" s="65"/>
      <c r="C582" s="14"/>
      <c r="D582" s="14"/>
      <c r="E582" s="14"/>
      <c r="F582" s="65"/>
      <c r="G582" s="65"/>
      <c r="H582" s="65"/>
      <c r="I582" s="65"/>
      <c r="J582" s="65"/>
      <c r="K582" s="65"/>
      <c r="L582" s="65"/>
      <c r="M582" s="65"/>
      <c r="N582" s="65"/>
      <c r="O582" s="65"/>
      <c r="P582" s="14"/>
      <c r="Q582" s="14"/>
      <c r="R582" s="14"/>
      <c r="S582" s="14"/>
      <c r="T582" s="14"/>
      <c r="U582" s="14"/>
      <c r="V582" s="14"/>
      <c r="W582" s="14"/>
      <c r="X582" s="14"/>
      <c r="Y582" s="14"/>
      <c r="Z582" s="14"/>
      <c r="AA582" s="14"/>
    </row>
    <row r="583">
      <c r="A583" s="65"/>
      <c r="B583" s="65"/>
      <c r="C583" s="14"/>
      <c r="D583" s="14"/>
      <c r="E583" s="14"/>
      <c r="F583" s="65"/>
      <c r="G583" s="65"/>
      <c r="H583" s="65"/>
      <c r="I583" s="65"/>
      <c r="J583" s="65"/>
      <c r="K583" s="65"/>
      <c r="L583" s="65"/>
      <c r="M583" s="65"/>
      <c r="N583" s="65"/>
      <c r="O583" s="65"/>
      <c r="P583" s="14"/>
      <c r="Q583" s="14"/>
      <c r="R583" s="14"/>
      <c r="S583" s="14"/>
      <c r="T583" s="14"/>
      <c r="U583" s="14"/>
      <c r="V583" s="14"/>
      <c r="W583" s="14"/>
      <c r="X583" s="14"/>
      <c r="Y583" s="14"/>
      <c r="Z583" s="14"/>
      <c r="AA583" s="14"/>
    </row>
    <row r="584">
      <c r="A584" s="65"/>
      <c r="B584" s="65"/>
      <c r="C584" s="14"/>
      <c r="D584" s="14"/>
      <c r="E584" s="14"/>
      <c r="F584" s="65"/>
      <c r="G584" s="65"/>
      <c r="H584" s="65"/>
      <c r="I584" s="65"/>
      <c r="J584" s="65"/>
      <c r="K584" s="65"/>
      <c r="L584" s="65"/>
      <c r="M584" s="65"/>
      <c r="N584" s="65"/>
      <c r="O584" s="65"/>
      <c r="P584" s="14"/>
      <c r="Q584" s="14"/>
      <c r="R584" s="14"/>
      <c r="S584" s="14"/>
      <c r="T584" s="14"/>
      <c r="U584" s="14"/>
      <c r="V584" s="14"/>
      <c r="W584" s="14"/>
      <c r="X584" s="14"/>
      <c r="Y584" s="14"/>
      <c r="Z584" s="14"/>
      <c r="AA584" s="14"/>
    </row>
    <row r="585">
      <c r="A585" s="65"/>
      <c r="B585" s="65"/>
      <c r="C585" s="14"/>
      <c r="D585" s="14"/>
      <c r="E585" s="14"/>
      <c r="F585" s="65"/>
      <c r="G585" s="65"/>
      <c r="H585" s="65"/>
      <c r="I585" s="65"/>
      <c r="J585" s="65"/>
      <c r="K585" s="65"/>
      <c r="L585" s="65"/>
      <c r="M585" s="65"/>
      <c r="N585" s="65"/>
      <c r="O585" s="65"/>
      <c r="P585" s="14"/>
      <c r="Q585" s="14"/>
      <c r="R585" s="14"/>
      <c r="S585" s="14"/>
      <c r="T585" s="14"/>
      <c r="U585" s="14"/>
      <c r="V585" s="14"/>
      <c r="W585" s="14"/>
      <c r="X585" s="14"/>
      <c r="Y585" s="14"/>
      <c r="Z585" s="14"/>
      <c r="AA585" s="14"/>
    </row>
    <row r="586">
      <c r="A586" s="65"/>
      <c r="B586" s="65"/>
      <c r="C586" s="14"/>
      <c r="D586" s="14"/>
      <c r="E586" s="14"/>
      <c r="F586" s="65"/>
      <c r="G586" s="65"/>
      <c r="H586" s="65"/>
      <c r="I586" s="65"/>
      <c r="J586" s="65"/>
      <c r="K586" s="65"/>
      <c r="L586" s="65"/>
      <c r="M586" s="65"/>
      <c r="N586" s="65"/>
      <c r="O586" s="65"/>
      <c r="P586" s="14"/>
      <c r="Q586" s="14"/>
      <c r="R586" s="14"/>
      <c r="S586" s="14"/>
      <c r="T586" s="14"/>
      <c r="U586" s="14"/>
      <c r="V586" s="14"/>
      <c r="W586" s="14"/>
      <c r="X586" s="14"/>
      <c r="Y586" s="14"/>
      <c r="Z586" s="14"/>
      <c r="AA586" s="14"/>
    </row>
    <row r="587">
      <c r="A587" s="65"/>
      <c r="B587" s="65"/>
      <c r="C587" s="14"/>
      <c r="D587" s="14"/>
      <c r="E587" s="14"/>
      <c r="F587" s="65"/>
      <c r="G587" s="65"/>
      <c r="H587" s="65"/>
      <c r="I587" s="65"/>
      <c r="J587" s="65"/>
      <c r="K587" s="65"/>
      <c r="L587" s="65"/>
      <c r="M587" s="65"/>
      <c r="N587" s="65"/>
      <c r="O587" s="65"/>
      <c r="P587" s="14"/>
      <c r="Q587" s="14"/>
      <c r="R587" s="14"/>
      <c r="S587" s="14"/>
      <c r="T587" s="14"/>
      <c r="U587" s="14"/>
      <c r="V587" s="14"/>
      <c r="W587" s="14"/>
      <c r="X587" s="14"/>
      <c r="Y587" s="14"/>
      <c r="Z587" s="14"/>
      <c r="AA587" s="14"/>
    </row>
    <row r="588">
      <c r="A588" s="65"/>
      <c r="B588" s="65"/>
      <c r="C588" s="14"/>
      <c r="D588" s="14"/>
      <c r="E588" s="14"/>
      <c r="F588" s="65"/>
      <c r="G588" s="65"/>
      <c r="H588" s="65"/>
      <c r="I588" s="65"/>
      <c r="J588" s="65"/>
      <c r="K588" s="65"/>
      <c r="L588" s="65"/>
      <c r="M588" s="65"/>
      <c r="N588" s="65"/>
      <c r="O588" s="65"/>
      <c r="P588" s="14"/>
      <c r="Q588" s="14"/>
      <c r="R588" s="14"/>
      <c r="S588" s="14"/>
      <c r="T588" s="14"/>
      <c r="U588" s="14"/>
      <c r="V588" s="14"/>
      <c r="W588" s="14"/>
      <c r="X588" s="14"/>
      <c r="Y588" s="14"/>
      <c r="Z588" s="14"/>
      <c r="AA588" s="14"/>
    </row>
    <row r="589">
      <c r="A589" s="65"/>
      <c r="B589" s="65"/>
      <c r="C589" s="14"/>
      <c r="D589" s="14"/>
      <c r="E589" s="14"/>
      <c r="F589" s="65"/>
      <c r="G589" s="65"/>
      <c r="H589" s="65"/>
      <c r="I589" s="65"/>
      <c r="J589" s="65"/>
      <c r="K589" s="65"/>
      <c r="L589" s="65"/>
      <c r="M589" s="65"/>
      <c r="N589" s="65"/>
      <c r="O589" s="65"/>
      <c r="P589" s="14"/>
      <c r="Q589" s="14"/>
      <c r="R589" s="14"/>
      <c r="S589" s="14"/>
      <c r="T589" s="14"/>
      <c r="U589" s="14"/>
      <c r="V589" s="14"/>
      <c r="W589" s="14"/>
      <c r="X589" s="14"/>
      <c r="Y589" s="14"/>
      <c r="Z589" s="14"/>
      <c r="AA589" s="14"/>
    </row>
    <row r="590">
      <c r="A590" s="65"/>
      <c r="B590" s="65"/>
      <c r="C590" s="14"/>
      <c r="D590" s="14"/>
      <c r="E590" s="14"/>
      <c r="F590" s="65"/>
      <c r="G590" s="65"/>
      <c r="H590" s="65"/>
      <c r="I590" s="65"/>
      <c r="J590" s="65"/>
      <c r="K590" s="65"/>
      <c r="L590" s="65"/>
      <c r="M590" s="65"/>
      <c r="N590" s="65"/>
      <c r="O590" s="65"/>
      <c r="P590" s="14"/>
      <c r="Q590" s="14"/>
      <c r="R590" s="14"/>
      <c r="S590" s="14"/>
      <c r="T590" s="14"/>
      <c r="U590" s="14"/>
      <c r="V590" s="14"/>
      <c r="W590" s="14"/>
      <c r="X590" s="14"/>
      <c r="Y590" s="14"/>
      <c r="Z590" s="14"/>
      <c r="AA590" s="14"/>
    </row>
    <row r="591">
      <c r="A591" s="65"/>
      <c r="B591" s="65"/>
      <c r="C591" s="14"/>
      <c r="D591" s="14"/>
      <c r="E591" s="14"/>
      <c r="F591" s="65"/>
      <c r="G591" s="65"/>
      <c r="H591" s="65"/>
      <c r="I591" s="65"/>
      <c r="J591" s="65"/>
      <c r="K591" s="65"/>
      <c r="L591" s="65"/>
      <c r="M591" s="65"/>
      <c r="N591" s="65"/>
      <c r="O591" s="65"/>
      <c r="P591" s="14"/>
      <c r="Q591" s="14"/>
      <c r="R591" s="14"/>
      <c r="S591" s="14"/>
      <c r="T591" s="14"/>
      <c r="U591" s="14"/>
      <c r="V591" s="14"/>
      <c r="W591" s="14"/>
      <c r="X591" s="14"/>
      <c r="Y591" s="14"/>
      <c r="Z591" s="14"/>
      <c r="AA591" s="14"/>
    </row>
    <row r="592">
      <c r="A592" s="65"/>
      <c r="B592" s="65"/>
      <c r="C592" s="14"/>
      <c r="D592" s="14"/>
      <c r="E592" s="14"/>
      <c r="F592" s="65"/>
      <c r="G592" s="65"/>
      <c r="H592" s="65"/>
      <c r="I592" s="65"/>
      <c r="J592" s="65"/>
      <c r="K592" s="65"/>
      <c r="L592" s="65"/>
      <c r="M592" s="65"/>
      <c r="N592" s="65"/>
      <c r="O592" s="65"/>
      <c r="P592" s="14"/>
      <c r="Q592" s="14"/>
      <c r="R592" s="14"/>
      <c r="S592" s="14"/>
      <c r="T592" s="14"/>
      <c r="U592" s="14"/>
      <c r="V592" s="14"/>
      <c r="W592" s="14"/>
      <c r="X592" s="14"/>
      <c r="Y592" s="14"/>
      <c r="Z592" s="14"/>
      <c r="AA592" s="14"/>
    </row>
    <row r="593">
      <c r="A593" s="65"/>
      <c r="B593" s="65"/>
      <c r="C593" s="14"/>
      <c r="D593" s="14"/>
      <c r="E593" s="14"/>
      <c r="F593" s="65"/>
      <c r="G593" s="65"/>
      <c r="H593" s="65"/>
      <c r="I593" s="65"/>
      <c r="J593" s="65"/>
      <c r="K593" s="65"/>
      <c r="L593" s="65"/>
      <c r="M593" s="65"/>
      <c r="N593" s="65"/>
      <c r="O593" s="65"/>
      <c r="P593" s="14"/>
      <c r="Q593" s="14"/>
      <c r="R593" s="14"/>
      <c r="S593" s="14"/>
      <c r="T593" s="14"/>
      <c r="U593" s="14"/>
      <c r="V593" s="14"/>
      <c r="W593" s="14"/>
      <c r="X593" s="14"/>
      <c r="Y593" s="14"/>
      <c r="Z593" s="14"/>
      <c r="AA593" s="14"/>
    </row>
    <row r="594">
      <c r="A594" s="65"/>
      <c r="B594" s="65"/>
      <c r="C594" s="14"/>
      <c r="D594" s="14"/>
      <c r="E594" s="14"/>
      <c r="F594" s="65"/>
      <c r="G594" s="65"/>
      <c r="H594" s="65"/>
      <c r="I594" s="65"/>
      <c r="J594" s="65"/>
      <c r="K594" s="65"/>
      <c r="L594" s="65"/>
      <c r="M594" s="65"/>
      <c r="N594" s="65"/>
      <c r="O594" s="65"/>
      <c r="P594" s="14"/>
      <c r="Q594" s="14"/>
      <c r="R594" s="14"/>
      <c r="S594" s="14"/>
      <c r="T594" s="14"/>
      <c r="U594" s="14"/>
      <c r="V594" s="14"/>
      <c r="W594" s="14"/>
      <c r="X594" s="14"/>
      <c r="Y594" s="14"/>
      <c r="Z594" s="14"/>
      <c r="AA594" s="14"/>
    </row>
    <row r="595">
      <c r="A595" s="65"/>
      <c r="B595" s="65"/>
      <c r="C595" s="14"/>
      <c r="D595" s="14"/>
      <c r="E595" s="14"/>
      <c r="F595" s="65"/>
      <c r="G595" s="65"/>
      <c r="H595" s="65"/>
      <c r="I595" s="65"/>
      <c r="J595" s="65"/>
      <c r="K595" s="65"/>
      <c r="L595" s="65"/>
      <c r="M595" s="65"/>
      <c r="N595" s="65"/>
      <c r="O595" s="65"/>
      <c r="P595" s="14"/>
      <c r="Q595" s="14"/>
      <c r="R595" s="14"/>
      <c r="S595" s="14"/>
      <c r="T595" s="14"/>
      <c r="U595" s="14"/>
      <c r="V595" s="14"/>
      <c r="W595" s="14"/>
      <c r="X595" s="14"/>
      <c r="Y595" s="14"/>
      <c r="Z595" s="14"/>
      <c r="AA595" s="14"/>
    </row>
    <row r="596">
      <c r="A596" s="65"/>
      <c r="B596" s="65"/>
      <c r="C596" s="14"/>
      <c r="D596" s="14"/>
      <c r="E596" s="14"/>
      <c r="F596" s="65"/>
      <c r="G596" s="65"/>
      <c r="H596" s="65"/>
      <c r="I596" s="65"/>
      <c r="J596" s="65"/>
      <c r="K596" s="65"/>
      <c r="L596" s="65"/>
      <c r="M596" s="65"/>
      <c r="N596" s="65"/>
      <c r="O596" s="65"/>
      <c r="P596" s="14"/>
      <c r="Q596" s="14"/>
      <c r="R596" s="14"/>
      <c r="S596" s="14"/>
      <c r="T596" s="14"/>
      <c r="U596" s="14"/>
      <c r="V596" s="14"/>
      <c r="W596" s="14"/>
      <c r="X596" s="14"/>
      <c r="Y596" s="14"/>
      <c r="Z596" s="14"/>
      <c r="AA596" s="14"/>
    </row>
    <row r="597">
      <c r="A597" s="65"/>
      <c r="B597" s="65"/>
      <c r="C597" s="14"/>
      <c r="D597" s="14"/>
      <c r="E597" s="14"/>
      <c r="F597" s="65"/>
      <c r="G597" s="65"/>
      <c r="H597" s="65"/>
      <c r="I597" s="65"/>
      <c r="J597" s="65"/>
      <c r="K597" s="65"/>
      <c r="L597" s="65"/>
      <c r="M597" s="65"/>
      <c r="N597" s="65"/>
      <c r="O597" s="65"/>
      <c r="P597" s="14"/>
      <c r="Q597" s="14"/>
      <c r="R597" s="14"/>
      <c r="S597" s="14"/>
      <c r="T597" s="14"/>
      <c r="U597" s="14"/>
      <c r="V597" s="14"/>
      <c r="W597" s="14"/>
      <c r="X597" s="14"/>
      <c r="Y597" s="14"/>
      <c r="Z597" s="14"/>
      <c r="AA597" s="14"/>
    </row>
    <row r="598">
      <c r="A598" s="65"/>
      <c r="B598" s="65"/>
      <c r="C598" s="14"/>
      <c r="D598" s="14"/>
      <c r="E598" s="14"/>
      <c r="F598" s="65"/>
      <c r="G598" s="65"/>
      <c r="H598" s="65"/>
      <c r="I598" s="65"/>
      <c r="J598" s="65"/>
      <c r="K598" s="65"/>
      <c r="L598" s="65"/>
      <c r="M598" s="65"/>
      <c r="N598" s="65"/>
      <c r="O598" s="65"/>
      <c r="P598" s="14"/>
      <c r="Q598" s="14"/>
      <c r="R598" s="14"/>
      <c r="S598" s="14"/>
      <c r="T598" s="14"/>
      <c r="U598" s="14"/>
      <c r="V598" s="14"/>
      <c r="W598" s="14"/>
      <c r="X598" s="14"/>
      <c r="Y598" s="14"/>
      <c r="Z598" s="14"/>
      <c r="AA598" s="14"/>
    </row>
    <row r="599">
      <c r="A599" s="65"/>
      <c r="B599" s="65"/>
      <c r="C599" s="14"/>
      <c r="D599" s="14"/>
      <c r="E599" s="14"/>
      <c r="F599" s="65"/>
      <c r="G599" s="65"/>
      <c r="H599" s="65"/>
      <c r="I599" s="65"/>
      <c r="J599" s="65"/>
      <c r="K599" s="65"/>
      <c r="L599" s="65"/>
      <c r="M599" s="65"/>
      <c r="N599" s="65"/>
      <c r="O599" s="65"/>
      <c r="P599" s="14"/>
      <c r="Q599" s="14"/>
      <c r="R599" s="14"/>
      <c r="S599" s="14"/>
      <c r="T599" s="14"/>
      <c r="U599" s="14"/>
      <c r="V599" s="14"/>
      <c r="W599" s="14"/>
      <c r="X599" s="14"/>
      <c r="Y599" s="14"/>
      <c r="Z599" s="14"/>
      <c r="AA599" s="14"/>
    </row>
    <row r="600">
      <c r="A600" s="65"/>
      <c r="B600" s="65"/>
      <c r="C600" s="14"/>
      <c r="D600" s="14"/>
      <c r="E600" s="14"/>
      <c r="F600" s="65"/>
      <c r="G600" s="65"/>
      <c r="H600" s="65"/>
      <c r="I600" s="65"/>
      <c r="J600" s="65"/>
      <c r="K600" s="65"/>
      <c r="L600" s="65"/>
      <c r="M600" s="65"/>
      <c r="N600" s="65"/>
      <c r="O600" s="65"/>
      <c r="P600" s="14"/>
      <c r="Q600" s="14"/>
      <c r="R600" s="14"/>
      <c r="S600" s="14"/>
      <c r="T600" s="14"/>
      <c r="U600" s="14"/>
      <c r="V600" s="14"/>
      <c r="W600" s="14"/>
      <c r="X600" s="14"/>
      <c r="Y600" s="14"/>
      <c r="Z600" s="14"/>
      <c r="AA600" s="14"/>
    </row>
    <row r="601">
      <c r="A601" s="65"/>
      <c r="B601" s="65"/>
      <c r="C601" s="14"/>
      <c r="D601" s="14"/>
      <c r="E601" s="14"/>
      <c r="F601" s="65"/>
      <c r="G601" s="65"/>
      <c r="H601" s="65"/>
      <c r="I601" s="65"/>
      <c r="J601" s="65"/>
      <c r="K601" s="65"/>
      <c r="L601" s="65"/>
      <c r="M601" s="65"/>
      <c r="N601" s="65"/>
      <c r="O601" s="65"/>
      <c r="P601" s="14"/>
      <c r="Q601" s="14"/>
      <c r="R601" s="14"/>
      <c r="S601" s="14"/>
      <c r="T601" s="14"/>
      <c r="U601" s="14"/>
      <c r="V601" s="14"/>
      <c r="W601" s="14"/>
      <c r="X601" s="14"/>
      <c r="Y601" s="14"/>
      <c r="Z601" s="14"/>
      <c r="AA601" s="14"/>
    </row>
    <row r="602">
      <c r="A602" s="65"/>
      <c r="B602" s="65"/>
      <c r="C602" s="14"/>
      <c r="D602" s="14"/>
      <c r="E602" s="14"/>
      <c r="F602" s="65"/>
      <c r="G602" s="65"/>
      <c r="H602" s="65"/>
      <c r="I602" s="65"/>
      <c r="J602" s="65"/>
      <c r="K602" s="65"/>
      <c r="L602" s="65"/>
      <c r="M602" s="65"/>
      <c r="N602" s="65"/>
      <c r="O602" s="65"/>
      <c r="P602" s="14"/>
      <c r="Q602" s="14"/>
      <c r="R602" s="14"/>
      <c r="S602" s="14"/>
      <c r="T602" s="14"/>
      <c r="U602" s="14"/>
      <c r="V602" s="14"/>
      <c r="W602" s="14"/>
      <c r="X602" s="14"/>
      <c r="Y602" s="14"/>
      <c r="Z602" s="14"/>
      <c r="AA602" s="14"/>
    </row>
    <row r="603">
      <c r="A603" s="65"/>
      <c r="B603" s="65"/>
      <c r="C603" s="14"/>
      <c r="D603" s="14"/>
      <c r="E603" s="14"/>
      <c r="F603" s="65"/>
      <c r="G603" s="65"/>
      <c r="H603" s="65"/>
      <c r="I603" s="65"/>
      <c r="J603" s="65"/>
      <c r="K603" s="65"/>
      <c r="L603" s="65"/>
      <c r="M603" s="65"/>
      <c r="N603" s="65"/>
      <c r="O603" s="65"/>
      <c r="P603" s="14"/>
      <c r="Q603" s="14"/>
      <c r="R603" s="14"/>
      <c r="S603" s="14"/>
      <c r="T603" s="14"/>
      <c r="U603" s="14"/>
      <c r="V603" s="14"/>
      <c r="W603" s="14"/>
      <c r="X603" s="14"/>
      <c r="Y603" s="14"/>
      <c r="Z603" s="14"/>
      <c r="AA603" s="14"/>
    </row>
    <row r="604">
      <c r="A604" s="65"/>
      <c r="B604" s="65"/>
      <c r="C604" s="14"/>
      <c r="D604" s="14"/>
      <c r="E604" s="14"/>
      <c r="F604" s="65"/>
      <c r="G604" s="65"/>
      <c r="H604" s="65"/>
      <c r="I604" s="65"/>
      <c r="J604" s="65"/>
      <c r="K604" s="65"/>
      <c r="L604" s="65"/>
      <c r="M604" s="65"/>
      <c r="N604" s="65"/>
      <c r="O604" s="65"/>
      <c r="P604" s="14"/>
      <c r="Q604" s="14"/>
      <c r="R604" s="14"/>
      <c r="S604" s="14"/>
      <c r="T604" s="14"/>
      <c r="U604" s="14"/>
      <c r="V604" s="14"/>
      <c r="W604" s="14"/>
      <c r="X604" s="14"/>
      <c r="Y604" s="14"/>
      <c r="Z604" s="14"/>
      <c r="AA604" s="14"/>
    </row>
    <row r="605">
      <c r="A605" s="65"/>
      <c r="B605" s="65"/>
      <c r="C605" s="14"/>
      <c r="D605" s="14"/>
      <c r="E605" s="14"/>
      <c r="F605" s="65"/>
      <c r="G605" s="65"/>
      <c r="H605" s="65"/>
      <c r="I605" s="65"/>
      <c r="J605" s="65"/>
      <c r="K605" s="65"/>
      <c r="L605" s="65"/>
      <c r="M605" s="65"/>
      <c r="N605" s="65"/>
      <c r="O605" s="65"/>
      <c r="P605" s="14"/>
      <c r="Q605" s="14"/>
      <c r="R605" s="14"/>
      <c r="S605" s="14"/>
      <c r="T605" s="14"/>
      <c r="U605" s="14"/>
      <c r="V605" s="14"/>
      <c r="W605" s="14"/>
      <c r="X605" s="14"/>
      <c r="Y605" s="14"/>
      <c r="Z605" s="14"/>
      <c r="AA605" s="14"/>
    </row>
    <row r="606">
      <c r="A606" s="65"/>
      <c r="B606" s="65"/>
      <c r="C606" s="14"/>
      <c r="D606" s="14"/>
      <c r="E606" s="14"/>
      <c r="F606" s="65"/>
      <c r="G606" s="65"/>
      <c r="H606" s="65"/>
      <c r="I606" s="65"/>
      <c r="J606" s="65"/>
      <c r="K606" s="65"/>
      <c r="L606" s="65"/>
      <c r="M606" s="65"/>
      <c r="N606" s="65"/>
      <c r="O606" s="65"/>
      <c r="P606" s="14"/>
      <c r="Q606" s="14"/>
      <c r="R606" s="14"/>
      <c r="S606" s="14"/>
      <c r="T606" s="14"/>
      <c r="U606" s="14"/>
      <c r="V606" s="14"/>
      <c r="W606" s="14"/>
      <c r="X606" s="14"/>
      <c r="Y606" s="14"/>
      <c r="Z606" s="14"/>
      <c r="AA606" s="14"/>
    </row>
    <row r="607">
      <c r="A607" s="65"/>
      <c r="B607" s="65"/>
      <c r="C607" s="14"/>
      <c r="D607" s="14"/>
      <c r="E607" s="14"/>
      <c r="F607" s="65"/>
      <c r="G607" s="65"/>
      <c r="H607" s="65"/>
      <c r="I607" s="65"/>
      <c r="J607" s="65"/>
      <c r="K607" s="65"/>
      <c r="L607" s="65"/>
      <c r="M607" s="65"/>
      <c r="N607" s="65"/>
      <c r="O607" s="65"/>
      <c r="P607" s="14"/>
      <c r="Q607" s="14"/>
      <c r="R607" s="14"/>
      <c r="S607" s="14"/>
      <c r="T607" s="14"/>
      <c r="U607" s="14"/>
      <c r="V607" s="14"/>
      <c r="W607" s="14"/>
      <c r="X607" s="14"/>
      <c r="Y607" s="14"/>
      <c r="Z607" s="14"/>
      <c r="AA607" s="14"/>
    </row>
    <row r="608">
      <c r="A608" s="65"/>
      <c r="B608" s="65"/>
      <c r="C608" s="14"/>
      <c r="D608" s="14"/>
      <c r="E608" s="14"/>
      <c r="F608" s="65"/>
      <c r="G608" s="65"/>
      <c r="H608" s="65"/>
      <c r="I608" s="65"/>
      <c r="J608" s="65"/>
      <c r="K608" s="65"/>
      <c r="L608" s="65"/>
      <c r="M608" s="65"/>
      <c r="N608" s="65"/>
      <c r="O608" s="65"/>
      <c r="P608" s="14"/>
      <c r="Q608" s="14"/>
      <c r="R608" s="14"/>
      <c r="S608" s="14"/>
      <c r="T608" s="14"/>
      <c r="U608" s="14"/>
      <c r="V608" s="14"/>
      <c r="W608" s="14"/>
      <c r="X608" s="14"/>
      <c r="Y608" s="14"/>
      <c r="Z608" s="14"/>
      <c r="AA608" s="14"/>
    </row>
    <row r="609">
      <c r="A609" s="65"/>
      <c r="B609" s="65"/>
      <c r="C609" s="14"/>
      <c r="D609" s="14"/>
      <c r="E609" s="14"/>
      <c r="F609" s="65"/>
      <c r="G609" s="65"/>
      <c r="H609" s="65"/>
      <c r="I609" s="65"/>
      <c r="J609" s="65"/>
      <c r="K609" s="65"/>
      <c r="L609" s="65"/>
      <c r="M609" s="65"/>
      <c r="N609" s="65"/>
      <c r="O609" s="65"/>
      <c r="P609" s="14"/>
      <c r="Q609" s="14"/>
      <c r="R609" s="14"/>
      <c r="S609" s="14"/>
      <c r="T609" s="14"/>
      <c r="U609" s="14"/>
      <c r="V609" s="14"/>
      <c r="W609" s="14"/>
      <c r="X609" s="14"/>
      <c r="Y609" s="14"/>
      <c r="Z609" s="14"/>
      <c r="AA609" s="14"/>
    </row>
    <row r="610">
      <c r="A610" s="65"/>
      <c r="B610" s="65"/>
      <c r="C610" s="14"/>
      <c r="D610" s="14"/>
      <c r="E610" s="14"/>
      <c r="F610" s="65"/>
      <c r="G610" s="65"/>
      <c r="H610" s="65"/>
      <c r="I610" s="65"/>
      <c r="J610" s="65"/>
      <c r="K610" s="65"/>
      <c r="L610" s="65"/>
      <c r="M610" s="65"/>
      <c r="N610" s="65"/>
      <c r="O610" s="65"/>
      <c r="P610" s="14"/>
      <c r="Q610" s="14"/>
      <c r="R610" s="14"/>
      <c r="S610" s="14"/>
      <c r="T610" s="14"/>
      <c r="U610" s="14"/>
      <c r="V610" s="14"/>
      <c r="W610" s="14"/>
      <c r="X610" s="14"/>
      <c r="Y610" s="14"/>
      <c r="Z610" s="14"/>
      <c r="AA610" s="14"/>
    </row>
    <row r="611">
      <c r="A611" s="65"/>
      <c r="B611" s="65"/>
      <c r="C611" s="14"/>
      <c r="D611" s="14"/>
      <c r="E611" s="14"/>
      <c r="F611" s="65"/>
      <c r="G611" s="65"/>
      <c r="H611" s="65"/>
      <c r="I611" s="65"/>
      <c r="J611" s="65"/>
      <c r="K611" s="65"/>
      <c r="L611" s="65"/>
      <c r="M611" s="65"/>
      <c r="N611" s="65"/>
      <c r="O611" s="65"/>
      <c r="P611" s="14"/>
      <c r="Q611" s="14"/>
      <c r="R611" s="14"/>
      <c r="S611" s="14"/>
      <c r="T611" s="14"/>
      <c r="U611" s="14"/>
      <c r="V611" s="14"/>
      <c r="W611" s="14"/>
      <c r="X611" s="14"/>
      <c r="Y611" s="14"/>
      <c r="Z611" s="14"/>
      <c r="AA611" s="14"/>
    </row>
    <row r="612">
      <c r="A612" s="65"/>
      <c r="B612" s="65"/>
      <c r="C612" s="14"/>
      <c r="D612" s="14"/>
      <c r="E612" s="14"/>
      <c r="F612" s="65"/>
      <c r="G612" s="65"/>
      <c r="H612" s="65"/>
      <c r="I612" s="65"/>
      <c r="J612" s="65"/>
      <c r="K612" s="65"/>
      <c r="L612" s="65"/>
      <c r="M612" s="65"/>
      <c r="N612" s="65"/>
      <c r="O612" s="65"/>
      <c r="P612" s="14"/>
      <c r="Q612" s="14"/>
      <c r="R612" s="14"/>
      <c r="S612" s="14"/>
      <c r="T612" s="14"/>
      <c r="U612" s="14"/>
      <c r="V612" s="14"/>
      <c r="W612" s="14"/>
      <c r="X612" s="14"/>
      <c r="Y612" s="14"/>
      <c r="Z612" s="14"/>
      <c r="AA612" s="14"/>
    </row>
    <row r="613">
      <c r="A613" s="65"/>
      <c r="B613" s="65"/>
      <c r="C613" s="14"/>
      <c r="D613" s="14"/>
      <c r="E613" s="14"/>
      <c r="F613" s="65"/>
      <c r="G613" s="65"/>
      <c r="H613" s="65"/>
      <c r="I613" s="65"/>
      <c r="J613" s="65"/>
      <c r="K613" s="65"/>
      <c r="L613" s="65"/>
      <c r="M613" s="65"/>
      <c r="N613" s="65"/>
      <c r="O613" s="65"/>
      <c r="P613" s="14"/>
      <c r="Q613" s="14"/>
      <c r="R613" s="14"/>
      <c r="S613" s="14"/>
      <c r="T613" s="14"/>
      <c r="U613" s="14"/>
      <c r="V613" s="14"/>
      <c r="W613" s="14"/>
      <c r="X613" s="14"/>
      <c r="Y613" s="14"/>
      <c r="Z613" s="14"/>
      <c r="AA613" s="14"/>
    </row>
    <row r="614">
      <c r="A614" s="65"/>
      <c r="B614" s="65"/>
      <c r="C614" s="14"/>
      <c r="D614" s="14"/>
      <c r="E614" s="14"/>
      <c r="F614" s="65"/>
      <c r="G614" s="65"/>
      <c r="H614" s="65"/>
      <c r="I614" s="65"/>
      <c r="J614" s="65"/>
      <c r="K614" s="65"/>
      <c r="L614" s="65"/>
      <c r="M614" s="65"/>
      <c r="N614" s="65"/>
      <c r="O614" s="65"/>
      <c r="P614" s="14"/>
      <c r="Q614" s="14"/>
      <c r="R614" s="14"/>
      <c r="S614" s="14"/>
      <c r="T614" s="14"/>
      <c r="U614" s="14"/>
      <c r="V614" s="14"/>
      <c r="W614" s="14"/>
      <c r="X614" s="14"/>
      <c r="Y614" s="14"/>
      <c r="Z614" s="14"/>
      <c r="AA614" s="14"/>
    </row>
    <row r="615">
      <c r="A615" s="65"/>
      <c r="B615" s="65"/>
      <c r="C615" s="14"/>
      <c r="D615" s="14"/>
      <c r="E615" s="14"/>
      <c r="F615" s="65"/>
      <c r="G615" s="65"/>
      <c r="H615" s="65"/>
      <c r="I615" s="65"/>
      <c r="J615" s="65"/>
      <c r="K615" s="65"/>
      <c r="L615" s="65"/>
      <c r="M615" s="65"/>
      <c r="N615" s="65"/>
      <c r="O615" s="65"/>
      <c r="P615" s="14"/>
      <c r="Q615" s="14"/>
      <c r="R615" s="14"/>
      <c r="S615" s="14"/>
      <c r="T615" s="14"/>
      <c r="U615" s="14"/>
      <c r="V615" s="14"/>
      <c r="W615" s="14"/>
      <c r="X615" s="14"/>
      <c r="Y615" s="14"/>
      <c r="Z615" s="14"/>
      <c r="AA615" s="14"/>
    </row>
    <row r="616">
      <c r="A616" s="65"/>
      <c r="B616" s="65"/>
      <c r="C616" s="14"/>
      <c r="D616" s="14"/>
      <c r="E616" s="14"/>
      <c r="F616" s="65"/>
      <c r="G616" s="65"/>
      <c r="H616" s="65"/>
      <c r="I616" s="65"/>
      <c r="J616" s="65"/>
      <c r="K616" s="65"/>
      <c r="L616" s="65"/>
      <c r="M616" s="65"/>
      <c r="N616" s="65"/>
      <c r="O616" s="65"/>
      <c r="P616" s="14"/>
      <c r="Q616" s="14"/>
      <c r="R616" s="14"/>
      <c r="S616" s="14"/>
      <c r="T616" s="14"/>
      <c r="U616" s="14"/>
      <c r="V616" s="14"/>
      <c r="W616" s="14"/>
      <c r="X616" s="14"/>
      <c r="Y616" s="14"/>
      <c r="Z616" s="14"/>
      <c r="AA616" s="14"/>
    </row>
    <row r="617">
      <c r="A617" s="65"/>
      <c r="B617" s="65"/>
      <c r="C617" s="14"/>
      <c r="D617" s="14"/>
      <c r="E617" s="14"/>
      <c r="F617" s="65"/>
      <c r="G617" s="65"/>
      <c r="H617" s="65"/>
      <c r="I617" s="65"/>
      <c r="J617" s="65"/>
      <c r="K617" s="65"/>
      <c r="L617" s="65"/>
      <c r="M617" s="65"/>
      <c r="N617" s="65"/>
      <c r="O617" s="65"/>
      <c r="P617" s="14"/>
      <c r="Q617" s="14"/>
      <c r="R617" s="14"/>
      <c r="S617" s="14"/>
      <c r="T617" s="14"/>
      <c r="U617" s="14"/>
      <c r="V617" s="14"/>
      <c r="W617" s="14"/>
      <c r="X617" s="14"/>
      <c r="Y617" s="14"/>
      <c r="Z617" s="14"/>
      <c r="AA617" s="14"/>
    </row>
    <row r="618">
      <c r="A618" s="65"/>
      <c r="B618" s="65"/>
      <c r="C618" s="14"/>
      <c r="D618" s="14"/>
      <c r="E618" s="14"/>
      <c r="F618" s="65"/>
      <c r="G618" s="65"/>
      <c r="H618" s="65"/>
      <c r="I618" s="65"/>
      <c r="J618" s="65"/>
      <c r="K618" s="65"/>
      <c r="L618" s="65"/>
      <c r="M618" s="65"/>
      <c r="N618" s="65"/>
      <c r="O618" s="65"/>
      <c r="P618" s="14"/>
      <c r="Q618" s="14"/>
      <c r="R618" s="14"/>
      <c r="S618" s="14"/>
      <c r="T618" s="14"/>
      <c r="U618" s="14"/>
      <c r="V618" s="14"/>
      <c r="W618" s="14"/>
      <c r="X618" s="14"/>
      <c r="Y618" s="14"/>
      <c r="Z618" s="14"/>
      <c r="AA618" s="14"/>
    </row>
    <row r="619">
      <c r="A619" s="65"/>
      <c r="B619" s="65"/>
      <c r="C619" s="14"/>
      <c r="D619" s="14"/>
      <c r="E619" s="14"/>
      <c r="F619" s="65"/>
      <c r="G619" s="65"/>
      <c r="H619" s="65"/>
      <c r="I619" s="65"/>
      <c r="J619" s="65"/>
      <c r="K619" s="65"/>
      <c r="L619" s="65"/>
      <c r="M619" s="65"/>
      <c r="N619" s="65"/>
      <c r="O619" s="65"/>
      <c r="P619" s="14"/>
      <c r="Q619" s="14"/>
      <c r="R619" s="14"/>
      <c r="S619" s="14"/>
      <c r="T619" s="14"/>
      <c r="U619" s="14"/>
      <c r="V619" s="14"/>
      <c r="W619" s="14"/>
      <c r="X619" s="14"/>
      <c r="Y619" s="14"/>
      <c r="Z619" s="14"/>
      <c r="AA619" s="14"/>
    </row>
    <row r="620">
      <c r="A620" s="65"/>
      <c r="B620" s="65"/>
      <c r="C620" s="14"/>
      <c r="D620" s="14"/>
      <c r="E620" s="14"/>
      <c r="F620" s="65"/>
      <c r="G620" s="65"/>
      <c r="H620" s="65"/>
      <c r="I620" s="65"/>
      <c r="J620" s="65"/>
      <c r="K620" s="65"/>
      <c r="L620" s="65"/>
      <c r="M620" s="65"/>
      <c r="N620" s="65"/>
      <c r="O620" s="65"/>
      <c r="P620" s="14"/>
      <c r="Q620" s="14"/>
      <c r="R620" s="14"/>
      <c r="S620" s="14"/>
      <c r="T620" s="14"/>
      <c r="U620" s="14"/>
      <c r="V620" s="14"/>
      <c r="W620" s="14"/>
      <c r="X620" s="14"/>
      <c r="Y620" s="14"/>
      <c r="Z620" s="14"/>
      <c r="AA620" s="14"/>
    </row>
    <row r="621">
      <c r="A621" s="65"/>
      <c r="B621" s="65"/>
      <c r="C621" s="14"/>
      <c r="D621" s="14"/>
      <c r="E621" s="14"/>
      <c r="F621" s="65"/>
      <c r="G621" s="65"/>
      <c r="H621" s="65"/>
      <c r="I621" s="65"/>
      <c r="J621" s="65"/>
      <c r="K621" s="65"/>
      <c r="L621" s="65"/>
      <c r="M621" s="65"/>
      <c r="N621" s="65"/>
      <c r="O621" s="65"/>
      <c r="P621" s="14"/>
      <c r="Q621" s="14"/>
      <c r="R621" s="14"/>
      <c r="S621" s="14"/>
      <c r="T621" s="14"/>
      <c r="U621" s="14"/>
      <c r="V621" s="14"/>
      <c r="W621" s="14"/>
      <c r="X621" s="14"/>
      <c r="Y621" s="14"/>
      <c r="Z621" s="14"/>
      <c r="AA621" s="14"/>
    </row>
    <row r="622">
      <c r="A622" s="65"/>
      <c r="B622" s="65"/>
      <c r="C622" s="14"/>
      <c r="D622" s="14"/>
      <c r="E622" s="14"/>
      <c r="F622" s="65"/>
      <c r="G622" s="65"/>
      <c r="H622" s="65"/>
      <c r="I622" s="65"/>
      <c r="J622" s="65"/>
      <c r="K622" s="65"/>
      <c r="L622" s="65"/>
      <c r="M622" s="65"/>
      <c r="N622" s="65"/>
      <c r="O622" s="65"/>
      <c r="P622" s="14"/>
      <c r="Q622" s="14"/>
      <c r="R622" s="14"/>
      <c r="S622" s="14"/>
      <c r="T622" s="14"/>
      <c r="U622" s="14"/>
      <c r="V622" s="14"/>
      <c r="W622" s="14"/>
      <c r="X622" s="14"/>
      <c r="Y622" s="14"/>
      <c r="Z622" s="14"/>
      <c r="AA622" s="14"/>
    </row>
    <row r="623">
      <c r="A623" s="65"/>
      <c r="B623" s="65"/>
      <c r="C623" s="14"/>
      <c r="D623" s="14"/>
      <c r="E623" s="14"/>
      <c r="F623" s="65"/>
      <c r="G623" s="65"/>
      <c r="H623" s="65"/>
      <c r="I623" s="65"/>
      <c r="J623" s="65"/>
      <c r="K623" s="65"/>
      <c r="L623" s="65"/>
      <c r="M623" s="65"/>
      <c r="N623" s="65"/>
      <c r="O623" s="65"/>
      <c r="P623" s="14"/>
      <c r="Q623" s="14"/>
      <c r="R623" s="14"/>
      <c r="S623" s="14"/>
      <c r="T623" s="14"/>
      <c r="U623" s="14"/>
      <c r="V623" s="14"/>
      <c r="W623" s="14"/>
      <c r="X623" s="14"/>
      <c r="Y623" s="14"/>
      <c r="Z623" s="14"/>
      <c r="AA623" s="14"/>
    </row>
    <row r="624">
      <c r="A624" s="65"/>
      <c r="B624" s="65"/>
      <c r="C624" s="14"/>
      <c r="D624" s="14"/>
      <c r="E624" s="14"/>
      <c r="F624" s="65"/>
      <c r="G624" s="65"/>
      <c r="H624" s="65"/>
      <c r="I624" s="65"/>
      <c r="J624" s="65"/>
      <c r="K624" s="65"/>
      <c r="L624" s="65"/>
      <c r="M624" s="65"/>
      <c r="N624" s="65"/>
      <c r="O624" s="65"/>
      <c r="P624" s="14"/>
      <c r="Q624" s="14"/>
      <c r="R624" s="14"/>
      <c r="S624" s="14"/>
      <c r="T624" s="14"/>
      <c r="U624" s="14"/>
      <c r="V624" s="14"/>
      <c r="W624" s="14"/>
      <c r="X624" s="14"/>
      <c r="Y624" s="14"/>
      <c r="Z624" s="14"/>
      <c r="AA624" s="14"/>
    </row>
    <row r="625">
      <c r="A625" s="65"/>
      <c r="B625" s="65"/>
      <c r="C625" s="14"/>
      <c r="D625" s="14"/>
      <c r="E625" s="14"/>
      <c r="F625" s="65"/>
      <c r="G625" s="65"/>
      <c r="H625" s="65"/>
      <c r="I625" s="65"/>
      <c r="J625" s="65"/>
      <c r="K625" s="65"/>
      <c r="L625" s="65"/>
      <c r="M625" s="65"/>
      <c r="N625" s="65"/>
      <c r="O625" s="65"/>
      <c r="P625" s="14"/>
      <c r="Q625" s="14"/>
      <c r="R625" s="14"/>
      <c r="S625" s="14"/>
      <c r="T625" s="14"/>
      <c r="U625" s="14"/>
      <c r="V625" s="14"/>
      <c r="W625" s="14"/>
      <c r="X625" s="14"/>
      <c r="Y625" s="14"/>
      <c r="Z625" s="14"/>
      <c r="AA625" s="14"/>
    </row>
    <row r="626">
      <c r="A626" s="65"/>
      <c r="B626" s="65"/>
      <c r="C626" s="14"/>
      <c r="D626" s="14"/>
      <c r="E626" s="14"/>
      <c r="F626" s="65"/>
      <c r="G626" s="65"/>
      <c r="H626" s="65"/>
      <c r="I626" s="65"/>
      <c r="J626" s="65"/>
      <c r="K626" s="65"/>
      <c r="L626" s="65"/>
      <c r="M626" s="65"/>
      <c r="N626" s="65"/>
      <c r="O626" s="65"/>
      <c r="P626" s="14"/>
      <c r="Q626" s="14"/>
      <c r="R626" s="14"/>
      <c r="S626" s="14"/>
      <c r="T626" s="14"/>
      <c r="U626" s="14"/>
      <c r="V626" s="14"/>
      <c r="W626" s="14"/>
      <c r="X626" s="14"/>
      <c r="Y626" s="14"/>
      <c r="Z626" s="14"/>
      <c r="AA626" s="14"/>
    </row>
    <row r="627">
      <c r="A627" s="65"/>
      <c r="B627" s="65"/>
      <c r="C627" s="14"/>
      <c r="D627" s="14"/>
      <c r="E627" s="14"/>
      <c r="F627" s="65"/>
      <c r="G627" s="65"/>
      <c r="H627" s="65"/>
      <c r="I627" s="65"/>
      <c r="J627" s="65"/>
      <c r="K627" s="65"/>
      <c r="L627" s="65"/>
      <c r="M627" s="65"/>
      <c r="N627" s="65"/>
      <c r="O627" s="65"/>
      <c r="P627" s="14"/>
      <c r="Q627" s="14"/>
      <c r="R627" s="14"/>
      <c r="S627" s="14"/>
      <c r="T627" s="14"/>
      <c r="U627" s="14"/>
      <c r="V627" s="14"/>
      <c r="W627" s="14"/>
      <c r="X627" s="14"/>
      <c r="Y627" s="14"/>
      <c r="Z627" s="14"/>
      <c r="AA627" s="14"/>
    </row>
    <row r="628">
      <c r="A628" s="65"/>
      <c r="B628" s="65"/>
      <c r="C628" s="14"/>
      <c r="D628" s="14"/>
      <c r="E628" s="14"/>
      <c r="F628" s="65"/>
      <c r="G628" s="65"/>
      <c r="H628" s="65"/>
      <c r="I628" s="65"/>
      <c r="J628" s="65"/>
      <c r="K628" s="65"/>
      <c r="L628" s="65"/>
      <c r="M628" s="65"/>
      <c r="N628" s="65"/>
      <c r="O628" s="65"/>
      <c r="P628" s="14"/>
      <c r="Q628" s="14"/>
      <c r="R628" s="14"/>
      <c r="S628" s="14"/>
      <c r="T628" s="14"/>
      <c r="U628" s="14"/>
      <c r="V628" s="14"/>
      <c r="W628" s="14"/>
      <c r="X628" s="14"/>
      <c r="Y628" s="14"/>
      <c r="Z628" s="14"/>
      <c r="AA628" s="14"/>
    </row>
    <row r="629">
      <c r="A629" s="65"/>
      <c r="B629" s="65"/>
      <c r="C629" s="14"/>
      <c r="D629" s="14"/>
      <c r="E629" s="14"/>
      <c r="F629" s="65"/>
      <c r="G629" s="65"/>
      <c r="H629" s="65"/>
      <c r="I629" s="65"/>
      <c r="J629" s="65"/>
      <c r="K629" s="65"/>
      <c r="L629" s="65"/>
      <c r="M629" s="65"/>
      <c r="N629" s="65"/>
      <c r="O629" s="65"/>
      <c r="P629" s="14"/>
      <c r="Q629" s="14"/>
      <c r="R629" s="14"/>
      <c r="S629" s="14"/>
      <c r="T629" s="14"/>
      <c r="U629" s="14"/>
      <c r="V629" s="14"/>
      <c r="W629" s="14"/>
      <c r="X629" s="14"/>
      <c r="Y629" s="14"/>
      <c r="Z629" s="14"/>
      <c r="AA629" s="14"/>
    </row>
    <row r="630">
      <c r="A630" s="65"/>
      <c r="B630" s="65"/>
      <c r="C630" s="14"/>
      <c r="D630" s="14"/>
      <c r="E630" s="14"/>
      <c r="F630" s="65"/>
      <c r="G630" s="65"/>
      <c r="H630" s="65"/>
      <c r="I630" s="65"/>
      <c r="J630" s="65"/>
      <c r="K630" s="65"/>
      <c r="L630" s="65"/>
      <c r="M630" s="65"/>
      <c r="N630" s="65"/>
      <c r="O630" s="65"/>
      <c r="P630" s="14"/>
      <c r="Q630" s="14"/>
      <c r="R630" s="14"/>
      <c r="S630" s="14"/>
      <c r="T630" s="14"/>
      <c r="U630" s="14"/>
      <c r="V630" s="14"/>
      <c r="W630" s="14"/>
      <c r="X630" s="14"/>
      <c r="Y630" s="14"/>
      <c r="Z630" s="14"/>
      <c r="AA630" s="14"/>
    </row>
    <row r="631">
      <c r="A631" s="65"/>
      <c r="B631" s="65"/>
      <c r="C631" s="14"/>
      <c r="D631" s="14"/>
      <c r="E631" s="14"/>
      <c r="F631" s="65"/>
      <c r="G631" s="65"/>
      <c r="H631" s="65"/>
      <c r="I631" s="65"/>
      <c r="J631" s="65"/>
      <c r="K631" s="65"/>
      <c r="L631" s="65"/>
      <c r="M631" s="65"/>
      <c r="N631" s="65"/>
      <c r="O631" s="65"/>
      <c r="P631" s="14"/>
      <c r="Q631" s="14"/>
      <c r="R631" s="14"/>
      <c r="S631" s="14"/>
      <c r="T631" s="14"/>
      <c r="U631" s="14"/>
      <c r="V631" s="14"/>
      <c r="W631" s="14"/>
      <c r="X631" s="14"/>
      <c r="Y631" s="14"/>
      <c r="Z631" s="14"/>
      <c r="AA631" s="14"/>
    </row>
    <row r="632">
      <c r="A632" s="65"/>
      <c r="B632" s="65"/>
      <c r="C632" s="14"/>
      <c r="D632" s="14"/>
      <c r="E632" s="14"/>
      <c r="F632" s="65"/>
      <c r="G632" s="65"/>
      <c r="H632" s="65"/>
      <c r="I632" s="65"/>
      <c r="J632" s="65"/>
      <c r="K632" s="65"/>
      <c r="L632" s="65"/>
      <c r="M632" s="65"/>
      <c r="N632" s="65"/>
      <c r="O632" s="65"/>
      <c r="P632" s="14"/>
      <c r="Q632" s="14"/>
      <c r="R632" s="14"/>
      <c r="S632" s="14"/>
      <c r="T632" s="14"/>
      <c r="U632" s="14"/>
      <c r="V632" s="14"/>
      <c r="W632" s="14"/>
      <c r="X632" s="14"/>
      <c r="Y632" s="14"/>
      <c r="Z632" s="14"/>
      <c r="AA632" s="14"/>
    </row>
    <row r="633">
      <c r="A633" s="65"/>
      <c r="B633" s="65"/>
      <c r="C633" s="14"/>
      <c r="D633" s="14"/>
      <c r="E633" s="14"/>
      <c r="F633" s="65"/>
      <c r="G633" s="65"/>
      <c r="H633" s="65"/>
      <c r="I633" s="65"/>
      <c r="J633" s="65"/>
      <c r="K633" s="65"/>
      <c r="L633" s="65"/>
      <c r="M633" s="65"/>
      <c r="N633" s="65"/>
      <c r="O633" s="65"/>
      <c r="P633" s="14"/>
      <c r="Q633" s="14"/>
      <c r="R633" s="14"/>
      <c r="S633" s="14"/>
      <c r="T633" s="14"/>
      <c r="U633" s="14"/>
      <c r="V633" s="14"/>
      <c r="W633" s="14"/>
      <c r="X633" s="14"/>
      <c r="Y633" s="14"/>
      <c r="Z633" s="14"/>
      <c r="AA633" s="14"/>
    </row>
    <row r="634">
      <c r="A634" s="65"/>
      <c r="B634" s="65"/>
      <c r="C634" s="14"/>
      <c r="D634" s="14"/>
      <c r="E634" s="14"/>
      <c r="F634" s="65"/>
      <c r="G634" s="65"/>
      <c r="H634" s="65"/>
      <c r="I634" s="65"/>
      <c r="J634" s="65"/>
      <c r="K634" s="65"/>
      <c r="L634" s="65"/>
      <c r="M634" s="65"/>
      <c r="N634" s="65"/>
      <c r="O634" s="65"/>
      <c r="P634" s="14"/>
      <c r="Q634" s="14"/>
      <c r="R634" s="14"/>
      <c r="S634" s="14"/>
      <c r="T634" s="14"/>
      <c r="U634" s="14"/>
      <c r="V634" s="14"/>
      <c r="W634" s="14"/>
      <c r="X634" s="14"/>
      <c r="Y634" s="14"/>
      <c r="Z634" s="14"/>
      <c r="AA634" s="14"/>
    </row>
    <row r="635">
      <c r="A635" s="65"/>
      <c r="B635" s="65"/>
      <c r="C635" s="14"/>
      <c r="D635" s="14"/>
      <c r="E635" s="14"/>
      <c r="F635" s="65"/>
      <c r="G635" s="65"/>
      <c r="H635" s="65"/>
      <c r="I635" s="65"/>
      <c r="J635" s="65"/>
      <c r="K635" s="65"/>
      <c r="L635" s="65"/>
      <c r="M635" s="65"/>
      <c r="N635" s="65"/>
      <c r="O635" s="65"/>
      <c r="P635" s="14"/>
      <c r="Q635" s="14"/>
      <c r="R635" s="14"/>
      <c r="S635" s="14"/>
      <c r="T635" s="14"/>
      <c r="U635" s="14"/>
      <c r="V635" s="14"/>
      <c r="W635" s="14"/>
      <c r="X635" s="14"/>
      <c r="Y635" s="14"/>
      <c r="Z635" s="14"/>
      <c r="AA635" s="14"/>
    </row>
    <row r="636">
      <c r="A636" s="65"/>
      <c r="B636" s="65"/>
      <c r="C636" s="14"/>
      <c r="D636" s="14"/>
      <c r="E636" s="14"/>
      <c r="F636" s="65"/>
      <c r="G636" s="65"/>
      <c r="H636" s="65"/>
      <c r="I636" s="65"/>
      <c r="J636" s="65"/>
      <c r="K636" s="65"/>
      <c r="L636" s="65"/>
      <c r="M636" s="65"/>
      <c r="N636" s="65"/>
      <c r="O636" s="65"/>
      <c r="P636" s="14"/>
      <c r="Q636" s="14"/>
      <c r="R636" s="14"/>
      <c r="S636" s="14"/>
      <c r="T636" s="14"/>
      <c r="U636" s="14"/>
      <c r="V636" s="14"/>
      <c r="W636" s="14"/>
      <c r="X636" s="14"/>
      <c r="Y636" s="14"/>
      <c r="Z636" s="14"/>
      <c r="AA636" s="14"/>
    </row>
    <row r="637">
      <c r="A637" s="65"/>
      <c r="B637" s="65"/>
      <c r="C637" s="14"/>
      <c r="D637" s="14"/>
      <c r="E637" s="14"/>
      <c r="F637" s="65"/>
      <c r="G637" s="65"/>
      <c r="H637" s="65"/>
      <c r="I637" s="65"/>
      <c r="J637" s="65"/>
      <c r="K637" s="65"/>
      <c r="L637" s="65"/>
      <c r="M637" s="65"/>
      <c r="N637" s="65"/>
      <c r="O637" s="65"/>
      <c r="P637" s="14"/>
      <c r="Q637" s="14"/>
      <c r="R637" s="14"/>
      <c r="S637" s="14"/>
      <c r="T637" s="14"/>
      <c r="U637" s="14"/>
      <c r="V637" s="14"/>
      <c r="W637" s="14"/>
      <c r="X637" s="14"/>
      <c r="Y637" s="14"/>
      <c r="Z637" s="14"/>
      <c r="AA637" s="14"/>
    </row>
    <row r="638">
      <c r="A638" s="65"/>
      <c r="B638" s="65"/>
      <c r="C638" s="14"/>
      <c r="D638" s="14"/>
      <c r="E638" s="14"/>
      <c r="F638" s="65"/>
      <c r="G638" s="65"/>
      <c r="H638" s="65"/>
      <c r="I638" s="65"/>
      <c r="J638" s="65"/>
      <c r="K638" s="65"/>
      <c r="L638" s="65"/>
      <c r="M638" s="65"/>
      <c r="N638" s="65"/>
      <c r="O638" s="65"/>
      <c r="P638" s="14"/>
      <c r="Q638" s="14"/>
      <c r="R638" s="14"/>
      <c r="S638" s="14"/>
      <c r="T638" s="14"/>
      <c r="U638" s="14"/>
      <c r="V638" s="14"/>
      <c r="W638" s="14"/>
      <c r="X638" s="14"/>
      <c r="Y638" s="14"/>
      <c r="Z638" s="14"/>
      <c r="AA638" s="14"/>
    </row>
    <row r="639">
      <c r="A639" s="65"/>
      <c r="B639" s="65"/>
      <c r="C639" s="14"/>
      <c r="D639" s="14"/>
      <c r="E639" s="14"/>
      <c r="F639" s="65"/>
      <c r="G639" s="65"/>
      <c r="H639" s="65"/>
      <c r="I639" s="65"/>
      <c r="J639" s="65"/>
      <c r="K639" s="65"/>
      <c r="L639" s="65"/>
      <c r="M639" s="65"/>
      <c r="N639" s="65"/>
      <c r="O639" s="65"/>
      <c r="P639" s="14"/>
      <c r="Q639" s="14"/>
      <c r="R639" s="14"/>
      <c r="S639" s="14"/>
      <c r="T639" s="14"/>
      <c r="U639" s="14"/>
      <c r="V639" s="14"/>
      <c r="W639" s="14"/>
      <c r="X639" s="14"/>
      <c r="Y639" s="14"/>
      <c r="Z639" s="14"/>
      <c r="AA639" s="14"/>
    </row>
    <row r="640">
      <c r="A640" s="65"/>
      <c r="B640" s="65"/>
      <c r="C640" s="14"/>
      <c r="D640" s="14"/>
      <c r="E640" s="14"/>
      <c r="F640" s="65"/>
      <c r="G640" s="65"/>
      <c r="H640" s="65"/>
      <c r="I640" s="65"/>
      <c r="J640" s="65"/>
      <c r="K640" s="65"/>
      <c r="L640" s="65"/>
      <c r="M640" s="65"/>
      <c r="N640" s="65"/>
      <c r="O640" s="65"/>
      <c r="P640" s="14"/>
      <c r="Q640" s="14"/>
      <c r="R640" s="14"/>
      <c r="S640" s="14"/>
      <c r="T640" s="14"/>
      <c r="U640" s="14"/>
      <c r="V640" s="14"/>
      <c r="W640" s="14"/>
      <c r="X640" s="14"/>
      <c r="Y640" s="14"/>
      <c r="Z640" s="14"/>
      <c r="AA640" s="14"/>
    </row>
    <row r="641">
      <c r="A641" s="65"/>
      <c r="B641" s="65"/>
      <c r="C641" s="14"/>
      <c r="D641" s="14"/>
      <c r="E641" s="14"/>
      <c r="F641" s="65"/>
      <c r="G641" s="65"/>
      <c r="H641" s="65"/>
      <c r="I641" s="65"/>
      <c r="J641" s="65"/>
      <c r="K641" s="65"/>
      <c r="L641" s="65"/>
      <c r="M641" s="65"/>
      <c r="N641" s="65"/>
      <c r="O641" s="65"/>
      <c r="P641" s="14"/>
      <c r="Q641" s="14"/>
      <c r="R641" s="14"/>
      <c r="S641" s="14"/>
      <c r="T641" s="14"/>
      <c r="U641" s="14"/>
      <c r="V641" s="14"/>
      <c r="W641" s="14"/>
      <c r="X641" s="14"/>
      <c r="Y641" s="14"/>
      <c r="Z641" s="14"/>
      <c r="AA641" s="14"/>
    </row>
    <row r="642">
      <c r="A642" s="65"/>
      <c r="B642" s="65"/>
      <c r="C642" s="14"/>
      <c r="D642" s="14"/>
      <c r="E642" s="14"/>
      <c r="F642" s="65"/>
      <c r="G642" s="65"/>
      <c r="H642" s="65"/>
      <c r="I642" s="65"/>
      <c r="J642" s="65"/>
      <c r="K642" s="65"/>
      <c r="L642" s="65"/>
      <c r="M642" s="65"/>
      <c r="N642" s="65"/>
      <c r="O642" s="65"/>
      <c r="P642" s="14"/>
      <c r="Q642" s="14"/>
      <c r="R642" s="14"/>
      <c r="S642" s="14"/>
      <c r="T642" s="14"/>
      <c r="U642" s="14"/>
      <c r="V642" s="14"/>
      <c r="W642" s="14"/>
      <c r="X642" s="14"/>
      <c r="Y642" s="14"/>
      <c r="Z642" s="14"/>
      <c r="AA642" s="14"/>
    </row>
    <row r="643">
      <c r="A643" s="65"/>
      <c r="B643" s="65"/>
      <c r="C643" s="14"/>
      <c r="D643" s="14"/>
      <c r="E643" s="14"/>
      <c r="F643" s="65"/>
      <c r="G643" s="65"/>
      <c r="H643" s="65"/>
      <c r="I643" s="65"/>
      <c r="J643" s="65"/>
      <c r="K643" s="65"/>
      <c r="L643" s="65"/>
      <c r="M643" s="65"/>
      <c r="N643" s="65"/>
      <c r="O643" s="65"/>
      <c r="P643" s="14"/>
      <c r="Q643" s="14"/>
      <c r="R643" s="14"/>
      <c r="S643" s="14"/>
      <c r="T643" s="14"/>
      <c r="U643" s="14"/>
      <c r="V643" s="14"/>
      <c r="W643" s="14"/>
      <c r="X643" s="14"/>
      <c r="Y643" s="14"/>
      <c r="Z643" s="14"/>
      <c r="AA643" s="14"/>
    </row>
    <row r="644">
      <c r="A644" s="65"/>
      <c r="B644" s="65"/>
      <c r="C644" s="14"/>
      <c r="D644" s="14"/>
      <c r="E644" s="14"/>
      <c r="F644" s="65"/>
      <c r="G644" s="65"/>
      <c r="H644" s="65"/>
      <c r="I644" s="65"/>
      <c r="J644" s="65"/>
      <c r="K644" s="65"/>
      <c r="L644" s="65"/>
      <c r="M644" s="65"/>
      <c r="N644" s="65"/>
      <c r="O644" s="65"/>
      <c r="P644" s="14"/>
      <c r="Q644" s="14"/>
      <c r="R644" s="14"/>
      <c r="S644" s="14"/>
      <c r="T644" s="14"/>
      <c r="U644" s="14"/>
      <c r="V644" s="14"/>
      <c r="W644" s="14"/>
      <c r="X644" s="14"/>
      <c r="Y644" s="14"/>
      <c r="Z644" s="14"/>
      <c r="AA644" s="14"/>
    </row>
    <row r="645">
      <c r="A645" s="65"/>
      <c r="B645" s="65"/>
      <c r="C645" s="14"/>
      <c r="D645" s="14"/>
      <c r="E645" s="14"/>
      <c r="F645" s="65"/>
      <c r="G645" s="65"/>
      <c r="H645" s="65"/>
      <c r="I645" s="65"/>
      <c r="J645" s="65"/>
      <c r="K645" s="65"/>
      <c r="L645" s="65"/>
      <c r="M645" s="65"/>
      <c r="N645" s="65"/>
      <c r="O645" s="65"/>
      <c r="P645" s="14"/>
      <c r="Q645" s="14"/>
      <c r="R645" s="14"/>
      <c r="S645" s="14"/>
      <c r="T645" s="14"/>
      <c r="U645" s="14"/>
      <c r="V645" s="14"/>
      <c r="W645" s="14"/>
      <c r="X645" s="14"/>
      <c r="Y645" s="14"/>
      <c r="Z645" s="14"/>
      <c r="AA645" s="14"/>
    </row>
    <row r="646">
      <c r="A646" s="65"/>
      <c r="B646" s="65"/>
      <c r="C646" s="14"/>
      <c r="D646" s="14"/>
      <c r="E646" s="14"/>
      <c r="F646" s="65"/>
      <c r="G646" s="65"/>
      <c r="H646" s="65"/>
      <c r="I646" s="65"/>
      <c r="J646" s="65"/>
      <c r="K646" s="65"/>
      <c r="L646" s="65"/>
      <c r="M646" s="65"/>
      <c r="N646" s="65"/>
      <c r="O646" s="65"/>
      <c r="P646" s="14"/>
      <c r="Q646" s="14"/>
      <c r="R646" s="14"/>
      <c r="S646" s="14"/>
      <c r="T646" s="14"/>
      <c r="U646" s="14"/>
      <c r="V646" s="14"/>
      <c r="W646" s="14"/>
      <c r="X646" s="14"/>
      <c r="Y646" s="14"/>
      <c r="Z646" s="14"/>
      <c r="AA646" s="14"/>
    </row>
    <row r="647">
      <c r="A647" s="65"/>
      <c r="B647" s="65"/>
      <c r="C647" s="14"/>
      <c r="D647" s="14"/>
      <c r="E647" s="14"/>
      <c r="F647" s="65"/>
      <c r="G647" s="65"/>
      <c r="H647" s="65"/>
      <c r="I647" s="65"/>
      <c r="J647" s="65"/>
      <c r="K647" s="65"/>
      <c r="L647" s="65"/>
      <c r="M647" s="65"/>
      <c r="N647" s="65"/>
      <c r="O647" s="65"/>
      <c r="P647" s="14"/>
      <c r="Q647" s="14"/>
      <c r="R647" s="14"/>
      <c r="S647" s="14"/>
      <c r="T647" s="14"/>
      <c r="U647" s="14"/>
      <c r="V647" s="14"/>
      <c r="W647" s="14"/>
      <c r="X647" s="14"/>
      <c r="Y647" s="14"/>
      <c r="Z647" s="14"/>
      <c r="AA647" s="14"/>
    </row>
    <row r="648">
      <c r="A648" s="65"/>
      <c r="B648" s="65"/>
      <c r="C648" s="14"/>
      <c r="D648" s="14"/>
      <c r="E648" s="14"/>
      <c r="F648" s="65"/>
      <c r="G648" s="65"/>
      <c r="H648" s="65"/>
      <c r="I648" s="65"/>
      <c r="J648" s="65"/>
      <c r="K648" s="65"/>
      <c r="L648" s="65"/>
      <c r="M648" s="65"/>
      <c r="N648" s="65"/>
      <c r="O648" s="65"/>
      <c r="P648" s="14"/>
      <c r="Q648" s="14"/>
      <c r="R648" s="14"/>
      <c r="S648" s="14"/>
      <c r="T648" s="14"/>
      <c r="U648" s="14"/>
      <c r="V648" s="14"/>
      <c r="W648" s="14"/>
      <c r="X648" s="14"/>
      <c r="Y648" s="14"/>
      <c r="Z648" s="14"/>
      <c r="AA648" s="14"/>
    </row>
    <row r="649">
      <c r="A649" s="65"/>
      <c r="B649" s="65"/>
      <c r="C649" s="14"/>
      <c r="D649" s="14"/>
      <c r="E649" s="14"/>
      <c r="F649" s="65"/>
      <c r="G649" s="65"/>
      <c r="H649" s="65"/>
      <c r="I649" s="65"/>
      <c r="J649" s="65"/>
      <c r="K649" s="65"/>
      <c r="L649" s="65"/>
      <c r="M649" s="65"/>
      <c r="N649" s="65"/>
      <c r="O649" s="65"/>
      <c r="P649" s="14"/>
      <c r="Q649" s="14"/>
      <c r="R649" s="14"/>
      <c r="S649" s="14"/>
      <c r="T649" s="14"/>
      <c r="U649" s="14"/>
      <c r="V649" s="14"/>
      <c r="W649" s="14"/>
      <c r="X649" s="14"/>
      <c r="Y649" s="14"/>
      <c r="Z649" s="14"/>
      <c r="AA649" s="14"/>
    </row>
    <row r="650">
      <c r="A650" s="65"/>
      <c r="B650" s="65"/>
      <c r="C650" s="14"/>
      <c r="D650" s="14"/>
      <c r="E650" s="14"/>
      <c r="F650" s="65"/>
      <c r="G650" s="65"/>
      <c r="H650" s="65"/>
      <c r="I650" s="65"/>
      <c r="J650" s="65"/>
      <c r="K650" s="65"/>
      <c r="L650" s="65"/>
      <c r="M650" s="65"/>
      <c r="N650" s="65"/>
      <c r="O650" s="65"/>
      <c r="P650" s="14"/>
      <c r="Q650" s="14"/>
      <c r="R650" s="14"/>
      <c r="S650" s="14"/>
      <c r="T650" s="14"/>
      <c r="U650" s="14"/>
      <c r="V650" s="14"/>
      <c r="W650" s="14"/>
      <c r="X650" s="14"/>
      <c r="Y650" s="14"/>
      <c r="Z650" s="14"/>
      <c r="AA650" s="14"/>
    </row>
    <row r="651">
      <c r="A651" s="65"/>
      <c r="B651" s="65"/>
      <c r="C651" s="14"/>
      <c r="D651" s="14"/>
      <c r="E651" s="14"/>
      <c r="F651" s="65"/>
      <c r="G651" s="65"/>
      <c r="H651" s="65"/>
      <c r="I651" s="65"/>
      <c r="J651" s="65"/>
      <c r="K651" s="65"/>
      <c r="L651" s="65"/>
      <c r="M651" s="65"/>
      <c r="N651" s="65"/>
      <c r="O651" s="65"/>
      <c r="P651" s="14"/>
      <c r="Q651" s="14"/>
      <c r="R651" s="14"/>
      <c r="S651" s="14"/>
      <c r="T651" s="14"/>
      <c r="U651" s="14"/>
      <c r="V651" s="14"/>
      <c r="W651" s="14"/>
      <c r="X651" s="14"/>
      <c r="Y651" s="14"/>
      <c r="Z651" s="14"/>
      <c r="AA651" s="14"/>
    </row>
    <row r="652">
      <c r="A652" s="65"/>
      <c r="B652" s="65"/>
      <c r="C652" s="14"/>
      <c r="D652" s="14"/>
      <c r="E652" s="14"/>
      <c r="F652" s="65"/>
      <c r="G652" s="65"/>
      <c r="H652" s="65"/>
      <c r="I652" s="65"/>
      <c r="J652" s="65"/>
      <c r="K652" s="65"/>
      <c r="L652" s="65"/>
      <c r="M652" s="65"/>
      <c r="N652" s="65"/>
      <c r="O652" s="65"/>
      <c r="P652" s="14"/>
      <c r="Q652" s="14"/>
      <c r="R652" s="14"/>
      <c r="S652" s="14"/>
      <c r="T652" s="14"/>
      <c r="U652" s="14"/>
      <c r="V652" s="14"/>
      <c r="W652" s="14"/>
      <c r="X652" s="14"/>
      <c r="Y652" s="14"/>
      <c r="Z652" s="14"/>
      <c r="AA652" s="14"/>
    </row>
    <row r="653">
      <c r="A653" s="65"/>
      <c r="B653" s="65"/>
      <c r="C653" s="14"/>
      <c r="D653" s="14"/>
      <c r="E653" s="14"/>
      <c r="F653" s="65"/>
      <c r="G653" s="65"/>
      <c r="H653" s="65"/>
      <c r="I653" s="65"/>
      <c r="J653" s="65"/>
      <c r="K653" s="65"/>
      <c r="L653" s="65"/>
      <c r="M653" s="65"/>
      <c r="N653" s="65"/>
      <c r="O653" s="65"/>
      <c r="P653" s="14"/>
      <c r="Q653" s="14"/>
      <c r="R653" s="14"/>
      <c r="S653" s="14"/>
      <c r="T653" s="14"/>
      <c r="U653" s="14"/>
      <c r="V653" s="14"/>
      <c r="W653" s="14"/>
      <c r="X653" s="14"/>
      <c r="Y653" s="14"/>
      <c r="Z653" s="14"/>
      <c r="AA653" s="14"/>
    </row>
    <row r="654">
      <c r="A654" s="65"/>
      <c r="B654" s="65"/>
      <c r="C654" s="14"/>
      <c r="D654" s="14"/>
      <c r="E654" s="14"/>
      <c r="F654" s="65"/>
      <c r="G654" s="65"/>
      <c r="H654" s="65"/>
      <c r="I654" s="65"/>
      <c r="J654" s="65"/>
      <c r="K654" s="65"/>
      <c r="L654" s="65"/>
      <c r="M654" s="65"/>
      <c r="N654" s="65"/>
      <c r="O654" s="65"/>
      <c r="P654" s="14"/>
      <c r="Q654" s="14"/>
      <c r="R654" s="14"/>
      <c r="S654" s="14"/>
      <c r="T654" s="14"/>
      <c r="U654" s="14"/>
      <c r="V654" s="14"/>
      <c r="W654" s="14"/>
      <c r="X654" s="14"/>
      <c r="Y654" s="14"/>
      <c r="Z654" s="14"/>
      <c r="AA654" s="14"/>
    </row>
    <row r="655">
      <c r="A655" s="65"/>
      <c r="B655" s="65"/>
      <c r="C655" s="14"/>
      <c r="D655" s="14"/>
      <c r="E655" s="14"/>
      <c r="F655" s="65"/>
      <c r="G655" s="65"/>
      <c r="H655" s="65"/>
      <c r="I655" s="65"/>
      <c r="J655" s="65"/>
      <c r="K655" s="65"/>
      <c r="L655" s="65"/>
      <c r="M655" s="65"/>
      <c r="N655" s="65"/>
      <c r="O655" s="65"/>
      <c r="P655" s="14"/>
      <c r="Q655" s="14"/>
      <c r="R655" s="14"/>
      <c r="S655" s="14"/>
      <c r="T655" s="14"/>
      <c r="U655" s="14"/>
      <c r="V655" s="14"/>
      <c r="W655" s="14"/>
      <c r="X655" s="14"/>
      <c r="Y655" s="14"/>
      <c r="Z655" s="14"/>
      <c r="AA655" s="14"/>
    </row>
    <row r="656">
      <c r="A656" s="65"/>
      <c r="B656" s="65"/>
      <c r="C656" s="14"/>
      <c r="D656" s="14"/>
      <c r="E656" s="14"/>
      <c r="F656" s="65"/>
      <c r="G656" s="65"/>
      <c r="H656" s="65"/>
      <c r="I656" s="65"/>
      <c r="J656" s="65"/>
      <c r="K656" s="65"/>
      <c r="L656" s="65"/>
      <c r="M656" s="65"/>
      <c r="N656" s="65"/>
      <c r="O656" s="65"/>
      <c r="P656" s="14"/>
      <c r="Q656" s="14"/>
      <c r="R656" s="14"/>
      <c r="S656" s="14"/>
      <c r="T656" s="14"/>
      <c r="U656" s="14"/>
      <c r="V656" s="14"/>
      <c r="W656" s="14"/>
      <c r="X656" s="14"/>
      <c r="Y656" s="14"/>
      <c r="Z656" s="14"/>
      <c r="AA656" s="14"/>
    </row>
    <row r="657">
      <c r="A657" s="65"/>
      <c r="B657" s="65"/>
      <c r="C657" s="14"/>
      <c r="D657" s="14"/>
      <c r="E657" s="14"/>
      <c r="F657" s="65"/>
      <c r="G657" s="65"/>
      <c r="H657" s="65"/>
      <c r="I657" s="65"/>
      <c r="J657" s="65"/>
      <c r="K657" s="65"/>
      <c r="L657" s="65"/>
      <c r="M657" s="65"/>
      <c r="N657" s="65"/>
      <c r="O657" s="65"/>
      <c r="P657" s="14"/>
      <c r="Q657" s="14"/>
      <c r="R657" s="14"/>
      <c r="S657" s="14"/>
      <c r="T657" s="14"/>
      <c r="U657" s="14"/>
      <c r="V657" s="14"/>
      <c r="W657" s="14"/>
      <c r="X657" s="14"/>
      <c r="Y657" s="14"/>
      <c r="Z657" s="14"/>
      <c r="AA657" s="14"/>
    </row>
    <row r="658">
      <c r="A658" s="65"/>
      <c r="B658" s="65"/>
      <c r="C658" s="14"/>
      <c r="D658" s="14"/>
      <c r="E658" s="14"/>
      <c r="F658" s="65"/>
      <c r="G658" s="65"/>
      <c r="H658" s="65"/>
      <c r="I658" s="65"/>
      <c r="J658" s="65"/>
      <c r="K658" s="65"/>
      <c r="L658" s="65"/>
      <c r="M658" s="65"/>
      <c r="N658" s="65"/>
      <c r="O658" s="65"/>
      <c r="P658" s="14"/>
      <c r="Q658" s="14"/>
      <c r="R658" s="14"/>
      <c r="S658" s="14"/>
      <c r="T658" s="14"/>
      <c r="U658" s="14"/>
      <c r="V658" s="14"/>
      <c r="W658" s="14"/>
      <c r="X658" s="14"/>
      <c r="Y658" s="14"/>
      <c r="Z658" s="14"/>
      <c r="AA658" s="14"/>
    </row>
    <row r="659">
      <c r="A659" s="65"/>
      <c r="B659" s="65"/>
      <c r="C659" s="14"/>
      <c r="D659" s="14"/>
      <c r="E659" s="14"/>
      <c r="F659" s="65"/>
      <c r="G659" s="65"/>
      <c r="H659" s="65"/>
      <c r="I659" s="65"/>
      <c r="J659" s="65"/>
      <c r="K659" s="65"/>
      <c r="L659" s="65"/>
      <c r="M659" s="65"/>
      <c r="N659" s="65"/>
      <c r="O659" s="65"/>
      <c r="P659" s="14"/>
      <c r="Q659" s="14"/>
      <c r="R659" s="14"/>
      <c r="S659" s="14"/>
      <c r="T659" s="14"/>
      <c r="U659" s="14"/>
      <c r="V659" s="14"/>
      <c r="W659" s="14"/>
      <c r="X659" s="14"/>
      <c r="Y659" s="14"/>
      <c r="Z659" s="14"/>
      <c r="AA659" s="14"/>
    </row>
    <row r="660">
      <c r="A660" s="65"/>
      <c r="B660" s="65"/>
      <c r="C660" s="14"/>
      <c r="D660" s="14"/>
      <c r="E660" s="14"/>
      <c r="F660" s="65"/>
      <c r="G660" s="65"/>
      <c r="H660" s="65"/>
      <c r="I660" s="65"/>
      <c r="J660" s="65"/>
      <c r="K660" s="65"/>
      <c r="L660" s="65"/>
      <c r="M660" s="65"/>
      <c r="N660" s="65"/>
      <c r="O660" s="65"/>
      <c r="P660" s="14"/>
      <c r="Q660" s="14"/>
      <c r="R660" s="14"/>
      <c r="S660" s="14"/>
      <c r="T660" s="14"/>
      <c r="U660" s="14"/>
      <c r="V660" s="14"/>
      <c r="W660" s="14"/>
      <c r="X660" s="14"/>
      <c r="Y660" s="14"/>
      <c r="Z660" s="14"/>
      <c r="AA660" s="14"/>
    </row>
    <row r="661">
      <c r="A661" s="65"/>
      <c r="B661" s="65"/>
      <c r="C661" s="14"/>
      <c r="D661" s="14"/>
      <c r="E661" s="14"/>
      <c r="F661" s="65"/>
      <c r="G661" s="65"/>
      <c r="H661" s="65"/>
      <c r="I661" s="65"/>
      <c r="J661" s="65"/>
      <c r="K661" s="65"/>
      <c r="L661" s="65"/>
      <c r="M661" s="65"/>
      <c r="N661" s="65"/>
      <c r="O661" s="65"/>
      <c r="P661" s="14"/>
      <c r="Q661" s="14"/>
      <c r="R661" s="14"/>
      <c r="S661" s="14"/>
      <c r="T661" s="14"/>
      <c r="U661" s="14"/>
      <c r="V661" s="14"/>
      <c r="W661" s="14"/>
      <c r="X661" s="14"/>
      <c r="Y661" s="14"/>
      <c r="Z661" s="14"/>
      <c r="AA661" s="14"/>
    </row>
    <row r="662">
      <c r="A662" s="65"/>
      <c r="B662" s="65"/>
      <c r="C662" s="14"/>
      <c r="D662" s="14"/>
      <c r="E662" s="14"/>
      <c r="F662" s="65"/>
      <c r="G662" s="65"/>
      <c r="H662" s="65"/>
      <c r="I662" s="65"/>
      <c r="J662" s="65"/>
      <c r="K662" s="65"/>
      <c r="L662" s="65"/>
      <c r="M662" s="65"/>
      <c r="N662" s="65"/>
      <c r="O662" s="65"/>
      <c r="P662" s="14"/>
      <c r="Q662" s="14"/>
      <c r="R662" s="14"/>
      <c r="S662" s="14"/>
      <c r="T662" s="14"/>
      <c r="U662" s="14"/>
      <c r="V662" s="14"/>
      <c r="W662" s="14"/>
      <c r="X662" s="14"/>
      <c r="Y662" s="14"/>
      <c r="Z662" s="14"/>
      <c r="AA662" s="14"/>
    </row>
    <row r="663">
      <c r="A663" s="65"/>
      <c r="B663" s="65"/>
      <c r="C663" s="14"/>
      <c r="D663" s="14"/>
      <c r="E663" s="14"/>
      <c r="F663" s="65"/>
      <c r="G663" s="65"/>
      <c r="H663" s="65"/>
      <c r="I663" s="65"/>
      <c r="J663" s="65"/>
      <c r="K663" s="65"/>
      <c r="L663" s="65"/>
      <c r="M663" s="65"/>
      <c r="N663" s="65"/>
      <c r="O663" s="65"/>
      <c r="P663" s="14"/>
      <c r="Q663" s="14"/>
      <c r="R663" s="14"/>
      <c r="S663" s="14"/>
      <c r="T663" s="14"/>
      <c r="U663" s="14"/>
      <c r="V663" s="14"/>
      <c r="W663" s="14"/>
      <c r="X663" s="14"/>
      <c r="Y663" s="14"/>
      <c r="Z663" s="14"/>
      <c r="AA663" s="14"/>
    </row>
    <row r="664">
      <c r="A664" s="65"/>
      <c r="B664" s="65"/>
      <c r="C664" s="14"/>
      <c r="D664" s="14"/>
      <c r="E664" s="14"/>
      <c r="F664" s="65"/>
      <c r="G664" s="65"/>
      <c r="H664" s="65"/>
      <c r="I664" s="65"/>
      <c r="J664" s="65"/>
      <c r="K664" s="65"/>
      <c r="L664" s="65"/>
      <c r="M664" s="65"/>
      <c r="N664" s="65"/>
      <c r="O664" s="65"/>
      <c r="P664" s="14"/>
      <c r="Q664" s="14"/>
      <c r="R664" s="14"/>
      <c r="S664" s="14"/>
      <c r="T664" s="14"/>
      <c r="U664" s="14"/>
      <c r="V664" s="14"/>
      <c r="W664" s="14"/>
      <c r="X664" s="14"/>
      <c r="Y664" s="14"/>
      <c r="Z664" s="14"/>
      <c r="AA664" s="14"/>
    </row>
    <row r="665">
      <c r="A665" s="65"/>
      <c r="B665" s="65"/>
      <c r="C665" s="14"/>
      <c r="D665" s="14"/>
      <c r="E665" s="14"/>
      <c r="F665" s="65"/>
      <c r="G665" s="65"/>
      <c r="H665" s="65"/>
      <c r="I665" s="65"/>
      <c r="J665" s="65"/>
      <c r="K665" s="65"/>
      <c r="L665" s="65"/>
      <c r="M665" s="65"/>
      <c r="N665" s="65"/>
      <c r="O665" s="65"/>
      <c r="P665" s="14"/>
      <c r="Q665" s="14"/>
      <c r="R665" s="14"/>
      <c r="S665" s="14"/>
      <c r="T665" s="14"/>
      <c r="U665" s="14"/>
      <c r="V665" s="14"/>
      <c r="W665" s="14"/>
      <c r="X665" s="14"/>
      <c r="Y665" s="14"/>
      <c r="Z665" s="14"/>
      <c r="AA665" s="14"/>
    </row>
    <row r="666">
      <c r="A666" s="65"/>
      <c r="B666" s="65"/>
      <c r="C666" s="14"/>
      <c r="D666" s="14"/>
      <c r="E666" s="14"/>
      <c r="F666" s="65"/>
      <c r="G666" s="65"/>
      <c r="H666" s="65"/>
      <c r="I666" s="65"/>
      <c r="J666" s="65"/>
      <c r="K666" s="65"/>
      <c r="L666" s="65"/>
      <c r="M666" s="65"/>
      <c r="N666" s="65"/>
      <c r="O666" s="65"/>
      <c r="P666" s="14"/>
      <c r="Q666" s="14"/>
      <c r="R666" s="14"/>
      <c r="S666" s="14"/>
      <c r="T666" s="14"/>
      <c r="U666" s="14"/>
      <c r="V666" s="14"/>
      <c r="W666" s="14"/>
      <c r="X666" s="14"/>
      <c r="Y666" s="14"/>
      <c r="Z666" s="14"/>
      <c r="AA666" s="14"/>
    </row>
    <row r="667">
      <c r="A667" s="65"/>
      <c r="B667" s="65"/>
      <c r="C667" s="14"/>
      <c r="D667" s="14"/>
      <c r="E667" s="14"/>
      <c r="F667" s="65"/>
      <c r="G667" s="65"/>
      <c r="H667" s="65"/>
      <c r="I667" s="65"/>
      <c r="J667" s="65"/>
      <c r="K667" s="65"/>
      <c r="L667" s="65"/>
      <c r="M667" s="65"/>
      <c r="N667" s="65"/>
      <c r="O667" s="65"/>
      <c r="P667" s="14"/>
      <c r="Q667" s="14"/>
      <c r="R667" s="14"/>
      <c r="S667" s="14"/>
      <c r="T667" s="14"/>
      <c r="U667" s="14"/>
      <c r="V667" s="14"/>
      <c r="W667" s="14"/>
      <c r="X667" s="14"/>
      <c r="Y667" s="14"/>
      <c r="Z667" s="14"/>
      <c r="AA667" s="14"/>
    </row>
    <row r="668">
      <c r="A668" s="65"/>
      <c r="B668" s="65"/>
      <c r="C668" s="14"/>
      <c r="D668" s="14"/>
      <c r="E668" s="14"/>
      <c r="F668" s="65"/>
      <c r="G668" s="65"/>
      <c r="H668" s="65"/>
      <c r="I668" s="65"/>
      <c r="J668" s="65"/>
      <c r="K668" s="65"/>
      <c r="L668" s="65"/>
      <c r="M668" s="65"/>
      <c r="N668" s="65"/>
      <c r="O668" s="65"/>
      <c r="P668" s="14"/>
      <c r="Q668" s="14"/>
      <c r="R668" s="14"/>
      <c r="S668" s="14"/>
      <c r="T668" s="14"/>
      <c r="U668" s="14"/>
      <c r="V668" s="14"/>
      <c r="W668" s="14"/>
      <c r="X668" s="14"/>
      <c r="Y668" s="14"/>
      <c r="Z668" s="14"/>
      <c r="AA668" s="14"/>
    </row>
    <row r="669">
      <c r="A669" s="65"/>
      <c r="B669" s="65"/>
      <c r="C669" s="14"/>
      <c r="D669" s="14"/>
      <c r="E669" s="14"/>
      <c r="F669" s="65"/>
      <c r="G669" s="65"/>
      <c r="H669" s="65"/>
      <c r="I669" s="65"/>
      <c r="J669" s="65"/>
      <c r="K669" s="65"/>
      <c r="L669" s="65"/>
      <c r="M669" s="65"/>
      <c r="N669" s="65"/>
      <c r="O669" s="65"/>
      <c r="P669" s="14"/>
      <c r="Q669" s="14"/>
      <c r="R669" s="14"/>
      <c r="S669" s="14"/>
      <c r="T669" s="14"/>
      <c r="U669" s="14"/>
      <c r="V669" s="14"/>
      <c r="W669" s="14"/>
      <c r="X669" s="14"/>
      <c r="Y669" s="14"/>
      <c r="Z669" s="14"/>
      <c r="AA669" s="14"/>
    </row>
    <row r="670">
      <c r="A670" s="65"/>
      <c r="B670" s="65"/>
      <c r="C670" s="14"/>
      <c r="D670" s="14"/>
      <c r="E670" s="14"/>
      <c r="F670" s="65"/>
      <c r="G670" s="65"/>
      <c r="H670" s="65"/>
      <c r="I670" s="65"/>
      <c r="J670" s="65"/>
      <c r="K670" s="65"/>
      <c r="L670" s="65"/>
      <c r="M670" s="65"/>
      <c r="N670" s="65"/>
      <c r="O670" s="65"/>
      <c r="P670" s="14"/>
      <c r="Q670" s="14"/>
      <c r="R670" s="14"/>
      <c r="S670" s="14"/>
      <c r="T670" s="14"/>
      <c r="U670" s="14"/>
      <c r="V670" s="14"/>
      <c r="W670" s="14"/>
      <c r="X670" s="14"/>
      <c r="Y670" s="14"/>
      <c r="Z670" s="14"/>
      <c r="AA670" s="14"/>
    </row>
    <row r="671">
      <c r="A671" s="65"/>
      <c r="B671" s="65"/>
      <c r="C671" s="14"/>
      <c r="D671" s="14"/>
      <c r="E671" s="14"/>
      <c r="F671" s="65"/>
      <c r="G671" s="65"/>
      <c r="H671" s="65"/>
      <c r="I671" s="65"/>
      <c r="J671" s="65"/>
      <c r="K671" s="65"/>
      <c r="L671" s="65"/>
      <c r="M671" s="65"/>
      <c r="N671" s="65"/>
      <c r="O671" s="65"/>
      <c r="P671" s="14"/>
      <c r="Q671" s="14"/>
      <c r="R671" s="14"/>
      <c r="S671" s="14"/>
      <c r="T671" s="14"/>
      <c r="U671" s="14"/>
      <c r="V671" s="14"/>
      <c r="W671" s="14"/>
      <c r="X671" s="14"/>
      <c r="Y671" s="14"/>
      <c r="Z671" s="14"/>
      <c r="AA671" s="14"/>
    </row>
    <row r="672">
      <c r="A672" s="65"/>
      <c r="B672" s="65"/>
      <c r="C672" s="14"/>
      <c r="D672" s="14"/>
      <c r="E672" s="14"/>
      <c r="F672" s="65"/>
      <c r="G672" s="65"/>
      <c r="H672" s="65"/>
      <c r="I672" s="65"/>
      <c r="J672" s="65"/>
      <c r="K672" s="65"/>
      <c r="L672" s="65"/>
      <c r="M672" s="65"/>
      <c r="N672" s="65"/>
      <c r="O672" s="65"/>
      <c r="P672" s="14"/>
      <c r="Q672" s="14"/>
      <c r="R672" s="14"/>
      <c r="S672" s="14"/>
      <c r="T672" s="14"/>
      <c r="U672" s="14"/>
      <c r="V672" s="14"/>
      <c r="W672" s="14"/>
      <c r="X672" s="14"/>
      <c r="Y672" s="14"/>
      <c r="Z672" s="14"/>
      <c r="AA672" s="14"/>
    </row>
    <row r="673">
      <c r="A673" s="65"/>
      <c r="B673" s="65"/>
      <c r="C673" s="14"/>
      <c r="D673" s="14"/>
      <c r="E673" s="14"/>
      <c r="F673" s="65"/>
      <c r="G673" s="65"/>
      <c r="H673" s="65"/>
      <c r="I673" s="65"/>
      <c r="J673" s="65"/>
      <c r="K673" s="65"/>
      <c r="L673" s="65"/>
      <c r="M673" s="65"/>
      <c r="N673" s="65"/>
      <c r="O673" s="65"/>
      <c r="P673" s="14"/>
      <c r="Q673" s="14"/>
      <c r="R673" s="14"/>
      <c r="S673" s="14"/>
      <c r="T673" s="14"/>
      <c r="U673" s="14"/>
      <c r="V673" s="14"/>
      <c r="W673" s="14"/>
      <c r="X673" s="14"/>
      <c r="Y673" s="14"/>
      <c r="Z673" s="14"/>
      <c r="AA673" s="14"/>
    </row>
    <row r="674">
      <c r="A674" s="65"/>
      <c r="B674" s="65"/>
      <c r="C674" s="14"/>
      <c r="D674" s="14"/>
      <c r="E674" s="14"/>
      <c r="F674" s="65"/>
      <c r="G674" s="65"/>
      <c r="H674" s="65"/>
      <c r="I674" s="65"/>
      <c r="J674" s="65"/>
      <c r="K674" s="65"/>
      <c r="L674" s="65"/>
      <c r="M674" s="65"/>
      <c r="N674" s="65"/>
      <c r="O674" s="65"/>
      <c r="P674" s="14"/>
      <c r="Q674" s="14"/>
      <c r="R674" s="14"/>
      <c r="S674" s="14"/>
      <c r="T674" s="14"/>
      <c r="U674" s="14"/>
      <c r="V674" s="14"/>
      <c r="W674" s="14"/>
      <c r="X674" s="14"/>
      <c r="Y674" s="14"/>
      <c r="Z674" s="14"/>
      <c r="AA674" s="14"/>
    </row>
    <row r="675">
      <c r="A675" s="65"/>
      <c r="B675" s="65"/>
      <c r="C675" s="14"/>
      <c r="D675" s="14"/>
      <c r="E675" s="14"/>
      <c r="F675" s="65"/>
      <c r="G675" s="65"/>
      <c r="H675" s="65"/>
      <c r="I675" s="65"/>
      <c r="J675" s="65"/>
      <c r="K675" s="65"/>
      <c r="L675" s="65"/>
      <c r="M675" s="65"/>
      <c r="N675" s="65"/>
      <c r="O675" s="65"/>
      <c r="P675" s="14"/>
      <c r="Q675" s="14"/>
      <c r="R675" s="14"/>
      <c r="S675" s="14"/>
      <c r="T675" s="14"/>
      <c r="U675" s="14"/>
      <c r="V675" s="14"/>
      <c r="W675" s="14"/>
      <c r="X675" s="14"/>
      <c r="Y675" s="14"/>
      <c r="Z675" s="14"/>
      <c r="AA675" s="14"/>
    </row>
    <row r="676">
      <c r="A676" s="65"/>
      <c r="B676" s="65"/>
      <c r="C676" s="14"/>
      <c r="D676" s="14"/>
      <c r="E676" s="14"/>
      <c r="F676" s="65"/>
      <c r="G676" s="65"/>
      <c r="H676" s="65"/>
      <c r="I676" s="65"/>
      <c r="J676" s="65"/>
      <c r="K676" s="65"/>
      <c r="L676" s="65"/>
      <c r="M676" s="65"/>
      <c r="N676" s="65"/>
      <c r="O676" s="65"/>
      <c r="P676" s="14"/>
      <c r="Q676" s="14"/>
      <c r="R676" s="14"/>
      <c r="S676" s="14"/>
      <c r="T676" s="14"/>
      <c r="U676" s="14"/>
      <c r="V676" s="14"/>
      <c r="W676" s="14"/>
      <c r="X676" s="14"/>
      <c r="Y676" s="14"/>
      <c r="Z676" s="14"/>
      <c r="AA676" s="14"/>
    </row>
    <row r="677">
      <c r="A677" s="65"/>
      <c r="B677" s="65"/>
      <c r="C677" s="14"/>
      <c r="D677" s="14"/>
      <c r="E677" s="14"/>
      <c r="F677" s="65"/>
      <c r="G677" s="65"/>
      <c r="H677" s="65"/>
      <c r="I677" s="65"/>
      <c r="J677" s="65"/>
      <c r="K677" s="65"/>
      <c r="L677" s="65"/>
      <c r="M677" s="65"/>
      <c r="N677" s="65"/>
      <c r="O677" s="65"/>
      <c r="P677" s="14"/>
      <c r="Q677" s="14"/>
      <c r="R677" s="14"/>
      <c r="S677" s="14"/>
      <c r="T677" s="14"/>
      <c r="U677" s="14"/>
      <c r="V677" s="14"/>
      <c r="W677" s="14"/>
      <c r="X677" s="14"/>
      <c r="Y677" s="14"/>
      <c r="Z677" s="14"/>
      <c r="AA677" s="14"/>
    </row>
    <row r="678">
      <c r="A678" s="65"/>
      <c r="B678" s="65"/>
      <c r="C678" s="14"/>
      <c r="D678" s="14"/>
      <c r="E678" s="14"/>
      <c r="F678" s="65"/>
      <c r="G678" s="65"/>
      <c r="H678" s="65"/>
      <c r="I678" s="65"/>
      <c r="J678" s="65"/>
      <c r="K678" s="65"/>
      <c r="L678" s="65"/>
      <c r="M678" s="65"/>
      <c r="N678" s="65"/>
      <c r="O678" s="65"/>
      <c r="P678" s="14"/>
      <c r="Q678" s="14"/>
      <c r="R678" s="14"/>
      <c r="S678" s="14"/>
      <c r="T678" s="14"/>
      <c r="U678" s="14"/>
      <c r="V678" s="14"/>
      <c r="W678" s="14"/>
      <c r="X678" s="14"/>
      <c r="Y678" s="14"/>
      <c r="Z678" s="14"/>
      <c r="AA678" s="14"/>
    </row>
    <row r="679">
      <c r="A679" s="65"/>
      <c r="B679" s="65"/>
      <c r="C679" s="14"/>
      <c r="D679" s="14"/>
      <c r="E679" s="14"/>
      <c r="F679" s="65"/>
      <c r="G679" s="65"/>
      <c r="H679" s="65"/>
      <c r="I679" s="65"/>
      <c r="J679" s="65"/>
      <c r="K679" s="65"/>
      <c r="L679" s="65"/>
      <c r="M679" s="65"/>
      <c r="N679" s="65"/>
      <c r="O679" s="65"/>
      <c r="P679" s="14"/>
      <c r="Q679" s="14"/>
      <c r="R679" s="14"/>
      <c r="S679" s="14"/>
      <c r="T679" s="14"/>
      <c r="U679" s="14"/>
      <c r="V679" s="14"/>
      <c r="W679" s="14"/>
      <c r="X679" s="14"/>
      <c r="Y679" s="14"/>
      <c r="Z679" s="14"/>
      <c r="AA679" s="14"/>
    </row>
    <row r="680">
      <c r="A680" s="65"/>
      <c r="B680" s="65"/>
      <c r="C680" s="14"/>
      <c r="D680" s="14"/>
      <c r="E680" s="14"/>
      <c r="F680" s="65"/>
      <c r="G680" s="65"/>
      <c r="H680" s="65"/>
      <c r="I680" s="65"/>
      <c r="J680" s="65"/>
      <c r="K680" s="65"/>
      <c r="L680" s="65"/>
      <c r="M680" s="65"/>
      <c r="N680" s="65"/>
      <c r="O680" s="65"/>
      <c r="P680" s="14"/>
      <c r="Q680" s="14"/>
      <c r="R680" s="14"/>
      <c r="S680" s="14"/>
      <c r="T680" s="14"/>
      <c r="U680" s="14"/>
      <c r="V680" s="14"/>
      <c r="W680" s="14"/>
      <c r="X680" s="14"/>
      <c r="Y680" s="14"/>
      <c r="Z680" s="14"/>
      <c r="AA680" s="14"/>
    </row>
    <row r="681">
      <c r="A681" s="65"/>
      <c r="B681" s="65"/>
      <c r="C681" s="14"/>
      <c r="D681" s="14"/>
      <c r="E681" s="14"/>
      <c r="F681" s="65"/>
      <c r="G681" s="65"/>
      <c r="H681" s="65"/>
      <c r="I681" s="65"/>
      <c r="J681" s="65"/>
      <c r="K681" s="65"/>
      <c r="L681" s="65"/>
      <c r="M681" s="65"/>
      <c r="N681" s="65"/>
      <c r="O681" s="65"/>
      <c r="P681" s="14"/>
      <c r="Q681" s="14"/>
      <c r="R681" s="14"/>
      <c r="S681" s="14"/>
      <c r="T681" s="14"/>
      <c r="U681" s="14"/>
      <c r="V681" s="14"/>
      <c r="W681" s="14"/>
      <c r="X681" s="14"/>
      <c r="Y681" s="14"/>
      <c r="Z681" s="14"/>
      <c r="AA681" s="14"/>
    </row>
    <row r="682">
      <c r="A682" s="65"/>
      <c r="B682" s="65"/>
      <c r="C682" s="14"/>
      <c r="D682" s="14"/>
      <c r="E682" s="14"/>
      <c r="F682" s="65"/>
      <c r="G682" s="65"/>
      <c r="H682" s="65"/>
      <c r="I682" s="65"/>
      <c r="J682" s="65"/>
      <c r="K682" s="65"/>
      <c r="L682" s="65"/>
      <c r="M682" s="65"/>
      <c r="N682" s="65"/>
      <c r="O682" s="65"/>
      <c r="P682" s="14"/>
      <c r="Q682" s="14"/>
      <c r="R682" s="14"/>
      <c r="S682" s="14"/>
      <c r="T682" s="14"/>
      <c r="U682" s="14"/>
      <c r="V682" s="14"/>
      <c r="W682" s="14"/>
      <c r="X682" s="14"/>
      <c r="Y682" s="14"/>
      <c r="Z682" s="14"/>
      <c r="AA682" s="14"/>
    </row>
    <row r="683">
      <c r="A683" s="65"/>
      <c r="B683" s="65"/>
      <c r="C683" s="14"/>
      <c r="D683" s="14"/>
      <c r="E683" s="14"/>
      <c r="F683" s="65"/>
      <c r="G683" s="65"/>
      <c r="H683" s="65"/>
      <c r="I683" s="65"/>
      <c r="J683" s="65"/>
      <c r="K683" s="65"/>
      <c r="L683" s="65"/>
      <c r="M683" s="65"/>
      <c r="N683" s="65"/>
      <c r="O683" s="65"/>
      <c r="P683" s="14"/>
      <c r="Q683" s="14"/>
      <c r="R683" s="14"/>
      <c r="S683" s="14"/>
      <c r="T683" s="14"/>
      <c r="U683" s="14"/>
      <c r="V683" s="14"/>
      <c r="W683" s="14"/>
      <c r="X683" s="14"/>
      <c r="Y683" s="14"/>
      <c r="Z683" s="14"/>
      <c r="AA683" s="14"/>
    </row>
    <row r="684">
      <c r="A684" s="65"/>
      <c r="B684" s="65"/>
      <c r="C684" s="14"/>
      <c r="D684" s="14"/>
      <c r="E684" s="14"/>
      <c r="F684" s="65"/>
      <c r="G684" s="65"/>
      <c r="H684" s="65"/>
      <c r="I684" s="65"/>
      <c r="J684" s="65"/>
      <c r="K684" s="65"/>
      <c r="L684" s="65"/>
      <c r="M684" s="65"/>
      <c r="N684" s="65"/>
      <c r="O684" s="65"/>
      <c r="P684" s="14"/>
      <c r="Q684" s="14"/>
      <c r="R684" s="14"/>
      <c r="S684" s="14"/>
      <c r="T684" s="14"/>
      <c r="U684" s="14"/>
      <c r="V684" s="14"/>
      <c r="W684" s="14"/>
      <c r="X684" s="14"/>
      <c r="Y684" s="14"/>
      <c r="Z684" s="14"/>
      <c r="AA684" s="14"/>
    </row>
    <row r="685">
      <c r="A685" s="65"/>
      <c r="B685" s="65"/>
      <c r="C685" s="14"/>
      <c r="D685" s="14"/>
      <c r="E685" s="14"/>
      <c r="F685" s="65"/>
      <c r="G685" s="65"/>
      <c r="H685" s="65"/>
      <c r="I685" s="65"/>
      <c r="J685" s="65"/>
      <c r="K685" s="65"/>
      <c r="L685" s="65"/>
      <c r="M685" s="65"/>
      <c r="N685" s="65"/>
      <c r="O685" s="65"/>
      <c r="P685" s="14"/>
      <c r="Q685" s="14"/>
      <c r="R685" s="14"/>
      <c r="S685" s="14"/>
      <c r="T685" s="14"/>
      <c r="U685" s="14"/>
      <c r="V685" s="14"/>
      <c r="W685" s="14"/>
      <c r="X685" s="14"/>
      <c r="Y685" s="14"/>
      <c r="Z685" s="14"/>
      <c r="AA685" s="14"/>
    </row>
    <row r="686">
      <c r="A686" s="65"/>
      <c r="B686" s="65"/>
      <c r="C686" s="14"/>
      <c r="D686" s="14"/>
      <c r="E686" s="14"/>
      <c r="F686" s="65"/>
      <c r="G686" s="65"/>
      <c r="H686" s="65"/>
      <c r="I686" s="65"/>
      <c r="J686" s="65"/>
      <c r="K686" s="65"/>
      <c r="L686" s="65"/>
      <c r="M686" s="65"/>
      <c r="N686" s="65"/>
      <c r="O686" s="65"/>
      <c r="P686" s="14"/>
      <c r="Q686" s="14"/>
      <c r="R686" s="14"/>
      <c r="S686" s="14"/>
      <c r="T686" s="14"/>
      <c r="U686" s="14"/>
      <c r="V686" s="14"/>
      <c r="W686" s="14"/>
      <c r="X686" s="14"/>
      <c r="Y686" s="14"/>
      <c r="Z686" s="14"/>
      <c r="AA686" s="14"/>
    </row>
    <row r="687">
      <c r="A687" s="65"/>
      <c r="B687" s="65"/>
      <c r="C687" s="14"/>
      <c r="D687" s="14"/>
      <c r="E687" s="14"/>
      <c r="F687" s="65"/>
      <c r="G687" s="65"/>
      <c r="H687" s="65"/>
      <c r="I687" s="65"/>
      <c r="J687" s="65"/>
      <c r="K687" s="65"/>
      <c r="L687" s="65"/>
      <c r="M687" s="65"/>
      <c r="N687" s="65"/>
      <c r="O687" s="65"/>
      <c r="P687" s="14"/>
      <c r="Q687" s="14"/>
      <c r="R687" s="14"/>
      <c r="S687" s="14"/>
      <c r="T687" s="14"/>
      <c r="U687" s="14"/>
      <c r="V687" s="14"/>
      <c r="W687" s="14"/>
      <c r="X687" s="14"/>
      <c r="Y687" s="14"/>
      <c r="Z687" s="14"/>
      <c r="AA687" s="14"/>
    </row>
    <row r="688">
      <c r="A688" s="65"/>
      <c r="B688" s="65"/>
      <c r="C688" s="14"/>
      <c r="D688" s="14"/>
      <c r="E688" s="14"/>
      <c r="F688" s="65"/>
      <c r="G688" s="65"/>
      <c r="H688" s="65"/>
      <c r="I688" s="65"/>
      <c r="J688" s="65"/>
      <c r="K688" s="65"/>
      <c r="L688" s="65"/>
      <c r="M688" s="65"/>
      <c r="N688" s="65"/>
      <c r="O688" s="65"/>
      <c r="P688" s="14"/>
      <c r="Q688" s="14"/>
      <c r="R688" s="14"/>
      <c r="S688" s="14"/>
      <c r="T688" s="14"/>
      <c r="U688" s="14"/>
      <c r="V688" s="14"/>
      <c r="W688" s="14"/>
      <c r="X688" s="14"/>
      <c r="Y688" s="14"/>
      <c r="Z688" s="14"/>
      <c r="AA688" s="14"/>
    </row>
    <row r="689">
      <c r="A689" s="65"/>
      <c r="B689" s="65"/>
      <c r="C689" s="14"/>
      <c r="D689" s="14"/>
      <c r="E689" s="14"/>
      <c r="F689" s="65"/>
      <c r="G689" s="65"/>
      <c r="H689" s="65"/>
      <c r="I689" s="65"/>
      <c r="J689" s="65"/>
      <c r="K689" s="65"/>
      <c r="L689" s="65"/>
      <c r="M689" s="65"/>
      <c r="N689" s="65"/>
      <c r="O689" s="65"/>
      <c r="P689" s="14"/>
      <c r="Q689" s="14"/>
      <c r="R689" s="14"/>
      <c r="S689" s="14"/>
      <c r="T689" s="14"/>
      <c r="U689" s="14"/>
      <c r="V689" s="14"/>
      <c r="W689" s="14"/>
      <c r="X689" s="14"/>
      <c r="Y689" s="14"/>
      <c r="Z689" s="14"/>
      <c r="AA689" s="14"/>
    </row>
    <row r="690">
      <c r="A690" s="65"/>
      <c r="B690" s="65"/>
      <c r="C690" s="14"/>
      <c r="D690" s="14"/>
      <c r="E690" s="14"/>
      <c r="F690" s="65"/>
      <c r="G690" s="65"/>
      <c r="H690" s="65"/>
      <c r="I690" s="65"/>
      <c r="J690" s="65"/>
      <c r="K690" s="65"/>
      <c r="L690" s="65"/>
      <c r="M690" s="65"/>
      <c r="N690" s="65"/>
      <c r="O690" s="65"/>
      <c r="P690" s="14"/>
      <c r="Q690" s="14"/>
      <c r="R690" s="14"/>
      <c r="S690" s="14"/>
      <c r="T690" s="14"/>
      <c r="U690" s="14"/>
      <c r="V690" s="14"/>
      <c r="W690" s="14"/>
      <c r="X690" s="14"/>
      <c r="Y690" s="14"/>
      <c r="Z690" s="14"/>
      <c r="AA690" s="14"/>
    </row>
    <row r="691">
      <c r="A691" s="65"/>
      <c r="B691" s="65"/>
      <c r="C691" s="14"/>
      <c r="D691" s="14"/>
      <c r="E691" s="14"/>
      <c r="F691" s="65"/>
      <c r="G691" s="65"/>
      <c r="H691" s="65"/>
      <c r="I691" s="65"/>
      <c r="J691" s="65"/>
      <c r="K691" s="65"/>
      <c r="L691" s="65"/>
      <c r="M691" s="65"/>
      <c r="N691" s="65"/>
      <c r="O691" s="65"/>
      <c r="P691" s="14"/>
      <c r="Q691" s="14"/>
      <c r="R691" s="14"/>
      <c r="S691" s="14"/>
      <c r="T691" s="14"/>
      <c r="U691" s="14"/>
      <c r="V691" s="14"/>
      <c r="W691" s="14"/>
      <c r="X691" s="14"/>
      <c r="Y691" s="14"/>
      <c r="Z691" s="14"/>
      <c r="AA691" s="14"/>
    </row>
    <row r="692">
      <c r="A692" s="65"/>
      <c r="B692" s="65"/>
      <c r="C692" s="14"/>
      <c r="D692" s="14"/>
      <c r="E692" s="14"/>
      <c r="F692" s="65"/>
      <c r="G692" s="65"/>
      <c r="H692" s="65"/>
      <c r="I692" s="65"/>
      <c r="J692" s="65"/>
      <c r="K692" s="65"/>
      <c r="L692" s="65"/>
      <c r="M692" s="65"/>
      <c r="N692" s="65"/>
      <c r="O692" s="65"/>
      <c r="P692" s="14"/>
      <c r="Q692" s="14"/>
      <c r="R692" s="14"/>
      <c r="S692" s="14"/>
      <c r="T692" s="14"/>
      <c r="U692" s="14"/>
      <c r="V692" s="14"/>
      <c r="W692" s="14"/>
      <c r="X692" s="14"/>
      <c r="Y692" s="14"/>
      <c r="Z692" s="14"/>
      <c r="AA692" s="14"/>
    </row>
    <row r="693">
      <c r="A693" s="65"/>
      <c r="B693" s="65"/>
      <c r="C693" s="14"/>
      <c r="D693" s="14"/>
      <c r="E693" s="14"/>
      <c r="F693" s="65"/>
      <c r="G693" s="65"/>
      <c r="H693" s="65"/>
      <c r="I693" s="65"/>
      <c r="J693" s="65"/>
      <c r="K693" s="65"/>
      <c r="L693" s="65"/>
      <c r="M693" s="65"/>
      <c r="N693" s="65"/>
      <c r="O693" s="65"/>
      <c r="P693" s="14"/>
      <c r="Q693" s="14"/>
      <c r="R693" s="14"/>
      <c r="S693" s="14"/>
      <c r="T693" s="14"/>
      <c r="U693" s="14"/>
      <c r="V693" s="14"/>
      <c r="W693" s="14"/>
      <c r="X693" s="14"/>
      <c r="Y693" s="14"/>
      <c r="Z693" s="14"/>
      <c r="AA693" s="14"/>
    </row>
    <row r="694">
      <c r="A694" s="65"/>
      <c r="B694" s="65"/>
      <c r="C694" s="14"/>
      <c r="D694" s="14"/>
      <c r="E694" s="14"/>
      <c r="F694" s="65"/>
      <c r="G694" s="65"/>
      <c r="H694" s="65"/>
      <c r="I694" s="65"/>
      <c r="J694" s="65"/>
      <c r="K694" s="65"/>
      <c r="L694" s="65"/>
      <c r="M694" s="65"/>
      <c r="N694" s="65"/>
      <c r="O694" s="65"/>
      <c r="P694" s="14"/>
      <c r="Q694" s="14"/>
      <c r="R694" s="14"/>
      <c r="S694" s="14"/>
      <c r="T694" s="14"/>
      <c r="U694" s="14"/>
      <c r="V694" s="14"/>
      <c r="W694" s="14"/>
      <c r="X694" s="14"/>
      <c r="Y694" s="14"/>
      <c r="Z694" s="14"/>
      <c r="AA694" s="14"/>
    </row>
    <row r="695">
      <c r="A695" s="65"/>
      <c r="B695" s="65"/>
      <c r="C695" s="14"/>
      <c r="D695" s="14"/>
      <c r="E695" s="14"/>
      <c r="F695" s="65"/>
      <c r="G695" s="65"/>
      <c r="H695" s="65"/>
      <c r="I695" s="65"/>
      <c r="J695" s="65"/>
      <c r="K695" s="65"/>
      <c r="L695" s="65"/>
      <c r="M695" s="65"/>
      <c r="N695" s="65"/>
      <c r="O695" s="65"/>
      <c r="P695" s="14"/>
      <c r="Q695" s="14"/>
      <c r="R695" s="14"/>
      <c r="S695" s="14"/>
      <c r="T695" s="14"/>
      <c r="U695" s="14"/>
      <c r="V695" s="14"/>
      <c r="W695" s="14"/>
      <c r="X695" s="14"/>
      <c r="Y695" s="14"/>
      <c r="Z695" s="14"/>
      <c r="AA695" s="14"/>
    </row>
    <row r="696">
      <c r="A696" s="65"/>
      <c r="B696" s="65"/>
      <c r="C696" s="14"/>
      <c r="D696" s="14"/>
      <c r="E696" s="14"/>
      <c r="F696" s="65"/>
      <c r="G696" s="65"/>
      <c r="H696" s="65"/>
      <c r="I696" s="65"/>
      <c r="J696" s="65"/>
      <c r="K696" s="65"/>
      <c r="L696" s="65"/>
      <c r="M696" s="65"/>
      <c r="N696" s="65"/>
      <c r="O696" s="65"/>
      <c r="P696" s="14"/>
      <c r="Q696" s="14"/>
      <c r="R696" s="14"/>
      <c r="S696" s="14"/>
      <c r="T696" s="14"/>
      <c r="U696" s="14"/>
      <c r="V696" s="14"/>
      <c r="W696" s="14"/>
      <c r="X696" s="14"/>
      <c r="Y696" s="14"/>
      <c r="Z696" s="14"/>
      <c r="AA696" s="14"/>
    </row>
    <row r="697">
      <c r="A697" s="65"/>
      <c r="B697" s="65"/>
      <c r="C697" s="14"/>
      <c r="D697" s="14"/>
      <c r="E697" s="14"/>
      <c r="F697" s="65"/>
      <c r="G697" s="65"/>
      <c r="H697" s="65"/>
      <c r="I697" s="65"/>
      <c r="J697" s="65"/>
      <c r="K697" s="65"/>
      <c r="L697" s="65"/>
      <c r="M697" s="65"/>
      <c r="N697" s="65"/>
      <c r="O697" s="65"/>
      <c r="P697" s="14"/>
      <c r="Q697" s="14"/>
      <c r="R697" s="14"/>
      <c r="S697" s="14"/>
      <c r="T697" s="14"/>
      <c r="U697" s="14"/>
      <c r="V697" s="14"/>
      <c r="W697" s="14"/>
      <c r="X697" s="14"/>
      <c r="Y697" s="14"/>
      <c r="Z697" s="14"/>
      <c r="AA697" s="14"/>
    </row>
    <row r="698">
      <c r="A698" s="65"/>
      <c r="B698" s="65"/>
      <c r="C698" s="14"/>
      <c r="D698" s="14"/>
      <c r="E698" s="14"/>
      <c r="F698" s="65"/>
      <c r="G698" s="65"/>
      <c r="H698" s="65"/>
      <c r="I698" s="65"/>
      <c r="J698" s="65"/>
      <c r="K698" s="65"/>
      <c r="L698" s="65"/>
      <c r="M698" s="65"/>
      <c r="N698" s="65"/>
      <c r="O698" s="65"/>
      <c r="P698" s="14"/>
      <c r="Q698" s="14"/>
      <c r="R698" s="14"/>
      <c r="S698" s="14"/>
      <c r="T698" s="14"/>
      <c r="U698" s="14"/>
      <c r="V698" s="14"/>
      <c r="W698" s="14"/>
      <c r="X698" s="14"/>
      <c r="Y698" s="14"/>
      <c r="Z698" s="14"/>
      <c r="AA698" s="14"/>
    </row>
    <row r="699">
      <c r="A699" s="65"/>
      <c r="B699" s="65"/>
      <c r="C699" s="14"/>
      <c r="D699" s="14"/>
      <c r="E699" s="14"/>
      <c r="F699" s="65"/>
      <c r="G699" s="65"/>
      <c r="H699" s="65"/>
      <c r="I699" s="65"/>
      <c r="J699" s="65"/>
      <c r="K699" s="65"/>
      <c r="L699" s="65"/>
      <c r="M699" s="65"/>
      <c r="N699" s="65"/>
      <c r="O699" s="65"/>
      <c r="P699" s="14"/>
      <c r="Q699" s="14"/>
      <c r="R699" s="14"/>
      <c r="S699" s="14"/>
      <c r="T699" s="14"/>
      <c r="U699" s="14"/>
      <c r="V699" s="14"/>
      <c r="W699" s="14"/>
      <c r="X699" s="14"/>
      <c r="Y699" s="14"/>
      <c r="Z699" s="14"/>
      <c r="AA699" s="14"/>
    </row>
    <row r="700">
      <c r="A700" s="65"/>
      <c r="B700" s="65"/>
      <c r="C700" s="14"/>
      <c r="D700" s="14"/>
      <c r="E700" s="14"/>
      <c r="F700" s="65"/>
      <c r="G700" s="65"/>
      <c r="H700" s="65"/>
      <c r="I700" s="65"/>
      <c r="J700" s="65"/>
      <c r="K700" s="65"/>
      <c r="L700" s="65"/>
      <c r="M700" s="65"/>
      <c r="N700" s="65"/>
      <c r="O700" s="65"/>
      <c r="P700" s="14"/>
      <c r="Q700" s="14"/>
      <c r="R700" s="14"/>
      <c r="S700" s="14"/>
      <c r="T700" s="14"/>
      <c r="U700" s="14"/>
      <c r="V700" s="14"/>
      <c r="W700" s="14"/>
      <c r="X700" s="14"/>
      <c r="Y700" s="14"/>
      <c r="Z700" s="14"/>
      <c r="AA700" s="14"/>
    </row>
    <row r="701">
      <c r="A701" s="65"/>
      <c r="B701" s="65"/>
      <c r="C701" s="14"/>
      <c r="D701" s="14"/>
      <c r="E701" s="14"/>
      <c r="F701" s="65"/>
      <c r="G701" s="65"/>
      <c r="H701" s="65"/>
      <c r="I701" s="65"/>
      <c r="J701" s="65"/>
      <c r="K701" s="65"/>
      <c r="L701" s="65"/>
      <c r="M701" s="65"/>
      <c r="N701" s="65"/>
      <c r="O701" s="65"/>
      <c r="P701" s="14"/>
      <c r="Q701" s="14"/>
      <c r="R701" s="14"/>
      <c r="S701" s="14"/>
      <c r="T701" s="14"/>
      <c r="U701" s="14"/>
      <c r="V701" s="14"/>
      <c r="W701" s="14"/>
      <c r="X701" s="14"/>
      <c r="Y701" s="14"/>
      <c r="Z701" s="14"/>
      <c r="AA701" s="14"/>
    </row>
    <row r="702">
      <c r="A702" s="65"/>
      <c r="B702" s="65"/>
      <c r="C702" s="14"/>
      <c r="D702" s="14"/>
      <c r="E702" s="14"/>
      <c r="F702" s="65"/>
      <c r="G702" s="65"/>
      <c r="H702" s="65"/>
      <c r="I702" s="65"/>
      <c r="J702" s="65"/>
      <c r="K702" s="65"/>
      <c r="L702" s="65"/>
      <c r="M702" s="65"/>
      <c r="N702" s="65"/>
      <c r="O702" s="65"/>
      <c r="P702" s="14"/>
      <c r="Q702" s="14"/>
      <c r="R702" s="14"/>
      <c r="S702" s="14"/>
      <c r="T702" s="14"/>
      <c r="U702" s="14"/>
      <c r="V702" s="14"/>
      <c r="W702" s="14"/>
      <c r="X702" s="14"/>
      <c r="Y702" s="14"/>
      <c r="Z702" s="14"/>
      <c r="AA702" s="14"/>
    </row>
    <row r="703">
      <c r="A703" s="65"/>
      <c r="B703" s="65"/>
      <c r="C703" s="14"/>
      <c r="D703" s="14"/>
      <c r="E703" s="14"/>
      <c r="F703" s="65"/>
      <c r="G703" s="65"/>
      <c r="H703" s="65"/>
      <c r="I703" s="65"/>
      <c r="J703" s="65"/>
      <c r="K703" s="65"/>
      <c r="L703" s="65"/>
      <c r="M703" s="65"/>
      <c r="N703" s="65"/>
      <c r="O703" s="65"/>
      <c r="P703" s="14"/>
      <c r="Q703" s="14"/>
      <c r="R703" s="14"/>
      <c r="S703" s="14"/>
      <c r="T703" s="14"/>
      <c r="U703" s="14"/>
      <c r="V703" s="14"/>
      <c r="W703" s="14"/>
      <c r="X703" s="14"/>
      <c r="Y703" s="14"/>
      <c r="Z703" s="14"/>
      <c r="AA703" s="14"/>
    </row>
    <row r="704">
      <c r="A704" s="65"/>
      <c r="B704" s="65"/>
      <c r="C704" s="14"/>
      <c r="D704" s="14"/>
      <c r="E704" s="14"/>
      <c r="F704" s="65"/>
      <c r="G704" s="65"/>
      <c r="H704" s="65"/>
      <c r="I704" s="65"/>
      <c r="J704" s="65"/>
      <c r="K704" s="65"/>
      <c r="L704" s="65"/>
      <c r="M704" s="65"/>
      <c r="N704" s="65"/>
      <c r="O704" s="65"/>
      <c r="P704" s="14"/>
      <c r="Q704" s="14"/>
      <c r="R704" s="14"/>
      <c r="S704" s="14"/>
      <c r="T704" s="14"/>
      <c r="U704" s="14"/>
      <c r="V704" s="14"/>
      <c r="W704" s="14"/>
      <c r="X704" s="14"/>
      <c r="Y704" s="14"/>
      <c r="Z704" s="14"/>
      <c r="AA704" s="14"/>
    </row>
    <row r="705">
      <c r="A705" s="65"/>
      <c r="B705" s="65"/>
      <c r="C705" s="14"/>
      <c r="D705" s="14"/>
      <c r="E705" s="14"/>
      <c r="F705" s="65"/>
      <c r="G705" s="65"/>
      <c r="H705" s="65"/>
      <c r="I705" s="65"/>
      <c r="J705" s="65"/>
      <c r="K705" s="65"/>
      <c r="L705" s="65"/>
      <c r="M705" s="65"/>
      <c r="N705" s="65"/>
      <c r="O705" s="65"/>
      <c r="P705" s="14"/>
      <c r="Q705" s="14"/>
      <c r="R705" s="14"/>
      <c r="S705" s="14"/>
      <c r="T705" s="14"/>
      <c r="U705" s="14"/>
      <c r="V705" s="14"/>
      <c r="W705" s="14"/>
      <c r="X705" s="14"/>
      <c r="Y705" s="14"/>
      <c r="Z705" s="14"/>
      <c r="AA705" s="14"/>
    </row>
    <row r="706">
      <c r="A706" s="65"/>
      <c r="B706" s="65"/>
      <c r="C706" s="14"/>
      <c r="D706" s="14"/>
      <c r="E706" s="14"/>
      <c r="F706" s="65"/>
      <c r="G706" s="65"/>
      <c r="H706" s="65"/>
      <c r="I706" s="65"/>
      <c r="J706" s="65"/>
      <c r="K706" s="65"/>
      <c r="L706" s="65"/>
      <c r="M706" s="65"/>
      <c r="N706" s="65"/>
      <c r="O706" s="65"/>
      <c r="P706" s="14"/>
      <c r="Q706" s="14"/>
      <c r="R706" s="14"/>
      <c r="S706" s="14"/>
      <c r="T706" s="14"/>
      <c r="U706" s="14"/>
      <c r="V706" s="14"/>
      <c r="W706" s="14"/>
      <c r="X706" s="14"/>
      <c r="Y706" s="14"/>
      <c r="Z706" s="14"/>
      <c r="AA706" s="14"/>
    </row>
    <row r="707">
      <c r="A707" s="65"/>
      <c r="B707" s="65"/>
      <c r="C707" s="14"/>
      <c r="D707" s="14"/>
      <c r="E707" s="14"/>
      <c r="F707" s="65"/>
      <c r="G707" s="65"/>
      <c r="H707" s="65"/>
      <c r="I707" s="65"/>
      <c r="J707" s="65"/>
      <c r="K707" s="65"/>
      <c r="L707" s="65"/>
      <c r="M707" s="65"/>
      <c r="N707" s="65"/>
      <c r="O707" s="65"/>
      <c r="P707" s="14"/>
      <c r="Q707" s="14"/>
      <c r="R707" s="14"/>
      <c r="S707" s="14"/>
      <c r="T707" s="14"/>
      <c r="U707" s="14"/>
      <c r="V707" s="14"/>
      <c r="W707" s="14"/>
      <c r="X707" s="14"/>
      <c r="Y707" s="14"/>
      <c r="Z707" s="14"/>
      <c r="AA707" s="14"/>
    </row>
    <row r="708">
      <c r="A708" s="65"/>
      <c r="B708" s="65"/>
      <c r="C708" s="14"/>
      <c r="D708" s="14"/>
      <c r="E708" s="14"/>
      <c r="F708" s="65"/>
      <c r="G708" s="65"/>
      <c r="H708" s="65"/>
      <c r="I708" s="65"/>
      <c r="J708" s="65"/>
      <c r="K708" s="65"/>
      <c r="L708" s="65"/>
      <c r="M708" s="65"/>
      <c r="N708" s="65"/>
      <c r="O708" s="65"/>
      <c r="P708" s="14"/>
      <c r="Q708" s="14"/>
      <c r="R708" s="14"/>
      <c r="S708" s="14"/>
      <c r="T708" s="14"/>
      <c r="U708" s="14"/>
      <c r="V708" s="14"/>
      <c r="W708" s="14"/>
      <c r="X708" s="14"/>
      <c r="Y708" s="14"/>
      <c r="Z708" s="14"/>
      <c r="AA708" s="14"/>
    </row>
    <row r="709">
      <c r="A709" s="65"/>
      <c r="B709" s="65"/>
      <c r="C709" s="14"/>
      <c r="D709" s="14"/>
      <c r="E709" s="14"/>
      <c r="F709" s="65"/>
      <c r="G709" s="65"/>
      <c r="H709" s="65"/>
      <c r="I709" s="65"/>
      <c r="J709" s="65"/>
      <c r="K709" s="65"/>
      <c r="L709" s="65"/>
      <c r="M709" s="65"/>
      <c r="N709" s="65"/>
      <c r="O709" s="65"/>
      <c r="P709" s="14"/>
      <c r="Q709" s="14"/>
      <c r="R709" s="14"/>
      <c r="S709" s="14"/>
      <c r="T709" s="14"/>
      <c r="U709" s="14"/>
      <c r="V709" s="14"/>
      <c r="W709" s="14"/>
      <c r="X709" s="14"/>
      <c r="Y709" s="14"/>
      <c r="Z709" s="14"/>
      <c r="AA709" s="14"/>
    </row>
    <row r="710">
      <c r="A710" s="65"/>
      <c r="B710" s="65"/>
      <c r="C710" s="14"/>
      <c r="D710" s="14"/>
      <c r="E710" s="14"/>
      <c r="F710" s="65"/>
      <c r="G710" s="65"/>
      <c r="H710" s="65"/>
      <c r="I710" s="65"/>
      <c r="J710" s="65"/>
      <c r="K710" s="65"/>
      <c r="L710" s="65"/>
      <c r="M710" s="65"/>
      <c r="N710" s="65"/>
      <c r="O710" s="65"/>
      <c r="P710" s="14"/>
      <c r="Q710" s="14"/>
      <c r="R710" s="14"/>
      <c r="S710" s="14"/>
      <c r="T710" s="14"/>
      <c r="U710" s="14"/>
      <c r="V710" s="14"/>
      <c r="W710" s="14"/>
      <c r="X710" s="14"/>
      <c r="Y710" s="14"/>
      <c r="Z710" s="14"/>
      <c r="AA710" s="14"/>
    </row>
    <row r="711">
      <c r="A711" s="65"/>
      <c r="B711" s="65"/>
      <c r="C711" s="14"/>
      <c r="D711" s="14"/>
      <c r="E711" s="14"/>
      <c r="F711" s="65"/>
      <c r="G711" s="65"/>
      <c r="H711" s="65"/>
      <c r="I711" s="65"/>
      <c r="J711" s="65"/>
      <c r="K711" s="65"/>
      <c r="L711" s="65"/>
      <c r="M711" s="65"/>
      <c r="N711" s="65"/>
      <c r="O711" s="65"/>
      <c r="P711" s="14"/>
      <c r="Q711" s="14"/>
      <c r="R711" s="14"/>
      <c r="S711" s="14"/>
      <c r="T711" s="14"/>
      <c r="U711" s="14"/>
      <c r="V711" s="14"/>
      <c r="W711" s="14"/>
      <c r="X711" s="14"/>
      <c r="Y711" s="14"/>
      <c r="Z711" s="14"/>
      <c r="AA711" s="14"/>
    </row>
    <row r="712">
      <c r="A712" s="65"/>
      <c r="B712" s="65"/>
      <c r="C712" s="14"/>
      <c r="D712" s="14"/>
      <c r="E712" s="14"/>
      <c r="F712" s="65"/>
      <c r="G712" s="65"/>
      <c r="H712" s="65"/>
      <c r="I712" s="65"/>
      <c r="J712" s="65"/>
      <c r="K712" s="65"/>
      <c r="L712" s="65"/>
      <c r="M712" s="65"/>
      <c r="N712" s="65"/>
      <c r="O712" s="65"/>
      <c r="P712" s="14"/>
      <c r="Q712" s="14"/>
      <c r="R712" s="14"/>
      <c r="S712" s="14"/>
      <c r="T712" s="14"/>
      <c r="U712" s="14"/>
      <c r="V712" s="14"/>
      <c r="W712" s="14"/>
      <c r="X712" s="14"/>
      <c r="Y712" s="14"/>
      <c r="Z712" s="14"/>
      <c r="AA712" s="14"/>
    </row>
    <row r="713">
      <c r="A713" s="65"/>
      <c r="B713" s="65"/>
      <c r="C713" s="14"/>
      <c r="D713" s="14"/>
      <c r="E713" s="14"/>
      <c r="F713" s="65"/>
      <c r="G713" s="65"/>
      <c r="H713" s="65"/>
      <c r="I713" s="65"/>
      <c r="J713" s="65"/>
      <c r="K713" s="65"/>
      <c r="L713" s="65"/>
      <c r="M713" s="65"/>
      <c r="N713" s="65"/>
      <c r="O713" s="65"/>
      <c r="P713" s="14"/>
      <c r="Q713" s="14"/>
      <c r="R713" s="14"/>
      <c r="S713" s="14"/>
      <c r="T713" s="14"/>
      <c r="U713" s="14"/>
      <c r="V713" s="14"/>
      <c r="W713" s="14"/>
      <c r="X713" s="14"/>
      <c r="Y713" s="14"/>
      <c r="Z713" s="14"/>
      <c r="AA713" s="14"/>
    </row>
    <row r="714">
      <c r="A714" s="65"/>
      <c r="B714" s="65"/>
      <c r="C714" s="14"/>
      <c r="D714" s="14"/>
      <c r="E714" s="14"/>
      <c r="F714" s="65"/>
      <c r="G714" s="65"/>
      <c r="H714" s="65"/>
      <c r="I714" s="65"/>
      <c r="J714" s="65"/>
      <c r="K714" s="65"/>
      <c r="L714" s="65"/>
      <c r="M714" s="65"/>
      <c r="N714" s="65"/>
      <c r="O714" s="65"/>
      <c r="P714" s="14"/>
      <c r="Q714" s="14"/>
      <c r="R714" s="14"/>
      <c r="S714" s="14"/>
      <c r="T714" s="14"/>
      <c r="U714" s="14"/>
      <c r="V714" s="14"/>
      <c r="W714" s="14"/>
      <c r="X714" s="14"/>
      <c r="Y714" s="14"/>
      <c r="Z714" s="14"/>
      <c r="AA714" s="14"/>
    </row>
    <row r="715">
      <c r="A715" s="65"/>
      <c r="B715" s="65"/>
      <c r="C715" s="14"/>
      <c r="D715" s="14"/>
      <c r="E715" s="14"/>
      <c r="F715" s="65"/>
      <c r="G715" s="65"/>
      <c r="H715" s="65"/>
      <c r="I715" s="65"/>
      <c r="J715" s="65"/>
      <c r="K715" s="65"/>
      <c r="L715" s="65"/>
      <c r="M715" s="65"/>
      <c r="N715" s="65"/>
      <c r="O715" s="65"/>
      <c r="P715" s="14"/>
      <c r="Q715" s="14"/>
      <c r="R715" s="14"/>
      <c r="S715" s="14"/>
      <c r="T715" s="14"/>
      <c r="U715" s="14"/>
      <c r="V715" s="14"/>
      <c r="W715" s="14"/>
      <c r="X715" s="14"/>
      <c r="Y715" s="14"/>
      <c r="Z715" s="14"/>
      <c r="AA715" s="14"/>
    </row>
    <row r="716">
      <c r="A716" s="65"/>
      <c r="B716" s="65"/>
      <c r="C716" s="14"/>
      <c r="D716" s="14"/>
      <c r="E716" s="14"/>
      <c r="F716" s="65"/>
      <c r="G716" s="65"/>
      <c r="H716" s="65"/>
      <c r="I716" s="65"/>
      <c r="J716" s="65"/>
      <c r="K716" s="65"/>
      <c r="L716" s="65"/>
      <c r="M716" s="65"/>
      <c r="N716" s="65"/>
      <c r="O716" s="65"/>
      <c r="P716" s="14"/>
      <c r="Q716" s="14"/>
      <c r="R716" s="14"/>
      <c r="S716" s="14"/>
      <c r="T716" s="14"/>
      <c r="U716" s="14"/>
      <c r="V716" s="14"/>
      <c r="W716" s="14"/>
      <c r="X716" s="14"/>
      <c r="Y716" s="14"/>
      <c r="Z716" s="14"/>
      <c r="AA716" s="14"/>
    </row>
    <row r="717">
      <c r="A717" s="65"/>
      <c r="B717" s="65"/>
      <c r="C717" s="14"/>
      <c r="D717" s="14"/>
      <c r="E717" s="14"/>
      <c r="F717" s="65"/>
      <c r="G717" s="65"/>
      <c r="H717" s="65"/>
      <c r="I717" s="65"/>
      <c r="J717" s="65"/>
      <c r="K717" s="65"/>
      <c r="L717" s="65"/>
      <c r="M717" s="65"/>
      <c r="N717" s="65"/>
      <c r="O717" s="65"/>
      <c r="P717" s="14"/>
      <c r="Q717" s="14"/>
      <c r="R717" s="14"/>
      <c r="S717" s="14"/>
      <c r="T717" s="14"/>
      <c r="U717" s="14"/>
      <c r="V717" s="14"/>
      <c r="W717" s="14"/>
      <c r="X717" s="14"/>
      <c r="Y717" s="14"/>
      <c r="Z717" s="14"/>
      <c r="AA717" s="14"/>
    </row>
    <row r="718">
      <c r="A718" s="65"/>
      <c r="B718" s="65"/>
      <c r="C718" s="14"/>
      <c r="D718" s="14"/>
      <c r="E718" s="14"/>
      <c r="F718" s="65"/>
      <c r="G718" s="65"/>
      <c r="H718" s="65"/>
      <c r="I718" s="65"/>
      <c r="J718" s="65"/>
      <c r="K718" s="65"/>
      <c r="L718" s="65"/>
      <c r="M718" s="65"/>
      <c r="N718" s="65"/>
      <c r="O718" s="65"/>
      <c r="P718" s="14"/>
      <c r="Q718" s="14"/>
      <c r="R718" s="14"/>
      <c r="S718" s="14"/>
      <c r="T718" s="14"/>
      <c r="U718" s="14"/>
      <c r="V718" s="14"/>
      <c r="W718" s="14"/>
      <c r="X718" s="14"/>
      <c r="Y718" s="14"/>
      <c r="Z718" s="14"/>
      <c r="AA718" s="14"/>
    </row>
    <row r="719">
      <c r="A719" s="65"/>
      <c r="B719" s="65"/>
      <c r="C719" s="14"/>
      <c r="D719" s="14"/>
      <c r="E719" s="14"/>
      <c r="F719" s="65"/>
      <c r="G719" s="65"/>
      <c r="H719" s="65"/>
      <c r="I719" s="65"/>
      <c r="J719" s="65"/>
      <c r="K719" s="65"/>
      <c r="L719" s="65"/>
      <c r="M719" s="65"/>
      <c r="N719" s="65"/>
      <c r="O719" s="65"/>
      <c r="P719" s="14"/>
      <c r="Q719" s="14"/>
      <c r="R719" s="14"/>
      <c r="S719" s="14"/>
      <c r="T719" s="14"/>
      <c r="U719" s="14"/>
      <c r="V719" s="14"/>
      <c r="W719" s="14"/>
      <c r="X719" s="14"/>
      <c r="Y719" s="14"/>
      <c r="Z719" s="14"/>
      <c r="AA719" s="14"/>
    </row>
    <row r="720">
      <c r="A720" s="65"/>
      <c r="B720" s="65"/>
      <c r="C720" s="14"/>
      <c r="D720" s="14"/>
      <c r="E720" s="14"/>
      <c r="F720" s="65"/>
      <c r="G720" s="65"/>
      <c r="H720" s="65"/>
      <c r="I720" s="65"/>
      <c r="J720" s="65"/>
      <c r="K720" s="65"/>
      <c r="L720" s="65"/>
      <c r="M720" s="65"/>
      <c r="N720" s="65"/>
      <c r="O720" s="65"/>
      <c r="P720" s="14"/>
      <c r="Q720" s="14"/>
      <c r="R720" s="14"/>
      <c r="S720" s="14"/>
      <c r="T720" s="14"/>
      <c r="U720" s="14"/>
      <c r="V720" s="14"/>
      <c r="W720" s="14"/>
      <c r="X720" s="14"/>
      <c r="Y720" s="14"/>
      <c r="Z720" s="14"/>
      <c r="AA720" s="14"/>
    </row>
    <row r="721">
      <c r="A721" s="65"/>
      <c r="B721" s="65"/>
      <c r="C721" s="14"/>
      <c r="D721" s="14"/>
      <c r="E721" s="14"/>
      <c r="F721" s="65"/>
      <c r="G721" s="65"/>
      <c r="H721" s="65"/>
      <c r="I721" s="65"/>
      <c r="J721" s="65"/>
      <c r="K721" s="65"/>
      <c r="L721" s="65"/>
      <c r="M721" s="65"/>
      <c r="N721" s="65"/>
      <c r="O721" s="65"/>
      <c r="P721" s="14"/>
      <c r="Q721" s="14"/>
      <c r="R721" s="14"/>
      <c r="S721" s="14"/>
      <c r="T721" s="14"/>
      <c r="U721" s="14"/>
      <c r="V721" s="14"/>
      <c r="W721" s="14"/>
      <c r="X721" s="14"/>
      <c r="Y721" s="14"/>
      <c r="Z721" s="14"/>
      <c r="AA721" s="14"/>
    </row>
    <row r="722">
      <c r="A722" s="65"/>
      <c r="B722" s="65"/>
      <c r="C722" s="14"/>
      <c r="D722" s="14"/>
      <c r="E722" s="14"/>
      <c r="F722" s="65"/>
      <c r="G722" s="65"/>
      <c r="H722" s="65"/>
      <c r="I722" s="65"/>
      <c r="J722" s="65"/>
      <c r="K722" s="65"/>
      <c r="L722" s="65"/>
      <c r="M722" s="65"/>
      <c r="N722" s="65"/>
      <c r="O722" s="65"/>
      <c r="P722" s="14"/>
      <c r="Q722" s="14"/>
      <c r="R722" s="14"/>
      <c r="S722" s="14"/>
      <c r="T722" s="14"/>
      <c r="U722" s="14"/>
      <c r="V722" s="14"/>
      <c r="W722" s="14"/>
      <c r="X722" s="14"/>
      <c r="Y722" s="14"/>
      <c r="Z722" s="14"/>
      <c r="AA722" s="14"/>
    </row>
    <row r="723">
      <c r="A723" s="65"/>
      <c r="B723" s="65"/>
      <c r="C723" s="14"/>
      <c r="D723" s="14"/>
      <c r="E723" s="14"/>
      <c r="F723" s="65"/>
      <c r="G723" s="65"/>
      <c r="H723" s="65"/>
      <c r="I723" s="65"/>
      <c r="J723" s="65"/>
      <c r="K723" s="65"/>
      <c r="L723" s="65"/>
      <c r="M723" s="65"/>
      <c r="N723" s="65"/>
      <c r="O723" s="65"/>
      <c r="P723" s="14"/>
      <c r="Q723" s="14"/>
      <c r="R723" s="14"/>
      <c r="S723" s="14"/>
      <c r="T723" s="14"/>
      <c r="U723" s="14"/>
      <c r="V723" s="14"/>
      <c r="W723" s="14"/>
      <c r="X723" s="14"/>
      <c r="Y723" s="14"/>
      <c r="Z723" s="14"/>
      <c r="AA723" s="14"/>
    </row>
    <row r="724">
      <c r="A724" s="65"/>
      <c r="B724" s="65"/>
      <c r="C724" s="14"/>
      <c r="D724" s="14"/>
      <c r="E724" s="14"/>
      <c r="F724" s="65"/>
      <c r="G724" s="65"/>
      <c r="H724" s="65"/>
      <c r="I724" s="65"/>
      <c r="J724" s="65"/>
      <c r="K724" s="65"/>
      <c r="L724" s="65"/>
      <c r="M724" s="65"/>
      <c r="N724" s="65"/>
      <c r="O724" s="65"/>
      <c r="P724" s="14"/>
      <c r="Q724" s="14"/>
      <c r="R724" s="14"/>
      <c r="S724" s="14"/>
      <c r="T724" s="14"/>
      <c r="U724" s="14"/>
      <c r="V724" s="14"/>
      <c r="W724" s="14"/>
      <c r="X724" s="14"/>
      <c r="Y724" s="14"/>
      <c r="Z724" s="14"/>
      <c r="AA724" s="14"/>
    </row>
    <row r="725">
      <c r="A725" s="65"/>
      <c r="B725" s="65"/>
      <c r="C725" s="14"/>
      <c r="D725" s="14"/>
      <c r="E725" s="14"/>
      <c r="F725" s="65"/>
      <c r="G725" s="65"/>
      <c r="H725" s="65"/>
      <c r="I725" s="65"/>
      <c r="J725" s="65"/>
      <c r="K725" s="65"/>
      <c r="L725" s="65"/>
      <c r="M725" s="65"/>
      <c r="N725" s="65"/>
      <c r="O725" s="65"/>
      <c r="P725" s="14"/>
      <c r="Q725" s="14"/>
      <c r="R725" s="14"/>
      <c r="S725" s="14"/>
      <c r="T725" s="14"/>
      <c r="U725" s="14"/>
      <c r="V725" s="14"/>
      <c r="W725" s="14"/>
      <c r="X725" s="14"/>
      <c r="Y725" s="14"/>
      <c r="Z725" s="14"/>
      <c r="AA725" s="14"/>
    </row>
    <row r="726">
      <c r="A726" s="65"/>
      <c r="B726" s="65"/>
      <c r="C726" s="14"/>
      <c r="D726" s="14"/>
      <c r="E726" s="14"/>
      <c r="F726" s="65"/>
      <c r="G726" s="65"/>
      <c r="H726" s="65"/>
      <c r="I726" s="65"/>
      <c r="J726" s="65"/>
      <c r="K726" s="65"/>
      <c r="L726" s="65"/>
      <c r="M726" s="65"/>
      <c r="N726" s="65"/>
      <c r="O726" s="65"/>
      <c r="P726" s="14"/>
      <c r="Q726" s="14"/>
      <c r="R726" s="14"/>
      <c r="S726" s="14"/>
      <c r="T726" s="14"/>
      <c r="U726" s="14"/>
      <c r="V726" s="14"/>
      <c r="W726" s="14"/>
      <c r="X726" s="14"/>
      <c r="Y726" s="14"/>
      <c r="Z726" s="14"/>
      <c r="AA726" s="14"/>
    </row>
    <row r="727">
      <c r="A727" s="65"/>
      <c r="B727" s="65"/>
      <c r="C727" s="14"/>
      <c r="D727" s="14"/>
      <c r="E727" s="14"/>
      <c r="F727" s="65"/>
      <c r="G727" s="65"/>
      <c r="H727" s="65"/>
      <c r="I727" s="65"/>
      <c r="J727" s="65"/>
      <c r="K727" s="65"/>
      <c r="L727" s="65"/>
      <c r="M727" s="65"/>
      <c r="N727" s="65"/>
      <c r="O727" s="65"/>
      <c r="P727" s="14"/>
      <c r="Q727" s="14"/>
      <c r="R727" s="14"/>
      <c r="S727" s="14"/>
      <c r="T727" s="14"/>
      <c r="U727" s="14"/>
      <c r="V727" s="14"/>
      <c r="W727" s="14"/>
      <c r="X727" s="14"/>
      <c r="Y727" s="14"/>
      <c r="Z727" s="14"/>
      <c r="AA727" s="14"/>
    </row>
    <row r="728">
      <c r="A728" s="65"/>
      <c r="B728" s="65"/>
      <c r="C728" s="14"/>
      <c r="D728" s="14"/>
      <c r="E728" s="14"/>
      <c r="F728" s="65"/>
      <c r="G728" s="65"/>
      <c r="H728" s="65"/>
      <c r="I728" s="65"/>
      <c r="J728" s="65"/>
      <c r="K728" s="65"/>
      <c r="L728" s="65"/>
      <c r="M728" s="65"/>
      <c r="N728" s="65"/>
      <c r="O728" s="65"/>
      <c r="P728" s="14"/>
      <c r="Q728" s="14"/>
      <c r="R728" s="14"/>
      <c r="S728" s="14"/>
      <c r="T728" s="14"/>
      <c r="U728" s="14"/>
      <c r="V728" s="14"/>
      <c r="W728" s="14"/>
      <c r="X728" s="14"/>
      <c r="Y728" s="14"/>
      <c r="Z728" s="14"/>
      <c r="AA728" s="14"/>
    </row>
    <row r="729">
      <c r="A729" s="65"/>
      <c r="B729" s="65"/>
      <c r="C729" s="14"/>
      <c r="D729" s="14"/>
      <c r="E729" s="14"/>
      <c r="F729" s="65"/>
      <c r="G729" s="65"/>
      <c r="H729" s="65"/>
      <c r="I729" s="65"/>
      <c r="J729" s="65"/>
      <c r="K729" s="65"/>
      <c r="L729" s="65"/>
      <c r="M729" s="65"/>
      <c r="N729" s="65"/>
      <c r="O729" s="65"/>
      <c r="P729" s="14"/>
      <c r="Q729" s="14"/>
      <c r="R729" s="14"/>
      <c r="S729" s="14"/>
      <c r="T729" s="14"/>
      <c r="U729" s="14"/>
      <c r="V729" s="14"/>
      <c r="W729" s="14"/>
      <c r="X729" s="14"/>
      <c r="Y729" s="14"/>
      <c r="Z729" s="14"/>
      <c r="AA729" s="14"/>
    </row>
    <row r="730">
      <c r="A730" s="65"/>
      <c r="B730" s="65"/>
      <c r="C730" s="14"/>
      <c r="D730" s="14"/>
      <c r="E730" s="14"/>
      <c r="F730" s="65"/>
      <c r="G730" s="65"/>
      <c r="H730" s="65"/>
      <c r="I730" s="65"/>
      <c r="J730" s="65"/>
      <c r="K730" s="65"/>
      <c r="L730" s="65"/>
      <c r="M730" s="65"/>
      <c r="N730" s="65"/>
      <c r="O730" s="65"/>
      <c r="P730" s="14"/>
      <c r="Q730" s="14"/>
      <c r="R730" s="14"/>
      <c r="S730" s="14"/>
      <c r="T730" s="14"/>
      <c r="U730" s="14"/>
      <c r="V730" s="14"/>
      <c r="W730" s="14"/>
      <c r="X730" s="14"/>
      <c r="Y730" s="14"/>
      <c r="Z730" s="14"/>
      <c r="AA730" s="14"/>
    </row>
    <row r="731">
      <c r="A731" s="65"/>
      <c r="B731" s="65"/>
      <c r="C731" s="14"/>
      <c r="D731" s="14"/>
      <c r="E731" s="14"/>
      <c r="F731" s="65"/>
      <c r="G731" s="65"/>
      <c r="H731" s="65"/>
      <c r="I731" s="65"/>
      <c r="J731" s="65"/>
      <c r="K731" s="65"/>
      <c r="L731" s="65"/>
      <c r="M731" s="65"/>
      <c r="N731" s="65"/>
      <c r="O731" s="65"/>
      <c r="P731" s="14"/>
      <c r="Q731" s="14"/>
      <c r="R731" s="14"/>
      <c r="S731" s="14"/>
      <c r="T731" s="14"/>
      <c r="U731" s="14"/>
      <c r="V731" s="14"/>
      <c r="W731" s="14"/>
      <c r="X731" s="14"/>
      <c r="Y731" s="14"/>
      <c r="Z731" s="14"/>
      <c r="AA731" s="14"/>
    </row>
    <row r="732">
      <c r="A732" s="65"/>
      <c r="B732" s="65"/>
      <c r="C732" s="14"/>
      <c r="D732" s="14"/>
      <c r="E732" s="14"/>
      <c r="F732" s="65"/>
      <c r="G732" s="65"/>
      <c r="H732" s="65"/>
      <c r="I732" s="65"/>
      <c r="J732" s="65"/>
      <c r="K732" s="65"/>
      <c r="L732" s="65"/>
      <c r="M732" s="65"/>
      <c r="N732" s="65"/>
      <c r="O732" s="65"/>
      <c r="P732" s="14"/>
      <c r="Q732" s="14"/>
      <c r="R732" s="14"/>
      <c r="S732" s="14"/>
      <c r="T732" s="14"/>
      <c r="U732" s="14"/>
      <c r="V732" s="14"/>
      <c r="W732" s="14"/>
      <c r="X732" s="14"/>
      <c r="Y732" s="14"/>
      <c r="Z732" s="14"/>
      <c r="AA732" s="14"/>
    </row>
    <row r="733">
      <c r="A733" s="65"/>
      <c r="B733" s="65"/>
      <c r="C733" s="14"/>
      <c r="D733" s="14"/>
      <c r="E733" s="14"/>
      <c r="F733" s="65"/>
      <c r="G733" s="65"/>
      <c r="H733" s="65"/>
      <c r="I733" s="65"/>
      <c r="J733" s="65"/>
      <c r="K733" s="65"/>
      <c r="L733" s="65"/>
      <c r="M733" s="65"/>
      <c r="N733" s="65"/>
      <c r="O733" s="65"/>
      <c r="P733" s="14"/>
      <c r="Q733" s="14"/>
      <c r="R733" s="14"/>
      <c r="S733" s="14"/>
      <c r="T733" s="14"/>
      <c r="U733" s="14"/>
      <c r="V733" s="14"/>
      <c r="W733" s="14"/>
      <c r="X733" s="14"/>
      <c r="Y733" s="14"/>
      <c r="Z733" s="14"/>
      <c r="AA733" s="14"/>
    </row>
    <row r="734">
      <c r="A734" s="65"/>
      <c r="B734" s="65"/>
      <c r="C734" s="14"/>
      <c r="D734" s="14"/>
      <c r="E734" s="14"/>
      <c r="F734" s="65"/>
      <c r="G734" s="65"/>
      <c r="H734" s="65"/>
      <c r="I734" s="65"/>
      <c r="J734" s="65"/>
      <c r="K734" s="65"/>
      <c r="L734" s="65"/>
      <c r="M734" s="65"/>
      <c r="N734" s="65"/>
      <c r="O734" s="65"/>
      <c r="P734" s="14"/>
      <c r="Q734" s="14"/>
      <c r="R734" s="14"/>
      <c r="S734" s="14"/>
      <c r="T734" s="14"/>
      <c r="U734" s="14"/>
      <c r="V734" s="14"/>
      <c r="W734" s="14"/>
      <c r="X734" s="14"/>
      <c r="Y734" s="14"/>
      <c r="Z734" s="14"/>
      <c r="AA734" s="14"/>
    </row>
    <row r="735">
      <c r="A735" s="65"/>
      <c r="B735" s="65"/>
      <c r="C735" s="14"/>
      <c r="D735" s="14"/>
      <c r="E735" s="14"/>
      <c r="F735" s="65"/>
      <c r="G735" s="65"/>
      <c r="H735" s="65"/>
      <c r="I735" s="65"/>
      <c r="J735" s="65"/>
      <c r="K735" s="65"/>
      <c r="L735" s="65"/>
      <c r="M735" s="65"/>
      <c r="N735" s="65"/>
      <c r="O735" s="65"/>
      <c r="P735" s="14"/>
      <c r="Q735" s="14"/>
      <c r="R735" s="14"/>
      <c r="S735" s="14"/>
      <c r="T735" s="14"/>
      <c r="U735" s="14"/>
      <c r="V735" s="14"/>
      <c r="W735" s="14"/>
      <c r="X735" s="14"/>
      <c r="Y735" s="14"/>
      <c r="Z735" s="14"/>
      <c r="AA735" s="14"/>
    </row>
    <row r="736">
      <c r="A736" s="65"/>
      <c r="B736" s="65"/>
      <c r="C736" s="14"/>
      <c r="D736" s="14"/>
      <c r="E736" s="14"/>
      <c r="F736" s="65"/>
      <c r="G736" s="65"/>
      <c r="H736" s="65"/>
      <c r="I736" s="65"/>
      <c r="J736" s="65"/>
      <c r="K736" s="65"/>
      <c r="L736" s="65"/>
      <c r="M736" s="65"/>
      <c r="N736" s="65"/>
      <c r="O736" s="65"/>
      <c r="P736" s="14"/>
      <c r="Q736" s="14"/>
      <c r="R736" s="14"/>
      <c r="S736" s="14"/>
      <c r="T736" s="14"/>
      <c r="U736" s="14"/>
      <c r="V736" s="14"/>
      <c r="W736" s="14"/>
      <c r="X736" s="14"/>
      <c r="Y736" s="14"/>
      <c r="Z736" s="14"/>
      <c r="AA736" s="14"/>
    </row>
    <row r="737">
      <c r="A737" s="65"/>
      <c r="B737" s="65"/>
      <c r="C737" s="14"/>
      <c r="D737" s="14"/>
      <c r="E737" s="14"/>
      <c r="F737" s="65"/>
      <c r="G737" s="65"/>
      <c r="H737" s="65"/>
      <c r="I737" s="65"/>
      <c r="J737" s="65"/>
      <c r="K737" s="65"/>
      <c r="L737" s="65"/>
      <c r="M737" s="65"/>
      <c r="N737" s="65"/>
      <c r="O737" s="65"/>
      <c r="P737" s="14"/>
      <c r="Q737" s="14"/>
      <c r="R737" s="14"/>
      <c r="S737" s="14"/>
      <c r="T737" s="14"/>
      <c r="U737" s="14"/>
      <c r="V737" s="14"/>
      <c r="W737" s="14"/>
      <c r="X737" s="14"/>
      <c r="Y737" s="14"/>
      <c r="Z737" s="14"/>
      <c r="AA737" s="14"/>
    </row>
    <row r="738">
      <c r="A738" s="65"/>
      <c r="B738" s="65"/>
      <c r="C738" s="14"/>
      <c r="D738" s="14"/>
      <c r="E738" s="14"/>
      <c r="F738" s="65"/>
      <c r="G738" s="65"/>
      <c r="H738" s="65"/>
      <c r="I738" s="65"/>
      <c r="J738" s="65"/>
      <c r="K738" s="65"/>
      <c r="L738" s="65"/>
      <c r="M738" s="65"/>
      <c r="N738" s="65"/>
      <c r="O738" s="65"/>
      <c r="P738" s="14"/>
      <c r="Q738" s="14"/>
      <c r="R738" s="14"/>
      <c r="S738" s="14"/>
      <c r="T738" s="14"/>
      <c r="U738" s="14"/>
      <c r="V738" s="14"/>
      <c r="W738" s="14"/>
      <c r="X738" s="14"/>
      <c r="Y738" s="14"/>
      <c r="Z738" s="14"/>
      <c r="AA738" s="14"/>
    </row>
    <row r="739">
      <c r="A739" s="65"/>
      <c r="B739" s="65"/>
      <c r="C739" s="14"/>
      <c r="D739" s="14"/>
      <c r="E739" s="14"/>
      <c r="F739" s="65"/>
      <c r="G739" s="65"/>
      <c r="H739" s="65"/>
      <c r="I739" s="65"/>
      <c r="J739" s="65"/>
      <c r="K739" s="65"/>
      <c r="L739" s="65"/>
      <c r="M739" s="65"/>
      <c r="N739" s="65"/>
      <c r="O739" s="65"/>
      <c r="P739" s="14"/>
      <c r="Q739" s="14"/>
      <c r="R739" s="14"/>
      <c r="S739" s="14"/>
      <c r="T739" s="14"/>
      <c r="U739" s="14"/>
      <c r="V739" s="14"/>
      <c r="W739" s="14"/>
      <c r="X739" s="14"/>
      <c r="Y739" s="14"/>
      <c r="Z739" s="14"/>
      <c r="AA739" s="14"/>
    </row>
    <row r="740">
      <c r="A740" s="65"/>
      <c r="B740" s="65"/>
      <c r="C740" s="14"/>
      <c r="D740" s="14"/>
      <c r="E740" s="14"/>
      <c r="F740" s="65"/>
      <c r="G740" s="65"/>
      <c r="H740" s="65"/>
      <c r="I740" s="65"/>
      <c r="J740" s="65"/>
      <c r="K740" s="65"/>
      <c r="L740" s="65"/>
      <c r="M740" s="65"/>
      <c r="N740" s="65"/>
      <c r="O740" s="65"/>
      <c r="P740" s="14"/>
      <c r="Q740" s="14"/>
      <c r="R740" s="14"/>
      <c r="S740" s="14"/>
      <c r="T740" s="14"/>
      <c r="U740" s="14"/>
      <c r="V740" s="14"/>
      <c r="W740" s="14"/>
      <c r="X740" s="14"/>
      <c r="Y740" s="14"/>
      <c r="Z740" s="14"/>
      <c r="AA740" s="14"/>
    </row>
    <row r="741">
      <c r="A741" s="65"/>
      <c r="B741" s="65"/>
      <c r="C741" s="14"/>
      <c r="D741" s="14"/>
      <c r="E741" s="14"/>
      <c r="F741" s="65"/>
      <c r="G741" s="65"/>
      <c r="H741" s="65"/>
      <c r="I741" s="65"/>
      <c r="J741" s="65"/>
      <c r="K741" s="65"/>
      <c r="L741" s="65"/>
      <c r="M741" s="65"/>
      <c r="N741" s="65"/>
      <c r="O741" s="65"/>
      <c r="P741" s="14"/>
      <c r="Q741" s="14"/>
      <c r="R741" s="14"/>
      <c r="S741" s="14"/>
      <c r="T741" s="14"/>
      <c r="U741" s="14"/>
      <c r="V741" s="14"/>
      <c r="W741" s="14"/>
      <c r="X741" s="14"/>
      <c r="Y741" s="14"/>
      <c r="Z741" s="14"/>
      <c r="AA741" s="14"/>
    </row>
    <row r="742">
      <c r="A742" s="65"/>
      <c r="B742" s="65"/>
      <c r="C742" s="14"/>
      <c r="D742" s="14"/>
      <c r="E742" s="14"/>
      <c r="F742" s="65"/>
      <c r="G742" s="65"/>
      <c r="H742" s="65"/>
      <c r="I742" s="65"/>
      <c r="J742" s="65"/>
      <c r="K742" s="65"/>
      <c r="L742" s="65"/>
      <c r="M742" s="65"/>
      <c r="N742" s="65"/>
      <c r="O742" s="65"/>
      <c r="P742" s="14"/>
      <c r="Q742" s="14"/>
      <c r="R742" s="14"/>
      <c r="S742" s="14"/>
      <c r="T742" s="14"/>
      <c r="U742" s="14"/>
      <c r="V742" s="14"/>
      <c r="W742" s="14"/>
      <c r="X742" s="14"/>
      <c r="Y742" s="14"/>
      <c r="Z742" s="14"/>
      <c r="AA742" s="14"/>
    </row>
    <row r="743">
      <c r="A743" s="65"/>
      <c r="B743" s="65"/>
      <c r="C743" s="14"/>
      <c r="D743" s="14"/>
      <c r="E743" s="14"/>
      <c r="F743" s="65"/>
      <c r="G743" s="65"/>
      <c r="H743" s="65"/>
      <c r="I743" s="65"/>
      <c r="J743" s="65"/>
      <c r="K743" s="65"/>
      <c r="L743" s="65"/>
      <c r="M743" s="65"/>
      <c r="N743" s="65"/>
      <c r="O743" s="65"/>
      <c r="P743" s="14"/>
      <c r="Q743" s="14"/>
      <c r="R743" s="14"/>
      <c r="S743" s="14"/>
      <c r="T743" s="14"/>
      <c r="U743" s="14"/>
      <c r="V743" s="14"/>
      <c r="W743" s="14"/>
      <c r="X743" s="14"/>
      <c r="Y743" s="14"/>
      <c r="Z743" s="14"/>
      <c r="AA743" s="14"/>
    </row>
    <row r="744">
      <c r="A744" s="65"/>
      <c r="B744" s="65"/>
      <c r="C744" s="14"/>
      <c r="D744" s="14"/>
      <c r="E744" s="14"/>
      <c r="F744" s="65"/>
      <c r="G744" s="65"/>
      <c r="H744" s="65"/>
      <c r="I744" s="65"/>
      <c r="J744" s="65"/>
      <c r="K744" s="65"/>
      <c r="L744" s="65"/>
      <c r="M744" s="65"/>
      <c r="N744" s="65"/>
      <c r="O744" s="65"/>
      <c r="P744" s="14"/>
      <c r="Q744" s="14"/>
      <c r="R744" s="14"/>
      <c r="S744" s="14"/>
      <c r="T744" s="14"/>
      <c r="U744" s="14"/>
      <c r="V744" s="14"/>
      <c r="W744" s="14"/>
      <c r="X744" s="14"/>
      <c r="Y744" s="14"/>
      <c r="Z744" s="14"/>
      <c r="AA744" s="14"/>
    </row>
    <row r="745">
      <c r="A745" s="65"/>
      <c r="B745" s="65"/>
      <c r="C745" s="14"/>
      <c r="D745" s="14"/>
      <c r="E745" s="14"/>
      <c r="F745" s="65"/>
      <c r="G745" s="65"/>
      <c r="H745" s="65"/>
      <c r="I745" s="65"/>
      <c r="J745" s="65"/>
      <c r="K745" s="65"/>
      <c r="L745" s="65"/>
      <c r="M745" s="65"/>
      <c r="N745" s="65"/>
      <c r="O745" s="65"/>
      <c r="P745" s="14"/>
      <c r="Q745" s="14"/>
      <c r="R745" s="14"/>
      <c r="S745" s="14"/>
      <c r="T745" s="14"/>
      <c r="U745" s="14"/>
      <c r="V745" s="14"/>
      <c r="W745" s="14"/>
      <c r="X745" s="14"/>
      <c r="Y745" s="14"/>
      <c r="Z745" s="14"/>
      <c r="AA745" s="14"/>
    </row>
    <row r="746">
      <c r="A746" s="65"/>
      <c r="B746" s="65"/>
      <c r="C746" s="14"/>
      <c r="D746" s="14"/>
      <c r="E746" s="14"/>
      <c r="F746" s="65"/>
      <c r="G746" s="65"/>
      <c r="H746" s="65"/>
      <c r="I746" s="65"/>
      <c r="J746" s="65"/>
      <c r="K746" s="65"/>
      <c r="L746" s="65"/>
      <c r="M746" s="65"/>
      <c r="N746" s="65"/>
      <c r="O746" s="65"/>
      <c r="P746" s="14"/>
      <c r="Q746" s="14"/>
      <c r="R746" s="14"/>
      <c r="S746" s="14"/>
      <c r="T746" s="14"/>
      <c r="U746" s="14"/>
      <c r="V746" s="14"/>
      <c r="W746" s="14"/>
      <c r="X746" s="14"/>
      <c r="Y746" s="14"/>
      <c r="Z746" s="14"/>
      <c r="AA746" s="14"/>
    </row>
    <row r="747">
      <c r="A747" s="65"/>
      <c r="B747" s="65"/>
      <c r="C747" s="14"/>
      <c r="D747" s="14"/>
      <c r="E747" s="14"/>
      <c r="F747" s="65"/>
      <c r="G747" s="65"/>
      <c r="H747" s="65"/>
      <c r="I747" s="65"/>
      <c r="J747" s="65"/>
      <c r="K747" s="65"/>
      <c r="L747" s="65"/>
      <c r="M747" s="65"/>
      <c r="N747" s="65"/>
      <c r="O747" s="65"/>
      <c r="P747" s="14"/>
      <c r="Q747" s="14"/>
      <c r="R747" s="14"/>
      <c r="S747" s="14"/>
      <c r="T747" s="14"/>
      <c r="U747" s="14"/>
      <c r="V747" s="14"/>
      <c r="W747" s="14"/>
      <c r="X747" s="14"/>
      <c r="Y747" s="14"/>
      <c r="Z747" s="14"/>
      <c r="AA747" s="14"/>
    </row>
    <row r="748">
      <c r="A748" s="65"/>
      <c r="B748" s="65"/>
      <c r="C748" s="14"/>
      <c r="D748" s="14"/>
      <c r="E748" s="14"/>
      <c r="F748" s="65"/>
      <c r="G748" s="65"/>
      <c r="H748" s="65"/>
      <c r="I748" s="65"/>
      <c r="J748" s="65"/>
      <c r="K748" s="65"/>
      <c r="L748" s="65"/>
      <c r="M748" s="65"/>
      <c r="N748" s="65"/>
      <c r="O748" s="65"/>
      <c r="P748" s="14"/>
      <c r="Q748" s="14"/>
      <c r="R748" s="14"/>
      <c r="S748" s="14"/>
      <c r="T748" s="14"/>
      <c r="U748" s="14"/>
      <c r="V748" s="14"/>
      <c r="W748" s="14"/>
      <c r="X748" s="14"/>
      <c r="Y748" s="14"/>
      <c r="Z748" s="14"/>
      <c r="AA748" s="14"/>
    </row>
    <row r="749">
      <c r="A749" s="65"/>
      <c r="B749" s="65"/>
      <c r="C749" s="14"/>
      <c r="D749" s="14"/>
      <c r="E749" s="14"/>
      <c r="F749" s="65"/>
      <c r="G749" s="65"/>
      <c r="H749" s="65"/>
      <c r="I749" s="65"/>
      <c r="J749" s="65"/>
      <c r="K749" s="65"/>
      <c r="L749" s="65"/>
      <c r="M749" s="65"/>
      <c r="N749" s="65"/>
      <c r="O749" s="65"/>
      <c r="P749" s="14"/>
      <c r="Q749" s="14"/>
      <c r="R749" s="14"/>
      <c r="S749" s="14"/>
      <c r="T749" s="14"/>
      <c r="U749" s="14"/>
      <c r="V749" s="14"/>
      <c r="W749" s="14"/>
      <c r="X749" s="14"/>
      <c r="Y749" s="14"/>
      <c r="Z749" s="14"/>
      <c r="AA749" s="14"/>
    </row>
    <row r="750">
      <c r="A750" s="65"/>
      <c r="B750" s="65"/>
      <c r="C750" s="14"/>
      <c r="D750" s="14"/>
      <c r="E750" s="14"/>
      <c r="F750" s="65"/>
      <c r="G750" s="65"/>
      <c r="H750" s="65"/>
      <c r="I750" s="65"/>
      <c r="J750" s="65"/>
      <c r="K750" s="65"/>
      <c r="L750" s="65"/>
      <c r="M750" s="65"/>
      <c r="N750" s="65"/>
      <c r="O750" s="65"/>
      <c r="P750" s="14"/>
      <c r="Q750" s="14"/>
      <c r="R750" s="14"/>
      <c r="S750" s="14"/>
      <c r="T750" s="14"/>
      <c r="U750" s="14"/>
      <c r="V750" s="14"/>
      <c r="W750" s="14"/>
      <c r="X750" s="14"/>
      <c r="Y750" s="14"/>
      <c r="Z750" s="14"/>
      <c r="AA750" s="14"/>
    </row>
    <row r="751">
      <c r="A751" s="65"/>
      <c r="B751" s="65"/>
      <c r="C751" s="14"/>
      <c r="D751" s="14"/>
      <c r="E751" s="14"/>
      <c r="F751" s="65"/>
      <c r="G751" s="65"/>
      <c r="H751" s="65"/>
      <c r="I751" s="65"/>
      <c r="J751" s="65"/>
      <c r="K751" s="65"/>
      <c r="L751" s="65"/>
      <c r="M751" s="65"/>
      <c r="N751" s="65"/>
      <c r="O751" s="65"/>
      <c r="P751" s="14"/>
      <c r="Q751" s="14"/>
      <c r="R751" s="14"/>
      <c r="S751" s="14"/>
      <c r="T751" s="14"/>
      <c r="U751" s="14"/>
      <c r="V751" s="14"/>
      <c r="W751" s="14"/>
      <c r="X751" s="14"/>
      <c r="Y751" s="14"/>
      <c r="Z751" s="14"/>
      <c r="AA751" s="14"/>
    </row>
    <row r="752">
      <c r="A752" s="65"/>
      <c r="B752" s="65"/>
      <c r="C752" s="14"/>
      <c r="D752" s="14"/>
      <c r="E752" s="14"/>
      <c r="F752" s="65"/>
      <c r="G752" s="65"/>
      <c r="H752" s="65"/>
      <c r="I752" s="65"/>
      <c r="J752" s="65"/>
      <c r="K752" s="65"/>
      <c r="L752" s="65"/>
      <c r="M752" s="65"/>
      <c r="N752" s="65"/>
      <c r="O752" s="65"/>
      <c r="P752" s="14"/>
      <c r="Q752" s="14"/>
      <c r="R752" s="14"/>
      <c r="S752" s="14"/>
      <c r="T752" s="14"/>
      <c r="U752" s="14"/>
      <c r="V752" s="14"/>
      <c r="W752" s="14"/>
      <c r="X752" s="14"/>
      <c r="Y752" s="14"/>
      <c r="Z752" s="14"/>
      <c r="AA752" s="14"/>
    </row>
    <row r="753">
      <c r="A753" s="65"/>
      <c r="B753" s="65"/>
      <c r="C753" s="14"/>
      <c r="D753" s="14"/>
      <c r="E753" s="14"/>
      <c r="F753" s="65"/>
      <c r="G753" s="65"/>
      <c r="H753" s="65"/>
      <c r="I753" s="65"/>
      <c r="J753" s="65"/>
      <c r="K753" s="65"/>
      <c r="L753" s="65"/>
      <c r="M753" s="65"/>
      <c r="N753" s="65"/>
      <c r="O753" s="65"/>
      <c r="P753" s="14"/>
      <c r="Q753" s="14"/>
      <c r="R753" s="14"/>
      <c r="S753" s="14"/>
      <c r="T753" s="14"/>
      <c r="U753" s="14"/>
      <c r="V753" s="14"/>
      <c r="W753" s="14"/>
      <c r="X753" s="14"/>
      <c r="Y753" s="14"/>
      <c r="Z753" s="14"/>
      <c r="AA753" s="14"/>
    </row>
    <row r="754">
      <c r="A754" s="65"/>
      <c r="B754" s="65"/>
      <c r="C754" s="14"/>
      <c r="D754" s="14"/>
      <c r="E754" s="14"/>
      <c r="F754" s="65"/>
      <c r="G754" s="65"/>
      <c r="H754" s="65"/>
      <c r="I754" s="65"/>
      <c r="J754" s="65"/>
      <c r="K754" s="65"/>
      <c r="L754" s="65"/>
      <c r="M754" s="65"/>
      <c r="N754" s="65"/>
      <c r="O754" s="65"/>
      <c r="P754" s="14"/>
      <c r="Q754" s="14"/>
      <c r="R754" s="14"/>
      <c r="S754" s="14"/>
      <c r="T754" s="14"/>
      <c r="U754" s="14"/>
      <c r="V754" s="14"/>
      <c r="W754" s="14"/>
      <c r="X754" s="14"/>
      <c r="Y754" s="14"/>
      <c r="Z754" s="14"/>
      <c r="AA754" s="14"/>
    </row>
    <row r="755">
      <c r="A755" s="65"/>
      <c r="B755" s="65"/>
      <c r="C755" s="14"/>
      <c r="D755" s="14"/>
      <c r="E755" s="14"/>
      <c r="F755" s="65"/>
      <c r="G755" s="65"/>
      <c r="H755" s="65"/>
      <c r="I755" s="65"/>
      <c r="J755" s="65"/>
      <c r="K755" s="65"/>
      <c r="L755" s="65"/>
      <c r="M755" s="65"/>
      <c r="N755" s="65"/>
      <c r="O755" s="65"/>
      <c r="P755" s="14"/>
      <c r="Q755" s="14"/>
      <c r="R755" s="14"/>
      <c r="S755" s="14"/>
      <c r="T755" s="14"/>
      <c r="U755" s="14"/>
      <c r="V755" s="14"/>
      <c r="W755" s="14"/>
      <c r="X755" s="14"/>
      <c r="Y755" s="14"/>
      <c r="Z755" s="14"/>
      <c r="AA755" s="14"/>
    </row>
    <row r="756">
      <c r="A756" s="65"/>
      <c r="B756" s="65"/>
      <c r="C756" s="14"/>
      <c r="D756" s="14"/>
      <c r="E756" s="14"/>
      <c r="F756" s="65"/>
      <c r="G756" s="65"/>
      <c r="H756" s="65"/>
      <c r="I756" s="65"/>
      <c r="J756" s="65"/>
      <c r="K756" s="65"/>
      <c r="L756" s="65"/>
      <c r="M756" s="65"/>
      <c r="N756" s="65"/>
      <c r="O756" s="65"/>
      <c r="P756" s="14"/>
      <c r="Q756" s="14"/>
      <c r="R756" s="14"/>
      <c r="S756" s="14"/>
      <c r="T756" s="14"/>
      <c r="U756" s="14"/>
      <c r="V756" s="14"/>
      <c r="W756" s="14"/>
      <c r="X756" s="14"/>
      <c r="Y756" s="14"/>
      <c r="Z756" s="14"/>
      <c r="AA756" s="14"/>
    </row>
    <row r="757">
      <c r="A757" s="65"/>
      <c r="B757" s="65"/>
      <c r="C757" s="14"/>
      <c r="D757" s="14"/>
      <c r="E757" s="14"/>
      <c r="F757" s="65"/>
      <c r="G757" s="65"/>
      <c r="H757" s="65"/>
      <c r="I757" s="65"/>
      <c r="J757" s="65"/>
      <c r="K757" s="65"/>
      <c r="L757" s="65"/>
      <c r="M757" s="65"/>
      <c r="N757" s="65"/>
      <c r="O757" s="65"/>
      <c r="P757" s="14"/>
      <c r="Q757" s="14"/>
      <c r="R757" s="14"/>
      <c r="S757" s="14"/>
      <c r="T757" s="14"/>
      <c r="U757" s="14"/>
      <c r="V757" s="14"/>
      <c r="W757" s="14"/>
      <c r="X757" s="14"/>
      <c r="Y757" s="14"/>
      <c r="Z757" s="14"/>
      <c r="AA757" s="14"/>
    </row>
    <row r="758">
      <c r="A758" s="65"/>
      <c r="B758" s="65"/>
      <c r="C758" s="14"/>
      <c r="D758" s="14"/>
      <c r="E758" s="14"/>
      <c r="F758" s="65"/>
      <c r="G758" s="65"/>
      <c r="H758" s="65"/>
      <c r="I758" s="65"/>
      <c r="J758" s="65"/>
      <c r="K758" s="65"/>
      <c r="L758" s="65"/>
      <c r="M758" s="65"/>
      <c r="N758" s="65"/>
      <c r="O758" s="65"/>
      <c r="P758" s="14"/>
      <c r="Q758" s="14"/>
      <c r="R758" s="14"/>
      <c r="S758" s="14"/>
      <c r="T758" s="14"/>
      <c r="U758" s="14"/>
      <c r="V758" s="14"/>
      <c r="W758" s="14"/>
      <c r="X758" s="14"/>
      <c r="Y758" s="14"/>
      <c r="Z758" s="14"/>
      <c r="AA758" s="14"/>
    </row>
    <row r="759">
      <c r="A759" s="65"/>
      <c r="B759" s="65"/>
      <c r="C759" s="14"/>
      <c r="D759" s="14"/>
      <c r="E759" s="14"/>
      <c r="F759" s="65"/>
      <c r="G759" s="65"/>
      <c r="H759" s="65"/>
      <c r="I759" s="65"/>
      <c r="J759" s="65"/>
      <c r="K759" s="65"/>
      <c r="L759" s="65"/>
      <c r="M759" s="65"/>
      <c r="N759" s="65"/>
      <c r="O759" s="65"/>
      <c r="P759" s="14"/>
      <c r="Q759" s="14"/>
      <c r="R759" s="14"/>
      <c r="S759" s="14"/>
      <c r="T759" s="14"/>
      <c r="U759" s="14"/>
      <c r="V759" s="14"/>
      <c r="W759" s="14"/>
      <c r="X759" s="14"/>
      <c r="Y759" s="14"/>
      <c r="Z759" s="14"/>
      <c r="AA759" s="14"/>
    </row>
    <row r="760">
      <c r="A760" s="65"/>
      <c r="B760" s="65"/>
      <c r="C760" s="14"/>
      <c r="D760" s="14"/>
      <c r="E760" s="14"/>
      <c r="F760" s="65"/>
      <c r="G760" s="65"/>
      <c r="H760" s="65"/>
      <c r="I760" s="65"/>
      <c r="J760" s="65"/>
      <c r="K760" s="65"/>
      <c r="L760" s="65"/>
      <c r="M760" s="65"/>
      <c r="N760" s="65"/>
      <c r="O760" s="65"/>
      <c r="P760" s="14"/>
      <c r="Q760" s="14"/>
      <c r="R760" s="14"/>
      <c r="S760" s="14"/>
      <c r="T760" s="14"/>
      <c r="U760" s="14"/>
      <c r="V760" s="14"/>
      <c r="W760" s="14"/>
      <c r="X760" s="14"/>
      <c r="Y760" s="14"/>
      <c r="Z760" s="14"/>
      <c r="AA760" s="14"/>
    </row>
    <row r="761">
      <c r="A761" s="65"/>
      <c r="B761" s="65"/>
      <c r="C761" s="14"/>
      <c r="D761" s="14"/>
      <c r="E761" s="14"/>
      <c r="F761" s="65"/>
      <c r="G761" s="65"/>
      <c r="H761" s="65"/>
      <c r="I761" s="65"/>
      <c r="J761" s="65"/>
      <c r="K761" s="65"/>
      <c r="L761" s="65"/>
      <c r="M761" s="65"/>
      <c r="N761" s="65"/>
      <c r="O761" s="65"/>
      <c r="P761" s="14"/>
      <c r="Q761" s="14"/>
      <c r="R761" s="14"/>
      <c r="S761" s="14"/>
      <c r="T761" s="14"/>
      <c r="U761" s="14"/>
      <c r="V761" s="14"/>
      <c r="W761" s="14"/>
      <c r="X761" s="14"/>
      <c r="Y761" s="14"/>
      <c r="Z761" s="14"/>
      <c r="AA761" s="14"/>
    </row>
    <row r="762">
      <c r="A762" s="65"/>
      <c r="B762" s="65"/>
      <c r="C762" s="14"/>
      <c r="D762" s="14"/>
      <c r="E762" s="14"/>
      <c r="F762" s="65"/>
      <c r="G762" s="65"/>
      <c r="H762" s="65"/>
      <c r="I762" s="65"/>
      <c r="J762" s="65"/>
      <c r="K762" s="65"/>
      <c r="L762" s="65"/>
      <c r="M762" s="65"/>
      <c r="N762" s="65"/>
      <c r="O762" s="65"/>
      <c r="P762" s="14"/>
      <c r="Q762" s="14"/>
      <c r="R762" s="14"/>
      <c r="S762" s="14"/>
      <c r="T762" s="14"/>
      <c r="U762" s="14"/>
      <c r="V762" s="14"/>
      <c r="W762" s="14"/>
      <c r="X762" s="14"/>
      <c r="Y762" s="14"/>
      <c r="Z762" s="14"/>
      <c r="AA762" s="14"/>
    </row>
    <row r="763">
      <c r="A763" s="65"/>
      <c r="B763" s="65"/>
      <c r="C763" s="14"/>
      <c r="D763" s="14"/>
      <c r="E763" s="14"/>
      <c r="F763" s="65"/>
      <c r="G763" s="65"/>
      <c r="H763" s="65"/>
      <c r="I763" s="65"/>
      <c r="J763" s="65"/>
      <c r="K763" s="65"/>
      <c r="L763" s="65"/>
      <c r="M763" s="65"/>
      <c r="N763" s="65"/>
      <c r="O763" s="65"/>
      <c r="P763" s="14"/>
      <c r="Q763" s="14"/>
      <c r="R763" s="14"/>
      <c r="S763" s="14"/>
      <c r="T763" s="14"/>
      <c r="U763" s="14"/>
      <c r="V763" s="14"/>
      <c r="W763" s="14"/>
      <c r="X763" s="14"/>
      <c r="Y763" s="14"/>
      <c r="Z763" s="14"/>
      <c r="AA763" s="14"/>
    </row>
    <row r="764">
      <c r="A764" s="65"/>
      <c r="B764" s="65"/>
      <c r="C764" s="14"/>
      <c r="D764" s="14"/>
      <c r="E764" s="14"/>
      <c r="F764" s="65"/>
      <c r="G764" s="65"/>
      <c r="H764" s="65"/>
      <c r="I764" s="65"/>
      <c r="J764" s="65"/>
      <c r="K764" s="65"/>
      <c r="L764" s="65"/>
      <c r="M764" s="65"/>
      <c r="N764" s="65"/>
      <c r="O764" s="65"/>
      <c r="P764" s="14"/>
      <c r="Q764" s="14"/>
      <c r="R764" s="14"/>
      <c r="S764" s="14"/>
      <c r="T764" s="14"/>
      <c r="U764" s="14"/>
      <c r="V764" s="14"/>
      <c r="W764" s="14"/>
      <c r="X764" s="14"/>
      <c r="Y764" s="14"/>
      <c r="Z764" s="14"/>
      <c r="AA764" s="14"/>
    </row>
    <row r="765">
      <c r="A765" s="65"/>
      <c r="B765" s="65"/>
      <c r="C765" s="14"/>
      <c r="D765" s="14"/>
      <c r="E765" s="14"/>
      <c r="F765" s="65"/>
      <c r="G765" s="65"/>
      <c r="H765" s="65"/>
      <c r="I765" s="65"/>
      <c r="J765" s="65"/>
      <c r="K765" s="65"/>
      <c r="L765" s="65"/>
      <c r="M765" s="65"/>
      <c r="N765" s="65"/>
      <c r="O765" s="65"/>
      <c r="P765" s="14"/>
      <c r="Q765" s="14"/>
      <c r="R765" s="14"/>
      <c r="S765" s="14"/>
      <c r="T765" s="14"/>
      <c r="U765" s="14"/>
      <c r="V765" s="14"/>
      <c r="W765" s="14"/>
      <c r="X765" s="14"/>
      <c r="Y765" s="14"/>
      <c r="Z765" s="14"/>
      <c r="AA765" s="14"/>
    </row>
    <row r="766">
      <c r="A766" s="65"/>
      <c r="B766" s="65"/>
      <c r="C766" s="14"/>
      <c r="D766" s="14"/>
      <c r="E766" s="14"/>
      <c r="F766" s="65"/>
      <c r="G766" s="65"/>
      <c r="H766" s="65"/>
      <c r="I766" s="65"/>
      <c r="J766" s="65"/>
      <c r="K766" s="65"/>
      <c r="L766" s="65"/>
      <c r="M766" s="65"/>
      <c r="N766" s="65"/>
      <c r="O766" s="65"/>
      <c r="P766" s="14"/>
      <c r="Q766" s="14"/>
      <c r="R766" s="14"/>
      <c r="S766" s="14"/>
      <c r="T766" s="14"/>
      <c r="U766" s="14"/>
      <c r="V766" s="14"/>
      <c r="W766" s="14"/>
      <c r="X766" s="14"/>
      <c r="Y766" s="14"/>
      <c r="Z766" s="14"/>
      <c r="AA766" s="14"/>
    </row>
    <row r="767">
      <c r="A767" s="65"/>
      <c r="B767" s="65"/>
      <c r="C767" s="14"/>
      <c r="D767" s="14"/>
      <c r="E767" s="14"/>
      <c r="F767" s="65"/>
      <c r="G767" s="65"/>
      <c r="H767" s="65"/>
      <c r="I767" s="65"/>
      <c r="J767" s="65"/>
      <c r="K767" s="65"/>
      <c r="L767" s="65"/>
      <c r="M767" s="65"/>
      <c r="N767" s="65"/>
      <c r="O767" s="65"/>
      <c r="P767" s="14"/>
      <c r="Q767" s="14"/>
      <c r="R767" s="14"/>
      <c r="S767" s="14"/>
      <c r="T767" s="14"/>
      <c r="U767" s="14"/>
      <c r="V767" s="14"/>
      <c r="W767" s="14"/>
      <c r="X767" s="14"/>
      <c r="Y767" s="14"/>
      <c r="Z767" s="14"/>
      <c r="AA767" s="14"/>
    </row>
    <row r="768">
      <c r="A768" s="65"/>
      <c r="B768" s="65"/>
      <c r="C768" s="14"/>
      <c r="D768" s="14"/>
      <c r="E768" s="14"/>
      <c r="F768" s="65"/>
      <c r="G768" s="65"/>
      <c r="H768" s="65"/>
      <c r="I768" s="65"/>
      <c r="J768" s="65"/>
      <c r="K768" s="65"/>
      <c r="L768" s="65"/>
      <c r="M768" s="65"/>
      <c r="N768" s="65"/>
      <c r="O768" s="65"/>
      <c r="P768" s="14"/>
      <c r="Q768" s="14"/>
      <c r="R768" s="14"/>
      <c r="S768" s="14"/>
      <c r="T768" s="14"/>
      <c r="U768" s="14"/>
      <c r="V768" s="14"/>
      <c r="W768" s="14"/>
      <c r="X768" s="14"/>
      <c r="Y768" s="14"/>
      <c r="Z768" s="14"/>
      <c r="AA768" s="14"/>
    </row>
    <row r="769">
      <c r="A769" s="65"/>
      <c r="B769" s="65"/>
      <c r="C769" s="14"/>
      <c r="D769" s="14"/>
      <c r="E769" s="14"/>
      <c r="F769" s="65"/>
      <c r="G769" s="65"/>
      <c r="H769" s="65"/>
      <c r="I769" s="65"/>
      <c r="J769" s="65"/>
      <c r="K769" s="65"/>
      <c r="L769" s="65"/>
      <c r="M769" s="65"/>
      <c r="N769" s="65"/>
      <c r="O769" s="65"/>
      <c r="P769" s="14"/>
      <c r="Q769" s="14"/>
      <c r="R769" s="14"/>
      <c r="S769" s="14"/>
      <c r="T769" s="14"/>
      <c r="U769" s="14"/>
      <c r="V769" s="14"/>
      <c r="W769" s="14"/>
      <c r="X769" s="14"/>
      <c r="Y769" s="14"/>
      <c r="Z769" s="14"/>
      <c r="AA769" s="14"/>
    </row>
    <row r="770">
      <c r="A770" s="65"/>
      <c r="B770" s="65"/>
      <c r="C770" s="14"/>
      <c r="D770" s="14"/>
      <c r="E770" s="14"/>
      <c r="F770" s="65"/>
      <c r="G770" s="65"/>
      <c r="H770" s="65"/>
      <c r="I770" s="65"/>
      <c r="J770" s="65"/>
      <c r="K770" s="65"/>
      <c r="L770" s="65"/>
      <c r="M770" s="65"/>
      <c r="N770" s="65"/>
      <c r="O770" s="65"/>
      <c r="P770" s="14"/>
      <c r="Q770" s="14"/>
      <c r="R770" s="14"/>
      <c r="S770" s="14"/>
      <c r="T770" s="14"/>
      <c r="U770" s="14"/>
      <c r="V770" s="14"/>
      <c r="W770" s="14"/>
      <c r="X770" s="14"/>
      <c r="Y770" s="14"/>
      <c r="Z770" s="14"/>
      <c r="AA770" s="14"/>
    </row>
    <row r="771">
      <c r="A771" s="65"/>
      <c r="B771" s="65"/>
      <c r="C771" s="14"/>
      <c r="D771" s="14"/>
      <c r="E771" s="14"/>
      <c r="F771" s="65"/>
      <c r="G771" s="65"/>
      <c r="H771" s="65"/>
      <c r="I771" s="65"/>
      <c r="J771" s="65"/>
      <c r="K771" s="65"/>
      <c r="L771" s="65"/>
      <c r="M771" s="65"/>
      <c r="N771" s="65"/>
      <c r="O771" s="65"/>
      <c r="P771" s="14"/>
      <c r="Q771" s="14"/>
      <c r="R771" s="14"/>
      <c r="S771" s="14"/>
      <c r="T771" s="14"/>
      <c r="U771" s="14"/>
      <c r="V771" s="14"/>
      <c r="W771" s="14"/>
      <c r="X771" s="14"/>
      <c r="Y771" s="14"/>
      <c r="Z771" s="14"/>
      <c r="AA771" s="14"/>
    </row>
    <row r="772">
      <c r="A772" s="65"/>
      <c r="B772" s="65"/>
      <c r="C772" s="14"/>
      <c r="D772" s="14"/>
      <c r="E772" s="14"/>
      <c r="F772" s="65"/>
      <c r="G772" s="65"/>
      <c r="H772" s="65"/>
      <c r="I772" s="65"/>
      <c r="J772" s="65"/>
      <c r="K772" s="65"/>
      <c r="L772" s="65"/>
      <c r="M772" s="65"/>
      <c r="N772" s="65"/>
      <c r="O772" s="65"/>
      <c r="P772" s="14"/>
      <c r="Q772" s="14"/>
      <c r="R772" s="14"/>
      <c r="S772" s="14"/>
      <c r="T772" s="14"/>
      <c r="U772" s="14"/>
      <c r="V772" s="14"/>
      <c r="W772" s="14"/>
      <c r="X772" s="14"/>
      <c r="Y772" s="14"/>
      <c r="Z772" s="14"/>
      <c r="AA772" s="14"/>
    </row>
    <row r="773">
      <c r="A773" s="65"/>
      <c r="B773" s="65"/>
      <c r="C773" s="14"/>
      <c r="D773" s="14"/>
      <c r="E773" s="14"/>
      <c r="F773" s="65"/>
      <c r="G773" s="65"/>
      <c r="H773" s="65"/>
      <c r="I773" s="65"/>
      <c r="J773" s="65"/>
      <c r="K773" s="65"/>
      <c r="L773" s="65"/>
      <c r="M773" s="65"/>
      <c r="N773" s="65"/>
      <c r="O773" s="65"/>
      <c r="P773" s="14"/>
      <c r="Q773" s="14"/>
      <c r="R773" s="14"/>
      <c r="S773" s="14"/>
      <c r="T773" s="14"/>
      <c r="U773" s="14"/>
      <c r="V773" s="14"/>
      <c r="W773" s="14"/>
      <c r="X773" s="14"/>
      <c r="Y773" s="14"/>
      <c r="Z773" s="14"/>
      <c r="AA773" s="14"/>
    </row>
    <row r="774">
      <c r="A774" s="65"/>
      <c r="B774" s="65"/>
      <c r="C774" s="14"/>
      <c r="D774" s="14"/>
      <c r="E774" s="14"/>
      <c r="F774" s="65"/>
      <c r="G774" s="65"/>
      <c r="H774" s="65"/>
      <c r="I774" s="65"/>
      <c r="J774" s="65"/>
      <c r="K774" s="65"/>
      <c r="L774" s="65"/>
      <c r="M774" s="65"/>
      <c r="N774" s="65"/>
      <c r="O774" s="65"/>
      <c r="P774" s="14"/>
      <c r="Q774" s="14"/>
      <c r="R774" s="14"/>
      <c r="S774" s="14"/>
      <c r="T774" s="14"/>
      <c r="U774" s="14"/>
      <c r="V774" s="14"/>
      <c r="W774" s="14"/>
      <c r="X774" s="14"/>
      <c r="Y774" s="14"/>
      <c r="Z774" s="14"/>
      <c r="AA774" s="14"/>
    </row>
    <row r="775">
      <c r="A775" s="65"/>
      <c r="B775" s="65"/>
      <c r="C775" s="14"/>
      <c r="D775" s="14"/>
      <c r="E775" s="14"/>
      <c r="F775" s="65"/>
      <c r="G775" s="65"/>
      <c r="H775" s="65"/>
      <c r="I775" s="65"/>
      <c r="J775" s="65"/>
      <c r="K775" s="65"/>
      <c r="L775" s="65"/>
      <c r="M775" s="65"/>
      <c r="N775" s="65"/>
      <c r="O775" s="65"/>
      <c r="P775" s="14"/>
      <c r="Q775" s="14"/>
      <c r="R775" s="14"/>
      <c r="S775" s="14"/>
      <c r="T775" s="14"/>
      <c r="U775" s="14"/>
      <c r="V775" s="14"/>
      <c r="W775" s="14"/>
      <c r="X775" s="14"/>
      <c r="Y775" s="14"/>
      <c r="Z775" s="14"/>
      <c r="AA775" s="14"/>
    </row>
    <row r="776">
      <c r="A776" s="65"/>
      <c r="B776" s="65"/>
      <c r="C776" s="14"/>
      <c r="D776" s="14"/>
      <c r="E776" s="14"/>
      <c r="F776" s="65"/>
      <c r="G776" s="65"/>
      <c r="H776" s="65"/>
      <c r="I776" s="65"/>
      <c r="J776" s="65"/>
      <c r="K776" s="65"/>
      <c r="L776" s="65"/>
      <c r="M776" s="65"/>
      <c r="N776" s="65"/>
      <c r="O776" s="65"/>
      <c r="P776" s="14"/>
      <c r="Q776" s="14"/>
      <c r="R776" s="14"/>
      <c r="S776" s="14"/>
      <c r="T776" s="14"/>
      <c r="U776" s="14"/>
      <c r="V776" s="14"/>
      <c r="W776" s="14"/>
      <c r="X776" s="14"/>
      <c r="Y776" s="14"/>
      <c r="Z776" s="14"/>
      <c r="AA776" s="14"/>
    </row>
    <row r="777">
      <c r="A777" s="65"/>
      <c r="B777" s="65"/>
      <c r="C777" s="14"/>
      <c r="D777" s="14"/>
      <c r="E777" s="14"/>
      <c r="F777" s="65"/>
      <c r="G777" s="65"/>
      <c r="H777" s="65"/>
      <c r="I777" s="65"/>
      <c r="J777" s="65"/>
      <c r="K777" s="65"/>
      <c r="L777" s="65"/>
      <c r="M777" s="65"/>
      <c r="N777" s="65"/>
      <c r="O777" s="65"/>
      <c r="P777" s="14"/>
      <c r="Q777" s="14"/>
      <c r="R777" s="14"/>
      <c r="S777" s="14"/>
      <c r="T777" s="14"/>
      <c r="U777" s="14"/>
      <c r="V777" s="14"/>
      <c r="W777" s="14"/>
      <c r="X777" s="14"/>
      <c r="Y777" s="14"/>
      <c r="Z777" s="14"/>
      <c r="AA777" s="14"/>
    </row>
    <row r="778">
      <c r="A778" s="65"/>
      <c r="B778" s="65"/>
      <c r="C778" s="14"/>
      <c r="D778" s="14"/>
      <c r="E778" s="14"/>
      <c r="F778" s="65"/>
      <c r="G778" s="65"/>
      <c r="H778" s="65"/>
      <c r="I778" s="65"/>
      <c r="J778" s="65"/>
      <c r="K778" s="65"/>
      <c r="L778" s="65"/>
      <c r="M778" s="65"/>
      <c r="N778" s="65"/>
      <c r="O778" s="65"/>
      <c r="P778" s="14"/>
      <c r="Q778" s="14"/>
      <c r="R778" s="14"/>
      <c r="S778" s="14"/>
      <c r="T778" s="14"/>
      <c r="U778" s="14"/>
      <c r="V778" s="14"/>
      <c r="W778" s="14"/>
      <c r="X778" s="14"/>
      <c r="Y778" s="14"/>
      <c r="Z778" s="14"/>
      <c r="AA778" s="14"/>
    </row>
    <row r="779">
      <c r="A779" s="65"/>
      <c r="B779" s="65"/>
      <c r="C779" s="14"/>
      <c r="D779" s="14"/>
      <c r="E779" s="14"/>
      <c r="F779" s="65"/>
      <c r="G779" s="65"/>
      <c r="H779" s="65"/>
      <c r="I779" s="65"/>
      <c r="J779" s="65"/>
      <c r="K779" s="65"/>
      <c r="L779" s="65"/>
      <c r="M779" s="65"/>
      <c r="N779" s="65"/>
      <c r="O779" s="65"/>
      <c r="P779" s="14"/>
      <c r="Q779" s="14"/>
      <c r="R779" s="14"/>
      <c r="S779" s="14"/>
      <c r="T779" s="14"/>
      <c r="U779" s="14"/>
      <c r="V779" s="14"/>
      <c r="W779" s="14"/>
      <c r="X779" s="14"/>
      <c r="Y779" s="14"/>
      <c r="Z779" s="14"/>
      <c r="AA779" s="14"/>
    </row>
    <row r="780">
      <c r="A780" s="65"/>
      <c r="B780" s="65"/>
      <c r="C780" s="14"/>
      <c r="D780" s="14"/>
      <c r="E780" s="14"/>
      <c r="F780" s="65"/>
      <c r="G780" s="65"/>
      <c r="H780" s="65"/>
      <c r="I780" s="65"/>
      <c r="J780" s="65"/>
      <c r="K780" s="65"/>
      <c r="L780" s="65"/>
      <c r="M780" s="65"/>
      <c r="N780" s="65"/>
      <c r="O780" s="65"/>
      <c r="P780" s="14"/>
      <c r="Q780" s="14"/>
      <c r="R780" s="14"/>
      <c r="S780" s="14"/>
      <c r="T780" s="14"/>
      <c r="U780" s="14"/>
      <c r="V780" s="14"/>
      <c r="W780" s="14"/>
      <c r="X780" s="14"/>
      <c r="Y780" s="14"/>
      <c r="Z780" s="14"/>
      <c r="AA780" s="14"/>
    </row>
    <row r="781">
      <c r="A781" s="65"/>
      <c r="B781" s="65"/>
      <c r="C781" s="14"/>
      <c r="D781" s="14"/>
      <c r="E781" s="14"/>
      <c r="F781" s="65"/>
      <c r="G781" s="65"/>
      <c r="H781" s="65"/>
      <c r="I781" s="65"/>
      <c r="J781" s="65"/>
      <c r="K781" s="65"/>
      <c r="L781" s="65"/>
      <c r="M781" s="65"/>
      <c r="N781" s="65"/>
      <c r="O781" s="65"/>
      <c r="P781" s="14"/>
      <c r="Q781" s="14"/>
      <c r="R781" s="14"/>
      <c r="S781" s="14"/>
      <c r="T781" s="14"/>
      <c r="U781" s="14"/>
      <c r="V781" s="14"/>
      <c r="W781" s="14"/>
      <c r="X781" s="14"/>
      <c r="Y781" s="14"/>
      <c r="Z781" s="14"/>
      <c r="AA781" s="14"/>
    </row>
    <row r="782">
      <c r="A782" s="65"/>
      <c r="B782" s="65"/>
      <c r="C782" s="14"/>
      <c r="D782" s="14"/>
      <c r="E782" s="14"/>
      <c r="F782" s="65"/>
      <c r="G782" s="65"/>
      <c r="H782" s="65"/>
      <c r="I782" s="65"/>
      <c r="J782" s="65"/>
      <c r="K782" s="65"/>
      <c r="L782" s="65"/>
      <c r="M782" s="65"/>
      <c r="N782" s="65"/>
      <c r="O782" s="65"/>
      <c r="P782" s="14"/>
      <c r="Q782" s="14"/>
      <c r="R782" s="14"/>
      <c r="S782" s="14"/>
      <c r="T782" s="14"/>
      <c r="U782" s="14"/>
      <c r="V782" s="14"/>
      <c r="W782" s="14"/>
      <c r="X782" s="14"/>
      <c r="Y782" s="14"/>
      <c r="Z782" s="14"/>
      <c r="AA782" s="14"/>
    </row>
    <row r="783">
      <c r="A783" s="65"/>
      <c r="B783" s="65"/>
      <c r="C783" s="14"/>
      <c r="D783" s="14"/>
      <c r="E783" s="14"/>
      <c r="F783" s="65"/>
      <c r="G783" s="65"/>
      <c r="H783" s="65"/>
      <c r="I783" s="65"/>
      <c r="J783" s="65"/>
      <c r="K783" s="65"/>
      <c r="L783" s="65"/>
      <c r="M783" s="65"/>
      <c r="N783" s="65"/>
      <c r="O783" s="65"/>
      <c r="P783" s="14"/>
      <c r="Q783" s="14"/>
      <c r="R783" s="14"/>
      <c r="S783" s="14"/>
      <c r="T783" s="14"/>
      <c r="U783" s="14"/>
      <c r="V783" s="14"/>
      <c r="W783" s="14"/>
      <c r="X783" s="14"/>
      <c r="Y783" s="14"/>
      <c r="Z783" s="14"/>
      <c r="AA783" s="14"/>
    </row>
    <row r="784">
      <c r="A784" s="65"/>
      <c r="B784" s="65"/>
      <c r="C784" s="14"/>
      <c r="D784" s="14"/>
      <c r="E784" s="14"/>
      <c r="F784" s="65"/>
      <c r="G784" s="65"/>
      <c r="H784" s="65"/>
      <c r="I784" s="65"/>
      <c r="J784" s="65"/>
      <c r="K784" s="65"/>
      <c r="L784" s="65"/>
      <c r="M784" s="65"/>
      <c r="N784" s="65"/>
      <c r="O784" s="65"/>
      <c r="P784" s="14"/>
      <c r="Q784" s="14"/>
      <c r="R784" s="14"/>
      <c r="S784" s="14"/>
      <c r="T784" s="14"/>
      <c r="U784" s="14"/>
      <c r="V784" s="14"/>
      <c r="W784" s="14"/>
      <c r="X784" s="14"/>
      <c r="Y784" s="14"/>
      <c r="Z784" s="14"/>
      <c r="AA784" s="14"/>
    </row>
    <row r="785">
      <c r="A785" s="65"/>
      <c r="B785" s="65"/>
      <c r="C785" s="14"/>
      <c r="D785" s="14"/>
      <c r="E785" s="14"/>
      <c r="F785" s="65"/>
      <c r="G785" s="65"/>
      <c r="H785" s="65"/>
      <c r="I785" s="65"/>
      <c r="J785" s="65"/>
      <c r="K785" s="65"/>
      <c r="L785" s="65"/>
      <c r="M785" s="65"/>
      <c r="N785" s="65"/>
      <c r="O785" s="65"/>
      <c r="P785" s="14"/>
      <c r="Q785" s="14"/>
      <c r="R785" s="14"/>
      <c r="S785" s="14"/>
      <c r="T785" s="14"/>
      <c r="U785" s="14"/>
      <c r="V785" s="14"/>
      <c r="W785" s="14"/>
      <c r="X785" s="14"/>
      <c r="Y785" s="14"/>
      <c r="Z785" s="14"/>
      <c r="AA785" s="14"/>
    </row>
    <row r="786">
      <c r="A786" s="65"/>
      <c r="B786" s="65"/>
      <c r="C786" s="14"/>
      <c r="D786" s="14"/>
      <c r="E786" s="14"/>
      <c r="F786" s="65"/>
      <c r="G786" s="65"/>
      <c r="H786" s="65"/>
      <c r="I786" s="65"/>
      <c r="J786" s="65"/>
      <c r="K786" s="65"/>
      <c r="L786" s="65"/>
      <c r="M786" s="65"/>
      <c r="N786" s="65"/>
      <c r="O786" s="65"/>
      <c r="P786" s="14"/>
      <c r="Q786" s="14"/>
      <c r="R786" s="14"/>
      <c r="S786" s="14"/>
      <c r="T786" s="14"/>
      <c r="U786" s="14"/>
      <c r="V786" s="14"/>
      <c r="W786" s="14"/>
      <c r="X786" s="14"/>
      <c r="Y786" s="14"/>
      <c r="Z786" s="14"/>
      <c r="AA786" s="14"/>
    </row>
    <row r="787">
      <c r="A787" s="65"/>
      <c r="B787" s="65"/>
      <c r="C787" s="14"/>
      <c r="D787" s="14"/>
      <c r="E787" s="14"/>
      <c r="F787" s="65"/>
      <c r="G787" s="65"/>
      <c r="H787" s="65"/>
      <c r="I787" s="65"/>
      <c r="J787" s="65"/>
      <c r="K787" s="65"/>
      <c r="L787" s="65"/>
      <c r="M787" s="65"/>
      <c r="N787" s="65"/>
      <c r="O787" s="65"/>
      <c r="P787" s="14"/>
      <c r="Q787" s="14"/>
      <c r="R787" s="14"/>
      <c r="S787" s="14"/>
      <c r="T787" s="14"/>
      <c r="U787" s="14"/>
      <c r="V787" s="14"/>
      <c r="W787" s="14"/>
      <c r="X787" s="14"/>
      <c r="Y787" s="14"/>
      <c r="Z787" s="14"/>
      <c r="AA787" s="14"/>
    </row>
    <row r="788">
      <c r="A788" s="65"/>
      <c r="B788" s="65"/>
      <c r="C788" s="14"/>
      <c r="D788" s="14"/>
      <c r="E788" s="14"/>
      <c r="F788" s="65"/>
      <c r="G788" s="65"/>
      <c r="H788" s="65"/>
      <c r="I788" s="65"/>
      <c r="J788" s="65"/>
      <c r="K788" s="65"/>
      <c r="L788" s="65"/>
      <c r="M788" s="65"/>
      <c r="N788" s="65"/>
      <c r="O788" s="65"/>
      <c r="P788" s="14"/>
      <c r="Q788" s="14"/>
      <c r="R788" s="14"/>
      <c r="S788" s="14"/>
      <c r="T788" s="14"/>
      <c r="U788" s="14"/>
      <c r="V788" s="14"/>
      <c r="W788" s="14"/>
      <c r="X788" s="14"/>
      <c r="Y788" s="14"/>
      <c r="Z788" s="14"/>
      <c r="AA788" s="14"/>
    </row>
    <row r="789">
      <c r="A789" s="65"/>
      <c r="B789" s="65"/>
      <c r="C789" s="14"/>
      <c r="D789" s="14"/>
      <c r="E789" s="14"/>
      <c r="F789" s="65"/>
      <c r="G789" s="65"/>
      <c r="H789" s="65"/>
      <c r="I789" s="65"/>
      <c r="J789" s="65"/>
      <c r="K789" s="65"/>
      <c r="L789" s="65"/>
      <c r="M789" s="65"/>
      <c r="N789" s="65"/>
      <c r="O789" s="65"/>
      <c r="P789" s="14"/>
      <c r="Q789" s="14"/>
      <c r="R789" s="14"/>
      <c r="S789" s="14"/>
      <c r="T789" s="14"/>
      <c r="U789" s="14"/>
      <c r="V789" s="14"/>
      <c r="W789" s="14"/>
      <c r="X789" s="14"/>
      <c r="Y789" s="14"/>
      <c r="Z789" s="14"/>
      <c r="AA789" s="14"/>
    </row>
    <row r="790">
      <c r="A790" s="65"/>
      <c r="B790" s="65"/>
      <c r="C790" s="14"/>
      <c r="D790" s="14"/>
      <c r="E790" s="14"/>
      <c r="F790" s="65"/>
      <c r="G790" s="65"/>
      <c r="H790" s="65"/>
      <c r="I790" s="65"/>
      <c r="J790" s="65"/>
      <c r="K790" s="65"/>
      <c r="L790" s="65"/>
      <c r="M790" s="65"/>
      <c r="N790" s="65"/>
      <c r="O790" s="65"/>
      <c r="P790" s="14"/>
      <c r="Q790" s="14"/>
      <c r="R790" s="14"/>
      <c r="S790" s="14"/>
      <c r="T790" s="14"/>
      <c r="U790" s="14"/>
      <c r="V790" s="14"/>
      <c r="W790" s="14"/>
      <c r="X790" s="14"/>
      <c r="Y790" s="14"/>
      <c r="Z790" s="14"/>
      <c r="AA790" s="14"/>
    </row>
    <row r="791">
      <c r="A791" s="65"/>
      <c r="B791" s="65"/>
      <c r="C791" s="14"/>
      <c r="D791" s="14"/>
      <c r="E791" s="14"/>
      <c r="F791" s="65"/>
      <c r="G791" s="65"/>
      <c r="H791" s="65"/>
      <c r="I791" s="65"/>
      <c r="J791" s="65"/>
      <c r="K791" s="65"/>
      <c r="L791" s="65"/>
      <c r="M791" s="65"/>
      <c r="N791" s="65"/>
      <c r="O791" s="65"/>
      <c r="P791" s="14"/>
      <c r="Q791" s="14"/>
      <c r="R791" s="14"/>
      <c r="S791" s="14"/>
      <c r="T791" s="14"/>
      <c r="U791" s="14"/>
      <c r="V791" s="14"/>
      <c r="W791" s="14"/>
      <c r="X791" s="14"/>
      <c r="Y791" s="14"/>
      <c r="Z791" s="14"/>
      <c r="AA791" s="14"/>
    </row>
    <row r="792">
      <c r="A792" s="65"/>
      <c r="B792" s="65"/>
      <c r="C792" s="14"/>
      <c r="D792" s="14"/>
      <c r="E792" s="14"/>
      <c r="F792" s="65"/>
      <c r="G792" s="65"/>
      <c r="H792" s="65"/>
      <c r="I792" s="65"/>
      <c r="J792" s="65"/>
      <c r="K792" s="65"/>
      <c r="L792" s="65"/>
      <c r="M792" s="65"/>
      <c r="N792" s="65"/>
      <c r="O792" s="65"/>
      <c r="P792" s="14"/>
      <c r="Q792" s="14"/>
      <c r="R792" s="14"/>
      <c r="S792" s="14"/>
      <c r="T792" s="14"/>
      <c r="U792" s="14"/>
      <c r="V792" s="14"/>
      <c r="W792" s="14"/>
      <c r="X792" s="14"/>
      <c r="Y792" s="14"/>
      <c r="Z792" s="14"/>
      <c r="AA792" s="14"/>
    </row>
    <row r="793">
      <c r="A793" s="65"/>
      <c r="B793" s="65"/>
      <c r="C793" s="14"/>
      <c r="D793" s="14"/>
      <c r="E793" s="14"/>
      <c r="F793" s="65"/>
      <c r="G793" s="65"/>
      <c r="H793" s="65"/>
      <c r="I793" s="65"/>
      <c r="J793" s="65"/>
      <c r="K793" s="65"/>
      <c r="L793" s="65"/>
      <c r="M793" s="65"/>
      <c r="N793" s="65"/>
      <c r="O793" s="65"/>
      <c r="P793" s="14"/>
      <c r="Q793" s="14"/>
      <c r="R793" s="14"/>
      <c r="S793" s="14"/>
      <c r="T793" s="14"/>
      <c r="U793" s="14"/>
      <c r="V793" s="14"/>
      <c r="W793" s="14"/>
      <c r="X793" s="14"/>
      <c r="Y793" s="14"/>
      <c r="Z793" s="14"/>
      <c r="AA793" s="14"/>
    </row>
    <row r="794">
      <c r="A794" s="65"/>
      <c r="B794" s="65"/>
      <c r="C794" s="14"/>
      <c r="D794" s="14"/>
      <c r="E794" s="14"/>
      <c r="F794" s="65"/>
      <c r="G794" s="65"/>
      <c r="H794" s="65"/>
      <c r="I794" s="65"/>
      <c r="J794" s="65"/>
      <c r="K794" s="65"/>
      <c r="L794" s="65"/>
      <c r="M794" s="65"/>
      <c r="N794" s="65"/>
      <c r="O794" s="65"/>
      <c r="P794" s="14"/>
      <c r="Q794" s="14"/>
      <c r="R794" s="14"/>
      <c r="S794" s="14"/>
      <c r="T794" s="14"/>
      <c r="U794" s="14"/>
      <c r="V794" s="14"/>
      <c r="W794" s="14"/>
      <c r="X794" s="14"/>
      <c r="Y794" s="14"/>
      <c r="Z794" s="14"/>
      <c r="AA794" s="14"/>
    </row>
    <row r="795">
      <c r="A795" s="65"/>
      <c r="B795" s="65"/>
      <c r="C795" s="14"/>
      <c r="D795" s="14"/>
      <c r="E795" s="14"/>
      <c r="F795" s="65"/>
      <c r="G795" s="65"/>
      <c r="H795" s="65"/>
      <c r="I795" s="65"/>
      <c r="J795" s="65"/>
      <c r="K795" s="65"/>
      <c r="L795" s="65"/>
      <c r="M795" s="65"/>
      <c r="N795" s="65"/>
      <c r="O795" s="65"/>
      <c r="P795" s="14"/>
      <c r="Q795" s="14"/>
      <c r="R795" s="14"/>
      <c r="S795" s="14"/>
      <c r="T795" s="14"/>
      <c r="U795" s="14"/>
      <c r="V795" s="14"/>
      <c r="W795" s="14"/>
      <c r="X795" s="14"/>
      <c r="Y795" s="14"/>
      <c r="Z795" s="14"/>
      <c r="AA795" s="14"/>
    </row>
    <row r="796">
      <c r="A796" s="65"/>
      <c r="B796" s="65"/>
      <c r="C796" s="14"/>
      <c r="D796" s="14"/>
      <c r="E796" s="14"/>
      <c r="F796" s="65"/>
      <c r="G796" s="65"/>
      <c r="H796" s="65"/>
      <c r="I796" s="65"/>
      <c r="J796" s="65"/>
      <c r="K796" s="65"/>
      <c r="L796" s="65"/>
      <c r="M796" s="65"/>
      <c r="N796" s="65"/>
      <c r="O796" s="65"/>
      <c r="P796" s="14"/>
      <c r="Q796" s="14"/>
      <c r="R796" s="14"/>
      <c r="S796" s="14"/>
      <c r="T796" s="14"/>
      <c r="U796" s="14"/>
      <c r="V796" s="14"/>
      <c r="W796" s="14"/>
      <c r="X796" s="14"/>
      <c r="Y796" s="14"/>
      <c r="Z796" s="14"/>
      <c r="AA796" s="14"/>
    </row>
    <row r="797">
      <c r="A797" s="65"/>
      <c r="B797" s="65"/>
      <c r="C797" s="14"/>
      <c r="D797" s="14"/>
      <c r="E797" s="14"/>
      <c r="F797" s="65"/>
      <c r="G797" s="65"/>
      <c r="H797" s="65"/>
      <c r="I797" s="65"/>
      <c r="J797" s="65"/>
      <c r="K797" s="65"/>
      <c r="L797" s="65"/>
      <c r="M797" s="65"/>
      <c r="N797" s="65"/>
      <c r="O797" s="65"/>
      <c r="P797" s="14"/>
      <c r="Q797" s="14"/>
      <c r="R797" s="14"/>
      <c r="S797" s="14"/>
      <c r="T797" s="14"/>
      <c r="U797" s="14"/>
      <c r="V797" s="14"/>
      <c r="W797" s="14"/>
      <c r="X797" s="14"/>
      <c r="Y797" s="14"/>
      <c r="Z797" s="14"/>
      <c r="AA797" s="14"/>
    </row>
    <row r="798">
      <c r="A798" s="65"/>
      <c r="B798" s="65"/>
      <c r="C798" s="14"/>
      <c r="D798" s="14"/>
      <c r="E798" s="14"/>
      <c r="F798" s="65"/>
      <c r="G798" s="65"/>
      <c r="H798" s="65"/>
      <c r="I798" s="65"/>
      <c r="J798" s="65"/>
      <c r="K798" s="65"/>
      <c r="L798" s="65"/>
      <c r="M798" s="65"/>
      <c r="N798" s="65"/>
      <c r="O798" s="65"/>
      <c r="P798" s="14"/>
      <c r="Q798" s="14"/>
      <c r="R798" s="14"/>
      <c r="S798" s="14"/>
      <c r="T798" s="14"/>
      <c r="U798" s="14"/>
      <c r="V798" s="14"/>
      <c r="W798" s="14"/>
      <c r="X798" s="14"/>
      <c r="Y798" s="14"/>
      <c r="Z798" s="14"/>
      <c r="AA798" s="14"/>
    </row>
    <row r="799">
      <c r="A799" s="65"/>
      <c r="B799" s="65"/>
      <c r="C799" s="14"/>
      <c r="D799" s="14"/>
      <c r="E799" s="14"/>
      <c r="F799" s="65"/>
      <c r="G799" s="65"/>
      <c r="H799" s="65"/>
      <c r="I799" s="65"/>
      <c r="J799" s="65"/>
      <c r="K799" s="65"/>
      <c r="L799" s="65"/>
      <c r="M799" s="65"/>
      <c r="N799" s="65"/>
      <c r="O799" s="65"/>
      <c r="P799" s="14"/>
      <c r="Q799" s="14"/>
      <c r="R799" s="14"/>
      <c r="S799" s="14"/>
      <c r="T799" s="14"/>
      <c r="U799" s="14"/>
      <c r="V799" s="14"/>
      <c r="W799" s="14"/>
      <c r="X799" s="14"/>
      <c r="Y799" s="14"/>
      <c r="Z799" s="14"/>
      <c r="AA799" s="14"/>
    </row>
    <row r="800">
      <c r="A800" s="65"/>
      <c r="B800" s="65"/>
      <c r="C800" s="14"/>
      <c r="D800" s="14"/>
      <c r="E800" s="14"/>
      <c r="F800" s="65"/>
      <c r="G800" s="65"/>
      <c r="H800" s="65"/>
      <c r="I800" s="65"/>
      <c r="J800" s="65"/>
      <c r="K800" s="65"/>
      <c r="L800" s="65"/>
      <c r="M800" s="65"/>
      <c r="N800" s="65"/>
      <c r="O800" s="65"/>
      <c r="P800" s="14"/>
      <c r="Q800" s="14"/>
      <c r="R800" s="14"/>
      <c r="S800" s="14"/>
      <c r="T800" s="14"/>
      <c r="U800" s="14"/>
      <c r="V800" s="14"/>
      <c r="W800" s="14"/>
      <c r="X800" s="14"/>
      <c r="Y800" s="14"/>
      <c r="Z800" s="14"/>
      <c r="AA800" s="14"/>
    </row>
    <row r="801">
      <c r="A801" s="65"/>
      <c r="B801" s="65"/>
      <c r="C801" s="14"/>
      <c r="D801" s="14"/>
      <c r="E801" s="14"/>
      <c r="F801" s="65"/>
      <c r="G801" s="65"/>
      <c r="H801" s="65"/>
      <c r="I801" s="65"/>
      <c r="J801" s="65"/>
      <c r="K801" s="65"/>
      <c r="L801" s="65"/>
      <c r="M801" s="65"/>
      <c r="N801" s="65"/>
      <c r="O801" s="65"/>
      <c r="P801" s="14"/>
      <c r="Q801" s="14"/>
      <c r="R801" s="14"/>
      <c r="S801" s="14"/>
      <c r="T801" s="14"/>
      <c r="U801" s="14"/>
      <c r="V801" s="14"/>
      <c r="W801" s="14"/>
      <c r="X801" s="14"/>
      <c r="Y801" s="14"/>
      <c r="Z801" s="14"/>
      <c r="AA801" s="14"/>
    </row>
    <row r="802">
      <c r="A802" s="65"/>
      <c r="B802" s="65"/>
      <c r="C802" s="14"/>
      <c r="D802" s="14"/>
      <c r="E802" s="14"/>
      <c r="F802" s="65"/>
      <c r="G802" s="65"/>
      <c r="H802" s="65"/>
      <c r="I802" s="65"/>
      <c r="J802" s="65"/>
      <c r="K802" s="65"/>
      <c r="L802" s="65"/>
      <c r="M802" s="65"/>
      <c r="N802" s="65"/>
      <c r="O802" s="65"/>
      <c r="P802" s="14"/>
      <c r="Q802" s="14"/>
      <c r="R802" s="14"/>
      <c r="S802" s="14"/>
      <c r="T802" s="14"/>
      <c r="U802" s="14"/>
      <c r="V802" s="14"/>
      <c r="W802" s="14"/>
      <c r="X802" s="14"/>
      <c r="Y802" s="14"/>
      <c r="Z802" s="14"/>
      <c r="AA802" s="14"/>
    </row>
    <row r="803">
      <c r="A803" s="65"/>
      <c r="B803" s="65"/>
      <c r="C803" s="14"/>
      <c r="D803" s="14"/>
      <c r="E803" s="14"/>
      <c r="F803" s="65"/>
      <c r="G803" s="65"/>
      <c r="H803" s="65"/>
      <c r="I803" s="65"/>
      <c r="J803" s="65"/>
      <c r="K803" s="65"/>
      <c r="L803" s="65"/>
      <c r="M803" s="65"/>
      <c r="N803" s="65"/>
      <c r="O803" s="65"/>
      <c r="P803" s="14"/>
      <c r="Q803" s="14"/>
      <c r="R803" s="14"/>
      <c r="S803" s="14"/>
      <c r="T803" s="14"/>
      <c r="U803" s="14"/>
      <c r="V803" s="14"/>
      <c r="W803" s="14"/>
      <c r="X803" s="14"/>
      <c r="Y803" s="14"/>
      <c r="Z803" s="14"/>
      <c r="AA803" s="14"/>
    </row>
    <row r="804">
      <c r="A804" s="65"/>
      <c r="B804" s="65"/>
      <c r="C804" s="14"/>
      <c r="D804" s="14"/>
      <c r="E804" s="14"/>
      <c r="F804" s="65"/>
      <c r="G804" s="65"/>
      <c r="H804" s="65"/>
      <c r="I804" s="65"/>
      <c r="J804" s="65"/>
      <c r="K804" s="65"/>
      <c r="L804" s="65"/>
      <c r="M804" s="65"/>
      <c r="N804" s="65"/>
      <c r="O804" s="65"/>
      <c r="P804" s="14"/>
      <c r="Q804" s="14"/>
      <c r="R804" s="14"/>
      <c r="S804" s="14"/>
      <c r="T804" s="14"/>
      <c r="U804" s="14"/>
      <c r="V804" s="14"/>
      <c r="W804" s="14"/>
      <c r="X804" s="14"/>
      <c r="Y804" s="14"/>
      <c r="Z804" s="14"/>
      <c r="AA804" s="14"/>
    </row>
    <row r="805">
      <c r="A805" s="65"/>
      <c r="B805" s="65"/>
      <c r="C805" s="14"/>
      <c r="D805" s="14"/>
      <c r="E805" s="14"/>
      <c r="F805" s="65"/>
      <c r="G805" s="65"/>
      <c r="H805" s="65"/>
      <c r="I805" s="65"/>
      <c r="J805" s="65"/>
      <c r="K805" s="65"/>
      <c r="L805" s="65"/>
      <c r="M805" s="65"/>
      <c r="N805" s="65"/>
      <c r="O805" s="65"/>
      <c r="P805" s="14"/>
      <c r="Q805" s="14"/>
      <c r="R805" s="14"/>
      <c r="S805" s="14"/>
      <c r="T805" s="14"/>
      <c r="U805" s="14"/>
      <c r="V805" s="14"/>
      <c r="W805" s="14"/>
      <c r="X805" s="14"/>
      <c r="Y805" s="14"/>
      <c r="Z805" s="14"/>
      <c r="AA805" s="14"/>
    </row>
    <row r="806">
      <c r="A806" s="65"/>
      <c r="B806" s="65"/>
      <c r="C806" s="14"/>
      <c r="D806" s="14"/>
      <c r="E806" s="14"/>
      <c r="F806" s="65"/>
      <c r="G806" s="65"/>
      <c r="H806" s="65"/>
      <c r="I806" s="65"/>
      <c r="J806" s="65"/>
      <c r="K806" s="65"/>
      <c r="L806" s="65"/>
      <c r="M806" s="65"/>
      <c r="N806" s="65"/>
      <c r="O806" s="65"/>
      <c r="P806" s="14"/>
      <c r="Q806" s="14"/>
      <c r="R806" s="14"/>
      <c r="S806" s="14"/>
      <c r="T806" s="14"/>
      <c r="U806" s="14"/>
      <c r="V806" s="14"/>
      <c r="W806" s="14"/>
      <c r="X806" s="14"/>
      <c r="Y806" s="14"/>
      <c r="Z806" s="14"/>
      <c r="AA806" s="14"/>
    </row>
    <row r="807">
      <c r="A807" s="65"/>
      <c r="B807" s="65"/>
      <c r="C807" s="14"/>
      <c r="D807" s="14"/>
      <c r="E807" s="14"/>
      <c r="F807" s="65"/>
      <c r="G807" s="65"/>
      <c r="H807" s="65"/>
      <c r="I807" s="65"/>
      <c r="J807" s="65"/>
      <c r="K807" s="65"/>
      <c r="L807" s="65"/>
      <c r="M807" s="65"/>
      <c r="N807" s="65"/>
      <c r="O807" s="65"/>
      <c r="P807" s="14"/>
      <c r="Q807" s="14"/>
      <c r="R807" s="14"/>
      <c r="S807" s="14"/>
      <c r="T807" s="14"/>
      <c r="U807" s="14"/>
      <c r="V807" s="14"/>
      <c r="W807" s="14"/>
      <c r="X807" s="14"/>
      <c r="Y807" s="14"/>
      <c r="Z807" s="14"/>
      <c r="AA807" s="14"/>
    </row>
    <row r="808">
      <c r="A808" s="65"/>
      <c r="B808" s="65"/>
      <c r="C808" s="14"/>
      <c r="D808" s="14"/>
      <c r="E808" s="14"/>
      <c r="F808" s="65"/>
      <c r="G808" s="65"/>
      <c r="H808" s="65"/>
      <c r="I808" s="65"/>
      <c r="J808" s="65"/>
      <c r="K808" s="65"/>
      <c r="L808" s="65"/>
      <c r="M808" s="65"/>
      <c r="N808" s="65"/>
      <c r="O808" s="65"/>
      <c r="P808" s="14"/>
      <c r="Q808" s="14"/>
      <c r="R808" s="14"/>
      <c r="S808" s="14"/>
      <c r="T808" s="14"/>
      <c r="U808" s="14"/>
      <c r="V808" s="14"/>
      <c r="W808" s="14"/>
      <c r="X808" s="14"/>
      <c r="Y808" s="14"/>
      <c r="Z808" s="14"/>
      <c r="AA808" s="14"/>
    </row>
    <row r="809">
      <c r="A809" s="65"/>
      <c r="B809" s="65"/>
      <c r="C809" s="14"/>
      <c r="D809" s="14"/>
      <c r="E809" s="14"/>
      <c r="F809" s="65"/>
      <c r="G809" s="65"/>
      <c r="H809" s="65"/>
      <c r="I809" s="65"/>
      <c r="J809" s="65"/>
      <c r="K809" s="65"/>
      <c r="L809" s="65"/>
      <c r="M809" s="65"/>
      <c r="N809" s="65"/>
      <c r="O809" s="65"/>
      <c r="P809" s="14"/>
      <c r="Q809" s="14"/>
      <c r="R809" s="14"/>
      <c r="S809" s="14"/>
      <c r="T809" s="14"/>
      <c r="U809" s="14"/>
      <c r="V809" s="14"/>
      <c r="W809" s="14"/>
      <c r="X809" s="14"/>
      <c r="Y809" s="14"/>
      <c r="Z809" s="14"/>
      <c r="AA809" s="14"/>
    </row>
    <row r="810">
      <c r="A810" s="65"/>
      <c r="B810" s="65"/>
      <c r="C810" s="14"/>
      <c r="D810" s="14"/>
      <c r="E810" s="14"/>
      <c r="F810" s="65"/>
      <c r="G810" s="65"/>
      <c r="H810" s="65"/>
      <c r="I810" s="65"/>
      <c r="J810" s="65"/>
      <c r="K810" s="65"/>
      <c r="L810" s="65"/>
      <c r="M810" s="65"/>
      <c r="N810" s="65"/>
      <c r="O810" s="65"/>
      <c r="P810" s="14"/>
      <c r="Q810" s="14"/>
      <c r="R810" s="14"/>
      <c r="S810" s="14"/>
      <c r="T810" s="14"/>
      <c r="U810" s="14"/>
      <c r="V810" s="14"/>
      <c r="W810" s="14"/>
      <c r="X810" s="14"/>
      <c r="Y810" s="14"/>
      <c r="Z810" s="14"/>
      <c r="AA810" s="14"/>
    </row>
    <row r="811">
      <c r="A811" s="65"/>
      <c r="B811" s="65"/>
      <c r="C811" s="14"/>
      <c r="D811" s="14"/>
      <c r="E811" s="14"/>
      <c r="F811" s="65"/>
      <c r="G811" s="65"/>
      <c r="H811" s="65"/>
      <c r="I811" s="65"/>
      <c r="J811" s="65"/>
      <c r="K811" s="65"/>
      <c r="L811" s="65"/>
      <c r="M811" s="65"/>
      <c r="N811" s="65"/>
      <c r="O811" s="65"/>
      <c r="P811" s="14"/>
      <c r="Q811" s="14"/>
      <c r="R811" s="14"/>
      <c r="S811" s="14"/>
      <c r="T811" s="14"/>
      <c r="U811" s="14"/>
      <c r="V811" s="14"/>
      <c r="W811" s="14"/>
      <c r="X811" s="14"/>
      <c r="Y811" s="14"/>
      <c r="Z811" s="14"/>
      <c r="AA811" s="14"/>
    </row>
    <row r="812">
      <c r="A812" s="65"/>
      <c r="B812" s="65"/>
      <c r="C812" s="14"/>
      <c r="D812" s="14"/>
      <c r="E812" s="14"/>
      <c r="F812" s="65"/>
      <c r="G812" s="65"/>
      <c r="H812" s="65"/>
      <c r="I812" s="65"/>
      <c r="J812" s="65"/>
      <c r="K812" s="65"/>
      <c r="L812" s="65"/>
      <c r="M812" s="65"/>
      <c r="N812" s="65"/>
      <c r="O812" s="65"/>
      <c r="P812" s="14"/>
      <c r="Q812" s="14"/>
      <c r="R812" s="14"/>
      <c r="S812" s="14"/>
      <c r="T812" s="14"/>
      <c r="U812" s="14"/>
      <c r="V812" s="14"/>
      <c r="W812" s="14"/>
      <c r="X812" s="14"/>
      <c r="Y812" s="14"/>
      <c r="Z812" s="14"/>
      <c r="AA812" s="14"/>
    </row>
    <row r="813">
      <c r="A813" s="65"/>
      <c r="B813" s="65"/>
      <c r="C813" s="14"/>
      <c r="D813" s="14"/>
      <c r="E813" s="14"/>
      <c r="F813" s="65"/>
      <c r="G813" s="65"/>
      <c r="H813" s="65"/>
      <c r="I813" s="65"/>
      <c r="J813" s="65"/>
      <c r="K813" s="65"/>
      <c r="L813" s="65"/>
      <c r="M813" s="65"/>
      <c r="N813" s="65"/>
      <c r="O813" s="65"/>
      <c r="P813" s="14"/>
      <c r="Q813" s="14"/>
      <c r="R813" s="14"/>
      <c r="S813" s="14"/>
      <c r="T813" s="14"/>
      <c r="U813" s="14"/>
      <c r="V813" s="14"/>
      <c r="W813" s="14"/>
      <c r="X813" s="14"/>
      <c r="Y813" s="14"/>
      <c r="Z813" s="14"/>
      <c r="AA813" s="14"/>
    </row>
    <row r="814">
      <c r="A814" s="65"/>
      <c r="B814" s="65"/>
      <c r="C814" s="14"/>
      <c r="D814" s="14"/>
      <c r="E814" s="14"/>
      <c r="F814" s="65"/>
      <c r="G814" s="65"/>
      <c r="H814" s="65"/>
      <c r="I814" s="65"/>
      <c r="J814" s="65"/>
      <c r="K814" s="65"/>
      <c r="L814" s="65"/>
      <c r="M814" s="65"/>
      <c r="N814" s="65"/>
      <c r="O814" s="65"/>
      <c r="P814" s="14"/>
      <c r="Q814" s="14"/>
      <c r="R814" s="14"/>
      <c r="S814" s="14"/>
      <c r="T814" s="14"/>
      <c r="U814" s="14"/>
      <c r="V814" s="14"/>
      <c r="W814" s="14"/>
      <c r="X814" s="14"/>
      <c r="Y814" s="14"/>
      <c r="Z814" s="14"/>
      <c r="AA814" s="14"/>
    </row>
    <row r="815">
      <c r="A815" s="65"/>
      <c r="B815" s="65"/>
      <c r="C815" s="14"/>
      <c r="D815" s="14"/>
      <c r="E815" s="14"/>
      <c r="F815" s="65"/>
      <c r="G815" s="65"/>
      <c r="H815" s="65"/>
      <c r="I815" s="65"/>
      <c r="J815" s="65"/>
      <c r="K815" s="65"/>
      <c r="L815" s="65"/>
      <c r="M815" s="65"/>
      <c r="N815" s="65"/>
      <c r="O815" s="65"/>
      <c r="P815" s="14"/>
      <c r="Q815" s="14"/>
      <c r="R815" s="14"/>
      <c r="S815" s="14"/>
      <c r="T815" s="14"/>
      <c r="U815" s="14"/>
      <c r="V815" s="14"/>
      <c r="W815" s="14"/>
      <c r="X815" s="14"/>
      <c r="Y815" s="14"/>
      <c r="Z815" s="14"/>
      <c r="AA815" s="14"/>
    </row>
    <row r="816">
      <c r="A816" s="65"/>
      <c r="B816" s="65"/>
      <c r="C816" s="14"/>
      <c r="D816" s="14"/>
      <c r="E816" s="14"/>
      <c r="F816" s="65"/>
      <c r="G816" s="65"/>
      <c r="H816" s="65"/>
      <c r="I816" s="65"/>
      <c r="J816" s="65"/>
      <c r="K816" s="65"/>
      <c r="L816" s="65"/>
      <c r="M816" s="65"/>
      <c r="N816" s="65"/>
      <c r="O816" s="65"/>
      <c r="P816" s="14"/>
      <c r="Q816" s="14"/>
      <c r="R816" s="14"/>
      <c r="S816" s="14"/>
      <c r="T816" s="14"/>
      <c r="U816" s="14"/>
      <c r="V816" s="14"/>
      <c r="W816" s="14"/>
      <c r="X816" s="14"/>
      <c r="Y816" s="14"/>
      <c r="Z816" s="14"/>
      <c r="AA816" s="14"/>
    </row>
    <row r="817">
      <c r="A817" s="65"/>
      <c r="B817" s="65"/>
      <c r="C817" s="14"/>
      <c r="D817" s="14"/>
      <c r="E817" s="14"/>
      <c r="F817" s="65"/>
      <c r="G817" s="65"/>
      <c r="H817" s="65"/>
      <c r="I817" s="65"/>
      <c r="J817" s="65"/>
      <c r="K817" s="65"/>
      <c r="L817" s="65"/>
      <c r="M817" s="65"/>
      <c r="N817" s="65"/>
      <c r="O817" s="65"/>
      <c r="P817" s="14"/>
      <c r="Q817" s="14"/>
      <c r="R817" s="14"/>
      <c r="S817" s="14"/>
      <c r="T817" s="14"/>
      <c r="U817" s="14"/>
      <c r="V817" s="14"/>
      <c r="W817" s="14"/>
      <c r="X817" s="14"/>
      <c r="Y817" s="14"/>
      <c r="Z817" s="14"/>
      <c r="AA817" s="14"/>
    </row>
    <row r="818">
      <c r="A818" s="65"/>
      <c r="B818" s="65"/>
      <c r="C818" s="14"/>
      <c r="D818" s="14"/>
      <c r="E818" s="14"/>
      <c r="F818" s="65"/>
      <c r="G818" s="65"/>
      <c r="H818" s="65"/>
      <c r="I818" s="65"/>
      <c r="J818" s="65"/>
      <c r="K818" s="65"/>
      <c r="L818" s="65"/>
      <c r="M818" s="65"/>
      <c r="N818" s="65"/>
      <c r="O818" s="65"/>
      <c r="P818" s="14"/>
      <c r="Q818" s="14"/>
      <c r="R818" s="14"/>
      <c r="S818" s="14"/>
      <c r="T818" s="14"/>
      <c r="U818" s="14"/>
      <c r="V818" s="14"/>
      <c r="W818" s="14"/>
      <c r="X818" s="14"/>
      <c r="Y818" s="14"/>
      <c r="Z818" s="14"/>
      <c r="AA818" s="14"/>
    </row>
    <row r="819">
      <c r="A819" s="65"/>
      <c r="B819" s="65"/>
      <c r="C819" s="14"/>
      <c r="D819" s="14"/>
      <c r="E819" s="14"/>
      <c r="F819" s="65"/>
      <c r="G819" s="65"/>
      <c r="H819" s="65"/>
      <c r="I819" s="65"/>
      <c r="J819" s="65"/>
      <c r="K819" s="65"/>
      <c r="L819" s="65"/>
      <c r="M819" s="65"/>
      <c r="N819" s="65"/>
      <c r="O819" s="65"/>
      <c r="P819" s="14"/>
      <c r="Q819" s="14"/>
      <c r="R819" s="14"/>
      <c r="S819" s="14"/>
      <c r="T819" s="14"/>
      <c r="U819" s="14"/>
      <c r="V819" s="14"/>
      <c r="W819" s="14"/>
      <c r="X819" s="14"/>
      <c r="Y819" s="14"/>
      <c r="Z819" s="14"/>
      <c r="AA819" s="14"/>
    </row>
    <row r="820">
      <c r="A820" s="65"/>
      <c r="B820" s="65"/>
      <c r="C820" s="14"/>
      <c r="D820" s="14"/>
      <c r="E820" s="14"/>
      <c r="F820" s="65"/>
      <c r="G820" s="65"/>
      <c r="H820" s="65"/>
      <c r="I820" s="65"/>
      <c r="J820" s="65"/>
      <c r="K820" s="65"/>
      <c r="L820" s="65"/>
      <c r="M820" s="65"/>
      <c r="N820" s="65"/>
      <c r="O820" s="65"/>
      <c r="P820" s="14"/>
      <c r="Q820" s="14"/>
      <c r="R820" s="14"/>
      <c r="S820" s="14"/>
      <c r="T820" s="14"/>
      <c r="U820" s="14"/>
      <c r="V820" s="14"/>
      <c r="W820" s="14"/>
      <c r="X820" s="14"/>
      <c r="Y820" s="14"/>
      <c r="Z820" s="14"/>
      <c r="AA820" s="14"/>
    </row>
    <row r="821">
      <c r="A821" s="65"/>
      <c r="B821" s="65"/>
      <c r="C821" s="14"/>
      <c r="D821" s="14"/>
      <c r="E821" s="14"/>
      <c r="F821" s="65"/>
      <c r="G821" s="65"/>
      <c r="H821" s="65"/>
      <c r="I821" s="65"/>
      <c r="J821" s="65"/>
      <c r="K821" s="65"/>
      <c r="L821" s="65"/>
      <c r="M821" s="65"/>
      <c r="N821" s="65"/>
      <c r="O821" s="65"/>
      <c r="P821" s="14"/>
      <c r="Q821" s="14"/>
      <c r="R821" s="14"/>
      <c r="S821" s="14"/>
      <c r="T821" s="14"/>
      <c r="U821" s="14"/>
      <c r="V821" s="14"/>
      <c r="W821" s="14"/>
      <c r="X821" s="14"/>
      <c r="Y821" s="14"/>
      <c r="Z821" s="14"/>
      <c r="AA821" s="14"/>
    </row>
    <row r="822">
      <c r="A822" s="65"/>
      <c r="B822" s="65"/>
      <c r="C822" s="14"/>
      <c r="D822" s="14"/>
      <c r="E822" s="14"/>
      <c r="F822" s="65"/>
      <c r="G822" s="65"/>
      <c r="H822" s="65"/>
      <c r="I822" s="65"/>
      <c r="J822" s="65"/>
      <c r="K822" s="65"/>
      <c r="L822" s="65"/>
      <c r="M822" s="65"/>
      <c r="N822" s="65"/>
      <c r="O822" s="65"/>
      <c r="P822" s="14"/>
      <c r="Q822" s="14"/>
      <c r="R822" s="14"/>
      <c r="S822" s="14"/>
      <c r="T822" s="14"/>
      <c r="U822" s="14"/>
      <c r="V822" s="14"/>
      <c r="W822" s="14"/>
      <c r="X822" s="14"/>
      <c r="Y822" s="14"/>
      <c r="Z822" s="14"/>
      <c r="AA822" s="14"/>
    </row>
    <row r="823">
      <c r="A823" s="65"/>
      <c r="B823" s="65"/>
      <c r="C823" s="14"/>
      <c r="D823" s="14"/>
      <c r="E823" s="14"/>
      <c r="F823" s="65"/>
      <c r="G823" s="65"/>
      <c r="H823" s="65"/>
      <c r="I823" s="65"/>
      <c r="J823" s="65"/>
      <c r="K823" s="65"/>
      <c r="L823" s="65"/>
      <c r="M823" s="65"/>
      <c r="N823" s="65"/>
      <c r="O823" s="65"/>
      <c r="P823" s="14"/>
      <c r="Q823" s="14"/>
      <c r="R823" s="14"/>
      <c r="S823" s="14"/>
      <c r="T823" s="14"/>
      <c r="U823" s="14"/>
      <c r="V823" s="14"/>
      <c r="W823" s="14"/>
      <c r="X823" s="14"/>
      <c r="Y823" s="14"/>
      <c r="Z823" s="14"/>
      <c r="AA823" s="14"/>
    </row>
    <row r="824">
      <c r="A824" s="65"/>
      <c r="B824" s="65"/>
      <c r="C824" s="14"/>
      <c r="D824" s="14"/>
      <c r="E824" s="14"/>
      <c r="F824" s="65"/>
      <c r="G824" s="65"/>
      <c r="H824" s="65"/>
      <c r="I824" s="65"/>
      <c r="J824" s="65"/>
      <c r="K824" s="65"/>
      <c r="L824" s="65"/>
      <c r="M824" s="65"/>
      <c r="N824" s="65"/>
      <c r="O824" s="65"/>
      <c r="P824" s="14"/>
      <c r="Q824" s="14"/>
      <c r="R824" s="14"/>
      <c r="S824" s="14"/>
      <c r="T824" s="14"/>
      <c r="U824" s="14"/>
      <c r="V824" s="14"/>
      <c r="W824" s="14"/>
      <c r="X824" s="14"/>
      <c r="Y824" s="14"/>
      <c r="Z824" s="14"/>
      <c r="AA824" s="14"/>
    </row>
    <row r="825">
      <c r="A825" s="65"/>
      <c r="B825" s="65"/>
      <c r="C825" s="14"/>
      <c r="D825" s="14"/>
      <c r="E825" s="14"/>
      <c r="F825" s="65"/>
      <c r="G825" s="65"/>
      <c r="H825" s="65"/>
      <c r="I825" s="65"/>
      <c r="J825" s="65"/>
      <c r="K825" s="65"/>
      <c r="L825" s="65"/>
      <c r="M825" s="65"/>
      <c r="N825" s="65"/>
      <c r="O825" s="65"/>
      <c r="P825" s="14"/>
      <c r="Q825" s="14"/>
      <c r="R825" s="14"/>
      <c r="S825" s="14"/>
      <c r="T825" s="14"/>
      <c r="U825" s="14"/>
      <c r="V825" s="14"/>
      <c r="W825" s="14"/>
      <c r="X825" s="14"/>
      <c r="Y825" s="14"/>
      <c r="Z825" s="14"/>
      <c r="AA825" s="14"/>
    </row>
    <row r="826">
      <c r="A826" s="65"/>
      <c r="B826" s="65"/>
      <c r="C826" s="14"/>
      <c r="D826" s="14"/>
      <c r="E826" s="14"/>
      <c r="F826" s="65"/>
      <c r="G826" s="65"/>
      <c r="H826" s="65"/>
      <c r="I826" s="65"/>
      <c r="J826" s="65"/>
      <c r="K826" s="65"/>
      <c r="L826" s="65"/>
      <c r="M826" s="65"/>
      <c r="N826" s="65"/>
      <c r="O826" s="65"/>
      <c r="P826" s="14"/>
      <c r="Q826" s="14"/>
      <c r="R826" s="14"/>
      <c r="S826" s="14"/>
      <c r="T826" s="14"/>
      <c r="U826" s="14"/>
      <c r="V826" s="14"/>
      <c r="W826" s="14"/>
      <c r="X826" s="14"/>
      <c r="Y826" s="14"/>
      <c r="Z826" s="14"/>
      <c r="AA826" s="14"/>
    </row>
    <row r="827">
      <c r="A827" s="65"/>
      <c r="B827" s="65"/>
      <c r="C827" s="14"/>
      <c r="D827" s="14"/>
      <c r="E827" s="14"/>
      <c r="F827" s="65"/>
      <c r="G827" s="65"/>
      <c r="H827" s="65"/>
      <c r="I827" s="65"/>
      <c r="J827" s="65"/>
      <c r="K827" s="65"/>
      <c r="L827" s="65"/>
      <c r="M827" s="65"/>
      <c r="N827" s="65"/>
      <c r="O827" s="65"/>
      <c r="P827" s="14"/>
      <c r="Q827" s="14"/>
      <c r="R827" s="14"/>
      <c r="S827" s="14"/>
      <c r="T827" s="14"/>
      <c r="U827" s="14"/>
      <c r="V827" s="14"/>
      <c r="W827" s="14"/>
      <c r="X827" s="14"/>
      <c r="Y827" s="14"/>
      <c r="Z827" s="14"/>
      <c r="AA827" s="14"/>
    </row>
    <row r="828">
      <c r="A828" s="65"/>
      <c r="B828" s="65"/>
      <c r="C828" s="14"/>
      <c r="D828" s="14"/>
      <c r="E828" s="14"/>
      <c r="F828" s="65"/>
      <c r="G828" s="65"/>
      <c r="H828" s="65"/>
      <c r="I828" s="65"/>
      <c r="J828" s="65"/>
      <c r="K828" s="65"/>
      <c r="L828" s="65"/>
      <c r="M828" s="65"/>
      <c r="N828" s="65"/>
      <c r="O828" s="65"/>
      <c r="P828" s="14"/>
      <c r="Q828" s="14"/>
      <c r="R828" s="14"/>
      <c r="S828" s="14"/>
      <c r="T828" s="14"/>
      <c r="U828" s="14"/>
      <c r="V828" s="14"/>
      <c r="W828" s="14"/>
      <c r="X828" s="14"/>
      <c r="Y828" s="14"/>
      <c r="Z828" s="14"/>
      <c r="AA828" s="14"/>
    </row>
    <row r="829">
      <c r="A829" s="65"/>
      <c r="B829" s="65"/>
      <c r="C829" s="14"/>
      <c r="D829" s="14"/>
      <c r="E829" s="14"/>
      <c r="F829" s="65"/>
      <c r="G829" s="65"/>
      <c r="H829" s="65"/>
      <c r="I829" s="65"/>
      <c r="J829" s="65"/>
      <c r="K829" s="65"/>
      <c r="L829" s="65"/>
      <c r="M829" s="65"/>
      <c r="N829" s="65"/>
      <c r="O829" s="65"/>
      <c r="P829" s="14"/>
      <c r="Q829" s="14"/>
      <c r="R829" s="14"/>
      <c r="S829" s="14"/>
      <c r="T829" s="14"/>
      <c r="U829" s="14"/>
      <c r="V829" s="14"/>
      <c r="W829" s="14"/>
      <c r="X829" s="14"/>
      <c r="Y829" s="14"/>
      <c r="Z829" s="14"/>
      <c r="AA829" s="14"/>
    </row>
    <row r="830">
      <c r="A830" s="65"/>
      <c r="B830" s="65"/>
      <c r="C830" s="14"/>
      <c r="D830" s="14"/>
      <c r="E830" s="14"/>
      <c r="F830" s="65"/>
      <c r="G830" s="65"/>
      <c r="H830" s="65"/>
      <c r="I830" s="65"/>
      <c r="J830" s="65"/>
      <c r="K830" s="65"/>
      <c r="L830" s="65"/>
      <c r="M830" s="65"/>
      <c r="N830" s="65"/>
      <c r="O830" s="65"/>
      <c r="P830" s="14"/>
      <c r="Q830" s="14"/>
      <c r="R830" s="14"/>
      <c r="S830" s="14"/>
      <c r="T830" s="14"/>
      <c r="U830" s="14"/>
      <c r="V830" s="14"/>
      <c r="W830" s="14"/>
      <c r="X830" s="14"/>
      <c r="Y830" s="14"/>
      <c r="Z830" s="14"/>
      <c r="AA830" s="14"/>
    </row>
    <row r="831">
      <c r="A831" s="65"/>
      <c r="B831" s="65"/>
      <c r="C831" s="14"/>
      <c r="D831" s="14"/>
      <c r="E831" s="14"/>
      <c r="F831" s="65"/>
      <c r="G831" s="65"/>
      <c r="H831" s="65"/>
      <c r="I831" s="65"/>
      <c r="J831" s="65"/>
      <c r="K831" s="65"/>
      <c r="L831" s="65"/>
      <c r="M831" s="65"/>
      <c r="N831" s="65"/>
      <c r="O831" s="65"/>
      <c r="P831" s="14"/>
      <c r="Q831" s="14"/>
      <c r="R831" s="14"/>
      <c r="S831" s="14"/>
      <c r="T831" s="14"/>
      <c r="U831" s="14"/>
      <c r="V831" s="14"/>
      <c r="W831" s="14"/>
      <c r="X831" s="14"/>
      <c r="Y831" s="14"/>
      <c r="Z831" s="14"/>
      <c r="AA831" s="14"/>
    </row>
    <row r="832">
      <c r="A832" s="65"/>
      <c r="B832" s="65"/>
      <c r="C832" s="14"/>
      <c r="D832" s="14"/>
      <c r="E832" s="14"/>
      <c r="F832" s="65"/>
      <c r="G832" s="65"/>
      <c r="H832" s="65"/>
      <c r="I832" s="65"/>
      <c r="J832" s="65"/>
      <c r="K832" s="65"/>
      <c r="L832" s="65"/>
      <c r="M832" s="65"/>
      <c r="N832" s="65"/>
      <c r="O832" s="65"/>
      <c r="P832" s="14"/>
      <c r="Q832" s="14"/>
      <c r="R832" s="14"/>
      <c r="S832" s="14"/>
      <c r="T832" s="14"/>
      <c r="U832" s="14"/>
      <c r="V832" s="14"/>
      <c r="W832" s="14"/>
      <c r="X832" s="14"/>
      <c r="Y832" s="14"/>
      <c r="Z832" s="14"/>
      <c r="AA832" s="14"/>
    </row>
    <row r="833">
      <c r="A833" s="65"/>
      <c r="B833" s="65"/>
      <c r="C833" s="14"/>
      <c r="D833" s="14"/>
      <c r="E833" s="14"/>
      <c r="F833" s="65"/>
      <c r="G833" s="65"/>
      <c r="H833" s="65"/>
      <c r="I833" s="65"/>
      <c r="J833" s="65"/>
      <c r="K833" s="65"/>
      <c r="L833" s="65"/>
      <c r="M833" s="65"/>
      <c r="N833" s="65"/>
      <c r="O833" s="65"/>
      <c r="P833" s="14"/>
      <c r="Q833" s="14"/>
      <c r="R833" s="14"/>
      <c r="S833" s="14"/>
      <c r="T833" s="14"/>
      <c r="U833" s="14"/>
      <c r="V833" s="14"/>
      <c r="W833" s="14"/>
      <c r="X833" s="14"/>
      <c r="Y833" s="14"/>
      <c r="Z833" s="14"/>
      <c r="AA833" s="14"/>
    </row>
    <row r="834">
      <c r="A834" s="65"/>
      <c r="B834" s="65"/>
      <c r="C834" s="14"/>
      <c r="D834" s="14"/>
      <c r="E834" s="14"/>
      <c r="F834" s="65"/>
      <c r="G834" s="65"/>
      <c r="H834" s="65"/>
      <c r="I834" s="65"/>
      <c r="J834" s="65"/>
      <c r="K834" s="65"/>
      <c r="L834" s="65"/>
      <c r="M834" s="65"/>
      <c r="N834" s="65"/>
      <c r="O834" s="65"/>
      <c r="P834" s="14"/>
      <c r="Q834" s="14"/>
      <c r="R834" s="14"/>
      <c r="S834" s="14"/>
      <c r="T834" s="14"/>
      <c r="U834" s="14"/>
      <c r="V834" s="14"/>
      <c r="W834" s="14"/>
      <c r="X834" s="14"/>
      <c r="Y834" s="14"/>
      <c r="Z834" s="14"/>
      <c r="AA834" s="14"/>
    </row>
    <row r="835">
      <c r="A835" s="65"/>
      <c r="B835" s="65"/>
      <c r="C835" s="14"/>
      <c r="D835" s="14"/>
      <c r="E835" s="14"/>
      <c r="F835" s="65"/>
      <c r="G835" s="65"/>
      <c r="H835" s="65"/>
      <c r="I835" s="65"/>
      <c r="J835" s="65"/>
      <c r="K835" s="65"/>
      <c r="L835" s="65"/>
      <c r="M835" s="65"/>
      <c r="N835" s="65"/>
      <c r="O835" s="65"/>
      <c r="P835" s="14"/>
      <c r="Q835" s="14"/>
      <c r="R835" s="14"/>
      <c r="S835" s="14"/>
      <c r="T835" s="14"/>
      <c r="U835" s="14"/>
      <c r="V835" s="14"/>
      <c r="W835" s="14"/>
      <c r="X835" s="14"/>
      <c r="Y835" s="14"/>
      <c r="Z835" s="14"/>
      <c r="AA835" s="14"/>
    </row>
    <row r="836">
      <c r="A836" s="65"/>
      <c r="B836" s="65"/>
      <c r="C836" s="14"/>
      <c r="D836" s="14"/>
      <c r="E836" s="14"/>
      <c r="F836" s="65"/>
      <c r="G836" s="65"/>
      <c r="H836" s="65"/>
      <c r="I836" s="65"/>
      <c r="J836" s="65"/>
      <c r="K836" s="65"/>
      <c r="L836" s="65"/>
      <c r="M836" s="65"/>
      <c r="N836" s="65"/>
      <c r="O836" s="65"/>
      <c r="P836" s="14"/>
      <c r="Q836" s="14"/>
      <c r="R836" s="14"/>
      <c r="S836" s="14"/>
      <c r="T836" s="14"/>
      <c r="U836" s="14"/>
      <c r="V836" s="14"/>
      <c r="W836" s="14"/>
      <c r="X836" s="14"/>
      <c r="Y836" s="14"/>
      <c r="Z836" s="14"/>
      <c r="AA836" s="14"/>
    </row>
    <row r="837">
      <c r="A837" s="65"/>
      <c r="B837" s="65"/>
      <c r="C837" s="14"/>
      <c r="D837" s="14"/>
      <c r="E837" s="14"/>
      <c r="F837" s="65"/>
      <c r="G837" s="65"/>
      <c r="H837" s="65"/>
      <c r="I837" s="65"/>
      <c r="J837" s="65"/>
      <c r="K837" s="65"/>
      <c r="L837" s="65"/>
      <c r="M837" s="65"/>
      <c r="N837" s="65"/>
      <c r="O837" s="65"/>
      <c r="P837" s="14"/>
      <c r="Q837" s="14"/>
      <c r="R837" s="14"/>
      <c r="S837" s="14"/>
      <c r="T837" s="14"/>
      <c r="U837" s="14"/>
      <c r="V837" s="14"/>
      <c r="W837" s="14"/>
      <c r="X837" s="14"/>
      <c r="Y837" s="14"/>
      <c r="Z837" s="14"/>
      <c r="AA837" s="14"/>
    </row>
    <row r="838">
      <c r="A838" s="65"/>
      <c r="B838" s="65"/>
      <c r="C838" s="14"/>
      <c r="D838" s="14"/>
      <c r="E838" s="14"/>
      <c r="F838" s="65"/>
      <c r="G838" s="65"/>
      <c r="H838" s="65"/>
      <c r="I838" s="65"/>
      <c r="J838" s="65"/>
      <c r="K838" s="65"/>
      <c r="L838" s="65"/>
      <c r="M838" s="65"/>
      <c r="N838" s="65"/>
      <c r="O838" s="65"/>
      <c r="P838" s="14"/>
      <c r="Q838" s="14"/>
      <c r="R838" s="14"/>
      <c r="S838" s="14"/>
      <c r="T838" s="14"/>
      <c r="U838" s="14"/>
      <c r="V838" s="14"/>
      <c r="W838" s="14"/>
      <c r="X838" s="14"/>
      <c r="Y838" s="14"/>
      <c r="Z838" s="14"/>
      <c r="AA838" s="14"/>
    </row>
    <row r="839">
      <c r="A839" s="65"/>
      <c r="B839" s="65"/>
      <c r="C839" s="14"/>
      <c r="D839" s="14"/>
      <c r="E839" s="14"/>
      <c r="F839" s="65"/>
      <c r="G839" s="65"/>
      <c r="H839" s="65"/>
      <c r="I839" s="65"/>
      <c r="J839" s="65"/>
      <c r="K839" s="65"/>
      <c r="L839" s="65"/>
      <c r="M839" s="65"/>
      <c r="N839" s="65"/>
      <c r="O839" s="65"/>
      <c r="P839" s="14"/>
      <c r="Q839" s="14"/>
      <c r="R839" s="14"/>
      <c r="S839" s="14"/>
      <c r="T839" s="14"/>
      <c r="U839" s="14"/>
      <c r="V839" s="14"/>
      <c r="W839" s="14"/>
      <c r="X839" s="14"/>
      <c r="Y839" s="14"/>
      <c r="Z839" s="14"/>
      <c r="AA839" s="14"/>
    </row>
    <row r="840">
      <c r="A840" s="65"/>
      <c r="B840" s="65"/>
      <c r="C840" s="14"/>
      <c r="D840" s="14"/>
      <c r="E840" s="14"/>
      <c r="F840" s="65"/>
      <c r="G840" s="65"/>
      <c r="H840" s="65"/>
      <c r="I840" s="65"/>
      <c r="J840" s="65"/>
      <c r="K840" s="65"/>
      <c r="L840" s="65"/>
      <c r="M840" s="65"/>
      <c r="N840" s="65"/>
      <c r="O840" s="65"/>
      <c r="P840" s="14"/>
      <c r="Q840" s="14"/>
      <c r="R840" s="14"/>
      <c r="S840" s="14"/>
      <c r="T840" s="14"/>
      <c r="U840" s="14"/>
      <c r="V840" s="14"/>
      <c r="W840" s="14"/>
      <c r="X840" s="14"/>
      <c r="Y840" s="14"/>
      <c r="Z840" s="14"/>
      <c r="AA840" s="14"/>
    </row>
    <row r="841">
      <c r="A841" s="65"/>
      <c r="B841" s="65"/>
      <c r="C841" s="14"/>
      <c r="D841" s="14"/>
      <c r="E841" s="14"/>
      <c r="F841" s="65"/>
      <c r="G841" s="65"/>
      <c r="H841" s="65"/>
      <c r="I841" s="65"/>
      <c r="J841" s="65"/>
      <c r="K841" s="65"/>
      <c r="L841" s="65"/>
      <c r="M841" s="65"/>
      <c r="N841" s="65"/>
      <c r="O841" s="65"/>
      <c r="P841" s="14"/>
      <c r="Q841" s="14"/>
      <c r="R841" s="14"/>
      <c r="S841" s="14"/>
      <c r="T841" s="14"/>
      <c r="U841" s="14"/>
      <c r="V841" s="14"/>
      <c r="W841" s="14"/>
      <c r="X841" s="14"/>
      <c r="Y841" s="14"/>
      <c r="Z841" s="14"/>
      <c r="AA841" s="14"/>
    </row>
    <row r="842">
      <c r="A842" s="65"/>
      <c r="B842" s="65"/>
      <c r="C842" s="14"/>
      <c r="D842" s="14"/>
      <c r="E842" s="14"/>
      <c r="F842" s="65"/>
      <c r="G842" s="65"/>
      <c r="H842" s="65"/>
      <c r="I842" s="65"/>
      <c r="J842" s="65"/>
      <c r="K842" s="65"/>
      <c r="L842" s="65"/>
      <c r="M842" s="65"/>
      <c r="N842" s="65"/>
      <c r="O842" s="65"/>
      <c r="P842" s="14"/>
      <c r="Q842" s="14"/>
      <c r="R842" s="14"/>
      <c r="S842" s="14"/>
      <c r="T842" s="14"/>
      <c r="U842" s="14"/>
      <c r="V842" s="14"/>
      <c r="W842" s="14"/>
      <c r="X842" s="14"/>
      <c r="Y842" s="14"/>
      <c r="Z842" s="14"/>
      <c r="AA842" s="14"/>
    </row>
    <row r="843">
      <c r="A843" s="65"/>
      <c r="B843" s="65"/>
      <c r="C843" s="14"/>
      <c r="D843" s="14"/>
      <c r="E843" s="14"/>
      <c r="F843" s="65"/>
      <c r="G843" s="65"/>
      <c r="H843" s="65"/>
      <c r="I843" s="65"/>
      <c r="J843" s="65"/>
      <c r="K843" s="65"/>
      <c r="L843" s="65"/>
      <c r="M843" s="65"/>
      <c r="N843" s="65"/>
      <c r="O843" s="65"/>
      <c r="P843" s="14"/>
      <c r="Q843" s="14"/>
      <c r="R843" s="14"/>
      <c r="S843" s="14"/>
      <c r="T843" s="14"/>
      <c r="U843" s="14"/>
      <c r="V843" s="14"/>
      <c r="W843" s="14"/>
      <c r="X843" s="14"/>
      <c r="Y843" s="14"/>
      <c r="Z843" s="14"/>
      <c r="AA843" s="14"/>
    </row>
    <row r="844">
      <c r="A844" s="65"/>
      <c r="B844" s="65"/>
      <c r="C844" s="14"/>
      <c r="D844" s="14"/>
      <c r="E844" s="14"/>
      <c r="F844" s="65"/>
      <c r="G844" s="65"/>
      <c r="H844" s="65"/>
      <c r="I844" s="65"/>
      <c r="J844" s="65"/>
      <c r="K844" s="65"/>
      <c r="L844" s="65"/>
      <c r="M844" s="65"/>
      <c r="N844" s="65"/>
      <c r="O844" s="65"/>
      <c r="P844" s="14"/>
      <c r="Q844" s="14"/>
      <c r="R844" s="14"/>
      <c r="S844" s="14"/>
      <c r="T844" s="14"/>
      <c r="U844" s="14"/>
      <c r="V844" s="14"/>
      <c r="W844" s="14"/>
      <c r="X844" s="14"/>
      <c r="Y844" s="14"/>
      <c r="Z844" s="14"/>
      <c r="AA844" s="14"/>
    </row>
    <row r="845">
      <c r="A845" s="65"/>
      <c r="B845" s="65"/>
      <c r="C845" s="14"/>
      <c r="D845" s="14"/>
      <c r="E845" s="14"/>
      <c r="F845" s="65"/>
      <c r="G845" s="65"/>
      <c r="H845" s="65"/>
      <c r="I845" s="65"/>
      <c r="J845" s="65"/>
      <c r="K845" s="65"/>
      <c r="L845" s="65"/>
      <c r="M845" s="65"/>
      <c r="N845" s="65"/>
      <c r="O845" s="65"/>
      <c r="P845" s="14"/>
      <c r="Q845" s="14"/>
      <c r="R845" s="14"/>
      <c r="S845" s="14"/>
      <c r="T845" s="14"/>
      <c r="U845" s="14"/>
      <c r="V845" s="14"/>
      <c r="W845" s="14"/>
      <c r="X845" s="14"/>
      <c r="Y845" s="14"/>
      <c r="Z845" s="14"/>
      <c r="AA845" s="14"/>
    </row>
    <row r="846">
      <c r="A846" s="65"/>
      <c r="B846" s="65"/>
      <c r="C846" s="14"/>
      <c r="D846" s="14"/>
      <c r="E846" s="14"/>
      <c r="F846" s="65"/>
      <c r="G846" s="65"/>
      <c r="H846" s="65"/>
      <c r="I846" s="65"/>
      <c r="J846" s="65"/>
      <c r="K846" s="65"/>
      <c r="L846" s="65"/>
      <c r="M846" s="65"/>
      <c r="N846" s="65"/>
      <c r="O846" s="65"/>
      <c r="P846" s="14"/>
      <c r="Q846" s="14"/>
      <c r="R846" s="14"/>
      <c r="S846" s="14"/>
      <c r="T846" s="14"/>
      <c r="U846" s="14"/>
      <c r="V846" s="14"/>
      <c r="W846" s="14"/>
      <c r="X846" s="14"/>
      <c r="Y846" s="14"/>
      <c r="Z846" s="14"/>
      <c r="AA846" s="14"/>
    </row>
    <row r="847">
      <c r="A847" s="65"/>
      <c r="B847" s="65"/>
      <c r="C847" s="14"/>
      <c r="D847" s="14"/>
      <c r="E847" s="14"/>
      <c r="F847" s="65"/>
      <c r="G847" s="65"/>
      <c r="H847" s="65"/>
      <c r="I847" s="65"/>
      <c r="J847" s="65"/>
      <c r="K847" s="65"/>
      <c r="L847" s="65"/>
      <c r="M847" s="65"/>
      <c r="N847" s="65"/>
      <c r="O847" s="65"/>
      <c r="P847" s="14"/>
      <c r="Q847" s="14"/>
      <c r="R847" s="14"/>
      <c r="S847" s="14"/>
      <c r="T847" s="14"/>
      <c r="U847" s="14"/>
      <c r="V847" s="14"/>
      <c r="W847" s="14"/>
      <c r="X847" s="14"/>
      <c r="Y847" s="14"/>
      <c r="Z847" s="14"/>
      <c r="AA847" s="14"/>
    </row>
    <row r="848">
      <c r="A848" s="65"/>
      <c r="B848" s="65"/>
      <c r="C848" s="14"/>
      <c r="D848" s="14"/>
      <c r="E848" s="14"/>
      <c r="F848" s="65"/>
      <c r="G848" s="65"/>
      <c r="H848" s="65"/>
      <c r="I848" s="65"/>
      <c r="J848" s="65"/>
      <c r="K848" s="65"/>
      <c r="L848" s="65"/>
      <c r="M848" s="65"/>
      <c r="N848" s="65"/>
      <c r="O848" s="65"/>
      <c r="P848" s="14"/>
      <c r="Q848" s="14"/>
      <c r="R848" s="14"/>
      <c r="S848" s="14"/>
      <c r="T848" s="14"/>
      <c r="U848" s="14"/>
      <c r="V848" s="14"/>
      <c r="W848" s="14"/>
      <c r="X848" s="14"/>
      <c r="Y848" s="14"/>
      <c r="Z848" s="14"/>
      <c r="AA848" s="14"/>
    </row>
    <row r="849">
      <c r="A849" s="65"/>
      <c r="B849" s="65"/>
      <c r="C849" s="14"/>
      <c r="D849" s="14"/>
      <c r="E849" s="14"/>
      <c r="F849" s="65"/>
      <c r="G849" s="65"/>
      <c r="H849" s="65"/>
      <c r="I849" s="65"/>
      <c r="J849" s="65"/>
      <c r="K849" s="65"/>
      <c r="L849" s="65"/>
      <c r="M849" s="65"/>
      <c r="N849" s="65"/>
      <c r="O849" s="65"/>
      <c r="P849" s="14"/>
      <c r="Q849" s="14"/>
      <c r="R849" s="14"/>
      <c r="S849" s="14"/>
      <c r="T849" s="14"/>
      <c r="U849" s="14"/>
      <c r="V849" s="14"/>
      <c r="W849" s="14"/>
      <c r="X849" s="14"/>
      <c r="Y849" s="14"/>
      <c r="Z849" s="14"/>
      <c r="AA849" s="14"/>
    </row>
    <row r="850">
      <c r="A850" s="65"/>
      <c r="B850" s="65"/>
      <c r="C850" s="14"/>
      <c r="D850" s="14"/>
      <c r="E850" s="14"/>
      <c r="F850" s="65"/>
      <c r="G850" s="65"/>
      <c r="H850" s="65"/>
      <c r="I850" s="65"/>
      <c r="J850" s="65"/>
      <c r="K850" s="65"/>
      <c r="L850" s="65"/>
      <c r="M850" s="65"/>
      <c r="N850" s="65"/>
      <c r="O850" s="65"/>
      <c r="P850" s="14"/>
      <c r="Q850" s="14"/>
      <c r="R850" s="14"/>
      <c r="S850" s="14"/>
      <c r="T850" s="14"/>
      <c r="U850" s="14"/>
      <c r="V850" s="14"/>
      <c r="W850" s="14"/>
      <c r="X850" s="14"/>
      <c r="Y850" s="14"/>
      <c r="Z850" s="14"/>
      <c r="AA850" s="14"/>
    </row>
    <row r="851">
      <c r="A851" s="65"/>
      <c r="B851" s="65"/>
      <c r="C851" s="14"/>
      <c r="D851" s="14"/>
      <c r="E851" s="14"/>
      <c r="F851" s="65"/>
      <c r="G851" s="65"/>
      <c r="H851" s="65"/>
      <c r="I851" s="65"/>
      <c r="J851" s="65"/>
      <c r="K851" s="65"/>
      <c r="L851" s="65"/>
      <c r="M851" s="65"/>
      <c r="N851" s="65"/>
      <c r="O851" s="65"/>
      <c r="P851" s="14"/>
      <c r="Q851" s="14"/>
      <c r="R851" s="14"/>
      <c r="S851" s="14"/>
      <c r="T851" s="14"/>
      <c r="U851" s="14"/>
      <c r="V851" s="14"/>
      <c r="W851" s="14"/>
      <c r="X851" s="14"/>
      <c r="Y851" s="14"/>
      <c r="Z851" s="14"/>
      <c r="AA851" s="14"/>
    </row>
    <row r="852">
      <c r="A852" s="65"/>
      <c r="B852" s="65"/>
      <c r="C852" s="14"/>
      <c r="D852" s="14"/>
      <c r="E852" s="14"/>
      <c r="F852" s="65"/>
      <c r="G852" s="65"/>
      <c r="H852" s="65"/>
      <c r="I852" s="65"/>
      <c r="J852" s="65"/>
      <c r="K852" s="65"/>
      <c r="L852" s="65"/>
      <c r="M852" s="65"/>
      <c r="N852" s="65"/>
      <c r="O852" s="65"/>
      <c r="P852" s="14"/>
      <c r="Q852" s="14"/>
      <c r="R852" s="14"/>
      <c r="S852" s="14"/>
      <c r="T852" s="14"/>
      <c r="U852" s="14"/>
      <c r="V852" s="14"/>
      <c r="W852" s="14"/>
      <c r="X852" s="14"/>
      <c r="Y852" s="14"/>
      <c r="Z852" s="14"/>
      <c r="AA852" s="14"/>
    </row>
    <row r="853">
      <c r="A853" s="65"/>
      <c r="B853" s="65"/>
      <c r="C853" s="14"/>
      <c r="D853" s="14"/>
      <c r="E853" s="14"/>
      <c r="F853" s="65"/>
      <c r="G853" s="65"/>
      <c r="H853" s="65"/>
      <c r="I853" s="65"/>
      <c r="J853" s="65"/>
      <c r="K853" s="65"/>
      <c r="L853" s="65"/>
      <c r="M853" s="65"/>
      <c r="N853" s="65"/>
      <c r="O853" s="65"/>
      <c r="P853" s="14"/>
      <c r="Q853" s="14"/>
      <c r="R853" s="14"/>
      <c r="S853" s="14"/>
      <c r="T853" s="14"/>
      <c r="U853" s="14"/>
      <c r="V853" s="14"/>
      <c r="W853" s="14"/>
      <c r="X853" s="14"/>
      <c r="Y853" s="14"/>
      <c r="Z853" s="14"/>
      <c r="AA853" s="14"/>
    </row>
    <row r="854">
      <c r="A854" s="65"/>
      <c r="B854" s="65"/>
      <c r="C854" s="14"/>
      <c r="D854" s="14"/>
      <c r="E854" s="14"/>
      <c r="F854" s="65"/>
      <c r="G854" s="65"/>
      <c r="H854" s="65"/>
      <c r="I854" s="65"/>
      <c r="J854" s="65"/>
      <c r="K854" s="65"/>
      <c r="L854" s="65"/>
      <c r="M854" s="65"/>
      <c r="N854" s="65"/>
      <c r="O854" s="65"/>
      <c r="P854" s="14"/>
      <c r="Q854" s="14"/>
      <c r="R854" s="14"/>
      <c r="S854" s="14"/>
      <c r="T854" s="14"/>
      <c r="U854" s="14"/>
      <c r="V854" s="14"/>
      <c r="W854" s="14"/>
      <c r="X854" s="14"/>
      <c r="Y854" s="14"/>
      <c r="Z854" s="14"/>
      <c r="AA854" s="14"/>
    </row>
    <row r="855">
      <c r="A855" s="65"/>
      <c r="B855" s="65"/>
      <c r="C855" s="14"/>
      <c r="D855" s="14"/>
      <c r="E855" s="14"/>
      <c r="F855" s="65"/>
      <c r="G855" s="65"/>
      <c r="H855" s="65"/>
      <c r="I855" s="65"/>
      <c r="J855" s="65"/>
      <c r="K855" s="65"/>
      <c r="L855" s="65"/>
      <c r="M855" s="65"/>
      <c r="N855" s="65"/>
      <c r="O855" s="65"/>
      <c r="P855" s="14"/>
      <c r="Q855" s="14"/>
      <c r="R855" s="14"/>
      <c r="S855" s="14"/>
      <c r="T855" s="14"/>
      <c r="U855" s="14"/>
      <c r="V855" s="14"/>
      <c r="W855" s="14"/>
      <c r="X855" s="14"/>
      <c r="Y855" s="14"/>
      <c r="Z855" s="14"/>
      <c r="AA855" s="14"/>
    </row>
    <row r="856">
      <c r="A856" s="65"/>
      <c r="B856" s="65"/>
      <c r="C856" s="14"/>
      <c r="D856" s="14"/>
      <c r="E856" s="14"/>
      <c r="F856" s="65"/>
      <c r="G856" s="65"/>
      <c r="H856" s="65"/>
      <c r="I856" s="65"/>
      <c r="J856" s="65"/>
      <c r="K856" s="65"/>
      <c r="L856" s="65"/>
      <c r="M856" s="65"/>
      <c r="N856" s="65"/>
      <c r="O856" s="65"/>
      <c r="P856" s="14"/>
      <c r="Q856" s="14"/>
      <c r="R856" s="14"/>
      <c r="S856" s="14"/>
      <c r="T856" s="14"/>
      <c r="U856" s="14"/>
      <c r="V856" s="14"/>
      <c r="W856" s="14"/>
      <c r="X856" s="14"/>
      <c r="Y856" s="14"/>
      <c r="Z856" s="14"/>
      <c r="AA856" s="14"/>
    </row>
    <row r="857">
      <c r="A857" s="65"/>
      <c r="B857" s="65"/>
      <c r="C857" s="14"/>
      <c r="D857" s="14"/>
      <c r="E857" s="14"/>
      <c r="F857" s="65"/>
      <c r="G857" s="65"/>
      <c r="H857" s="65"/>
      <c r="I857" s="65"/>
      <c r="J857" s="65"/>
      <c r="K857" s="65"/>
      <c r="L857" s="65"/>
      <c r="M857" s="65"/>
      <c r="N857" s="65"/>
      <c r="O857" s="65"/>
      <c r="P857" s="14"/>
      <c r="Q857" s="14"/>
      <c r="R857" s="14"/>
      <c r="S857" s="14"/>
      <c r="T857" s="14"/>
      <c r="U857" s="14"/>
      <c r="V857" s="14"/>
      <c r="W857" s="14"/>
      <c r="X857" s="14"/>
      <c r="Y857" s="14"/>
      <c r="Z857" s="14"/>
      <c r="AA857" s="14"/>
    </row>
    <row r="858">
      <c r="A858" s="65"/>
      <c r="B858" s="65"/>
      <c r="C858" s="14"/>
      <c r="D858" s="14"/>
      <c r="E858" s="14"/>
      <c r="F858" s="65"/>
      <c r="G858" s="65"/>
      <c r="H858" s="65"/>
      <c r="I858" s="65"/>
      <c r="J858" s="65"/>
      <c r="K858" s="65"/>
      <c r="L858" s="65"/>
      <c r="M858" s="65"/>
      <c r="N858" s="65"/>
      <c r="O858" s="65"/>
      <c r="P858" s="14"/>
      <c r="Q858" s="14"/>
      <c r="R858" s="14"/>
      <c r="S858" s="14"/>
      <c r="T858" s="14"/>
      <c r="U858" s="14"/>
      <c r="V858" s="14"/>
      <c r="W858" s="14"/>
      <c r="X858" s="14"/>
      <c r="Y858" s="14"/>
      <c r="Z858" s="14"/>
      <c r="AA858" s="14"/>
    </row>
    <row r="859">
      <c r="A859" s="65"/>
      <c r="B859" s="65"/>
      <c r="C859" s="14"/>
      <c r="D859" s="14"/>
      <c r="E859" s="14"/>
      <c r="F859" s="65"/>
      <c r="G859" s="65"/>
      <c r="H859" s="65"/>
      <c r="I859" s="65"/>
      <c r="J859" s="65"/>
      <c r="K859" s="65"/>
      <c r="L859" s="65"/>
      <c r="M859" s="65"/>
      <c r="N859" s="65"/>
      <c r="O859" s="65"/>
      <c r="P859" s="14"/>
      <c r="Q859" s="14"/>
      <c r="R859" s="14"/>
      <c r="S859" s="14"/>
      <c r="T859" s="14"/>
      <c r="U859" s="14"/>
      <c r="V859" s="14"/>
      <c r="W859" s="14"/>
      <c r="X859" s="14"/>
      <c r="Y859" s="14"/>
      <c r="Z859" s="14"/>
      <c r="AA859" s="14"/>
    </row>
    <row r="860">
      <c r="A860" s="65"/>
      <c r="B860" s="65"/>
      <c r="C860" s="14"/>
      <c r="D860" s="14"/>
      <c r="E860" s="14"/>
      <c r="F860" s="65"/>
      <c r="G860" s="65"/>
      <c r="H860" s="65"/>
      <c r="I860" s="65"/>
      <c r="J860" s="65"/>
      <c r="K860" s="65"/>
      <c r="L860" s="65"/>
      <c r="M860" s="65"/>
      <c r="N860" s="65"/>
      <c r="O860" s="65"/>
      <c r="P860" s="14"/>
      <c r="Q860" s="14"/>
      <c r="R860" s="14"/>
      <c r="S860" s="14"/>
      <c r="T860" s="14"/>
      <c r="U860" s="14"/>
      <c r="V860" s="14"/>
      <c r="W860" s="14"/>
      <c r="X860" s="14"/>
      <c r="Y860" s="14"/>
      <c r="Z860" s="14"/>
      <c r="AA860" s="14"/>
    </row>
    <row r="861">
      <c r="A861" s="65"/>
      <c r="B861" s="65"/>
      <c r="C861" s="14"/>
      <c r="D861" s="14"/>
      <c r="E861" s="14"/>
      <c r="F861" s="65"/>
      <c r="G861" s="65"/>
      <c r="H861" s="65"/>
      <c r="I861" s="65"/>
      <c r="J861" s="65"/>
      <c r="K861" s="65"/>
      <c r="L861" s="65"/>
      <c r="M861" s="65"/>
      <c r="N861" s="65"/>
      <c r="O861" s="65"/>
      <c r="P861" s="14"/>
      <c r="Q861" s="14"/>
      <c r="R861" s="14"/>
      <c r="S861" s="14"/>
      <c r="T861" s="14"/>
      <c r="U861" s="14"/>
      <c r="V861" s="14"/>
      <c r="W861" s="14"/>
      <c r="X861" s="14"/>
      <c r="Y861" s="14"/>
      <c r="Z861" s="14"/>
      <c r="AA861" s="14"/>
    </row>
    <row r="862">
      <c r="A862" s="65"/>
      <c r="B862" s="65"/>
      <c r="C862" s="14"/>
      <c r="D862" s="14"/>
      <c r="E862" s="14"/>
      <c r="F862" s="65"/>
      <c r="G862" s="65"/>
      <c r="H862" s="65"/>
      <c r="I862" s="65"/>
      <c r="J862" s="65"/>
      <c r="K862" s="65"/>
      <c r="L862" s="65"/>
      <c r="M862" s="65"/>
      <c r="N862" s="65"/>
      <c r="O862" s="65"/>
      <c r="P862" s="14"/>
      <c r="Q862" s="14"/>
      <c r="R862" s="14"/>
      <c r="S862" s="14"/>
      <c r="T862" s="14"/>
      <c r="U862" s="14"/>
      <c r="V862" s="14"/>
      <c r="W862" s="14"/>
      <c r="X862" s="14"/>
      <c r="Y862" s="14"/>
      <c r="Z862" s="14"/>
      <c r="AA862" s="14"/>
    </row>
    <row r="863">
      <c r="A863" s="65"/>
      <c r="B863" s="65"/>
      <c r="C863" s="14"/>
      <c r="D863" s="14"/>
      <c r="E863" s="14"/>
      <c r="F863" s="65"/>
      <c r="G863" s="65"/>
      <c r="H863" s="65"/>
      <c r="I863" s="65"/>
      <c r="J863" s="65"/>
      <c r="K863" s="65"/>
      <c r="L863" s="65"/>
      <c r="M863" s="65"/>
      <c r="N863" s="65"/>
      <c r="O863" s="65"/>
      <c r="P863" s="14"/>
      <c r="Q863" s="14"/>
      <c r="R863" s="14"/>
      <c r="S863" s="14"/>
      <c r="T863" s="14"/>
      <c r="U863" s="14"/>
      <c r="V863" s="14"/>
      <c r="W863" s="14"/>
      <c r="X863" s="14"/>
      <c r="Y863" s="14"/>
      <c r="Z863" s="14"/>
      <c r="AA863" s="14"/>
    </row>
    <row r="864">
      <c r="A864" s="65"/>
      <c r="B864" s="65"/>
      <c r="C864" s="14"/>
      <c r="D864" s="14"/>
      <c r="E864" s="14"/>
      <c r="F864" s="65"/>
      <c r="G864" s="65"/>
      <c r="H864" s="65"/>
      <c r="I864" s="65"/>
      <c r="J864" s="65"/>
      <c r="K864" s="65"/>
      <c r="L864" s="65"/>
      <c r="M864" s="65"/>
      <c r="N864" s="65"/>
      <c r="O864" s="65"/>
      <c r="P864" s="14"/>
      <c r="Q864" s="14"/>
      <c r="R864" s="14"/>
      <c r="S864" s="14"/>
      <c r="T864" s="14"/>
      <c r="U864" s="14"/>
      <c r="V864" s="14"/>
      <c r="W864" s="14"/>
      <c r="X864" s="14"/>
      <c r="Y864" s="14"/>
      <c r="Z864" s="14"/>
      <c r="AA864" s="14"/>
    </row>
    <row r="865">
      <c r="A865" s="65"/>
      <c r="B865" s="65"/>
      <c r="C865" s="14"/>
      <c r="D865" s="14"/>
      <c r="E865" s="14"/>
      <c r="F865" s="65"/>
      <c r="G865" s="65"/>
      <c r="H865" s="65"/>
      <c r="I865" s="65"/>
      <c r="J865" s="65"/>
      <c r="K865" s="65"/>
      <c r="L865" s="65"/>
      <c r="M865" s="65"/>
      <c r="N865" s="65"/>
      <c r="O865" s="65"/>
      <c r="P865" s="14"/>
      <c r="Q865" s="14"/>
      <c r="R865" s="14"/>
      <c r="S865" s="14"/>
      <c r="T865" s="14"/>
      <c r="U865" s="14"/>
      <c r="V865" s="14"/>
      <c r="W865" s="14"/>
      <c r="X865" s="14"/>
      <c r="Y865" s="14"/>
      <c r="Z865" s="14"/>
      <c r="AA865" s="14"/>
    </row>
    <row r="866">
      <c r="A866" s="65"/>
      <c r="B866" s="65"/>
      <c r="C866" s="14"/>
      <c r="D866" s="14"/>
      <c r="E866" s="14"/>
      <c r="F866" s="65"/>
      <c r="G866" s="65"/>
      <c r="H866" s="65"/>
      <c r="I866" s="65"/>
      <c r="J866" s="65"/>
      <c r="K866" s="65"/>
      <c r="L866" s="65"/>
      <c r="M866" s="65"/>
      <c r="N866" s="65"/>
      <c r="O866" s="65"/>
      <c r="P866" s="14"/>
      <c r="Q866" s="14"/>
      <c r="R866" s="14"/>
      <c r="S866" s="14"/>
      <c r="T866" s="14"/>
      <c r="U866" s="14"/>
      <c r="V866" s="14"/>
      <c r="W866" s="14"/>
      <c r="X866" s="14"/>
      <c r="Y866" s="14"/>
      <c r="Z866" s="14"/>
      <c r="AA866" s="14"/>
    </row>
    <row r="867">
      <c r="A867" s="65"/>
      <c r="B867" s="65"/>
      <c r="C867" s="14"/>
      <c r="D867" s="14"/>
      <c r="E867" s="14"/>
      <c r="F867" s="65"/>
      <c r="G867" s="65"/>
      <c r="H867" s="65"/>
      <c r="I867" s="65"/>
      <c r="J867" s="65"/>
      <c r="K867" s="65"/>
      <c r="L867" s="65"/>
      <c r="M867" s="65"/>
      <c r="N867" s="65"/>
      <c r="O867" s="65"/>
      <c r="P867" s="14"/>
      <c r="Q867" s="14"/>
      <c r="R867" s="14"/>
      <c r="S867" s="14"/>
      <c r="T867" s="14"/>
      <c r="U867" s="14"/>
      <c r="V867" s="14"/>
      <c r="W867" s="14"/>
      <c r="X867" s="14"/>
      <c r="Y867" s="14"/>
      <c r="Z867" s="14"/>
      <c r="AA867" s="14"/>
    </row>
    <row r="868">
      <c r="A868" s="65"/>
      <c r="B868" s="65"/>
      <c r="C868" s="14"/>
      <c r="D868" s="14"/>
      <c r="E868" s="14"/>
      <c r="F868" s="65"/>
      <c r="G868" s="65"/>
      <c r="H868" s="65"/>
      <c r="I868" s="65"/>
      <c r="J868" s="65"/>
      <c r="K868" s="65"/>
      <c r="L868" s="65"/>
      <c r="M868" s="65"/>
      <c r="N868" s="65"/>
      <c r="O868" s="65"/>
      <c r="P868" s="14"/>
      <c r="Q868" s="14"/>
      <c r="R868" s="14"/>
      <c r="S868" s="14"/>
      <c r="T868" s="14"/>
      <c r="U868" s="14"/>
      <c r="V868" s="14"/>
      <c r="W868" s="14"/>
      <c r="X868" s="14"/>
      <c r="Y868" s="14"/>
      <c r="Z868" s="14"/>
      <c r="AA868" s="14"/>
    </row>
    <row r="869">
      <c r="A869" s="65"/>
      <c r="B869" s="65"/>
      <c r="C869" s="14"/>
      <c r="D869" s="14"/>
      <c r="E869" s="14"/>
      <c r="F869" s="65"/>
      <c r="G869" s="65"/>
      <c r="H869" s="65"/>
      <c r="I869" s="65"/>
      <c r="J869" s="65"/>
      <c r="K869" s="65"/>
      <c r="L869" s="65"/>
      <c r="M869" s="65"/>
      <c r="N869" s="65"/>
      <c r="O869" s="65"/>
      <c r="P869" s="14"/>
      <c r="Q869" s="14"/>
      <c r="R869" s="14"/>
      <c r="S869" s="14"/>
      <c r="T869" s="14"/>
      <c r="U869" s="14"/>
      <c r="V869" s="14"/>
      <c r="W869" s="14"/>
      <c r="X869" s="14"/>
      <c r="Y869" s="14"/>
      <c r="Z869" s="14"/>
      <c r="AA869" s="14"/>
    </row>
    <row r="870">
      <c r="A870" s="65"/>
      <c r="B870" s="65"/>
      <c r="C870" s="14"/>
      <c r="D870" s="14"/>
      <c r="E870" s="14"/>
      <c r="F870" s="65"/>
      <c r="G870" s="65"/>
      <c r="H870" s="65"/>
      <c r="I870" s="65"/>
      <c r="J870" s="65"/>
      <c r="K870" s="65"/>
      <c r="L870" s="65"/>
      <c r="M870" s="65"/>
      <c r="N870" s="65"/>
      <c r="O870" s="65"/>
      <c r="P870" s="14"/>
      <c r="Q870" s="14"/>
      <c r="R870" s="14"/>
      <c r="S870" s="14"/>
      <c r="T870" s="14"/>
      <c r="U870" s="14"/>
      <c r="V870" s="14"/>
      <c r="W870" s="14"/>
      <c r="X870" s="14"/>
      <c r="Y870" s="14"/>
      <c r="Z870" s="14"/>
      <c r="AA870" s="14"/>
    </row>
    <row r="871">
      <c r="A871" s="65"/>
      <c r="B871" s="65"/>
      <c r="C871" s="14"/>
      <c r="D871" s="14"/>
      <c r="E871" s="14"/>
      <c r="F871" s="65"/>
      <c r="G871" s="65"/>
      <c r="H871" s="65"/>
      <c r="I871" s="65"/>
      <c r="J871" s="65"/>
      <c r="K871" s="65"/>
      <c r="L871" s="65"/>
      <c r="M871" s="65"/>
      <c r="N871" s="65"/>
      <c r="O871" s="65"/>
      <c r="P871" s="14"/>
      <c r="Q871" s="14"/>
      <c r="R871" s="14"/>
      <c r="S871" s="14"/>
      <c r="T871" s="14"/>
      <c r="U871" s="14"/>
      <c r="V871" s="14"/>
      <c r="W871" s="14"/>
      <c r="X871" s="14"/>
      <c r="Y871" s="14"/>
      <c r="Z871" s="14"/>
      <c r="AA871" s="14"/>
    </row>
    <row r="872">
      <c r="A872" s="65"/>
      <c r="B872" s="65"/>
      <c r="C872" s="14"/>
      <c r="D872" s="14"/>
      <c r="E872" s="14"/>
      <c r="F872" s="65"/>
      <c r="G872" s="65"/>
      <c r="H872" s="65"/>
      <c r="I872" s="65"/>
      <c r="J872" s="65"/>
      <c r="K872" s="65"/>
      <c r="L872" s="65"/>
      <c r="M872" s="65"/>
      <c r="N872" s="65"/>
      <c r="O872" s="65"/>
      <c r="P872" s="14"/>
      <c r="Q872" s="14"/>
      <c r="R872" s="14"/>
      <c r="S872" s="14"/>
      <c r="T872" s="14"/>
      <c r="U872" s="14"/>
      <c r="V872" s="14"/>
      <c r="W872" s="14"/>
      <c r="X872" s="14"/>
      <c r="Y872" s="14"/>
      <c r="Z872" s="14"/>
      <c r="AA872" s="14"/>
    </row>
    <row r="873">
      <c r="A873" s="65"/>
      <c r="B873" s="65"/>
      <c r="C873" s="14"/>
      <c r="D873" s="14"/>
      <c r="E873" s="14"/>
      <c r="F873" s="65"/>
      <c r="G873" s="65"/>
      <c r="H873" s="65"/>
      <c r="I873" s="65"/>
      <c r="J873" s="65"/>
      <c r="K873" s="65"/>
      <c r="L873" s="65"/>
      <c r="M873" s="65"/>
      <c r="N873" s="65"/>
      <c r="O873" s="65"/>
      <c r="P873" s="14"/>
      <c r="Q873" s="14"/>
      <c r="R873" s="14"/>
      <c r="S873" s="14"/>
      <c r="T873" s="14"/>
      <c r="U873" s="14"/>
      <c r="V873" s="14"/>
      <c r="W873" s="14"/>
      <c r="X873" s="14"/>
      <c r="Y873" s="14"/>
      <c r="Z873" s="14"/>
      <c r="AA873" s="14"/>
    </row>
    <row r="874">
      <c r="A874" s="65"/>
      <c r="B874" s="65"/>
      <c r="C874" s="14"/>
      <c r="D874" s="14"/>
      <c r="E874" s="14"/>
      <c r="F874" s="65"/>
      <c r="G874" s="65"/>
      <c r="H874" s="65"/>
      <c r="I874" s="65"/>
      <c r="J874" s="65"/>
      <c r="K874" s="65"/>
      <c r="L874" s="65"/>
      <c r="M874" s="65"/>
      <c r="N874" s="65"/>
      <c r="O874" s="65"/>
      <c r="P874" s="14"/>
      <c r="Q874" s="14"/>
      <c r="R874" s="14"/>
      <c r="S874" s="14"/>
      <c r="T874" s="14"/>
      <c r="U874" s="14"/>
      <c r="V874" s="14"/>
      <c r="W874" s="14"/>
      <c r="X874" s="14"/>
      <c r="Y874" s="14"/>
      <c r="Z874" s="14"/>
      <c r="AA874" s="14"/>
    </row>
    <row r="875">
      <c r="A875" s="65"/>
      <c r="B875" s="65"/>
      <c r="C875" s="14"/>
      <c r="D875" s="14"/>
      <c r="E875" s="14"/>
      <c r="F875" s="65"/>
      <c r="G875" s="65"/>
      <c r="H875" s="65"/>
      <c r="I875" s="65"/>
      <c r="J875" s="65"/>
      <c r="K875" s="65"/>
      <c r="L875" s="65"/>
      <c r="M875" s="65"/>
      <c r="N875" s="65"/>
      <c r="O875" s="65"/>
      <c r="P875" s="14"/>
      <c r="Q875" s="14"/>
      <c r="R875" s="14"/>
      <c r="S875" s="14"/>
      <c r="T875" s="14"/>
      <c r="U875" s="14"/>
      <c r="V875" s="14"/>
      <c r="W875" s="14"/>
      <c r="X875" s="14"/>
      <c r="Y875" s="14"/>
      <c r="Z875" s="14"/>
      <c r="AA875" s="14"/>
    </row>
    <row r="876">
      <c r="A876" s="65"/>
      <c r="B876" s="65"/>
      <c r="C876" s="14"/>
      <c r="D876" s="14"/>
      <c r="E876" s="14"/>
      <c r="F876" s="65"/>
      <c r="G876" s="65"/>
      <c r="H876" s="65"/>
      <c r="I876" s="65"/>
      <c r="J876" s="65"/>
      <c r="K876" s="65"/>
      <c r="L876" s="65"/>
      <c r="M876" s="65"/>
      <c r="N876" s="65"/>
      <c r="O876" s="65"/>
      <c r="P876" s="14"/>
      <c r="Q876" s="14"/>
      <c r="R876" s="14"/>
      <c r="S876" s="14"/>
      <c r="T876" s="14"/>
      <c r="U876" s="14"/>
      <c r="V876" s="14"/>
      <c r="W876" s="14"/>
      <c r="X876" s="14"/>
      <c r="Y876" s="14"/>
      <c r="Z876" s="14"/>
      <c r="AA876" s="14"/>
    </row>
    <row r="877">
      <c r="A877" s="65"/>
      <c r="B877" s="65"/>
      <c r="C877" s="14"/>
      <c r="D877" s="14"/>
      <c r="E877" s="14"/>
      <c r="F877" s="65"/>
      <c r="G877" s="65"/>
      <c r="H877" s="65"/>
      <c r="I877" s="65"/>
      <c r="J877" s="65"/>
      <c r="K877" s="65"/>
      <c r="L877" s="65"/>
      <c r="M877" s="65"/>
      <c r="N877" s="65"/>
      <c r="O877" s="65"/>
      <c r="P877" s="14"/>
      <c r="Q877" s="14"/>
      <c r="R877" s="14"/>
      <c r="S877" s="14"/>
      <c r="T877" s="14"/>
      <c r="U877" s="14"/>
      <c r="V877" s="14"/>
      <c r="W877" s="14"/>
      <c r="X877" s="14"/>
      <c r="Y877" s="14"/>
      <c r="Z877" s="14"/>
      <c r="AA877" s="14"/>
    </row>
    <row r="878">
      <c r="A878" s="65"/>
      <c r="B878" s="65"/>
      <c r="C878" s="14"/>
      <c r="D878" s="14"/>
      <c r="E878" s="14"/>
      <c r="F878" s="65"/>
      <c r="G878" s="65"/>
      <c r="H878" s="65"/>
      <c r="I878" s="65"/>
      <c r="J878" s="65"/>
      <c r="K878" s="65"/>
      <c r="L878" s="65"/>
      <c r="M878" s="65"/>
      <c r="N878" s="65"/>
      <c r="O878" s="65"/>
      <c r="P878" s="14"/>
      <c r="Q878" s="14"/>
      <c r="R878" s="14"/>
      <c r="S878" s="14"/>
      <c r="T878" s="14"/>
      <c r="U878" s="14"/>
      <c r="V878" s="14"/>
      <c r="W878" s="14"/>
      <c r="X878" s="14"/>
      <c r="Y878" s="14"/>
      <c r="Z878" s="14"/>
      <c r="AA878" s="14"/>
    </row>
    <row r="879">
      <c r="A879" s="65"/>
      <c r="B879" s="65"/>
      <c r="C879" s="14"/>
      <c r="D879" s="14"/>
      <c r="E879" s="14"/>
      <c r="F879" s="65"/>
      <c r="G879" s="65"/>
      <c r="H879" s="65"/>
      <c r="I879" s="65"/>
      <c r="J879" s="65"/>
      <c r="K879" s="65"/>
      <c r="L879" s="65"/>
      <c r="M879" s="65"/>
      <c r="N879" s="65"/>
      <c r="O879" s="65"/>
      <c r="P879" s="14"/>
      <c r="Q879" s="14"/>
      <c r="R879" s="14"/>
      <c r="S879" s="14"/>
      <c r="T879" s="14"/>
      <c r="U879" s="14"/>
      <c r="V879" s="14"/>
      <c r="W879" s="14"/>
      <c r="X879" s="14"/>
      <c r="Y879" s="14"/>
      <c r="Z879" s="14"/>
      <c r="AA879" s="14"/>
    </row>
    <row r="880">
      <c r="A880" s="65"/>
      <c r="B880" s="65"/>
      <c r="C880" s="14"/>
      <c r="D880" s="14"/>
      <c r="E880" s="14"/>
      <c r="F880" s="65"/>
      <c r="G880" s="65"/>
      <c r="H880" s="65"/>
      <c r="I880" s="65"/>
      <c r="J880" s="65"/>
      <c r="K880" s="65"/>
      <c r="L880" s="65"/>
      <c r="M880" s="65"/>
      <c r="N880" s="65"/>
      <c r="O880" s="65"/>
      <c r="P880" s="14"/>
      <c r="Q880" s="14"/>
      <c r="R880" s="14"/>
      <c r="S880" s="14"/>
      <c r="T880" s="14"/>
      <c r="U880" s="14"/>
      <c r="V880" s="14"/>
      <c r="W880" s="14"/>
      <c r="X880" s="14"/>
      <c r="Y880" s="14"/>
      <c r="Z880" s="14"/>
      <c r="AA880" s="14"/>
    </row>
    <row r="881">
      <c r="A881" s="65"/>
      <c r="B881" s="65"/>
      <c r="C881" s="14"/>
      <c r="D881" s="14"/>
      <c r="E881" s="14"/>
      <c r="F881" s="65"/>
      <c r="G881" s="65"/>
      <c r="H881" s="65"/>
      <c r="I881" s="65"/>
      <c r="J881" s="65"/>
      <c r="K881" s="65"/>
      <c r="L881" s="65"/>
      <c r="M881" s="65"/>
      <c r="N881" s="65"/>
      <c r="O881" s="65"/>
      <c r="P881" s="14"/>
      <c r="Q881" s="14"/>
      <c r="R881" s="14"/>
      <c r="S881" s="14"/>
      <c r="T881" s="14"/>
      <c r="U881" s="14"/>
      <c r="V881" s="14"/>
      <c r="W881" s="14"/>
      <c r="X881" s="14"/>
      <c r="Y881" s="14"/>
      <c r="Z881" s="14"/>
      <c r="AA881" s="14"/>
    </row>
    <row r="882">
      <c r="A882" s="65"/>
      <c r="B882" s="65"/>
      <c r="C882" s="14"/>
      <c r="D882" s="14"/>
      <c r="E882" s="14"/>
      <c r="F882" s="65"/>
      <c r="G882" s="65"/>
      <c r="H882" s="65"/>
      <c r="I882" s="65"/>
      <c r="J882" s="65"/>
      <c r="K882" s="65"/>
      <c r="L882" s="65"/>
      <c r="M882" s="65"/>
      <c r="N882" s="65"/>
      <c r="O882" s="65"/>
      <c r="P882" s="14"/>
      <c r="Q882" s="14"/>
      <c r="R882" s="14"/>
      <c r="S882" s="14"/>
      <c r="T882" s="14"/>
      <c r="U882" s="14"/>
      <c r="V882" s="14"/>
      <c r="W882" s="14"/>
      <c r="X882" s="14"/>
      <c r="Y882" s="14"/>
      <c r="Z882" s="14"/>
      <c r="AA882" s="14"/>
    </row>
    <row r="883">
      <c r="A883" s="65"/>
      <c r="B883" s="65"/>
      <c r="C883" s="14"/>
      <c r="D883" s="14"/>
      <c r="E883" s="14"/>
      <c r="F883" s="65"/>
      <c r="G883" s="65"/>
      <c r="H883" s="65"/>
      <c r="I883" s="65"/>
      <c r="J883" s="65"/>
      <c r="K883" s="65"/>
      <c r="L883" s="65"/>
      <c r="M883" s="65"/>
      <c r="N883" s="65"/>
      <c r="O883" s="65"/>
      <c r="P883" s="14"/>
      <c r="Q883" s="14"/>
      <c r="R883" s="14"/>
      <c r="S883" s="14"/>
      <c r="T883" s="14"/>
      <c r="U883" s="14"/>
      <c r="V883" s="14"/>
      <c r="W883" s="14"/>
      <c r="X883" s="14"/>
      <c r="Y883" s="14"/>
      <c r="Z883" s="14"/>
      <c r="AA883" s="14"/>
    </row>
    <row r="884">
      <c r="A884" s="65"/>
      <c r="B884" s="65"/>
      <c r="C884" s="14"/>
      <c r="D884" s="14"/>
      <c r="E884" s="14"/>
      <c r="F884" s="65"/>
      <c r="G884" s="65"/>
      <c r="H884" s="65"/>
      <c r="I884" s="65"/>
      <c r="J884" s="65"/>
      <c r="K884" s="65"/>
      <c r="L884" s="65"/>
      <c r="M884" s="65"/>
      <c r="N884" s="65"/>
      <c r="O884" s="65"/>
      <c r="P884" s="14"/>
      <c r="Q884" s="14"/>
      <c r="R884" s="14"/>
      <c r="S884" s="14"/>
      <c r="T884" s="14"/>
      <c r="U884" s="14"/>
      <c r="V884" s="14"/>
      <c r="W884" s="14"/>
      <c r="X884" s="14"/>
      <c r="Y884" s="14"/>
      <c r="Z884" s="14"/>
      <c r="AA884" s="14"/>
    </row>
    <row r="885">
      <c r="A885" s="65"/>
      <c r="B885" s="65"/>
      <c r="C885" s="14"/>
      <c r="D885" s="14"/>
      <c r="E885" s="14"/>
      <c r="F885" s="65"/>
      <c r="G885" s="65"/>
      <c r="H885" s="65"/>
      <c r="I885" s="65"/>
      <c r="J885" s="65"/>
      <c r="K885" s="65"/>
      <c r="L885" s="65"/>
      <c r="M885" s="65"/>
      <c r="N885" s="65"/>
      <c r="O885" s="65"/>
      <c r="P885" s="14"/>
      <c r="Q885" s="14"/>
      <c r="R885" s="14"/>
      <c r="S885" s="14"/>
      <c r="T885" s="14"/>
      <c r="U885" s="14"/>
      <c r="V885" s="14"/>
      <c r="W885" s="14"/>
      <c r="X885" s="14"/>
      <c r="Y885" s="14"/>
      <c r="Z885" s="14"/>
      <c r="AA885" s="14"/>
    </row>
    <row r="886">
      <c r="A886" s="65"/>
      <c r="B886" s="65"/>
      <c r="C886" s="14"/>
      <c r="D886" s="14"/>
      <c r="E886" s="14"/>
      <c r="F886" s="65"/>
      <c r="G886" s="65"/>
      <c r="H886" s="65"/>
      <c r="I886" s="65"/>
      <c r="J886" s="65"/>
      <c r="K886" s="65"/>
      <c r="L886" s="65"/>
      <c r="M886" s="65"/>
      <c r="N886" s="65"/>
      <c r="O886" s="65"/>
      <c r="P886" s="14"/>
      <c r="Q886" s="14"/>
      <c r="R886" s="14"/>
      <c r="S886" s="14"/>
      <c r="T886" s="14"/>
      <c r="U886" s="14"/>
      <c r="V886" s="14"/>
      <c r="W886" s="14"/>
      <c r="X886" s="14"/>
      <c r="Y886" s="14"/>
      <c r="Z886" s="14"/>
      <c r="AA886" s="14"/>
    </row>
    <row r="887">
      <c r="A887" s="65"/>
      <c r="B887" s="65"/>
      <c r="C887" s="14"/>
      <c r="D887" s="14"/>
      <c r="E887" s="14"/>
      <c r="F887" s="65"/>
      <c r="G887" s="65"/>
      <c r="H887" s="65"/>
      <c r="I887" s="65"/>
      <c r="J887" s="65"/>
      <c r="K887" s="65"/>
      <c r="L887" s="65"/>
      <c r="M887" s="65"/>
      <c r="N887" s="65"/>
      <c r="O887" s="65"/>
      <c r="P887" s="14"/>
      <c r="Q887" s="14"/>
      <c r="R887" s="14"/>
      <c r="S887" s="14"/>
      <c r="T887" s="14"/>
      <c r="U887" s="14"/>
      <c r="V887" s="14"/>
      <c r="W887" s="14"/>
      <c r="X887" s="14"/>
      <c r="Y887" s="14"/>
      <c r="Z887" s="14"/>
      <c r="AA887" s="14"/>
    </row>
    <row r="888">
      <c r="A888" s="65"/>
      <c r="B888" s="65"/>
      <c r="C888" s="14"/>
      <c r="D888" s="14"/>
      <c r="E888" s="14"/>
      <c r="F888" s="65"/>
      <c r="G888" s="65"/>
      <c r="H888" s="65"/>
      <c r="I888" s="65"/>
      <c r="J888" s="65"/>
      <c r="K888" s="65"/>
      <c r="L888" s="65"/>
      <c r="M888" s="65"/>
      <c r="N888" s="65"/>
      <c r="O888" s="65"/>
      <c r="P888" s="14"/>
      <c r="Q888" s="14"/>
      <c r="R888" s="14"/>
      <c r="S888" s="14"/>
      <c r="T888" s="14"/>
      <c r="U888" s="14"/>
      <c r="V888" s="14"/>
      <c r="W888" s="14"/>
      <c r="X888" s="14"/>
      <c r="Y888" s="14"/>
      <c r="Z888" s="14"/>
      <c r="AA888" s="14"/>
    </row>
    <row r="889">
      <c r="A889" s="65"/>
      <c r="B889" s="65"/>
      <c r="C889" s="14"/>
      <c r="D889" s="14"/>
      <c r="E889" s="14"/>
      <c r="F889" s="65"/>
      <c r="G889" s="65"/>
      <c r="H889" s="65"/>
      <c r="I889" s="65"/>
      <c r="J889" s="65"/>
      <c r="K889" s="65"/>
      <c r="L889" s="65"/>
      <c r="M889" s="65"/>
      <c r="N889" s="65"/>
      <c r="O889" s="65"/>
      <c r="P889" s="14"/>
      <c r="Q889" s="14"/>
      <c r="R889" s="14"/>
      <c r="S889" s="14"/>
      <c r="T889" s="14"/>
      <c r="U889" s="14"/>
      <c r="V889" s="14"/>
      <c r="W889" s="14"/>
      <c r="X889" s="14"/>
      <c r="Y889" s="14"/>
      <c r="Z889" s="14"/>
      <c r="AA889" s="14"/>
    </row>
    <row r="890">
      <c r="A890" s="65"/>
      <c r="B890" s="65"/>
      <c r="C890" s="14"/>
      <c r="D890" s="14"/>
      <c r="E890" s="14"/>
      <c r="F890" s="65"/>
      <c r="G890" s="65"/>
      <c r="H890" s="65"/>
      <c r="I890" s="65"/>
      <c r="J890" s="65"/>
      <c r="K890" s="65"/>
      <c r="L890" s="65"/>
      <c r="M890" s="65"/>
      <c r="N890" s="65"/>
      <c r="O890" s="65"/>
      <c r="P890" s="14"/>
      <c r="Q890" s="14"/>
      <c r="R890" s="14"/>
      <c r="S890" s="14"/>
      <c r="T890" s="14"/>
      <c r="U890" s="14"/>
      <c r="V890" s="14"/>
      <c r="W890" s="14"/>
      <c r="X890" s="14"/>
      <c r="Y890" s="14"/>
      <c r="Z890" s="14"/>
      <c r="AA890" s="14"/>
    </row>
    <row r="891">
      <c r="A891" s="65"/>
      <c r="B891" s="65"/>
      <c r="C891" s="14"/>
      <c r="D891" s="14"/>
      <c r="E891" s="14"/>
      <c r="F891" s="65"/>
      <c r="G891" s="65"/>
      <c r="H891" s="65"/>
      <c r="I891" s="65"/>
      <c r="J891" s="65"/>
      <c r="K891" s="65"/>
      <c r="L891" s="65"/>
      <c r="M891" s="65"/>
      <c r="N891" s="65"/>
      <c r="O891" s="65"/>
      <c r="P891" s="14"/>
      <c r="Q891" s="14"/>
      <c r="R891" s="14"/>
      <c r="S891" s="14"/>
      <c r="T891" s="14"/>
      <c r="U891" s="14"/>
      <c r="V891" s="14"/>
      <c r="W891" s="14"/>
      <c r="X891" s="14"/>
      <c r="Y891" s="14"/>
      <c r="Z891" s="14"/>
      <c r="AA891" s="14"/>
    </row>
    <row r="892">
      <c r="A892" s="65"/>
      <c r="B892" s="65"/>
      <c r="C892" s="14"/>
      <c r="D892" s="14"/>
      <c r="E892" s="14"/>
      <c r="F892" s="65"/>
      <c r="G892" s="65"/>
      <c r="H892" s="65"/>
      <c r="I892" s="65"/>
      <c r="J892" s="65"/>
      <c r="K892" s="65"/>
      <c r="L892" s="65"/>
      <c r="M892" s="65"/>
      <c r="N892" s="65"/>
      <c r="O892" s="65"/>
      <c r="P892" s="14"/>
      <c r="Q892" s="14"/>
      <c r="R892" s="14"/>
      <c r="S892" s="14"/>
      <c r="T892" s="14"/>
      <c r="U892" s="14"/>
      <c r="V892" s="14"/>
      <c r="W892" s="14"/>
      <c r="X892" s="14"/>
      <c r="Y892" s="14"/>
      <c r="Z892" s="14"/>
      <c r="AA892" s="14"/>
    </row>
    <row r="893">
      <c r="A893" s="65"/>
      <c r="B893" s="65"/>
      <c r="C893" s="14"/>
      <c r="D893" s="14"/>
      <c r="E893" s="14"/>
      <c r="F893" s="65"/>
      <c r="G893" s="65"/>
      <c r="H893" s="65"/>
      <c r="I893" s="65"/>
      <c r="J893" s="65"/>
      <c r="K893" s="65"/>
      <c r="L893" s="65"/>
      <c r="M893" s="65"/>
      <c r="N893" s="65"/>
      <c r="O893" s="65"/>
      <c r="P893" s="14"/>
      <c r="Q893" s="14"/>
      <c r="R893" s="14"/>
      <c r="S893" s="14"/>
      <c r="T893" s="14"/>
      <c r="U893" s="14"/>
      <c r="V893" s="14"/>
      <c r="W893" s="14"/>
      <c r="X893" s="14"/>
      <c r="Y893" s="14"/>
      <c r="Z893" s="14"/>
      <c r="AA893" s="14"/>
    </row>
    <row r="894">
      <c r="A894" s="65"/>
      <c r="B894" s="65"/>
      <c r="C894" s="14"/>
      <c r="D894" s="14"/>
      <c r="E894" s="14"/>
      <c r="F894" s="65"/>
      <c r="G894" s="65"/>
      <c r="H894" s="65"/>
      <c r="I894" s="65"/>
      <c r="J894" s="65"/>
      <c r="K894" s="65"/>
      <c r="L894" s="65"/>
      <c r="M894" s="65"/>
      <c r="N894" s="65"/>
      <c r="O894" s="65"/>
      <c r="P894" s="14"/>
      <c r="Q894" s="14"/>
      <c r="R894" s="14"/>
      <c r="S894" s="14"/>
      <c r="T894" s="14"/>
      <c r="U894" s="14"/>
      <c r="V894" s="14"/>
      <c r="W894" s="14"/>
      <c r="X894" s="14"/>
      <c r="Y894" s="14"/>
      <c r="Z894" s="14"/>
      <c r="AA894" s="14"/>
    </row>
    <row r="895">
      <c r="A895" s="65"/>
      <c r="B895" s="65"/>
      <c r="C895" s="14"/>
      <c r="D895" s="14"/>
      <c r="E895" s="14"/>
      <c r="F895" s="65"/>
      <c r="G895" s="65"/>
      <c r="H895" s="65"/>
      <c r="I895" s="65"/>
      <c r="J895" s="65"/>
      <c r="K895" s="65"/>
      <c r="L895" s="65"/>
      <c r="M895" s="65"/>
      <c r="N895" s="65"/>
      <c r="O895" s="65"/>
      <c r="P895" s="14"/>
      <c r="Q895" s="14"/>
      <c r="R895" s="14"/>
      <c r="S895" s="14"/>
      <c r="T895" s="14"/>
      <c r="U895" s="14"/>
      <c r="V895" s="14"/>
      <c r="W895" s="14"/>
      <c r="X895" s="14"/>
      <c r="Y895" s="14"/>
      <c r="Z895" s="14"/>
      <c r="AA895" s="14"/>
    </row>
    <row r="896">
      <c r="A896" s="65"/>
      <c r="B896" s="65"/>
      <c r="C896" s="14"/>
      <c r="D896" s="14"/>
      <c r="E896" s="14"/>
      <c r="F896" s="65"/>
      <c r="G896" s="65"/>
      <c r="H896" s="65"/>
      <c r="I896" s="65"/>
      <c r="J896" s="65"/>
      <c r="K896" s="65"/>
      <c r="L896" s="65"/>
      <c r="M896" s="65"/>
      <c r="N896" s="65"/>
      <c r="O896" s="65"/>
      <c r="P896" s="14"/>
      <c r="Q896" s="14"/>
      <c r="R896" s="14"/>
      <c r="S896" s="14"/>
      <c r="T896" s="14"/>
      <c r="U896" s="14"/>
      <c r="V896" s="14"/>
      <c r="W896" s="14"/>
      <c r="X896" s="14"/>
      <c r="Y896" s="14"/>
      <c r="Z896" s="14"/>
      <c r="AA896" s="14"/>
    </row>
    <row r="897">
      <c r="A897" s="65"/>
      <c r="B897" s="65"/>
      <c r="C897" s="14"/>
      <c r="D897" s="14"/>
      <c r="E897" s="14"/>
      <c r="F897" s="65"/>
      <c r="G897" s="65"/>
      <c r="H897" s="65"/>
      <c r="I897" s="65"/>
      <c r="J897" s="65"/>
      <c r="K897" s="65"/>
      <c r="L897" s="65"/>
      <c r="M897" s="65"/>
      <c r="N897" s="65"/>
      <c r="O897" s="65"/>
      <c r="P897" s="14"/>
      <c r="Q897" s="14"/>
      <c r="R897" s="14"/>
      <c r="S897" s="14"/>
      <c r="T897" s="14"/>
      <c r="U897" s="14"/>
      <c r="V897" s="14"/>
      <c r="W897" s="14"/>
      <c r="X897" s="14"/>
      <c r="Y897" s="14"/>
      <c r="Z897" s="14"/>
      <c r="AA897" s="14"/>
    </row>
    <row r="898">
      <c r="A898" s="65"/>
      <c r="B898" s="65"/>
      <c r="C898" s="14"/>
      <c r="D898" s="14"/>
      <c r="E898" s="14"/>
      <c r="F898" s="65"/>
      <c r="G898" s="65"/>
      <c r="H898" s="65"/>
      <c r="I898" s="65"/>
      <c r="J898" s="65"/>
      <c r="K898" s="65"/>
      <c r="L898" s="65"/>
      <c r="M898" s="65"/>
      <c r="N898" s="65"/>
      <c r="O898" s="65"/>
      <c r="P898" s="14"/>
      <c r="Q898" s="14"/>
      <c r="R898" s="14"/>
      <c r="S898" s="14"/>
      <c r="T898" s="14"/>
      <c r="U898" s="14"/>
      <c r="V898" s="14"/>
      <c r="W898" s="14"/>
      <c r="X898" s="14"/>
      <c r="Y898" s="14"/>
      <c r="Z898" s="14"/>
      <c r="AA898" s="14"/>
    </row>
    <row r="899">
      <c r="A899" s="65"/>
      <c r="B899" s="65"/>
      <c r="C899" s="14"/>
      <c r="D899" s="14"/>
      <c r="E899" s="14"/>
      <c r="F899" s="65"/>
      <c r="G899" s="65"/>
      <c r="H899" s="65"/>
      <c r="I899" s="65"/>
      <c r="J899" s="65"/>
      <c r="K899" s="65"/>
      <c r="L899" s="65"/>
      <c r="M899" s="65"/>
      <c r="N899" s="65"/>
      <c r="O899" s="65"/>
      <c r="P899" s="14"/>
      <c r="Q899" s="14"/>
      <c r="R899" s="14"/>
      <c r="S899" s="14"/>
      <c r="T899" s="14"/>
      <c r="U899" s="14"/>
      <c r="V899" s="14"/>
      <c r="W899" s="14"/>
      <c r="X899" s="14"/>
      <c r="Y899" s="14"/>
      <c r="Z899" s="14"/>
      <c r="AA899" s="14"/>
    </row>
    <row r="900">
      <c r="A900" s="65"/>
      <c r="B900" s="65"/>
      <c r="C900" s="14"/>
      <c r="D900" s="14"/>
      <c r="E900" s="14"/>
      <c r="F900" s="65"/>
      <c r="G900" s="65"/>
      <c r="H900" s="65"/>
      <c r="I900" s="65"/>
      <c r="J900" s="65"/>
      <c r="K900" s="65"/>
      <c r="L900" s="65"/>
      <c r="M900" s="65"/>
      <c r="N900" s="65"/>
      <c r="O900" s="65"/>
      <c r="P900" s="14"/>
      <c r="Q900" s="14"/>
      <c r="R900" s="14"/>
      <c r="S900" s="14"/>
      <c r="T900" s="14"/>
      <c r="U900" s="14"/>
      <c r="V900" s="14"/>
      <c r="W900" s="14"/>
      <c r="X900" s="14"/>
      <c r="Y900" s="14"/>
      <c r="Z900" s="14"/>
      <c r="AA900" s="14"/>
    </row>
    <row r="901">
      <c r="A901" s="65"/>
      <c r="B901" s="65"/>
      <c r="C901" s="14"/>
      <c r="D901" s="14"/>
      <c r="E901" s="14"/>
      <c r="F901" s="65"/>
      <c r="G901" s="65"/>
      <c r="H901" s="65"/>
      <c r="I901" s="65"/>
      <c r="J901" s="65"/>
      <c r="K901" s="65"/>
      <c r="L901" s="65"/>
      <c r="M901" s="65"/>
      <c r="N901" s="65"/>
      <c r="O901" s="65"/>
      <c r="P901" s="14"/>
      <c r="Q901" s="14"/>
      <c r="R901" s="14"/>
      <c r="S901" s="14"/>
      <c r="T901" s="14"/>
      <c r="U901" s="14"/>
      <c r="V901" s="14"/>
      <c r="W901" s="14"/>
      <c r="X901" s="14"/>
      <c r="Y901" s="14"/>
      <c r="Z901" s="14"/>
      <c r="AA901" s="14"/>
    </row>
    <row r="902">
      <c r="A902" s="65"/>
      <c r="B902" s="65"/>
      <c r="C902" s="14"/>
      <c r="D902" s="14"/>
      <c r="E902" s="14"/>
      <c r="F902" s="65"/>
      <c r="G902" s="65"/>
      <c r="H902" s="65"/>
      <c r="I902" s="65"/>
      <c r="J902" s="65"/>
      <c r="K902" s="65"/>
      <c r="L902" s="65"/>
      <c r="M902" s="65"/>
      <c r="N902" s="65"/>
      <c r="O902" s="65"/>
      <c r="P902" s="14"/>
      <c r="Q902" s="14"/>
      <c r="R902" s="14"/>
      <c r="S902" s="14"/>
      <c r="T902" s="14"/>
      <c r="U902" s="14"/>
      <c r="V902" s="14"/>
      <c r="W902" s="14"/>
      <c r="X902" s="14"/>
      <c r="Y902" s="14"/>
      <c r="Z902" s="14"/>
      <c r="AA902" s="14"/>
    </row>
    <row r="903">
      <c r="A903" s="65"/>
      <c r="B903" s="65"/>
      <c r="C903" s="14"/>
      <c r="D903" s="14"/>
      <c r="E903" s="14"/>
      <c r="F903" s="65"/>
      <c r="G903" s="65"/>
      <c r="H903" s="65"/>
      <c r="I903" s="65"/>
      <c r="J903" s="65"/>
      <c r="K903" s="65"/>
      <c r="L903" s="65"/>
      <c r="M903" s="65"/>
      <c r="N903" s="65"/>
      <c r="O903" s="65"/>
      <c r="P903" s="14"/>
      <c r="Q903" s="14"/>
      <c r="R903" s="14"/>
      <c r="S903" s="14"/>
      <c r="T903" s="14"/>
      <c r="U903" s="14"/>
      <c r="V903" s="14"/>
      <c r="W903" s="14"/>
      <c r="X903" s="14"/>
      <c r="Y903" s="14"/>
      <c r="Z903" s="14"/>
      <c r="AA903" s="14"/>
    </row>
    <row r="904">
      <c r="A904" s="65"/>
      <c r="B904" s="65"/>
      <c r="C904" s="14"/>
      <c r="D904" s="14"/>
      <c r="E904" s="14"/>
      <c r="F904" s="65"/>
      <c r="G904" s="65"/>
      <c r="H904" s="65"/>
      <c r="I904" s="65"/>
      <c r="J904" s="65"/>
      <c r="K904" s="65"/>
      <c r="L904" s="65"/>
      <c r="M904" s="65"/>
      <c r="N904" s="65"/>
      <c r="O904" s="65"/>
      <c r="P904" s="14"/>
      <c r="Q904" s="14"/>
      <c r="R904" s="14"/>
      <c r="S904" s="14"/>
      <c r="T904" s="14"/>
      <c r="U904" s="14"/>
      <c r="V904" s="14"/>
      <c r="W904" s="14"/>
      <c r="X904" s="14"/>
      <c r="Y904" s="14"/>
      <c r="Z904" s="14"/>
      <c r="AA904" s="14"/>
    </row>
    <row r="905">
      <c r="A905" s="65"/>
      <c r="B905" s="65"/>
      <c r="C905" s="14"/>
      <c r="D905" s="14"/>
      <c r="E905" s="14"/>
      <c r="F905" s="65"/>
      <c r="G905" s="65"/>
      <c r="H905" s="65"/>
      <c r="I905" s="65"/>
      <c r="J905" s="65"/>
      <c r="K905" s="65"/>
      <c r="L905" s="65"/>
      <c r="M905" s="65"/>
      <c r="N905" s="65"/>
      <c r="O905" s="65"/>
      <c r="P905" s="14"/>
      <c r="Q905" s="14"/>
      <c r="R905" s="14"/>
      <c r="S905" s="14"/>
      <c r="T905" s="14"/>
      <c r="U905" s="14"/>
      <c r="V905" s="14"/>
      <c r="W905" s="14"/>
      <c r="X905" s="14"/>
      <c r="Y905" s="14"/>
      <c r="Z905" s="14"/>
      <c r="AA905" s="14"/>
    </row>
    <row r="906">
      <c r="A906" s="65"/>
      <c r="B906" s="65"/>
      <c r="C906" s="14"/>
      <c r="D906" s="14"/>
      <c r="E906" s="14"/>
      <c r="F906" s="65"/>
      <c r="G906" s="65"/>
      <c r="H906" s="65"/>
      <c r="I906" s="65"/>
      <c r="J906" s="65"/>
      <c r="K906" s="65"/>
      <c r="L906" s="65"/>
      <c r="M906" s="65"/>
      <c r="N906" s="65"/>
      <c r="O906" s="65"/>
      <c r="P906" s="14"/>
      <c r="Q906" s="14"/>
      <c r="R906" s="14"/>
      <c r="S906" s="14"/>
      <c r="T906" s="14"/>
      <c r="U906" s="14"/>
      <c r="V906" s="14"/>
      <c r="W906" s="14"/>
      <c r="X906" s="14"/>
      <c r="Y906" s="14"/>
      <c r="Z906" s="14"/>
      <c r="AA906" s="14"/>
    </row>
    <row r="907">
      <c r="A907" s="65"/>
      <c r="B907" s="65"/>
      <c r="C907" s="14"/>
      <c r="D907" s="14"/>
      <c r="E907" s="14"/>
      <c r="F907" s="65"/>
      <c r="G907" s="65"/>
      <c r="H907" s="65"/>
      <c r="I907" s="65"/>
      <c r="J907" s="65"/>
      <c r="K907" s="65"/>
      <c r="L907" s="65"/>
      <c r="M907" s="65"/>
      <c r="N907" s="65"/>
      <c r="O907" s="65"/>
      <c r="P907" s="14"/>
      <c r="Q907" s="14"/>
      <c r="R907" s="14"/>
      <c r="S907" s="14"/>
      <c r="T907" s="14"/>
      <c r="U907" s="14"/>
      <c r="V907" s="14"/>
      <c r="W907" s="14"/>
      <c r="X907" s="14"/>
      <c r="Y907" s="14"/>
      <c r="Z907" s="14"/>
      <c r="AA907" s="14"/>
    </row>
    <row r="908">
      <c r="A908" s="65"/>
      <c r="B908" s="65"/>
      <c r="C908" s="14"/>
      <c r="D908" s="14"/>
      <c r="E908" s="14"/>
      <c r="F908" s="65"/>
      <c r="G908" s="65"/>
      <c r="H908" s="65"/>
      <c r="I908" s="65"/>
      <c r="J908" s="65"/>
      <c r="K908" s="65"/>
      <c r="L908" s="65"/>
      <c r="M908" s="65"/>
      <c r="N908" s="65"/>
      <c r="O908" s="65"/>
      <c r="P908" s="14"/>
      <c r="Q908" s="14"/>
      <c r="R908" s="14"/>
      <c r="S908" s="14"/>
      <c r="T908" s="14"/>
      <c r="U908" s="14"/>
      <c r="V908" s="14"/>
      <c r="W908" s="14"/>
      <c r="X908" s="14"/>
      <c r="Y908" s="14"/>
      <c r="Z908" s="14"/>
      <c r="AA908" s="14"/>
    </row>
    <row r="909">
      <c r="A909" s="65"/>
      <c r="B909" s="65"/>
      <c r="C909" s="14"/>
      <c r="D909" s="14"/>
      <c r="E909" s="14"/>
      <c r="F909" s="65"/>
      <c r="G909" s="65"/>
      <c r="H909" s="65"/>
      <c r="I909" s="65"/>
      <c r="J909" s="65"/>
      <c r="K909" s="65"/>
      <c r="L909" s="65"/>
      <c r="M909" s="65"/>
      <c r="N909" s="65"/>
      <c r="O909" s="65"/>
      <c r="P909" s="14"/>
      <c r="Q909" s="14"/>
      <c r="R909" s="14"/>
      <c r="S909" s="14"/>
      <c r="T909" s="14"/>
      <c r="U909" s="14"/>
      <c r="V909" s="14"/>
      <c r="W909" s="14"/>
      <c r="X909" s="14"/>
      <c r="Y909" s="14"/>
      <c r="Z909" s="14"/>
      <c r="AA909" s="14"/>
    </row>
    <row r="910">
      <c r="A910" s="65"/>
      <c r="B910" s="65"/>
      <c r="C910" s="14"/>
      <c r="D910" s="14"/>
      <c r="E910" s="14"/>
      <c r="F910" s="65"/>
      <c r="G910" s="65"/>
      <c r="H910" s="65"/>
      <c r="I910" s="65"/>
      <c r="J910" s="65"/>
      <c r="K910" s="65"/>
      <c r="L910" s="65"/>
      <c r="M910" s="65"/>
      <c r="N910" s="65"/>
      <c r="O910" s="65"/>
      <c r="P910" s="14"/>
      <c r="Q910" s="14"/>
      <c r="R910" s="14"/>
      <c r="S910" s="14"/>
      <c r="T910" s="14"/>
      <c r="U910" s="14"/>
      <c r="V910" s="14"/>
      <c r="W910" s="14"/>
      <c r="X910" s="14"/>
      <c r="Y910" s="14"/>
      <c r="Z910" s="14"/>
      <c r="AA910" s="14"/>
    </row>
    <row r="911">
      <c r="A911" s="65"/>
      <c r="B911" s="65"/>
      <c r="C911" s="14"/>
      <c r="D911" s="14"/>
      <c r="E911" s="14"/>
      <c r="F911" s="65"/>
      <c r="G911" s="65"/>
      <c r="H911" s="65"/>
      <c r="I911" s="65"/>
      <c r="J911" s="65"/>
      <c r="K911" s="65"/>
      <c r="L911" s="65"/>
      <c r="M911" s="65"/>
      <c r="N911" s="65"/>
      <c r="O911" s="65"/>
      <c r="P911" s="14"/>
      <c r="Q911" s="14"/>
      <c r="R911" s="14"/>
      <c r="S911" s="14"/>
      <c r="T911" s="14"/>
      <c r="U911" s="14"/>
      <c r="V911" s="14"/>
      <c r="W911" s="14"/>
      <c r="X911" s="14"/>
      <c r="Y911" s="14"/>
      <c r="Z911" s="14"/>
      <c r="AA911" s="14"/>
    </row>
    <row r="912">
      <c r="A912" s="65"/>
      <c r="B912" s="65"/>
      <c r="C912" s="14"/>
      <c r="D912" s="14"/>
      <c r="E912" s="14"/>
      <c r="F912" s="65"/>
      <c r="G912" s="65"/>
      <c r="H912" s="65"/>
      <c r="I912" s="65"/>
      <c r="J912" s="65"/>
      <c r="K912" s="65"/>
      <c r="L912" s="65"/>
      <c r="M912" s="65"/>
      <c r="N912" s="65"/>
      <c r="O912" s="65"/>
      <c r="P912" s="14"/>
      <c r="Q912" s="14"/>
      <c r="R912" s="14"/>
      <c r="S912" s="14"/>
      <c r="T912" s="14"/>
      <c r="U912" s="14"/>
      <c r="V912" s="14"/>
      <c r="W912" s="14"/>
      <c r="X912" s="14"/>
      <c r="Y912" s="14"/>
      <c r="Z912" s="14"/>
      <c r="AA912" s="14"/>
    </row>
    <row r="913">
      <c r="A913" s="65"/>
      <c r="B913" s="65"/>
      <c r="C913" s="14"/>
      <c r="D913" s="14"/>
      <c r="E913" s="14"/>
      <c r="F913" s="65"/>
      <c r="G913" s="65"/>
      <c r="H913" s="65"/>
      <c r="I913" s="65"/>
      <c r="J913" s="65"/>
      <c r="K913" s="65"/>
      <c r="L913" s="65"/>
      <c r="M913" s="65"/>
      <c r="N913" s="65"/>
      <c r="O913" s="65"/>
      <c r="P913" s="14"/>
      <c r="Q913" s="14"/>
      <c r="R913" s="14"/>
      <c r="S913" s="14"/>
      <c r="T913" s="14"/>
      <c r="U913" s="14"/>
      <c r="V913" s="14"/>
      <c r="W913" s="14"/>
      <c r="X913" s="14"/>
      <c r="Y913" s="14"/>
      <c r="Z913" s="14"/>
      <c r="AA913" s="14"/>
    </row>
    <row r="914">
      <c r="A914" s="65"/>
      <c r="B914" s="65"/>
      <c r="C914" s="14"/>
      <c r="D914" s="14"/>
      <c r="E914" s="14"/>
      <c r="F914" s="65"/>
      <c r="G914" s="65"/>
      <c r="H914" s="65"/>
      <c r="I914" s="65"/>
      <c r="J914" s="65"/>
      <c r="K914" s="65"/>
      <c r="L914" s="65"/>
      <c r="M914" s="65"/>
      <c r="N914" s="65"/>
      <c r="O914" s="65"/>
      <c r="P914" s="14"/>
      <c r="Q914" s="14"/>
      <c r="R914" s="14"/>
      <c r="S914" s="14"/>
      <c r="T914" s="14"/>
      <c r="U914" s="14"/>
      <c r="V914" s="14"/>
      <c r="W914" s="14"/>
      <c r="X914" s="14"/>
      <c r="Y914" s="14"/>
      <c r="Z914" s="14"/>
      <c r="AA914" s="14"/>
    </row>
    <row r="915">
      <c r="A915" s="65"/>
      <c r="B915" s="65"/>
      <c r="C915" s="14"/>
      <c r="D915" s="14"/>
      <c r="E915" s="14"/>
      <c r="F915" s="65"/>
      <c r="G915" s="65"/>
      <c r="H915" s="65"/>
      <c r="I915" s="65"/>
      <c r="J915" s="65"/>
      <c r="K915" s="65"/>
      <c r="L915" s="65"/>
      <c r="M915" s="65"/>
      <c r="N915" s="65"/>
      <c r="O915" s="65"/>
      <c r="P915" s="14"/>
      <c r="Q915" s="14"/>
      <c r="R915" s="14"/>
      <c r="S915" s="14"/>
      <c r="T915" s="14"/>
      <c r="U915" s="14"/>
      <c r="V915" s="14"/>
      <c r="W915" s="14"/>
      <c r="X915" s="14"/>
      <c r="Y915" s="14"/>
      <c r="Z915" s="14"/>
      <c r="AA915" s="14"/>
    </row>
    <row r="916">
      <c r="A916" s="65"/>
      <c r="B916" s="65"/>
      <c r="C916" s="14"/>
      <c r="D916" s="14"/>
      <c r="E916" s="14"/>
      <c r="F916" s="65"/>
      <c r="G916" s="65"/>
      <c r="H916" s="65"/>
      <c r="I916" s="65"/>
      <c r="J916" s="65"/>
      <c r="K916" s="65"/>
      <c r="L916" s="65"/>
      <c r="M916" s="65"/>
      <c r="N916" s="65"/>
      <c r="O916" s="65"/>
      <c r="P916" s="14"/>
      <c r="Q916" s="14"/>
      <c r="R916" s="14"/>
      <c r="S916" s="14"/>
      <c r="T916" s="14"/>
      <c r="U916" s="14"/>
      <c r="V916" s="14"/>
      <c r="W916" s="14"/>
      <c r="X916" s="14"/>
      <c r="Y916" s="14"/>
      <c r="Z916" s="14"/>
      <c r="AA916" s="14"/>
    </row>
    <row r="917">
      <c r="A917" s="65"/>
      <c r="B917" s="65"/>
      <c r="C917" s="14"/>
      <c r="D917" s="14"/>
      <c r="E917" s="14"/>
      <c r="F917" s="65"/>
      <c r="G917" s="65"/>
      <c r="H917" s="65"/>
      <c r="I917" s="65"/>
      <c r="J917" s="65"/>
      <c r="K917" s="65"/>
      <c r="L917" s="65"/>
      <c r="M917" s="65"/>
      <c r="N917" s="65"/>
      <c r="O917" s="65"/>
      <c r="P917" s="14"/>
      <c r="Q917" s="14"/>
      <c r="R917" s="14"/>
      <c r="S917" s="14"/>
      <c r="T917" s="14"/>
      <c r="U917" s="14"/>
      <c r="V917" s="14"/>
      <c r="W917" s="14"/>
      <c r="X917" s="14"/>
      <c r="Y917" s="14"/>
      <c r="Z917" s="14"/>
      <c r="AA917" s="14"/>
    </row>
    <row r="918">
      <c r="A918" s="65"/>
      <c r="B918" s="65"/>
      <c r="C918" s="14"/>
      <c r="D918" s="14"/>
      <c r="E918" s="14"/>
      <c r="F918" s="65"/>
      <c r="G918" s="65"/>
      <c r="H918" s="65"/>
      <c r="I918" s="65"/>
      <c r="J918" s="65"/>
      <c r="K918" s="65"/>
      <c r="L918" s="65"/>
      <c r="M918" s="65"/>
      <c r="N918" s="65"/>
      <c r="O918" s="65"/>
      <c r="P918" s="14"/>
      <c r="Q918" s="14"/>
      <c r="R918" s="14"/>
      <c r="S918" s="14"/>
      <c r="T918" s="14"/>
      <c r="U918" s="14"/>
      <c r="V918" s="14"/>
      <c r="W918" s="14"/>
      <c r="X918" s="14"/>
      <c r="Y918" s="14"/>
      <c r="Z918" s="14"/>
      <c r="AA918" s="14"/>
    </row>
    <row r="919">
      <c r="A919" s="65"/>
      <c r="B919" s="65"/>
      <c r="C919" s="14"/>
      <c r="D919" s="14"/>
      <c r="E919" s="14"/>
      <c r="F919" s="65"/>
      <c r="G919" s="65"/>
      <c r="H919" s="65"/>
      <c r="I919" s="65"/>
      <c r="J919" s="65"/>
      <c r="K919" s="65"/>
      <c r="L919" s="65"/>
      <c r="M919" s="65"/>
      <c r="N919" s="65"/>
      <c r="O919" s="65"/>
      <c r="P919" s="14"/>
      <c r="Q919" s="14"/>
      <c r="R919" s="14"/>
      <c r="S919" s="14"/>
      <c r="T919" s="14"/>
      <c r="U919" s="14"/>
      <c r="V919" s="14"/>
      <c r="W919" s="14"/>
      <c r="X919" s="14"/>
      <c r="Y919" s="14"/>
      <c r="Z919" s="14"/>
      <c r="AA919" s="14"/>
    </row>
    <row r="920">
      <c r="A920" s="65"/>
      <c r="B920" s="65"/>
      <c r="C920" s="14"/>
      <c r="D920" s="14"/>
      <c r="E920" s="14"/>
      <c r="F920" s="65"/>
      <c r="G920" s="65"/>
      <c r="H920" s="65"/>
      <c r="I920" s="65"/>
      <c r="J920" s="65"/>
      <c r="K920" s="65"/>
      <c r="L920" s="65"/>
      <c r="M920" s="65"/>
      <c r="N920" s="65"/>
      <c r="O920" s="65"/>
      <c r="P920" s="14"/>
      <c r="Q920" s="14"/>
      <c r="R920" s="14"/>
      <c r="S920" s="14"/>
      <c r="T920" s="14"/>
      <c r="U920" s="14"/>
      <c r="V920" s="14"/>
      <c r="W920" s="14"/>
      <c r="X920" s="14"/>
      <c r="Y920" s="14"/>
      <c r="Z920" s="14"/>
      <c r="AA920" s="14"/>
    </row>
    <row r="921">
      <c r="A921" s="65"/>
      <c r="B921" s="65"/>
      <c r="C921" s="14"/>
      <c r="D921" s="14"/>
      <c r="E921" s="14"/>
      <c r="F921" s="65"/>
      <c r="G921" s="65"/>
      <c r="H921" s="65"/>
      <c r="I921" s="65"/>
      <c r="J921" s="65"/>
      <c r="K921" s="65"/>
      <c r="L921" s="65"/>
      <c r="M921" s="65"/>
      <c r="N921" s="65"/>
      <c r="O921" s="65"/>
      <c r="P921" s="14"/>
      <c r="Q921" s="14"/>
      <c r="R921" s="14"/>
      <c r="S921" s="14"/>
      <c r="T921" s="14"/>
      <c r="U921" s="14"/>
      <c r="V921" s="14"/>
      <c r="W921" s="14"/>
      <c r="X921" s="14"/>
      <c r="Y921" s="14"/>
      <c r="Z921" s="14"/>
      <c r="AA921" s="14"/>
    </row>
    <row r="922">
      <c r="A922" s="65"/>
      <c r="B922" s="65"/>
      <c r="C922" s="14"/>
      <c r="D922" s="14"/>
      <c r="E922" s="14"/>
      <c r="F922" s="65"/>
      <c r="G922" s="65"/>
      <c r="H922" s="65"/>
      <c r="I922" s="65"/>
      <c r="J922" s="65"/>
      <c r="K922" s="65"/>
      <c r="L922" s="65"/>
      <c r="M922" s="65"/>
      <c r="N922" s="65"/>
      <c r="O922" s="65"/>
      <c r="P922" s="14"/>
      <c r="Q922" s="14"/>
      <c r="R922" s="14"/>
      <c r="S922" s="14"/>
      <c r="T922" s="14"/>
      <c r="U922" s="14"/>
      <c r="V922" s="14"/>
      <c r="W922" s="14"/>
      <c r="X922" s="14"/>
      <c r="Y922" s="14"/>
      <c r="Z922" s="14"/>
      <c r="AA922" s="14"/>
    </row>
    <row r="923">
      <c r="A923" s="65"/>
      <c r="B923" s="65"/>
      <c r="C923" s="14"/>
      <c r="D923" s="14"/>
      <c r="E923" s="14"/>
      <c r="F923" s="65"/>
      <c r="G923" s="65"/>
      <c r="H923" s="65"/>
      <c r="I923" s="65"/>
      <c r="J923" s="65"/>
      <c r="K923" s="65"/>
      <c r="L923" s="65"/>
      <c r="M923" s="65"/>
      <c r="N923" s="65"/>
      <c r="O923" s="65"/>
      <c r="P923" s="14"/>
      <c r="Q923" s="14"/>
      <c r="R923" s="14"/>
      <c r="S923" s="14"/>
      <c r="T923" s="14"/>
      <c r="U923" s="14"/>
      <c r="V923" s="14"/>
      <c r="W923" s="14"/>
      <c r="X923" s="14"/>
      <c r="Y923" s="14"/>
      <c r="Z923" s="14"/>
      <c r="AA923" s="14"/>
    </row>
    <row r="924">
      <c r="A924" s="65"/>
      <c r="B924" s="65"/>
      <c r="C924" s="14"/>
      <c r="D924" s="14"/>
      <c r="E924" s="14"/>
      <c r="F924" s="65"/>
      <c r="G924" s="65"/>
      <c r="H924" s="65"/>
      <c r="I924" s="65"/>
      <c r="J924" s="65"/>
      <c r="K924" s="65"/>
      <c r="L924" s="65"/>
      <c r="M924" s="65"/>
      <c r="N924" s="65"/>
      <c r="O924" s="65"/>
      <c r="P924" s="14"/>
      <c r="Q924" s="14"/>
      <c r="R924" s="14"/>
      <c r="S924" s="14"/>
      <c r="T924" s="14"/>
      <c r="U924" s="14"/>
      <c r="V924" s="14"/>
      <c r="W924" s="14"/>
      <c r="X924" s="14"/>
      <c r="Y924" s="14"/>
      <c r="Z924" s="14"/>
      <c r="AA924" s="14"/>
    </row>
    <row r="925">
      <c r="A925" s="65"/>
      <c r="B925" s="65"/>
      <c r="C925" s="14"/>
      <c r="D925" s="14"/>
      <c r="E925" s="14"/>
      <c r="F925" s="65"/>
      <c r="G925" s="65"/>
      <c r="H925" s="65"/>
      <c r="I925" s="65"/>
      <c r="J925" s="65"/>
      <c r="K925" s="65"/>
      <c r="L925" s="65"/>
      <c r="M925" s="65"/>
      <c r="N925" s="65"/>
      <c r="O925" s="65"/>
      <c r="P925" s="14"/>
      <c r="Q925" s="14"/>
      <c r="R925" s="14"/>
      <c r="S925" s="14"/>
      <c r="T925" s="14"/>
      <c r="U925" s="14"/>
      <c r="V925" s="14"/>
      <c r="W925" s="14"/>
      <c r="X925" s="14"/>
      <c r="Y925" s="14"/>
      <c r="Z925" s="14"/>
      <c r="AA925" s="14"/>
    </row>
    <row r="926">
      <c r="A926" s="65"/>
      <c r="B926" s="65"/>
      <c r="C926" s="14"/>
      <c r="D926" s="14"/>
      <c r="E926" s="14"/>
      <c r="F926" s="65"/>
      <c r="G926" s="65"/>
      <c r="H926" s="65"/>
      <c r="I926" s="65"/>
      <c r="J926" s="65"/>
      <c r="K926" s="65"/>
      <c r="L926" s="65"/>
      <c r="M926" s="65"/>
      <c r="N926" s="65"/>
      <c r="O926" s="65"/>
      <c r="P926" s="14"/>
      <c r="Q926" s="14"/>
      <c r="R926" s="14"/>
      <c r="S926" s="14"/>
      <c r="T926" s="14"/>
      <c r="U926" s="14"/>
      <c r="V926" s="14"/>
      <c r="W926" s="14"/>
      <c r="X926" s="14"/>
      <c r="Y926" s="14"/>
      <c r="Z926" s="14"/>
      <c r="AA926" s="14"/>
    </row>
    <row r="927">
      <c r="A927" s="65"/>
      <c r="B927" s="65"/>
      <c r="C927" s="14"/>
      <c r="D927" s="14"/>
      <c r="E927" s="14"/>
      <c r="F927" s="65"/>
      <c r="G927" s="65"/>
      <c r="H927" s="65"/>
      <c r="I927" s="65"/>
      <c r="J927" s="65"/>
      <c r="K927" s="65"/>
      <c r="L927" s="65"/>
      <c r="M927" s="65"/>
      <c r="N927" s="65"/>
      <c r="O927" s="65"/>
      <c r="P927" s="14"/>
      <c r="Q927" s="14"/>
      <c r="R927" s="14"/>
      <c r="S927" s="14"/>
      <c r="T927" s="14"/>
      <c r="U927" s="14"/>
      <c r="V927" s="14"/>
      <c r="W927" s="14"/>
      <c r="X927" s="14"/>
      <c r="Y927" s="14"/>
      <c r="Z927" s="14"/>
      <c r="AA927" s="14"/>
    </row>
    <row r="928">
      <c r="A928" s="65"/>
      <c r="B928" s="65"/>
      <c r="C928" s="14"/>
      <c r="D928" s="14"/>
      <c r="E928" s="14"/>
      <c r="F928" s="65"/>
      <c r="G928" s="65"/>
      <c r="H928" s="65"/>
      <c r="I928" s="65"/>
      <c r="J928" s="65"/>
      <c r="K928" s="65"/>
      <c r="L928" s="65"/>
      <c r="M928" s="65"/>
      <c r="N928" s="65"/>
      <c r="O928" s="65"/>
      <c r="P928" s="14"/>
      <c r="Q928" s="14"/>
      <c r="R928" s="14"/>
      <c r="S928" s="14"/>
      <c r="T928" s="14"/>
      <c r="U928" s="14"/>
      <c r="V928" s="14"/>
      <c r="W928" s="14"/>
      <c r="X928" s="14"/>
      <c r="Y928" s="14"/>
      <c r="Z928" s="14"/>
      <c r="AA928" s="14"/>
    </row>
    <row r="929">
      <c r="A929" s="65"/>
      <c r="B929" s="65"/>
      <c r="C929" s="14"/>
      <c r="D929" s="14"/>
      <c r="E929" s="14"/>
      <c r="F929" s="65"/>
      <c r="G929" s="65"/>
      <c r="H929" s="65"/>
      <c r="I929" s="65"/>
      <c r="J929" s="65"/>
      <c r="K929" s="65"/>
      <c r="L929" s="65"/>
      <c r="M929" s="65"/>
      <c r="N929" s="65"/>
      <c r="O929" s="65"/>
      <c r="P929" s="14"/>
      <c r="Q929" s="14"/>
      <c r="R929" s="14"/>
      <c r="S929" s="14"/>
      <c r="T929" s="14"/>
      <c r="U929" s="14"/>
      <c r="V929" s="14"/>
      <c r="W929" s="14"/>
      <c r="X929" s="14"/>
      <c r="Y929" s="14"/>
      <c r="Z929" s="14"/>
      <c r="AA929" s="14"/>
    </row>
    <row r="930">
      <c r="A930" s="65"/>
      <c r="B930" s="65"/>
      <c r="C930" s="14"/>
      <c r="D930" s="14"/>
      <c r="E930" s="14"/>
      <c r="F930" s="65"/>
      <c r="G930" s="65"/>
      <c r="H930" s="65"/>
      <c r="I930" s="65"/>
      <c r="J930" s="65"/>
      <c r="K930" s="65"/>
      <c r="L930" s="65"/>
      <c r="M930" s="65"/>
      <c r="N930" s="65"/>
      <c r="O930" s="65"/>
      <c r="P930" s="14"/>
      <c r="Q930" s="14"/>
      <c r="R930" s="14"/>
      <c r="S930" s="14"/>
      <c r="T930" s="14"/>
      <c r="U930" s="14"/>
      <c r="V930" s="14"/>
      <c r="W930" s="14"/>
      <c r="X930" s="14"/>
      <c r="Y930" s="14"/>
      <c r="Z930" s="14"/>
      <c r="AA930" s="14"/>
    </row>
    <row r="931">
      <c r="A931" s="65"/>
      <c r="B931" s="65"/>
      <c r="C931" s="14"/>
      <c r="D931" s="14"/>
      <c r="E931" s="14"/>
      <c r="F931" s="65"/>
      <c r="G931" s="65"/>
      <c r="H931" s="65"/>
      <c r="I931" s="65"/>
      <c r="J931" s="65"/>
      <c r="K931" s="65"/>
      <c r="L931" s="65"/>
      <c r="M931" s="65"/>
      <c r="N931" s="65"/>
      <c r="O931" s="65"/>
      <c r="P931" s="14"/>
      <c r="Q931" s="14"/>
      <c r="R931" s="14"/>
      <c r="S931" s="14"/>
      <c r="T931" s="14"/>
      <c r="U931" s="14"/>
      <c r="V931" s="14"/>
      <c r="W931" s="14"/>
      <c r="X931" s="14"/>
      <c r="Y931" s="14"/>
      <c r="Z931" s="14"/>
      <c r="AA931" s="14"/>
    </row>
    <row r="932">
      <c r="A932" s="65"/>
      <c r="B932" s="65"/>
      <c r="C932" s="14"/>
      <c r="D932" s="14"/>
      <c r="E932" s="14"/>
      <c r="F932" s="65"/>
      <c r="G932" s="65"/>
      <c r="H932" s="65"/>
      <c r="I932" s="65"/>
      <c r="J932" s="65"/>
      <c r="K932" s="65"/>
      <c r="L932" s="65"/>
      <c r="M932" s="65"/>
      <c r="N932" s="65"/>
      <c r="O932" s="65"/>
      <c r="P932" s="14"/>
      <c r="Q932" s="14"/>
      <c r="R932" s="14"/>
      <c r="S932" s="14"/>
      <c r="T932" s="14"/>
      <c r="U932" s="14"/>
      <c r="V932" s="14"/>
      <c r="W932" s="14"/>
      <c r="X932" s="14"/>
      <c r="Y932" s="14"/>
      <c r="Z932" s="14"/>
      <c r="AA932" s="14"/>
    </row>
    <row r="933">
      <c r="A933" s="65"/>
      <c r="B933" s="65"/>
      <c r="C933" s="14"/>
      <c r="D933" s="14"/>
      <c r="E933" s="14"/>
      <c r="F933" s="65"/>
      <c r="G933" s="65"/>
      <c r="H933" s="65"/>
      <c r="I933" s="65"/>
      <c r="J933" s="65"/>
      <c r="K933" s="65"/>
      <c r="L933" s="65"/>
      <c r="M933" s="65"/>
      <c r="N933" s="65"/>
      <c r="O933" s="65"/>
      <c r="P933" s="14"/>
      <c r="Q933" s="14"/>
      <c r="R933" s="14"/>
      <c r="S933" s="14"/>
      <c r="T933" s="14"/>
      <c r="U933" s="14"/>
      <c r="V933" s="14"/>
      <c r="W933" s="14"/>
      <c r="X933" s="14"/>
      <c r="Y933" s="14"/>
      <c r="Z933" s="14"/>
      <c r="AA933" s="14"/>
    </row>
    <row r="934">
      <c r="A934" s="65"/>
      <c r="B934" s="65"/>
      <c r="C934" s="14"/>
      <c r="D934" s="14"/>
      <c r="E934" s="14"/>
      <c r="F934" s="65"/>
      <c r="G934" s="65"/>
      <c r="H934" s="65"/>
      <c r="I934" s="65"/>
      <c r="J934" s="65"/>
      <c r="K934" s="65"/>
      <c r="L934" s="65"/>
      <c r="M934" s="65"/>
      <c r="N934" s="65"/>
      <c r="O934" s="65"/>
      <c r="P934" s="14"/>
      <c r="Q934" s="14"/>
      <c r="R934" s="14"/>
      <c r="S934" s="14"/>
      <c r="T934" s="14"/>
      <c r="U934" s="14"/>
      <c r="V934" s="14"/>
      <c r="W934" s="14"/>
      <c r="X934" s="14"/>
      <c r="Y934" s="14"/>
      <c r="Z934" s="14"/>
      <c r="AA934" s="14"/>
    </row>
    <row r="935">
      <c r="A935" s="65"/>
      <c r="B935" s="65"/>
      <c r="C935" s="14"/>
      <c r="D935" s="14"/>
      <c r="E935" s="14"/>
      <c r="F935" s="65"/>
      <c r="G935" s="65"/>
      <c r="H935" s="65"/>
      <c r="I935" s="65"/>
      <c r="J935" s="65"/>
      <c r="K935" s="65"/>
      <c r="L935" s="65"/>
      <c r="M935" s="65"/>
      <c r="N935" s="65"/>
      <c r="O935" s="65"/>
      <c r="P935" s="14"/>
      <c r="Q935" s="14"/>
      <c r="R935" s="14"/>
      <c r="S935" s="14"/>
      <c r="T935" s="14"/>
      <c r="U935" s="14"/>
      <c r="V935" s="14"/>
      <c r="W935" s="14"/>
      <c r="X935" s="14"/>
      <c r="Y935" s="14"/>
      <c r="Z935" s="14"/>
      <c r="AA935" s="14"/>
    </row>
    <row r="936">
      <c r="A936" s="65"/>
      <c r="B936" s="65"/>
      <c r="C936" s="14"/>
      <c r="D936" s="14"/>
      <c r="E936" s="14"/>
      <c r="F936" s="65"/>
      <c r="G936" s="65"/>
      <c r="H936" s="65"/>
      <c r="I936" s="65"/>
      <c r="J936" s="65"/>
      <c r="K936" s="65"/>
      <c r="L936" s="65"/>
      <c r="M936" s="65"/>
      <c r="N936" s="65"/>
      <c r="O936" s="65"/>
      <c r="P936" s="14"/>
      <c r="Q936" s="14"/>
      <c r="R936" s="14"/>
      <c r="S936" s="14"/>
      <c r="T936" s="14"/>
      <c r="U936" s="14"/>
      <c r="V936" s="14"/>
      <c r="W936" s="14"/>
      <c r="X936" s="14"/>
      <c r="Y936" s="14"/>
      <c r="Z936" s="14"/>
      <c r="AA936" s="14"/>
    </row>
    <row r="937">
      <c r="A937" s="65"/>
      <c r="B937" s="65"/>
      <c r="C937" s="14"/>
      <c r="D937" s="14"/>
      <c r="E937" s="14"/>
      <c r="F937" s="65"/>
      <c r="G937" s="65"/>
      <c r="H937" s="65"/>
      <c r="I937" s="65"/>
      <c r="J937" s="65"/>
      <c r="K937" s="65"/>
      <c r="L937" s="65"/>
      <c r="M937" s="65"/>
      <c r="N937" s="65"/>
      <c r="O937" s="65"/>
      <c r="P937" s="14"/>
      <c r="Q937" s="14"/>
      <c r="R937" s="14"/>
      <c r="S937" s="14"/>
      <c r="T937" s="14"/>
      <c r="U937" s="14"/>
      <c r="V937" s="14"/>
      <c r="W937" s="14"/>
      <c r="X937" s="14"/>
      <c r="Y937" s="14"/>
      <c r="Z937" s="14"/>
      <c r="AA937" s="14"/>
    </row>
    <row r="938">
      <c r="A938" s="65"/>
      <c r="B938" s="65"/>
      <c r="C938" s="14"/>
      <c r="D938" s="14"/>
      <c r="E938" s="14"/>
      <c r="F938" s="65"/>
      <c r="G938" s="65"/>
      <c r="H938" s="65"/>
      <c r="I938" s="65"/>
      <c r="J938" s="65"/>
      <c r="K938" s="65"/>
      <c r="L938" s="65"/>
      <c r="M938" s="65"/>
      <c r="N938" s="65"/>
      <c r="O938" s="65"/>
      <c r="P938" s="14"/>
      <c r="Q938" s="14"/>
      <c r="R938" s="14"/>
      <c r="S938" s="14"/>
      <c r="T938" s="14"/>
      <c r="U938" s="14"/>
      <c r="V938" s="14"/>
      <c r="W938" s="14"/>
      <c r="X938" s="14"/>
      <c r="Y938" s="14"/>
      <c r="Z938" s="14"/>
      <c r="AA938" s="14"/>
    </row>
    <row r="939">
      <c r="A939" s="65"/>
      <c r="B939" s="65"/>
      <c r="C939" s="14"/>
      <c r="D939" s="14"/>
      <c r="E939" s="14"/>
      <c r="F939" s="65"/>
      <c r="G939" s="65"/>
      <c r="H939" s="65"/>
      <c r="I939" s="65"/>
      <c r="J939" s="65"/>
      <c r="K939" s="65"/>
      <c r="L939" s="65"/>
      <c r="M939" s="65"/>
      <c r="N939" s="65"/>
      <c r="O939" s="65"/>
      <c r="P939" s="14"/>
      <c r="Q939" s="14"/>
      <c r="R939" s="14"/>
      <c r="S939" s="14"/>
      <c r="T939" s="14"/>
      <c r="U939" s="14"/>
      <c r="V939" s="14"/>
      <c r="W939" s="14"/>
      <c r="X939" s="14"/>
      <c r="Y939" s="14"/>
      <c r="Z939" s="14"/>
      <c r="AA939" s="14"/>
    </row>
    <row r="940">
      <c r="A940" s="65"/>
      <c r="B940" s="65"/>
      <c r="C940" s="14"/>
      <c r="D940" s="14"/>
      <c r="E940" s="14"/>
      <c r="F940" s="65"/>
      <c r="G940" s="65"/>
      <c r="H940" s="65"/>
      <c r="I940" s="65"/>
      <c r="J940" s="65"/>
      <c r="K940" s="65"/>
      <c r="L940" s="65"/>
      <c r="M940" s="65"/>
      <c r="N940" s="65"/>
      <c r="O940" s="65"/>
      <c r="P940" s="14"/>
      <c r="Q940" s="14"/>
      <c r="R940" s="14"/>
      <c r="S940" s="14"/>
      <c r="T940" s="14"/>
      <c r="U940" s="14"/>
      <c r="V940" s="14"/>
      <c r="W940" s="14"/>
      <c r="X940" s="14"/>
      <c r="Y940" s="14"/>
      <c r="Z940" s="14"/>
      <c r="AA940" s="14"/>
    </row>
    <row r="941">
      <c r="A941" s="65"/>
      <c r="B941" s="65"/>
      <c r="C941" s="14"/>
      <c r="D941" s="14"/>
      <c r="E941" s="14"/>
      <c r="F941" s="65"/>
      <c r="G941" s="65"/>
      <c r="H941" s="65"/>
      <c r="I941" s="65"/>
      <c r="J941" s="65"/>
      <c r="K941" s="65"/>
      <c r="L941" s="65"/>
      <c r="M941" s="65"/>
      <c r="N941" s="65"/>
      <c r="O941" s="65"/>
      <c r="P941" s="14"/>
      <c r="Q941" s="14"/>
      <c r="R941" s="14"/>
      <c r="S941" s="14"/>
      <c r="T941" s="14"/>
      <c r="U941" s="14"/>
      <c r="V941" s="14"/>
      <c r="W941" s="14"/>
      <c r="X941" s="14"/>
      <c r="Y941" s="14"/>
      <c r="Z941" s="14"/>
      <c r="AA941" s="14"/>
    </row>
    <row r="942">
      <c r="A942" s="65"/>
      <c r="B942" s="65"/>
      <c r="C942" s="14"/>
      <c r="D942" s="14"/>
      <c r="E942" s="14"/>
      <c r="F942" s="65"/>
      <c r="G942" s="65"/>
      <c r="H942" s="65"/>
      <c r="I942" s="65"/>
      <c r="J942" s="65"/>
      <c r="K942" s="65"/>
      <c r="L942" s="65"/>
      <c r="M942" s="65"/>
      <c r="N942" s="65"/>
      <c r="O942" s="65"/>
      <c r="P942" s="14"/>
      <c r="Q942" s="14"/>
      <c r="R942" s="14"/>
      <c r="S942" s="14"/>
      <c r="T942" s="14"/>
      <c r="U942" s="14"/>
      <c r="V942" s="14"/>
      <c r="W942" s="14"/>
      <c r="X942" s="14"/>
      <c r="Y942" s="14"/>
      <c r="Z942" s="14"/>
      <c r="AA942" s="14"/>
    </row>
    <row r="943">
      <c r="A943" s="65"/>
      <c r="B943" s="65"/>
      <c r="C943" s="14"/>
      <c r="D943" s="14"/>
      <c r="E943" s="14"/>
      <c r="F943" s="65"/>
      <c r="G943" s="65"/>
      <c r="H943" s="65"/>
      <c r="I943" s="65"/>
      <c r="J943" s="65"/>
      <c r="K943" s="65"/>
      <c r="L943" s="65"/>
      <c r="M943" s="65"/>
      <c r="N943" s="65"/>
      <c r="O943" s="65"/>
      <c r="P943" s="14"/>
      <c r="Q943" s="14"/>
      <c r="R943" s="14"/>
      <c r="S943" s="14"/>
      <c r="T943" s="14"/>
      <c r="U943" s="14"/>
      <c r="V943" s="14"/>
      <c r="W943" s="14"/>
      <c r="X943" s="14"/>
      <c r="Y943" s="14"/>
      <c r="Z943" s="14"/>
      <c r="AA943" s="14"/>
    </row>
    <row r="944">
      <c r="A944" s="65"/>
      <c r="B944" s="65"/>
      <c r="C944" s="14"/>
      <c r="D944" s="14"/>
      <c r="E944" s="14"/>
      <c r="F944" s="65"/>
      <c r="G944" s="65"/>
      <c r="H944" s="65"/>
      <c r="I944" s="65"/>
      <c r="J944" s="65"/>
      <c r="K944" s="65"/>
      <c r="L944" s="65"/>
      <c r="M944" s="65"/>
      <c r="N944" s="65"/>
      <c r="O944" s="65"/>
      <c r="P944" s="14"/>
      <c r="Q944" s="14"/>
      <c r="R944" s="14"/>
      <c r="S944" s="14"/>
      <c r="T944" s="14"/>
      <c r="U944" s="14"/>
      <c r="V944" s="14"/>
      <c r="W944" s="14"/>
      <c r="X944" s="14"/>
      <c r="Y944" s="14"/>
      <c r="Z944" s="14"/>
      <c r="AA944" s="14"/>
    </row>
    <row r="945">
      <c r="A945" s="65"/>
      <c r="B945" s="65"/>
      <c r="C945" s="14"/>
      <c r="D945" s="14"/>
      <c r="E945" s="14"/>
      <c r="F945" s="65"/>
      <c r="G945" s="65"/>
      <c r="H945" s="65"/>
      <c r="I945" s="65"/>
      <c r="J945" s="65"/>
      <c r="K945" s="65"/>
      <c r="L945" s="65"/>
      <c r="M945" s="65"/>
      <c r="N945" s="65"/>
      <c r="O945" s="65"/>
      <c r="P945" s="14"/>
      <c r="Q945" s="14"/>
      <c r="R945" s="14"/>
      <c r="S945" s="14"/>
      <c r="T945" s="14"/>
      <c r="U945" s="14"/>
      <c r="V945" s="14"/>
      <c r="W945" s="14"/>
      <c r="X945" s="14"/>
      <c r="Y945" s="14"/>
      <c r="Z945" s="14"/>
      <c r="AA945" s="14"/>
    </row>
    <row r="946">
      <c r="A946" s="65"/>
      <c r="B946" s="65"/>
      <c r="C946" s="14"/>
      <c r="D946" s="14"/>
      <c r="E946" s="14"/>
      <c r="F946" s="65"/>
      <c r="G946" s="65"/>
      <c r="H946" s="65"/>
      <c r="I946" s="65"/>
      <c r="J946" s="65"/>
      <c r="K946" s="65"/>
      <c r="L946" s="65"/>
      <c r="M946" s="65"/>
      <c r="N946" s="65"/>
      <c r="O946" s="65"/>
      <c r="P946" s="14"/>
      <c r="Q946" s="14"/>
      <c r="R946" s="14"/>
      <c r="S946" s="14"/>
      <c r="T946" s="14"/>
      <c r="U946" s="14"/>
      <c r="V946" s="14"/>
      <c r="W946" s="14"/>
      <c r="X946" s="14"/>
      <c r="Y946" s="14"/>
      <c r="Z946" s="14"/>
      <c r="AA946" s="14"/>
    </row>
    <row r="947">
      <c r="A947" s="65"/>
      <c r="B947" s="65"/>
      <c r="C947" s="14"/>
      <c r="D947" s="14"/>
      <c r="E947" s="14"/>
      <c r="F947" s="65"/>
      <c r="G947" s="65"/>
      <c r="H947" s="65"/>
      <c r="I947" s="65"/>
      <c r="J947" s="65"/>
      <c r="K947" s="65"/>
      <c r="L947" s="65"/>
      <c r="M947" s="65"/>
      <c r="N947" s="65"/>
      <c r="O947" s="65"/>
      <c r="P947" s="14"/>
      <c r="Q947" s="14"/>
      <c r="R947" s="14"/>
      <c r="S947" s="14"/>
      <c r="T947" s="14"/>
      <c r="U947" s="14"/>
      <c r="V947" s="14"/>
      <c r="W947" s="14"/>
      <c r="X947" s="14"/>
      <c r="Y947" s="14"/>
      <c r="Z947" s="14"/>
      <c r="AA947" s="14"/>
    </row>
    <row r="948">
      <c r="A948" s="65"/>
      <c r="B948" s="65"/>
      <c r="C948" s="14"/>
      <c r="D948" s="14"/>
      <c r="E948" s="14"/>
      <c r="F948" s="65"/>
      <c r="G948" s="65"/>
      <c r="H948" s="65"/>
      <c r="I948" s="65"/>
      <c r="J948" s="65"/>
      <c r="K948" s="65"/>
      <c r="L948" s="65"/>
      <c r="M948" s="65"/>
      <c r="N948" s="65"/>
      <c r="O948" s="65"/>
      <c r="P948" s="14"/>
      <c r="Q948" s="14"/>
      <c r="R948" s="14"/>
      <c r="S948" s="14"/>
      <c r="T948" s="14"/>
      <c r="U948" s="14"/>
      <c r="V948" s="14"/>
      <c r="W948" s="14"/>
      <c r="X948" s="14"/>
      <c r="Y948" s="14"/>
      <c r="Z948" s="14"/>
      <c r="AA948" s="14"/>
    </row>
    <row r="949">
      <c r="A949" s="65"/>
      <c r="B949" s="65"/>
      <c r="C949" s="14"/>
      <c r="D949" s="14"/>
      <c r="E949" s="14"/>
      <c r="F949" s="65"/>
      <c r="G949" s="65"/>
      <c r="H949" s="65"/>
      <c r="I949" s="65"/>
      <c r="J949" s="65"/>
      <c r="K949" s="65"/>
      <c r="L949" s="65"/>
      <c r="M949" s="65"/>
      <c r="N949" s="65"/>
      <c r="O949" s="65"/>
      <c r="P949" s="14"/>
      <c r="Q949" s="14"/>
      <c r="R949" s="14"/>
      <c r="S949" s="14"/>
      <c r="T949" s="14"/>
      <c r="U949" s="14"/>
      <c r="V949" s="14"/>
      <c r="W949" s="14"/>
      <c r="X949" s="14"/>
      <c r="Y949" s="14"/>
      <c r="Z949" s="14"/>
      <c r="AA949" s="14"/>
    </row>
    <row r="950">
      <c r="A950" s="65"/>
      <c r="B950" s="65"/>
      <c r="C950" s="14"/>
      <c r="D950" s="14"/>
      <c r="E950" s="14"/>
      <c r="F950" s="65"/>
      <c r="G950" s="65"/>
      <c r="H950" s="65"/>
      <c r="I950" s="65"/>
      <c r="J950" s="65"/>
      <c r="K950" s="65"/>
      <c r="L950" s="65"/>
      <c r="M950" s="65"/>
      <c r="N950" s="65"/>
      <c r="O950" s="65"/>
      <c r="P950" s="14"/>
      <c r="Q950" s="14"/>
      <c r="R950" s="14"/>
      <c r="S950" s="14"/>
      <c r="T950" s="14"/>
      <c r="U950" s="14"/>
      <c r="V950" s="14"/>
      <c r="W950" s="14"/>
      <c r="X950" s="14"/>
      <c r="Y950" s="14"/>
      <c r="Z950" s="14"/>
      <c r="AA950" s="14"/>
    </row>
    <row r="951">
      <c r="A951" s="65"/>
      <c r="B951" s="65"/>
      <c r="C951" s="14"/>
      <c r="D951" s="14"/>
      <c r="E951" s="14"/>
      <c r="F951" s="65"/>
      <c r="G951" s="65"/>
      <c r="H951" s="65"/>
      <c r="I951" s="65"/>
      <c r="J951" s="65"/>
      <c r="K951" s="65"/>
      <c r="L951" s="65"/>
      <c r="M951" s="65"/>
      <c r="N951" s="65"/>
      <c r="O951" s="65"/>
      <c r="P951" s="14"/>
      <c r="Q951" s="14"/>
      <c r="R951" s="14"/>
      <c r="S951" s="14"/>
      <c r="T951" s="14"/>
      <c r="U951" s="14"/>
      <c r="V951" s="14"/>
      <c r="W951" s="14"/>
      <c r="X951" s="14"/>
      <c r="Y951" s="14"/>
      <c r="Z951" s="14"/>
      <c r="AA951" s="14"/>
    </row>
    <row r="952">
      <c r="A952" s="65"/>
      <c r="B952" s="65"/>
      <c r="C952" s="14"/>
      <c r="D952" s="14"/>
      <c r="E952" s="14"/>
      <c r="F952" s="65"/>
      <c r="G952" s="65"/>
      <c r="H952" s="65"/>
      <c r="I952" s="65"/>
      <c r="J952" s="65"/>
      <c r="K952" s="65"/>
      <c r="L952" s="65"/>
      <c r="M952" s="65"/>
      <c r="N952" s="65"/>
      <c r="O952" s="65"/>
      <c r="P952" s="14"/>
      <c r="Q952" s="14"/>
      <c r="R952" s="14"/>
      <c r="S952" s="14"/>
      <c r="T952" s="14"/>
      <c r="U952" s="14"/>
      <c r="V952" s="14"/>
      <c r="W952" s="14"/>
      <c r="X952" s="14"/>
      <c r="Y952" s="14"/>
      <c r="Z952" s="14"/>
      <c r="AA952" s="14"/>
    </row>
    <row r="953">
      <c r="A953" s="65"/>
      <c r="B953" s="65"/>
      <c r="C953" s="14"/>
      <c r="D953" s="14"/>
      <c r="E953" s="14"/>
      <c r="F953" s="65"/>
      <c r="G953" s="65"/>
      <c r="H953" s="65"/>
      <c r="I953" s="65"/>
      <c r="J953" s="65"/>
      <c r="K953" s="65"/>
      <c r="L953" s="65"/>
      <c r="M953" s="65"/>
      <c r="N953" s="65"/>
      <c r="O953" s="65"/>
      <c r="P953" s="14"/>
      <c r="Q953" s="14"/>
      <c r="R953" s="14"/>
      <c r="S953" s="14"/>
      <c r="T953" s="14"/>
      <c r="U953" s="14"/>
      <c r="V953" s="14"/>
      <c r="W953" s="14"/>
      <c r="X953" s="14"/>
      <c r="Y953" s="14"/>
      <c r="Z953" s="14"/>
      <c r="AA953" s="14"/>
    </row>
    <row r="954">
      <c r="A954" s="65"/>
      <c r="B954" s="65"/>
      <c r="C954" s="14"/>
      <c r="D954" s="14"/>
      <c r="E954" s="14"/>
      <c r="F954" s="65"/>
      <c r="G954" s="65"/>
      <c r="H954" s="65"/>
      <c r="I954" s="65"/>
      <c r="J954" s="65"/>
      <c r="K954" s="65"/>
      <c r="L954" s="65"/>
      <c r="M954" s="65"/>
      <c r="N954" s="65"/>
      <c r="O954" s="65"/>
      <c r="P954" s="14"/>
      <c r="Q954" s="14"/>
      <c r="R954" s="14"/>
      <c r="S954" s="14"/>
      <c r="T954" s="14"/>
      <c r="U954" s="14"/>
      <c r="V954" s="14"/>
      <c r="W954" s="14"/>
      <c r="X954" s="14"/>
      <c r="Y954" s="14"/>
      <c r="Z954" s="14"/>
      <c r="AA954" s="14"/>
    </row>
    <row r="955">
      <c r="A955" s="65"/>
      <c r="B955" s="65"/>
      <c r="C955" s="14"/>
      <c r="D955" s="14"/>
      <c r="E955" s="14"/>
      <c r="F955" s="65"/>
      <c r="G955" s="65"/>
      <c r="H955" s="65"/>
      <c r="I955" s="65"/>
      <c r="J955" s="65"/>
      <c r="K955" s="65"/>
      <c r="L955" s="65"/>
      <c r="M955" s="65"/>
      <c r="N955" s="65"/>
      <c r="O955" s="65"/>
      <c r="P955" s="14"/>
      <c r="Q955" s="14"/>
      <c r="R955" s="14"/>
      <c r="S955" s="14"/>
      <c r="T955" s="14"/>
      <c r="U955" s="14"/>
      <c r="V955" s="14"/>
      <c r="W955" s="14"/>
      <c r="X955" s="14"/>
      <c r="Y955" s="14"/>
      <c r="Z955" s="14"/>
      <c r="AA955" s="14"/>
    </row>
    <row r="956">
      <c r="A956" s="65"/>
      <c r="B956" s="65"/>
      <c r="C956" s="14"/>
      <c r="D956" s="14"/>
      <c r="E956" s="14"/>
      <c r="F956" s="65"/>
      <c r="G956" s="65"/>
      <c r="H956" s="65"/>
      <c r="I956" s="65"/>
      <c r="J956" s="65"/>
      <c r="K956" s="65"/>
      <c r="L956" s="65"/>
      <c r="M956" s="65"/>
      <c r="N956" s="65"/>
      <c r="O956" s="65"/>
      <c r="P956" s="14"/>
      <c r="Q956" s="14"/>
      <c r="R956" s="14"/>
      <c r="S956" s="14"/>
      <c r="T956" s="14"/>
      <c r="U956" s="14"/>
      <c r="V956" s="14"/>
      <c r="W956" s="14"/>
      <c r="X956" s="14"/>
      <c r="Y956" s="14"/>
      <c r="Z956" s="14"/>
      <c r="AA956" s="14"/>
    </row>
    <row r="957">
      <c r="A957" s="65"/>
      <c r="B957" s="65"/>
      <c r="C957" s="14"/>
      <c r="D957" s="14"/>
      <c r="E957" s="14"/>
      <c r="F957" s="65"/>
      <c r="G957" s="65"/>
      <c r="H957" s="65"/>
      <c r="I957" s="65"/>
      <c r="J957" s="65"/>
      <c r="K957" s="65"/>
      <c r="L957" s="65"/>
      <c r="M957" s="65"/>
      <c r="N957" s="65"/>
      <c r="O957" s="65"/>
      <c r="P957" s="14"/>
      <c r="Q957" s="14"/>
      <c r="R957" s="14"/>
      <c r="S957" s="14"/>
      <c r="T957" s="14"/>
      <c r="U957" s="14"/>
      <c r="V957" s="14"/>
      <c r="W957" s="14"/>
      <c r="X957" s="14"/>
      <c r="Y957" s="14"/>
      <c r="Z957" s="14"/>
      <c r="AA957" s="14"/>
    </row>
    <row r="958">
      <c r="A958" s="65"/>
      <c r="B958" s="65"/>
      <c r="C958" s="14"/>
      <c r="D958" s="14"/>
      <c r="E958" s="14"/>
      <c r="F958" s="65"/>
      <c r="G958" s="65"/>
      <c r="H958" s="65"/>
      <c r="I958" s="65"/>
      <c r="J958" s="65"/>
      <c r="K958" s="65"/>
      <c r="L958" s="65"/>
      <c r="M958" s="65"/>
      <c r="N958" s="65"/>
      <c r="O958" s="65"/>
      <c r="P958" s="14"/>
      <c r="Q958" s="14"/>
      <c r="R958" s="14"/>
      <c r="S958" s="14"/>
      <c r="T958" s="14"/>
      <c r="U958" s="14"/>
      <c r="V958" s="14"/>
      <c r="W958" s="14"/>
      <c r="X958" s="14"/>
      <c r="Y958" s="14"/>
      <c r="Z958" s="14"/>
      <c r="AA958" s="14"/>
    </row>
    <row r="959">
      <c r="A959" s="65"/>
      <c r="B959" s="65"/>
      <c r="C959" s="14"/>
      <c r="D959" s="14"/>
      <c r="E959" s="14"/>
      <c r="F959" s="65"/>
      <c r="G959" s="65"/>
      <c r="H959" s="65"/>
      <c r="I959" s="65"/>
      <c r="J959" s="65"/>
      <c r="K959" s="65"/>
      <c r="L959" s="65"/>
      <c r="M959" s="65"/>
      <c r="N959" s="65"/>
      <c r="O959" s="65"/>
      <c r="P959" s="14"/>
      <c r="Q959" s="14"/>
      <c r="R959" s="14"/>
      <c r="S959" s="14"/>
      <c r="T959" s="14"/>
      <c r="U959" s="14"/>
      <c r="V959" s="14"/>
      <c r="W959" s="14"/>
      <c r="X959" s="14"/>
      <c r="Y959" s="14"/>
      <c r="Z959" s="14"/>
      <c r="AA959" s="14"/>
    </row>
    <row r="960">
      <c r="A960" s="65"/>
      <c r="B960" s="65"/>
      <c r="C960" s="14"/>
      <c r="D960" s="14"/>
      <c r="E960" s="14"/>
      <c r="F960" s="65"/>
      <c r="G960" s="65"/>
      <c r="H960" s="65"/>
      <c r="I960" s="65"/>
      <c r="J960" s="65"/>
      <c r="K960" s="65"/>
      <c r="L960" s="65"/>
      <c r="M960" s="65"/>
      <c r="N960" s="65"/>
      <c r="O960" s="65"/>
      <c r="P960" s="14"/>
      <c r="Q960" s="14"/>
      <c r="R960" s="14"/>
      <c r="S960" s="14"/>
      <c r="T960" s="14"/>
      <c r="U960" s="14"/>
      <c r="V960" s="14"/>
      <c r="W960" s="14"/>
      <c r="X960" s="14"/>
      <c r="Y960" s="14"/>
      <c r="Z960" s="14"/>
      <c r="AA960" s="14"/>
    </row>
    <row r="961">
      <c r="A961" s="65"/>
      <c r="B961" s="65"/>
      <c r="C961" s="14"/>
      <c r="D961" s="14"/>
      <c r="E961" s="14"/>
      <c r="F961" s="65"/>
      <c r="G961" s="65"/>
      <c r="H961" s="65"/>
      <c r="I961" s="65"/>
      <c r="J961" s="65"/>
      <c r="K961" s="65"/>
      <c r="L961" s="65"/>
      <c r="M961" s="65"/>
      <c r="N961" s="65"/>
      <c r="O961" s="65"/>
      <c r="P961" s="14"/>
      <c r="Q961" s="14"/>
      <c r="R961" s="14"/>
      <c r="S961" s="14"/>
      <c r="T961" s="14"/>
      <c r="U961" s="14"/>
      <c r="V961" s="14"/>
      <c r="W961" s="14"/>
      <c r="X961" s="14"/>
      <c r="Y961" s="14"/>
      <c r="Z961" s="14"/>
      <c r="AA961" s="14"/>
    </row>
    <row r="962">
      <c r="A962" s="65"/>
      <c r="B962" s="65"/>
      <c r="C962" s="14"/>
      <c r="D962" s="14"/>
      <c r="E962" s="14"/>
      <c r="F962" s="65"/>
      <c r="G962" s="65"/>
      <c r="H962" s="65"/>
      <c r="I962" s="65"/>
      <c r="J962" s="65"/>
      <c r="K962" s="65"/>
      <c r="L962" s="65"/>
      <c r="M962" s="65"/>
      <c r="N962" s="65"/>
      <c r="O962" s="65"/>
      <c r="P962" s="14"/>
      <c r="Q962" s="14"/>
      <c r="R962" s="14"/>
      <c r="S962" s="14"/>
      <c r="T962" s="14"/>
      <c r="U962" s="14"/>
      <c r="V962" s="14"/>
      <c r="W962" s="14"/>
      <c r="X962" s="14"/>
      <c r="Y962" s="14"/>
      <c r="Z962" s="14"/>
      <c r="AA962" s="14"/>
    </row>
    <row r="963">
      <c r="A963" s="65"/>
      <c r="B963" s="65"/>
      <c r="C963" s="14"/>
      <c r="D963" s="14"/>
      <c r="E963" s="14"/>
      <c r="F963" s="65"/>
      <c r="G963" s="65"/>
      <c r="H963" s="65"/>
      <c r="I963" s="65"/>
      <c r="J963" s="65"/>
      <c r="K963" s="65"/>
      <c r="L963" s="65"/>
      <c r="M963" s="65"/>
      <c r="N963" s="65"/>
      <c r="O963" s="65"/>
      <c r="P963" s="14"/>
      <c r="Q963" s="14"/>
      <c r="R963" s="14"/>
      <c r="S963" s="14"/>
      <c r="T963" s="14"/>
      <c r="U963" s="14"/>
      <c r="V963" s="14"/>
      <c r="W963" s="14"/>
      <c r="X963" s="14"/>
      <c r="Y963" s="14"/>
      <c r="Z963" s="14"/>
      <c r="AA963" s="14"/>
    </row>
    <row r="964">
      <c r="A964" s="65"/>
      <c r="B964" s="65"/>
      <c r="C964" s="14"/>
      <c r="D964" s="14"/>
      <c r="E964" s="14"/>
      <c r="F964" s="65"/>
      <c r="G964" s="65"/>
      <c r="H964" s="65"/>
      <c r="I964" s="65"/>
      <c r="J964" s="65"/>
      <c r="K964" s="65"/>
      <c r="L964" s="65"/>
      <c r="M964" s="65"/>
      <c r="N964" s="65"/>
      <c r="O964" s="65"/>
      <c r="P964" s="14"/>
      <c r="Q964" s="14"/>
      <c r="R964" s="14"/>
      <c r="S964" s="14"/>
      <c r="T964" s="14"/>
      <c r="U964" s="14"/>
      <c r="V964" s="14"/>
      <c r="W964" s="14"/>
      <c r="X964" s="14"/>
      <c r="Y964" s="14"/>
      <c r="Z964" s="14"/>
      <c r="AA964" s="14"/>
    </row>
    <row r="965">
      <c r="A965" s="65"/>
      <c r="B965" s="65"/>
      <c r="C965" s="14"/>
      <c r="D965" s="14"/>
      <c r="E965" s="14"/>
      <c r="F965" s="65"/>
      <c r="G965" s="65"/>
      <c r="H965" s="65"/>
      <c r="I965" s="65"/>
      <c r="J965" s="65"/>
      <c r="K965" s="65"/>
      <c r="L965" s="65"/>
      <c r="M965" s="65"/>
      <c r="N965" s="65"/>
      <c r="O965" s="65"/>
      <c r="P965" s="14"/>
      <c r="Q965" s="14"/>
      <c r="R965" s="14"/>
      <c r="S965" s="14"/>
      <c r="T965" s="14"/>
      <c r="U965" s="14"/>
      <c r="V965" s="14"/>
      <c r="W965" s="14"/>
      <c r="X965" s="14"/>
      <c r="Y965" s="14"/>
      <c r="Z965" s="14"/>
      <c r="AA965" s="14"/>
    </row>
    <row r="966">
      <c r="A966" s="65"/>
      <c r="B966" s="65"/>
      <c r="C966" s="14"/>
      <c r="D966" s="14"/>
      <c r="E966" s="14"/>
      <c r="F966" s="65"/>
      <c r="G966" s="65"/>
      <c r="H966" s="65"/>
      <c r="I966" s="65"/>
      <c r="J966" s="65"/>
      <c r="K966" s="65"/>
      <c r="L966" s="65"/>
      <c r="M966" s="65"/>
      <c r="N966" s="65"/>
      <c r="O966" s="65"/>
      <c r="P966" s="14"/>
      <c r="Q966" s="14"/>
      <c r="R966" s="14"/>
      <c r="S966" s="14"/>
      <c r="T966" s="14"/>
      <c r="U966" s="14"/>
      <c r="V966" s="14"/>
      <c r="W966" s="14"/>
      <c r="X966" s="14"/>
      <c r="Y966" s="14"/>
      <c r="Z966" s="14"/>
      <c r="AA966" s="14"/>
    </row>
    <row r="967">
      <c r="A967" s="65"/>
      <c r="B967" s="65"/>
      <c r="C967" s="14"/>
      <c r="D967" s="14"/>
      <c r="E967" s="14"/>
      <c r="F967" s="65"/>
      <c r="G967" s="65"/>
      <c r="H967" s="65"/>
      <c r="I967" s="65"/>
      <c r="J967" s="65"/>
      <c r="K967" s="65"/>
      <c r="L967" s="65"/>
      <c r="M967" s="65"/>
      <c r="N967" s="65"/>
      <c r="O967" s="65"/>
      <c r="P967" s="14"/>
      <c r="Q967" s="14"/>
      <c r="R967" s="14"/>
      <c r="S967" s="14"/>
      <c r="T967" s="14"/>
      <c r="U967" s="14"/>
      <c r="V967" s="14"/>
      <c r="W967" s="14"/>
      <c r="X967" s="14"/>
      <c r="Y967" s="14"/>
      <c r="Z967" s="14"/>
      <c r="AA967" s="14"/>
    </row>
    <row r="968">
      <c r="A968" s="65"/>
      <c r="B968" s="65"/>
      <c r="C968" s="14"/>
      <c r="D968" s="14"/>
      <c r="E968" s="14"/>
      <c r="F968" s="65"/>
      <c r="G968" s="65"/>
      <c r="H968" s="65"/>
      <c r="I968" s="65"/>
      <c r="J968" s="65"/>
      <c r="K968" s="65"/>
      <c r="L968" s="65"/>
      <c r="M968" s="65"/>
      <c r="N968" s="65"/>
      <c r="O968" s="65"/>
      <c r="P968" s="14"/>
      <c r="Q968" s="14"/>
      <c r="R968" s="14"/>
      <c r="S968" s="14"/>
      <c r="T968" s="14"/>
      <c r="U968" s="14"/>
      <c r="V968" s="14"/>
      <c r="W968" s="14"/>
      <c r="X968" s="14"/>
      <c r="Y968" s="14"/>
      <c r="Z968" s="14"/>
      <c r="AA968" s="14"/>
    </row>
    <row r="969">
      <c r="A969" s="65"/>
      <c r="B969" s="65"/>
      <c r="C969" s="14"/>
      <c r="D969" s="14"/>
      <c r="E969" s="14"/>
      <c r="F969" s="65"/>
      <c r="G969" s="65"/>
      <c r="H969" s="65"/>
      <c r="I969" s="65"/>
      <c r="J969" s="65"/>
      <c r="K969" s="65"/>
      <c r="L969" s="65"/>
      <c r="M969" s="65"/>
      <c r="N969" s="65"/>
      <c r="O969" s="65"/>
      <c r="P969" s="14"/>
      <c r="Q969" s="14"/>
      <c r="R969" s="14"/>
      <c r="S969" s="14"/>
      <c r="T969" s="14"/>
      <c r="U969" s="14"/>
      <c r="V969" s="14"/>
      <c r="W969" s="14"/>
      <c r="X969" s="14"/>
      <c r="Y969" s="14"/>
      <c r="Z969" s="14"/>
      <c r="AA969" s="14"/>
    </row>
    <row r="970">
      <c r="A970" s="65"/>
      <c r="B970" s="65"/>
      <c r="C970" s="14"/>
      <c r="D970" s="14"/>
      <c r="E970" s="14"/>
      <c r="F970" s="65"/>
      <c r="G970" s="65"/>
      <c r="H970" s="65"/>
      <c r="I970" s="65"/>
      <c r="J970" s="65"/>
      <c r="K970" s="65"/>
      <c r="L970" s="65"/>
      <c r="M970" s="65"/>
      <c r="N970" s="65"/>
      <c r="O970" s="65"/>
      <c r="P970" s="14"/>
      <c r="Q970" s="14"/>
      <c r="R970" s="14"/>
      <c r="S970" s="14"/>
      <c r="T970" s="14"/>
      <c r="U970" s="14"/>
      <c r="V970" s="14"/>
      <c r="W970" s="14"/>
      <c r="X970" s="14"/>
      <c r="Y970" s="14"/>
      <c r="Z970" s="14"/>
      <c r="AA970" s="14"/>
    </row>
    <row r="971">
      <c r="A971" s="65"/>
      <c r="B971" s="65"/>
      <c r="C971" s="14"/>
      <c r="D971" s="14"/>
      <c r="E971" s="14"/>
      <c r="F971" s="65"/>
      <c r="G971" s="65"/>
      <c r="H971" s="65"/>
      <c r="I971" s="65"/>
      <c r="J971" s="65"/>
      <c r="K971" s="65"/>
      <c r="L971" s="65"/>
      <c r="M971" s="65"/>
      <c r="N971" s="65"/>
      <c r="O971" s="65"/>
      <c r="P971" s="14"/>
      <c r="Q971" s="14"/>
      <c r="R971" s="14"/>
      <c r="S971" s="14"/>
      <c r="T971" s="14"/>
      <c r="U971" s="14"/>
      <c r="V971" s="14"/>
      <c r="W971" s="14"/>
      <c r="X971" s="14"/>
      <c r="Y971" s="14"/>
      <c r="Z971" s="14"/>
      <c r="AA971" s="14"/>
    </row>
    <row r="972">
      <c r="A972" s="65"/>
      <c r="B972" s="65"/>
      <c r="C972" s="14"/>
      <c r="D972" s="14"/>
      <c r="E972" s="14"/>
      <c r="F972" s="65"/>
      <c r="G972" s="65"/>
      <c r="H972" s="65"/>
      <c r="I972" s="65"/>
      <c r="J972" s="65"/>
      <c r="K972" s="65"/>
      <c r="L972" s="65"/>
      <c r="M972" s="65"/>
      <c r="N972" s="65"/>
      <c r="O972" s="65"/>
      <c r="P972" s="14"/>
      <c r="Q972" s="14"/>
      <c r="R972" s="14"/>
      <c r="S972" s="14"/>
      <c r="T972" s="14"/>
      <c r="U972" s="14"/>
      <c r="V972" s="14"/>
      <c r="W972" s="14"/>
      <c r="X972" s="14"/>
      <c r="Y972" s="14"/>
      <c r="Z972" s="14"/>
      <c r="AA972" s="14"/>
    </row>
    <row r="973">
      <c r="A973" s="65"/>
      <c r="B973" s="65"/>
      <c r="C973" s="14"/>
      <c r="D973" s="14"/>
      <c r="E973" s="14"/>
      <c r="F973" s="65"/>
      <c r="G973" s="65"/>
      <c r="H973" s="65"/>
      <c r="I973" s="65"/>
      <c r="J973" s="65"/>
      <c r="K973" s="65"/>
      <c r="L973" s="65"/>
      <c r="M973" s="65"/>
      <c r="N973" s="65"/>
      <c r="O973" s="65"/>
      <c r="P973" s="14"/>
      <c r="Q973" s="14"/>
      <c r="R973" s="14"/>
      <c r="S973" s="14"/>
      <c r="T973" s="14"/>
      <c r="U973" s="14"/>
      <c r="V973" s="14"/>
      <c r="W973" s="14"/>
      <c r="X973" s="14"/>
      <c r="Y973" s="14"/>
      <c r="Z973" s="14"/>
      <c r="AA973" s="14"/>
    </row>
    <row r="974">
      <c r="A974" s="65"/>
      <c r="B974" s="65"/>
      <c r="C974" s="14"/>
      <c r="D974" s="14"/>
      <c r="E974" s="14"/>
      <c r="F974" s="65"/>
      <c r="G974" s="65"/>
      <c r="H974" s="65"/>
      <c r="I974" s="65"/>
      <c r="J974" s="65"/>
      <c r="K974" s="65"/>
      <c r="L974" s="65"/>
      <c r="M974" s="65"/>
      <c r="N974" s="65"/>
      <c r="O974" s="65"/>
      <c r="P974" s="14"/>
      <c r="Q974" s="14"/>
      <c r="R974" s="14"/>
      <c r="S974" s="14"/>
      <c r="T974" s="14"/>
      <c r="U974" s="14"/>
      <c r="V974" s="14"/>
      <c r="W974" s="14"/>
      <c r="X974" s="14"/>
      <c r="Y974" s="14"/>
      <c r="Z974" s="14"/>
      <c r="AA974" s="14"/>
    </row>
    <row r="975">
      <c r="A975" s="65"/>
      <c r="B975" s="65"/>
      <c r="C975" s="14"/>
      <c r="D975" s="14"/>
      <c r="E975" s="14"/>
      <c r="F975" s="65"/>
      <c r="G975" s="65"/>
      <c r="H975" s="65"/>
      <c r="I975" s="65"/>
      <c r="J975" s="65"/>
      <c r="K975" s="65"/>
      <c r="L975" s="65"/>
      <c r="M975" s="65"/>
      <c r="N975" s="65"/>
      <c r="O975" s="65"/>
      <c r="P975" s="14"/>
      <c r="Q975" s="14"/>
      <c r="R975" s="14"/>
      <c r="S975" s="14"/>
      <c r="T975" s="14"/>
      <c r="U975" s="14"/>
      <c r="V975" s="14"/>
      <c r="W975" s="14"/>
      <c r="X975" s="14"/>
      <c r="Y975" s="14"/>
      <c r="Z975" s="14"/>
      <c r="AA975" s="14"/>
    </row>
    <row r="976">
      <c r="A976" s="65"/>
      <c r="B976" s="65"/>
      <c r="C976" s="14"/>
      <c r="D976" s="14"/>
      <c r="E976" s="14"/>
      <c r="F976" s="65"/>
      <c r="G976" s="65"/>
      <c r="H976" s="65"/>
      <c r="I976" s="65"/>
      <c r="J976" s="65"/>
      <c r="K976" s="65"/>
      <c r="L976" s="65"/>
      <c r="M976" s="65"/>
      <c r="N976" s="65"/>
      <c r="O976" s="65"/>
      <c r="P976" s="14"/>
      <c r="Q976" s="14"/>
      <c r="R976" s="14"/>
      <c r="S976" s="14"/>
      <c r="T976" s="14"/>
      <c r="U976" s="14"/>
      <c r="V976" s="14"/>
      <c r="W976" s="14"/>
      <c r="X976" s="14"/>
      <c r="Y976" s="14"/>
      <c r="Z976" s="14"/>
      <c r="AA976" s="14"/>
    </row>
    <row r="977">
      <c r="A977" s="65"/>
      <c r="B977" s="65"/>
      <c r="C977" s="14"/>
      <c r="D977" s="14"/>
      <c r="E977" s="14"/>
      <c r="F977" s="65"/>
      <c r="G977" s="65"/>
      <c r="H977" s="65"/>
      <c r="I977" s="65"/>
      <c r="J977" s="65"/>
      <c r="K977" s="65"/>
      <c r="L977" s="65"/>
      <c r="M977" s="65"/>
      <c r="N977" s="65"/>
      <c r="O977" s="65"/>
      <c r="P977" s="14"/>
      <c r="Q977" s="14"/>
      <c r="R977" s="14"/>
      <c r="S977" s="14"/>
      <c r="T977" s="14"/>
      <c r="U977" s="14"/>
      <c r="V977" s="14"/>
      <c r="W977" s="14"/>
      <c r="X977" s="14"/>
      <c r="Y977" s="14"/>
      <c r="Z977" s="14"/>
      <c r="AA977" s="14"/>
    </row>
    <row r="978">
      <c r="A978" s="65"/>
      <c r="B978" s="65"/>
      <c r="C978" s="14"/>
      <c r="D978" s="14"/>
      <c r="E978" s="14"/>
      <c r="F978" s="65"/>
      <c r="G978" s="65"/>
      <c r="H978" s="65"/>
      <c r="I978" s="65"/>
      <c r="J978" s="65"/>
      <c r="K978" s="65"/>
      <c r="L978" s="65"/>
      <c r="M978" s="65"/>
      <c r="N978" s="65"/>
      <c r="O978" s="65"/>
      <c r="P978" s="14"/>
      <c r="Q978" s="14"/>
      <c r="R978" s="14"/>
      <c r="S978" s="14"/>
      <c r="T978" s="14"/>
      <c r="U978" s="14"/>
      <c r="V978" s="14"/>
      <c r="W978" s="14"/>
      <c r="X978" s="14"/>
      <c r="Y978" s="14"/>
      <c r="Z978" s="14"/>
      <c r="AA978" s="14"/>
    </row>
    <row r="979">
      <c r="A979" s="65"/>
      <c r="B979" s="65"/>
      <c r="C979" s="14"/>
      <c r="D979" s="14"/>
      <c r="E979" s="14"/>
      <c r="F979" s="65"/>
      <c r="G979" s="65"/>
      <c r="H979" s="65"/>
      <c r="I979" s="65"/>
      <c r="J979" s="65"/>
      <c r="K979" s="65"/>
      <c r="L979" s="65"/>
      <c r="M979" s="65"/>
      <c r="N979" s="65"/>
      <c r="O979" s="65"/>
      <c r="P979" s="14"/>
      <c r="Q979" s="14"/>
      <c r="R979" s="14"/>
      <c r="S979" s="14"/>
      <c r="T979" s="14"/>
      <c r="U979" s="14"/>
      <c r="V979" s="14"/>
      <c r="W979" s="14"/>
      <c r="X979" s="14"/>
      <c r="Y979" s="14"/>
      <c r="Z979" s="14"/>
      <c r="AA979" s="14"/>
    </row>
    <row r="980">
      <c r="A980" s="65"/>
      <c r="B980" s="65"/>
      <c r="C980" s="14"/>
      <c r="D980" s="14"/>
      <c r="E980" s="14"/>
      <c r="F980" s="65"/>
      <c r="G980" s="65"/>
      <c r="H980" s="65"/>
      <c r="I980" s="65"/>
      <c r="J980" s="65"/>
      <c r="K980" s="65"/>
      <c r="L980" s="65"/>
      <c r="M980" s="65"/>
      <c r="N980" s="65"/>
      <c r="O980" s="65"/>
      <c r="P980" s="14"/>
      <c r="Q980" s="14"/>
      <c r="R980" s="14"/>
      <c r="S980" s="14"/>
      <c r="T980" s="14"/>
      <c r="U980" s="14"/>
      <c r="V980" s="14"/>
      <c r="W980" s="14"/>
      <c r="X980" s="14"/>
      <c r="Y980" s="14"/>
      <c r="Z980" s="14"/>
      <c r="AA980" s="14"/>
    </row>
    <row r="981">
      <c r="A981" s="65"/>
      <c r="B981" s="65"/>
      <c r="C981" s="14"/>
      <c r="D981" s="14"/>
      <c r="E981" s="14"/>
      <c r="F981" s="65"/>
      <c r="G981" s="65"/>
      <c r="H981" s="65"/>
      <c r="I981" s="65"/>
      <c r="J981" s="65"/>
      <c r="K981" s="65"/>
      <c r="L981" s="65"/>
      <c r="M981" s="65"/>
      <c r="N981" s="65"/>
      <c r="O981" s="65"/>
      <c r="P981" s="14"/>
      <c r="Q981" s="14"/>
      <c r="R981" s="14"/>
      <c r="S981" s="14"/>
      <c r="T981" s="14"/>
      <c r="U981" s="14"/>
      <c r="V981" s="14"/>
      <c r="W981" s="14"/>
      <c r="X981" s="14"/>
      <c r="Y981" s="14"/>
      <c r="Z981" s="14"/>
      <c r="AA981" s="14"/>
    </row>
    <row r="982">
      <c r="A982" s="65"/>
      <c r="B982" s="65"/>
      <c r="C982" s="14"/>
      <c r="D982" s="14"/>
      <c r="E982" s="14"/>
      <c r="F982" s="65"/>
      <c r="G982" s="65"/>
      <c r="H982" s="65"/>
      <c r="I982" s="65"/>
      <c r="J982" s="65"/>
      <c r="K982" s="65"/>
      <c r="L982" s="65"/>
      <c r="M982" s="65"/>
      <c r="N982" s="65"/>
      <c r="O982" s="65"/>
      <c r="P982" s="14"/>
      <c r="Q982" s="14"/>
      <c r="R982" s="14"/>
      <c r="S982" s="14"/>
      <c r="T982" s="14"/>
      <c r="U982" s="14"/>
      <c r="V982" s="14"/>
      <c r="W982" s="14"/>
      <c r="X982" s="14"/>
      <c r="Y982" s="14"/>
      <c r="Z982" s="14"/>
      <c r="AA982" s="14"/>
    </row>
    <row r="983">
      <c r="A983" s="65"/>
      <c r="B983" s="65"/>
      <c r="C983" s="14"/>
      <c r="D983" s="14"/>
      <c r="E983" s="14"/>
      <c r="F983" s="65"/>
      <c r="G983" s="65"/>
      <c r="H983" s="65"/>
      <c r="I983" s="65"/>
      <c r="J983" s="65"/>
      <c r="K983" s="65"/>
      <c r="L983" s="65"/>
      <c r="M983" s="65"/>
      <c r="N983" s="65"/>
      <c r="O983" s="65"/>
      <c r="P983" s="14"/>
      <c r="Q983" s="14"/>
      <c r="R983" s="14"/>
      <c r="S983" s="14"/>
      <c r="T983" s="14"/>
      <c r="U983" s="14"/>
      <c r="V983" s="14"/>
      <c r="W983" s="14"/>
      <c r="X983" s="14"/>
      <c r="Y983" s="14"/>
      <c r="Z983" s="14"/>
      <c r="AA983" s="14"/>
    </row>
    <row r="984">
      <c r="A984" s="65"/>
      <c r="B984" s="65"/>
      <c r="C984" s="14"/>
      <c r="D984" s="14"/>
      <c r="E984" s="14"/>
      <c r="F984" s="65"/>
      <c r="G984" s="65"/>
      <c r="H984" s="65"/>
      <c r="I984" s="65"/>
      <c r="J984" s="65"/>
      <c r="K984" s="65"/>
      <c r="L984" s="65"/>
      <c r="M984" s="65"/>
      <c r="N984" s="65"/>
      <c r="O984" s="65"/>
      <c r="P984" s="14"/>
      <c r="Q984" s="14"/>
      <c r="R984" s="14"/>
      <c r="S984" s="14"/>
      <c r="T984" s="14"/>
      <c r="U984" s="14"/>
      <c r="V984" s="14"/>
      <c r="W984" s="14"/>
      <c r="X984" s="14"/>
      <c r="Y984" s="14"/>
      <c r="Z984" s="14"/>
      <c r="AA984" s="14"/>
    </row>
    <row r="985">
      <c r="A985" s="65"/>
      <c r="B985" s="65"/>
      <c r="C985" s="14"/>
      <c r="D985" s="14"/>
      <c r="E985" s="14"/>
      <c r="F985" s="65"/>
      <c r="G985" s="65"/>
      <c r="H985" s="65"/>
      <c r="I985" s="65"/>
      <c r="J985" s="65"/>
      <c r="K985" s="65"/>
      <c r="L985" s="65"/>
      <c r="M985" s="65"/>
      <c r="N985" s="65"/>
      <c r="O985" s="65"/>
      <c r="P985" s="14"/>
      <c r="Q985" s="14"/>
      <c r="R985" s="14"/>
      <c r="S985" s="14"/>
      <c r="T985" s="14"/>
      <c r="U985" s="14"/>
      <c r="V985" s="14"/>
      <c r="W985" s="14"/>
      <c r="X985" s="14"/>
      <c r="Y985" s="14"/>
      <c r="Z985" s="14"/>
      <c r="AA985" s="14"/>
    </row>
    <row r="986">
      <c r="A986" s="65"/>
      <c r="B986" s="65"/>
      <c r="C986" s="14"/>
      <c r="D986" s="14"/>
      <c r="E986" s="14"/>
      <c r="F986" s="65"/>
      <c r="G986" s="65"/>
      <c r="H986" s="65"/>
      <c r="I986" s="65"/>
      <c r="J986" s="65"/>
      <c r="K986" s="65"/>
      <c r="L986" s="65"/>
      <c r="M986" s="65"/>
      <c r="N986" s="65"/>
      <c r="O986" s="65"/>
      <c r="P986" s="14"/>
      <c r="Q986" s="14"/>
      <c r="R986" s="14"/>
      <c r="S986" s="14"/>
      <c r="T986" s="14"/>
      <c r="U986" s="14"/>
      <c r="V986" s="14"/>
      <c r="W986" s="14"/>
      <c r="X986" s="14"/>
      <c r="Y986" s="14"/>
      <c r="Z986" s="14"/>
      <c r="AA986" s="14"/>
    </row>
    <row r="987">
      <c r="A987" s="65"/>
      <c r="B987" s="65"/>
      <c r="C987" s="14"/>
      <c r="D987" s="14"/>
      <c r="E987" s="14"/>
      <c r="F987" s="65"/>
      <c r="G987" s="65"/>
      <c r="H987" s="65"/>
      <c r="I987" s="65"/>
      <c r="J987" s="65"/>
      <c r="K987" s="65"/>
      <c r="L987" s="65"/>
      <c r="M987" s="65"/>
      <c r="N987" s="65"/>
      <c r="O987" s="65"/>
      <c r="P987" s="14"/>
      <c r="Q987" s="14"/>
      <c r="R987" s="14"/>
      <c r="S987" s="14"/>
      <c r="T987" s="14"/>
      <c r="U987" s="14"/>
      <c r="V987" s="14"/>
      <c r="W987" s="14"/>
      <c r="X987" s="14"/>
      <c r="Y987" s="14"/>
      <c r="Z987" s="14"/>
      <c r="AA987" s="14"/>
    </row>
    <row r="988">
      <c r="A988" s="65"/>
      <c r="B988" s="65"/>
      <c r="C988" s="14"/>
      <c r="D988" s="14"/>
      <c r="E988" s="14"/>
      <c r="F988" s="65"/>
      <c r="G988" s="65"/>
      <c r="H988" s="65"/>
      <c r="I988" s="65"/>
      <c r="J988" s="65"/>
      <c r="K988" s="65"/>
      <c r="L988" s="65"/>
      <c r="M988" s="65"/>
      <c r="N988" s="65"/>
      <c r="O988" s="65"/>
      <c r="P988" s="14"/>
      <c r="Q988" s="14"/>
      <c r="R988" s="14"/>
      <c r="S988" s="14"/>
      <c r="T988" s="14"/>
      <c r="U988" s="14"/>
      <c r="V988" s="14"/>
      <c r="W988" s="14"/>
      <c r="X988" s="14"/>
      <c r="Y988" s="14"/>
      <c r="Z988" s="14"/>
      <c r="AA988" s="14"/>
    </row>
    <row r="989">
      <c r="A989" s="65"/>
      <c r="B989" s="65"/>
      <c r="C989" s="14"/>
      <c r="D989" s="14"/>
      <c r="E989" s="14"/>
      <c r="F989" s="65"/>
      <c r="G989" s="65"/>
      <c r="H989" s="65"/>
      <c r="I989" s="65"/>
      <c r="J989" s="65"/>
      <c r="K989" s="65"/>
      <c r="L989" s="65"/>
      <c r="M989" s="65"/>
      <c r="N989" s="65"/>
      <c r="O989" s="65"/>
      <c r="P989" s="14"/>
      <c r="Q989" s="14"/>
      <c r="R989" s="14"/>
      <c r="S989" s="14"/>
      <c r="T989" s="14"/>
      <c r="U989" s="14"/>
      <c r="V989" s="14"/>
      <c r="W989" s="14"/>
      <c r="X989" s="14"/>
      <c r="Y989" s="14"/>
      <c r="Z989" s="14"/>
      <c r="AA989" s="14"/>
    </row>
    <row r="990">
      <c r="A990" s="65"/>
      <c r="B990" s="65"/>
      <c r="C990" s="14"/>
      <c r="D990" s="14"/>
      <c r="E990" s="14"/>
      <c r="F990" s="65"/>
      <c r="G990" s="65"/>
      <c r="H990" s="65"/>
      <c r="I990" s="65"/>
      <c r="J990" s="65"/>
      <c r="K990" s="65"/>
      <c r="L990" s="65"/>
      <c r="M990" s="65"/>
      <c r="N990" s="65"/>
      <c r="O990" s="65"/>
      <c r="P990" s="14"/>
      <c r="Q990" s="14"/>
      <c r="R990" s="14"/>
      <c r="S990" s="14"/>
      <c r="T990" s="14"/>
      <c r="U990" s="14"/>
      <c r="V990" s="14"/>
      <c r="W990" s="14"/>
      <c r="X990" s="14"/>
      <c r="Y990" s="14"/>
      <c r="Z990" s="14"/>
      <c r="AA990" s="14"/>
    </row>
    <row r="991">
      <c r="A991" s="65"/>
      <c r="B991" s="65"/>
      <c r="C991" s="14"/>
      <c r="D991" s="14"/>
      <c r="E991" s="14"/>
      <c r="F991" s="65"/>
      <c r="G991" s="65"/>
      <c r="H991" s="65"/>
      <c r="I991" s="65"/>
      <c r="J991" s="65"/>
      <c r="K991" s="65"/>
      <c r="L991" s="65"/>
      <c r="M991" s="65"/>
      <c r="N991" s="65"/>
      <c r="O991" s="65"/>
      <c r="P991" s="14"/>
      <c r="Q991" s="14"/>
      <c r="R991" s="14"/>
      <c r="S991" s="14"/>
      <c r="T991" s="14"/>
      <c r="U991" s="14"/>
      <c r="V991" s="14"/>
      <c r="W991" s="14"/>
      <c r="X991" s="14"/>
      <c r="Y991" s="14"/>
      <c r="Z991" s="14"/>
      <c r="AA991" s="14"/>
    </row>
    <row r="992">
      <c r="A992" s="65"/>
      <c r="B992" s="65"/>
      <c r="C992" s="14"/>
      <c r="D992" s="14"/>
      <c r="E992" s="14"/>
      <c r="F992" s="65"/>
      <c r="G992" s="65"/>
      <c r="H992" s="65"/>
      <c r="I992" s="65"/>
      <c r="J992" s="65"/>
      <c r="K992" s="65"/>
      <c r="L992" s="65"/>
      <c r="M992" s="65"/>
      <c r="N992" s="65"/>
      <c r="O992" s="65"/>
      <c r="P992" s="14"/>
      <c r="Q992" s="14"/>
      <c r="R992" s="14"/>
      <c r="S992" s="14"/>
      <c r="T992" s="14"/>
      <c r="U992" s="14"/>
      <c r="V992" s="14"/>
      <c r="W992" s="14"/>
      <c r="X992" s="14"/>
      <c r="Y992" s="14"/>
      <c r="Z992" s="14"/>
      <c r="AA992" s="14"/>
    </row>
    <row r="993">
      <c r="A993" s="65"/>
      <c r="B993" s="65"/>
      <c r="C993" s="14"/>
      <c r="D993" s="14"/>
      <c r="E993" s="14"/>
      <c r="F993" s="65"/>
      <c r="G993" s="65"/>
      <c r="H993" s="65"/>
      <c r="I993" s="65"/>
      <c r="J993" s="65"/>
      <c r="K993" s="65"/>
      <c r="L993" s="65"/>
      <c r="M993" s="65"/>
      <c r="N993" s="65"/>
      <c r="O993" s="65"/>
      <c r="P993" s="14"/>
      <c r="Q993" s="14"/>
      <c r="R993" s="14"/>
      <c r="S993" s="14"/>
      <c r="T993" s="14"/>
      <c r="U993" s="14"/>
      <c r="V993" s="14"/>
      <c r="W993" s="14"/>
      <c r="X993" s="14"/>
      <c r="Y993" s="14"/>
      <c r="Z993" s="14"/>
      <c r="AA993" s="14"/>
    </row>
    <row r="994">
      <c r="A994" s="65"/>
      <c r="B994" s="65"/>
      <c r="C994" s="14"/>
      <c r="D994" s="14"/>
      <c r="E994" s="14"/>
      <c r="F994" s="65"/>
      <c r="G994" s="65"/>
      <c r="H994" s="65"/>
      <c r="I994" s="65"/>
      <c r="J994" s="65"/>
      <c r="K994" s="65"/>
      <c r="L994" s="65"/>
      <c r="M994" s="65"/>
      <c r="N994" s="65"/>
      <c r="O994" s="65"/>
      <c r="P994" s="14"/>
      <c r="Q994" s="14"/>
      <c r="R994" s="14"/>
      <c r="S994" s="14"/>
      <c r="T994" s="14"/>
      <c r="U994" s="14"/>
      <c r="V994" s="14"/>
      <c r="W994" s="14"/>
      <c r="X994" s="14"/>
      <c r="Y994" s="14"/>
      <c r="Z994" s="14"/>
      <c r="AA994" s="14"/>
    </row>
    <row r="995">
      <c r="A995" s="65"/>
      <c r="B995" s="65"/>
      <c r="C995" s="14"/>
      <c r="D995" s="14"/>
      <c r="E995" s="14"/>
      <c r="F995" s="65"/>
      <c r="G995" s="65"/>
      <c r="H995" s="65"/>
      <c r="I995" s="65"/>
      <c r="J995" s="65"/>
      <c r="K995" s="65"/>
      <c r="L995" s="65"/>
      <c r="M995" s="65"/>
      <c r="N995" s="65"/>
      <c r="O995" s="65"/>
      <c r="P995" s="14"/>
      <c r="Q995" s="14"/>
      <c r="R995" s="14"/>
      <c r="S995" s="14"/>
      <c r="T995" s="14"/>
      <c r="U995" s="14"/>
      <c r="V995" s="14"/>
      <c r="W995" s="14"/>
      <c r="X995" s="14"/>
      <c r="Y995" s="14"/>
      <c r="Z995" s="14"/>
      <c r="AA995" s="14"/>
    </row>
    <row r="996">
      <c r="A996" s="65"/>
      <c r="B996" s="65"/>
      <c r="C996" s="14"/>
      <c r="D996" s="14"/>
      <c r="E996" s="14"/>
      <c r="F996" s="65"/>
      <c r="G996" s="65"/>
      <c r="H996" s="65"/>
      <c r="I996" s="65"/>
      <c r="J996" s="65"/>
      <c r="K996" s="65"/>
      <c r="L996" s="65"/>
      <c r="M996" s="65"/>
      <c r="N996" s="65"/>
      <c r="O996" s="65"/>
      <c r="P996" s="14"/>
      <c r="Q996" s="14"/>
      <c r="R996" s="14"/>
      <c r="S996" s="14"/>
      <c r="T996" s="14"/>
      <c r="U996" s="14"/>
      <c r="V996" s="14"/>
      <c r="W996" s="14"/>
      <c r="X996" s="14"/>
      <c r="Y996" s="14"/>
      <c r="Z996" s="14"/>
      <c r="AA996" s="14"/>
    </row>
    <row r="997">
      <c r="A997" s="65"/>
      <c r="B997" s="65"/>
      <c r="C997" s="14"/>
      <c r="D997" s="14"/>
      <c r="E997" s="14"/>
      <c r="F997" s="65"/>
      <c r="G997" s="65"/>
      <c r="H997" s="65"/>
      <c r="I997" s="65"/>
      <c r="J997" s="65"/>
      <c r="K997" s="65"/>
      <c r="L997" s="65"/>
      <c r="M997" s="65"/>
      <c r="N997" s="65"/>
      <c r="O997" s="65"/>
      <c r="P997" s="14"/>
      <c r="Q997" s="14"/>
      <c r="R997" s="14"/>
      <c r="S997" s="14"/>
      <c r="T997" s="14"/>
      <c r="U997" s="14"/>
      <c r="V997" s="14"/>
      <c r="W997" s="14"/>
      <c r="X997" s="14"/>
      <c r="Y997" s="14"/>
      <c r="Z997" s="14"/>
      <c r="AA997" s="14"/>
    </row>
    <row r="998">
      <c r="A998" s="65"/>
      <c r="B998" s="65"/>
      <c r="C998" s="14"/>
      <c r="D998" s="14"/>
      <c r="E998" s="14"/>
      <c r="F998" s="65"/>
      <c r="G998" s="65"/>
      <c r="H998" s="65"/>
      <c r="I998" s="65"/>
      <c r="J998" s="65"/>
      <c r="K998" s="65"/>
      <c r="L998" s="65"/>
      <c r="M998" s="65"/>
      <c r="N998" s="65"/>
      <c r="O998" s="65"/>
      <c r="P998" s="14"/>
      <c r="Q998" s="14"/>
      <c r="R998" s="14"/>
      <c r="S998" s="14"/>
      <c r="T998" s="14"/>
      <c r="U998" s="14"/>
      <c r="V998" s="14"/>
      <c r="W998" s="14"/>
      <c r="X998" s="14"/>
      <c r="Y998" s="14"/>
      <c r="Z998" s="14"/>
      <c r="AA998" s="14"/>
    </row>
    <row r="999">
      <c r="A999" s="65"/>
      <c r="B999" s="65"/>
      <c r="C999" s="14"/>
      <c r="D999" s="14"/>
      <c r="E999" s="14"/>
      <c r="F999" s="65"/>
      <c r="G999" s="65"/>
      <c r="H999" s="65"/>
      <c r="I999" s="65"/>
      <c r="J999" s="65"/>
      <c r="K999" s="65"/>
      <c r="L999" s="65"/>
      <c r="M999" s="65"/>
      <c r="N999" s="65"/>
      <c r="O999" s="65"/>
      <c r="P999" s="14"/>
      <c r="Q999" s="14"/>
      <c r="R999" s="14"/>
      <c r="S999" s="14"/>
      <c r="T999" s="14"/>
      <c r="U999" s="14"/>
      <c r="V999" s="14"/>
      <c r="W999" s="14"/>
      <c r="X999" s="14"/>
      <c r="Y999" s="14"/>
      <c r="Z999" s="14"/>
      <c r="AA999" s="14"/>
    </row>
    <row r="1000">
      <c r="A1000" s="65"/>
      <c r="B1000" s="65"/>
      <c r="C1000" s="14"/>
      <c r="D1000" s="14"/>
      <c r="E1000" s="14"/>
      <c r="F1000" s="65"/>
      <c r="G1000" s="65"/>
      <c r="H1000" s="65"/>
      <c r="I1000" s="65"/>
      <c r="J1000" s="65"/>
      <c r="K1000" s="65"/>
      <c r="L1000" s="65"/>
      <c r="M1000" s="65"/>
      <c r="N1000" s="65"/>
      <c r="O1000" s="65"/>
      <c r="P1000" s="14"/>
      <c r="Q1000" s="14"/>
      <c r="R1000" s="14"/>
      <c r="S1000" s="14"/>
      <c r="T1000" s="14"/>
      <c r="U1000" s="14"/>
      <c r="V1000" s="14"/>
      <c r="W1000" s="14"/>
      <c r="X1000" s="14"/>
      <c r="Y1000" s="14"/>
      <c r="Z1000" s="14"/>
      <c r="AA1000" s="14"/>
    </row>
  </sheetData>
  <mergeCells count="2">
    <mergeCell ref="D19:F19"/>
    <mergeCell ref="D20:E20"/>
  </mergeCells>
  <conditionalFormatting sqref="D3">
    <cfRule type="expression" dxfId="0" priority="1">
      <formula>(C3=TRUE)</formula>
    </cfRule>
  </conditionalFormatting>
  <conditionalFormatting sqref="D6">
    <cfRule type="expression" dxfId="0" priority="2">
      <formula>(C6=TRUE)</formula>
    </cfRule>
  </conditionalFormatting>
  <conditionalFormatting sqref="E11">
    <cfRule type="expression" dxfId="0" priority="3">
      <formula>(C6=TRUE)</formula>
    </cfRule>
  </conditionalFormatting>
  <conditionalFormatting sqref="F6">
    <cfRule type="expression" dxfId="0" priority="4">
      <formula>(C6=TRUE)</formula>
    </cfRule>
  </conditionalFormatting>
  <conditionalFormatting sqref="N6 P6">
    <cfRule type="expression" dxfId="0" priority="5">
      <formula>(C6=TRUE)</formula>
    </cfRule>
  </conditionalFormatting>
  <conditionalFormatting sqref="H6">
    <cfRule type="expression" dxfId="0" priority="6">
      <formula>(C6=TRUE)</formula>
    </cfRule>
  </conditionalFormatting>
  <conditionalFormatting sqref="J6">
    <cfRule type="expression" dxfId="0" priority="7">
      <formula>(C6=TRUE)</formula>
    </cfRule>
  </conditionalFormatting>
  <conditionalFormatting sqref="L5:L6">
    <cfRule type="expression" dxfId="0" priority="8">
      <formula>(C5=TRUE)</formula>
    </cfRule>
  </conditionalFormatting>
  <conditionalFormatting sqref="G11">
    <cfRule type="expression" dxfId="0" priority="9">
      <formula>(C6=TRUE)</formula>
    </cfRule>
  </conditionalFormatting>
  <conditionalFormatting sqref="I11">
    <cfRule type="expression" dxfId="0" priority="10">
      <formula>(C6=TRUE)</formula>
    </cfRule>
  </conditionalFormatting>
  <conditionalFormatting sqref="K11">
    <cfRule type="expression" dxfId="0" priority="11">
      <formula>(C6=TRUE)</formula>
    </cfRule>
  </conditionalFormatting>
  <conditionalFormatting sqref="M11">
    <cfRule type="expression" dxfId="0" priority="12">
      <formula>(C6=TRUE)</formula>
    </cfRule>
  </conditionalFormatting>
  <conditionalFormatting sqref="O11 Q11">
    <cfRule type="expression" dxfId="0" priority="13">
      <formula>(C6=TRUE)</formula>
    </cfRule>
  </conditionalFormatting>
  <conditionalFormatting sqref="E14">
    <cfRule type="expression" dxfId="0" priority="14">
      <formula>(C3=TRUE)</formula>
    </cfRule>
  </conditionalFormatting>
  <conditionalFormatting sqref="F3 G14 H3 I14">
    <cfRule type="expression" dxfId="0" priority="15">
      <formula>($C$3=TRUE)</formula>
    </cfRule>
  </conditionalFormatting>
  <conditionalFormatting sqref="J3 L3 N3 P3 K14 M14 O14 Q14">
    <cfRule type="expression" dxfId="0" priority="16">
      <formula>($C$3=TRUE)</formula>
    </cfRule>
  </conditionalFormatting>
  <conditionalFormatting sqref="D4 F4 H4 J4 L4 N4 P4 E13 G13 I13 K13 M13 O13 Q13">
    <cfRule type="expression" dxfId="0" priority="17">
      <formula>($C$4=TRUE)</formula>
    </cfRule>
  </conditionalFormatting>
  <conditionalFormatting sqref="L4:L5 D5 F5 H5 J5 N5 P5 E12 G12 I12 K12 M12 O12 Q12">
    <cfRule type="expression" dxfId="1" priority="18">
      <formula>($C$5=TRUE)</formula>
    </cfRule>
  </conditionalFormatting>
  <conditionalFormatting sqref="L6:L7 D7 F7 H7 J7 N7 P7 E10 G10 I10 K10 M10 O10 Q10">
    <cfRule type="expression" dxfId="0" priority="19">
      <formula>($C$7=TRUE)</formula>
    </cfRule>
  </conditionalFormatting>
  <conditionalFormatting sqref="L7:L8 D8 F8 H8 J8 N8 P8 E9 G9 I9 K9 M9 O9 Q9">
    <cfRule type="expression" dxfId="0" priority="20">
      <formula>($C$8=TRUE)</formula>
    </cfRule>
  </conditionalFormatting>
  <conditionalFormatting sqref="O7:O8 E8 G8 I8 K8 L8:L9 M8 Q8 D9 F9 H9 J9 N9 P9">
    <cfRule type="expression" dxfId="1" priority="21">
      <formula>($C$9=TRUE)</formula>
    </cfRule>
  </conditionalFormatting>
  <conditionalFormatting sqref="O6:O7 E7 G7 I7 K7 M7 Q7 L9:L10 D10 F10 H10 J10 N10 P10">
    <cfRule type="expression" dxfId="0" priority="22">
      <formula>($C$10=TRUE)</formula>
    </cfRule>
  </conditionalFormatting>
  <conditionalFormatting sqref="O5:O6 E6 G6 I6 K6 M6 Q6 L10:L11 D11 F11 H11 J11 N11 P11">
    <cfRule type="expression" dxfId="0" priority="23">
      <formula>($C$11=TRUE)</formula>
    </cfRule>
  </conditionalFormatting>
  <conditionalFormatting sqref="O4:O5 E5 G5 I5 K5 M5 Q5 L11:L12 D12 F12 H12 J12 N12 P12">
    <cfRule type="expression" dxfId="0" priority="24">
      <formula>($C$12=TRUE)</formula>
    </cfRule>
  </conditionalFormatting>
  <conditionalFormatting sqref="E4 G4 I4 K4 M4 O4 Q4 D13 F13 H13 J13 L13 N13 P13">
    <cfRule type="expression" dxfId="0" priority="25">
      <formula>($C$13=TRUE)</formula>
    </cfRule>
  </conditionalFormatting>
  <conditionalFormatting sqref="E3 G3 I3 K3 M3 O3 Q3 D14 F14 H14 J14 L14 N14 P14">
    <cfRule type="expression" dxfId="0" priority="26">
      <formula>($C$14=TRUE)</formula>
    </cfRule>
  </conditionalFormatting>
  <dataValidations>
    <dataValidation type="list" allowBlank="1" sqref="D3:Q14">
      <formula1>Projections!$J$14:$J$410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16" max="17" width="20.0"/>
    <col customWidth="1" min="18" max="18" width="6.13"/>
    <col customWidth="1" min="19" max="19" width="5.88"/>
    <col customWidth="1" min="20" max="20" width="5.75"/>
    <col customWidth="1" min="21" max="21" width="7.75"/>
    <col customWidth="1" min="22" max="30" width="6.63"/>
    <col customWidth="1" min="31" max="31" width="7.38"/>
    <col customWidth="1" min="32" max="32" width="4.75"/>
    <col customWidth="1" min="33" max="33" width="6.88"/>
    <col customWidth="1" min="34" max="34" width="4.75"/>
    <col customWidth="1" min="35" max="35" width="4.63"/>
    <col customWidth="1" min="36" max="36" width="4.75"/>
    <col customWidth="1" min="37" max="37" width="5.25"/>
    <col customWidth="1" min="38" max="38" width="4.75"/>
    <col customWidth="1" min="39" max="40" width="5.25"/>
    <col customWidth="1" min="41" max="41" width="5.88"/>
    <col customWidth="1" min="42" max="44" width="5.25"/>
  </cols>
  <sheetData>
    <row r="1">
      <c r="A1" s="5" t="s">
        <v>1</v>
      </c>
      <c r="B1" s="18">
        <f t="shared" ref="B1:H1" si="1">AVERAGE(W21:W171)</f>
        <v>17.17460828</v>
      </c>
      <c r="C1" s="18">
        <f t="shared" si="1"/>
        <v>1.769553662</v>
      </c>
      <c r="D1" s="18">
        <f t="shared" si="1"/>
        <v>6.126495623</v>
      </c>
      <c r="E1" s="18">
        <f t="shared" si="1"/>
        <v>3.836898344</v>
      </c>
      <c r="F1" s="18">
        <f t="shared" si="1"/>
        <v>1.045187715</v>
      </c>
      <c r="G1" s="18">
        <f t="shared" si="1"/>
        <v>0.7302222517</v>
      </c>
      <c r="H1" s="25">
        <f t="shared" si="1"/>
        <v>0.4951826093</v>
      </c>
      <c r="I1" s="18">
        <f>AVERAGE(AQ21:AQ171)</f>
        <v>0.4951826093</v>
      </c>
      <c r="J1" s="25">
        <f>AVERAGE(AD21:AD171)</f>
        <v>0.7880248874</v>
      </c>
      <c r="K1" s="18">
        <f>AVERAGE(AR21:AR171)</f>
        <v>0.7880248874</v>
      </c>
      <c r="L1">
        <f>AVERAGE(UpdateHashtag!$L$2:$L$151)</f>
        <v>1.748666667</v>
      </c>
      <c r="M1">
        <f>SUM(UpdateHashtag!R2:R202)</f>
        <v>363.7</v>
      </c>
      <c r="N1" s="31"/>
      <c r="O1" s="31">
        <f>Team!Z1</f>
        <v>156</v>
      </c>
    </row>
    <row r="2">
      <c r="A2" s="5" t="s">
        <v>39</v>
      </c>
      <c r="B2" s="18">
        <f t="shared" ref="B2:H2" si="2">STDEV(W21:W171)</f>
        <v>5.699869541</v>
      </c>
      <c r="C2" s="18">
        <f t="shared" si="2"/>
        <v>1.035375209</v>
      </c>
      <c r="D2" s="18">
        <f t="shared" si="2"/>
        <v>2.466981876</v>
      </c>
      <c r="E2" s="18">
        <f t="shared" si="2"/>
        <v>2.047022158</v>
      </c>
      <c r="F2" s="18">
        <f t="shared" si="2"/>
        <v>0.3281668884</v>
      </c>
      <c r="G2" s="18">
        <f t="shared" si="2"/>
        <v>0.5500573579</v>
      </c>
      <c r="H2" s="18">
        <f t="shared" si="2"/>
        <v>0.06722603901</v>
      </c>
      <c r="J2" s="18">
        <f>STDEV(AD21:AD171)</f>
        <v>0.07952226678</v>
      </c>
      <c r="L2" s="18">
        <f>STDEV(UpdateHashtag!$L$2:$L$151)</f>
        <v>1.00813714</v>
      </c>
      <c r="P2" s="42" t="s">
        <v>46</v>
      </c>
      <c r="Q2" s="42"/>
      <c r="R2" s="42" t="s">
        <v>47</v>
      </c>
      <c r="S2" s="42" t="s">
        <v>48</v>
      </c>
      <c r="T2" s="42" t="s">
        <v>49</v>
      </c>
      <c r="U2" s="42"/>
      <c r="V2" s="42" t="s">
        <v>34</v>
      </c>
    </row>
    <row r="3">
      <c r="A3" t="str">
        <f>UpdateHashtag!B1</f>
        <v>ADP</v>
      </c>
      <c r="B3" s="44" t="s">
        <v>50</v>
      </c>
      <c r="C3" s="44" t="s">
        <v>51</v>
      </c>
      <c r="D3" s="44" t="s">
        <v>52</v>
      </c>
      <c r="E3" s="44" t="s">
        <v>53</v>
      </c>
      <c r="F3" s="44" t="s">
        <v>54</v>
      </c>
      <c r="G3" s="44" t="s">
        <v>55</v>
      </c>
      <c r="H3" s="44" t="s">
        <v>56</v>
      </c>
      <c r="I3" s="44" t="s">
        <v>57</v>
      </c>
      <c r="J3" s="44" t="s">
        <v>59</v>
      </c>
      <c r="K3" s="44" t="s">
        <v>61</v>
      </c>
      <c r="L3" s="44" t="s">
        <v>63</v>
      </c>
      <c r="N3" s="45"/>
      <c r="O3" s="45"/>
      <c r="P3" s="46" t="s">
        <v>46</v>
      </c>
      <c r="Q3" s="46"/>
      <c r="R3" s="46"/>
      <c r="S3" s="46" t="s">
        <v>48</v>
      </c>
      <c r="T3" s="46" t="s">
        <v>49</v>
      </c>
      <c r="U3" s="46"/>
      <c r="V3" s="46" t="s">
        <v>34</v>
      </c>
    </row>
    <row r="4">
      <c r="A4" s="50" t="str">
        <f>IF(UpdateHashtag!C2="",ROW(UpdateHashtag!C2),UpdateHashtag!C2)</f>
        <v>Victor Wembanyama</v>
      </c>
      <c r="B4" s="53">
        <f>IF(TYPE($A4)=1,"",(UpdateHashtag!M2-B$1)/B$2)</f>
        <v>1.215008811</v>
      </c>
      <c r="C4" s="53">
        <f>IF(TYPE($A4)=1,"",(UpdateHashtag!L2-C$1)/C$2)</f>
        <v>0.2225727791</v>
      </c>
      <c r="D4" s="53">
        <f>IF(TYPE($A4)=1,"",(UpdateHashtag!N2-D$1)/D$2)</f>
        <v>2.218704738</v>
      </c>
      <c r="E4" s="53">
        <f>IF(TYPE($A4)=1,"",(UpdateHashtag!O2-E$1)/E$2)</f>
        <v>0.2750833221</v>
      </c>
      <c r="F4" s="53">
        <f>IF(TYPE($A4)=1,"",(UpdateHashtag!P2-F$1)/F$2)</f>
        <v>1.081194652</v>
      </c>
      <c r="G4" s="53">
        <f>IF(TYPE($A4)=1,"",(UpdateHashtag!Q2-G$1)/G$2)</f>
        <v>5.762631301</v>
      </c>
      <c r="H4" s="53">
        <f>IF(TYPE($A4)=1,"",(UpdateHashtag!I2-H$1)/H$2*I4/$I$1)</f>
        <v>-12.39431891</v>
      </c>
      <c r="I4" s="53">
        <f>UpdateHashtag!S2</f>
        <v>18.6</v>
      </c>
      <c r="J4" s="58">
        <f>IF(TYPE($A4)=1,"",(UpdateHashtag!K2-J$1)/J$2*K4/$K$1)</f>
        <v>1.248862593</v>
      </c>
      <c r="K4" s="59">
        <f>UpdateHashtag!T2</f>
        <v>5.6</v>
      </c>
      <c r="L4" s="53">
        <f>IF(TYPE($A4)=1,"",-(UpdateHashtag!R2-L$1)/L$2)</f>
        <v>-1.638004661</v>
      </c>
    </row>
    <row r="5">
      <c r="A5" s="50" t="str">
        <f>IF(UpdateHashtag!C3="",ROW(UpdateHashtag!C3),UpdateHashtag!C3)</f>
        <v>Nikola Jokic</v>
      </c>
      <c r="B5" s="53">
        <f>IF(TYPE($A5)=1,"",(UpdateHashtag!M3-B$1)/B$2)</f>
        <v>1.671159602</v>
      </c>
      <c r="C5" s="53">
        <f>IF(TYPE($A5)=1,"",(UpdateHashtag!L3-C$1)/C$2)</f>
        <v>-0.6466773167</v>
      </c>
      <c r="D5" s="53">
        <f>IF(TYPE($A5)=1,"",(UpdateHashtag!N3-D$1)/D$2)</f>
        <v>2.421381541</v>
      </c>
      <c r="E5" s="53">
        <f>IF(TYPE($A5)=1,"",(UpdateHashtag!O3-E$1)/E$2)</f>
        <v>2.522250009</v>
      </c>
      <c r="F5" s="53">
        <f>IF(TYPE($A5)=1,"",(UpdateHashtag!P3-F$1)/F$2)</f>
        <v>1.081194652</v>
      </c>
      <c r="G5" s="53">
        <f>IF(TYPE($A5)=1,"",(UpdateHashtag!Q3-G$1)/G$2)</f>
        <v>0.3086546265</v>
      </c>
      <c r="H5" s="53">
        <f>IF(TYPE($A5)=1,"",(UpdateHashtag!I3-H$1)/H$2*I5/$I$1)</f>
        <v>48.02612307</v>
      </c>
      <c r="I5" s="53">
        <f>UpdateHashtag!S3</f>
        <v>17.8</v>
      </c>
      <c r="J5" s="58">
        <f>IF(TYPE($A5)=1,"",(UpdateHashtag!K3-J$1)/J$2*K5/$K$1)</f>
        <v>2.866897741</v>
      </c>
      <c r="K5" s="59">
        <f>UpdateHashtag!T3</f>
        <v>5.8</v>
      </c>
      <c r="L5" s="53">
        <f>IF(TYPE($A5)=1,"",-(UpdateHashtag!R3-L$1)/L$2)</f>
        <v>-1.241233245</v>
      </c>
    </row>
    <row r="6">
      <c r="A6" s="50" t="str">
        <f>IF(UpdateHashtag!C4="",ROW(UpdateHashtag!C4),UpdateHashtag!C4)</f>
        <v>Shai Gilgeous-Alexander</v>
      </c>
      <c r="B6" s="53">
        <f>IF(TYPE($A6)=1,"",(UpdateHashtag!M4-B$1)/B$2)</f>
        <v>2.232575961</v>
      </c>
      <c r="C6" s="53">
        <f>IF(TYPE($A6)=1,"",(UpdateHashtag!L4-C$1)/C$2)</f>
        <v>-0.3569272848</v>
      </c>
      <c r="D6" s="53">
        <f>IF(TYPE($A6)=1,"",(UpdateHashtag!N4-D$1)/D$2)</f>
        <v>-0.4160937024</v>
      </c>
      <c r="E6" s="53">
        <f>IF(TYPE($A6)=1,"",(UpdateHashtag!O4-E$1)/E$2)</f>
        <v>1.300963766</v>
      </c>
      <c r="F6" s="53">
        <f>IF(TYPE($A6)=1,"",(UpdateHashtag!P4-F$1)/F$2)</f>
        <v>2.604809671</v>
      </c>
      <c r="G6" s="53">
        <f>IF(TYPE($A6)=1,"",(UpdateHashtag!Q4-G$1)/G$2)</f>
        <v>0.3086546265</v>
      </c>
      <c r="H6" s="53">
        <f>IF(TYPE($A6)=1,"",(UpdateHashtag!I4-H$1)/H$2*I6/$I$1)</f>
        <v>16.88054093</v>
      </c>
      <c r="I6" s="53">
        <f>UpdateHashtag!S4</f>
        <v>19.5</v>
      </c>
      <c r="J6" s="58">
        <f>IF(TYPE($A6)=1,"",(UpdateHashtag!K4-J$1)/J$2*K6/$K$1)</f>
        <v>13.50297522</v>
      </c>
      <c r="K6" s="59">
        <f>UpdateHashtag!T4</f>
        <v>9.2</v>
      </c>
      <c r="L6" s="53">
        <f>IF(TYPE($A6)=1,"",-(UpdateHashtag!R4-L$1)/L$2)</f>
        <v>-0.6460761218</v>
      </c>
    </row>
    <row r="7">
      <c r="A7" s="50" t="str">
        <f>IF(UpdateHashtag!C5="",ROW(UpdateHashtag!C5),UpdateHashtag!C5)</f>
        <v>Luka Doncic</v>
      </c>
      <c r="B7" s="53">
        <f>IF(TYPE($A7)=1,"",(UpdateHashtag!M5-B$1)/B$2)</f>
        <v>3.022067714</v>
      </c>
      <c r="C7" s="53">
        <f>IF(TYPE($A7)=1,"",(UpdateHashtag!L5-C$1)/C$2)</f>
        <v>2.250823003</v>
      </c>
      <c r="D7" s="53">
        <f>IF(TYPE($A7)=1,"",(UpdateHashtag!N5-D$1)/D$2)</f>
        <v>1.286391444</v>
      </c>
      <c r="E7" s="53">
        <f>IF(TYPE($A7)=1,"",(UpdateHashtag!O5-E$1)/E$2)</f>
        <v>2.961913056</v>
      </c>
      <c r="F7" s="53">
        <f>IF(TYPE($A7)=1,"",(UpdateHashtag!P5-F$1)/F$2)</f>
        <v>1.081194652</v>
      </c>
      <c r="G7" s="53">
        <f>IF(TYPE($A7)=1,"",(UpdateHashtag!Q5-G$1)/G$2)</f>
        <v>-0.4185422635</v>
      </c>
      <c r="H7" s="53">
        <f>IF(TYPE($A7)=1,"",(UpdateHashtag!I5-H$1)/H$2*I7/$I$1)</f>
        <v>-2.88982953</v>
      </c>
      <c r="I7" s="53">
        <f>UpdateHashtag!S5</f>
        <v>23</v>
      </c>
      <c r="J7" s="58">
        <f>IF(TYPE($A7)=1,"",(UpdateHashtag!K5-J$1)/J$2*K7/$K$1)</f>
        <v>0.6153078882</v>
      </c>
      <c r="K7" s="59">
        <f>UpdateHashtag!T5</f>
        <v>9.7</v>
      </c>
      <c r="L7" s="53">
        <f>IF(TYPE($A7)=1,"",-(UpdateHashtag!R5-L$1)/L$2)</f>
        <v>-2.034776076</v>
      </c>
    </row>
    <row r="8">
      <c r="A8" s="50" t="str">
        <f>IF(UpdateHashtag!C6="",ROW(UpdateHashtag!C6),UpdateHashtag!C6)</f>
        <v>Anthony Davis</v>
      </c>
      <c r="B8" s="53">
        <f>IF(TYPE($A8)=1,"",(UpdateHashtag!M6-B$1)/B$2)</f>
        <v>1.407995684</v>
      </c>
      <c r="C8" s="53">
        <f>IF(TYPE($A8)=1,"",(UpdateHashtag!L6-C$1)/C$2)</f>
        <v>-1.322760725</v>
      </c>
      <c r="D8" s="53">
        <f>IF(TYPE($A8)=1,"",(UpdateHashtag!N6-D$1)/D$2)</f>
        <v>2.664593705</v>
      </c>
      <c r="E8" s="53">
        <f>IF(TYPE($A8)=1,"",(UpdateHashtag!O6-E$1)/E$2)</f>
        <v>-0.1157282756</v>
      </c>
      <c r="F8" s="53">
        <f>IF(TYPE($A8)=1,"",(UpdateHashtag!P6-F$1)/F$2)</f>
        <v>0.4717486444</v>
      </c>
      <c r="G8" s="53">
        <f>IF(TYPE($A8)=1,"",(UpdateHashtag!Q6-G$1)/G$2)</f>
        <v>2.853843741</v>
      </c>
      <c r="H8" s="53">
        <f>IF(TYPE($A8)=1,"",(UpdateHashtag!I6-H$1)/H$2*I8/$I$1)</f>
        <v>32.59005232</v>
      </c>
      <c r="I8" s="53">
        <f>UpdateHashtag!S6</f>
        <v>17</v>
      </c>
      <c r="J8" s="58">
        <f>IF(TYPE($A8)=1,"",(UpdateHashtag!K6-J$1)/J$2*K8/$K$1)</f>
        <v>1.627981595</v>
      </c>
      <c r="K8" s="59">
        <f>UpdateHashtag!T6</f>
        <v>7.3</v>
      </c>
      <c r="L8" s="53">
        <f>IF(TYPE($A8)=1,"",-(UpdateHashtag!R6-L$1)/L$2)</f>
        <v>-0.34849756</v>
      </c>
      <c r="V8" s="5">
        <v>2.0</v>
      </c>
    </row>
    <row r="9">
      <c r="A9" s="50" t="str">
        <f>IF(UpdateHashtag!C7="",ROW(UpdateHashtag!C7),UpdateHashtag!C7)</f>
        <v>Joel Embiid</v>
      </c>
      <c r="B9" s="53">
        <f>IF(TYPE($A9)=1,"",(UpdateHashtag!M7-B$1)/B$2)</f>
        <v>1.916779259</v>
      </c>
      <c r="C9" s="53">
        <f>IF(TYPE($A9)=1,"",(UpdateHashtag!L7-C$1)/C$2)</f>
        <v>-0.4535106288</v>
      </c>
      <c r="D9" s="53">
        <f>IF(TYPE($A9)=1,"",(UpdateHashtag!N7-D$1)/D$2)</f>
        <v>1.570138968</v>
      </c>
      <c r="E9" s="53">
        <f>IF(TYPE($A9)=1,"",(UpdateHashtag!O7-E$1)/E$2)</f>
        <v>0.03082607356</v>
      </c>
      <c r="F9" s="53">
        <f>IF(TYPE($A9)=1,"",(UpdateHashtag!P7-F$1)/F$2)</f>
        <v>-0.442420367</v>
      </c>
      <c r="G9" s="53">
        <f>IF(TYPE($A9)=1,"",(UpdateHashtag!Q7-G$1)/G$2)</f>
        <v>1.217650739</v>
      </c>
      <c r="H9" s="53">
        <f>IF(TYPE($A9)=1,"",(UpdateHashtag!I7-H$1)/H$2*I9/$I$1)</f>
        <v>12.06356699</v>
      </c>
      <c r="I9" s="53">
        <f>UpdateHashtag!S7</f>
        <v>17.6</v>
      </c>
      <c r="J9" s="58">
        <f>IF(TYPE($A9)=1,"",(UpdateHashtag!K7-J$1)/J$2*K9/$K$1)</f>
        <v>13.1085411</v>
      </c>
      <c r="K9" s="59">
        <f>UpdateHashtag!T7</f>
        <v>9.9</v>
      </c>
      <c r="L9" s="53">
        <f>IF(TYPE($A9)=1,"",-(UpdateHashtag!R7-L$1)/L$2)</f>
        <v>-1.538811807</v>
      </c>
      <c r="V9" s="120">
        <v>1.75</v>
      </c>
    </row>
    <row r="10">
      <c r="A10" s="50" t="str">
        <f>IF(UpdateHashtag!C8="",ROW(UpdateHashtag!C8),UpdateHashtag!C8)</f>
        <v>Giannis Antetokounmpo</v>
      </c>
      <c r="B10" s="53">
        <f>IF(TYPE($A10)=1,"",(UpdateHashtag!M8-B$1)/B$2)</f>
        <v>2.443107095</v>
      </c>
      <c r="C10" s="53">
        <f>IF(TYPE($A10)=1,"",(UpdateHashtag!L8-C$1)/C$2)</f>
        <v>-1.129594037</v>
      </c>
      <c r="D10" s="53">
        <f>IF(TYPE($A10)=1,"",(UpdateHashtag!N8-D$1)/D$2)</f>
        <v>2.29977546</v>
      </c>
      <c r="E10" s="53">
        <f>IF(TYPE($A10)=1,"",(UpdateHashtag!O8-E$1)/E$2)</f>
        <v>1.398666665</v>
      </c>
      <c r="F10" s="53">
        <f>IF(TYPE($A10)=1,"",(UpdateHashtag!P8-F$1)/F$2)</f>
        <v>0.4717486444</v>
      </c>
      <c r="G10" s="53">
        <f>IF(TYPE($A10)=1,"",(UpdateHashtag!Q8-G$1)/G$2)</f>
        <v>0.6722530715</v>
      </c>
      <c r="H10" s="53">
        <f>IF(TYPE($A10)=1,"",(UpdateHashtag!I8-H$1)/H$2*I10/$I$1)</f>
        <v>68.52962139</v>
      </c>
      <c r="I10" s="53">
        <f>UpdateHashtag!S8</f>
        <v>19.2</v>
      </c>
      <c r="J10" s="58">
        <f>IF(TYPE($A10)=1,"",(UpdateHashtag!K8-J$1)/J$2*K10/$K$1)</f>
        <v>-19.60825049</v>
      </c>
      <c r="K10" s="59">
        <f>UpdateHashtag!T8</f>
        <v>10.5</v>
      </c>
      <c r="L10" s="53">
        <f>IF(TYPE($A10)=1,"",-(UpdateHashtag!R8-L$1)/L$2)</f>
        <v>-1.638004661</v>
      </c>
      <c r="V10" s="133">
        <v>1.5</v>
      </c>
    </row>
    <row r="11">
      <c r="A11" s="50" t="str">
        <f>IF(UpdateHashtag!C9="",ROW(UpdateHashtag!C9),UpdateHashtag!C9)</f>
        <v>Tyrese Haliburton</v>
      </c>
      <c r="B11" s="53">
        <f>IF(TYPE($A11)=1,"",(UpdateHashtag!M9-B$1)/B$2)</f>
        <v>0.6886809754</v>
      </c>
      <c r="C11" s="53">
        <f>IF(TYPE($A11)=1,"",(UpdateHashtag!L9-C$1)/C$2)</f>
        <v>1.188406219</v>
      </c>
      <c r="D11" s="53">
        <f>IF(TYPE($A11)=1,"",(UpdateHashtag!N9-D$1)/D$2)</f>
        <v>-0.9025180299</v>
      </c>
      <c r="E11" s="53">
        <f>IF(TYPE($A11)=1,"",(UpdateHashtag!O9-E$1)/E$2)</f>
        <v>3.548130453</v>
      </c>
      <c r="F11" s="53">
        <f>IF(TYPE($A11)=1,"",(UpdateHashtag!P9-F$1)/F$2)</f>
        <v>1.081194652</v>
      </c>
      <c r="G11" s="53">
        <f>IF(TYPE($A11)=1,"",(UpdateHashtag!Q9-G$1)/G$2)</f>
        <v>-0.05494381853</v>
      </c>
      <c r="H11" s="53">
        <f>IF(TYPE($A11)=1,"",(UpdateHashtag!I9-H$1)/H$2*I11/$I$1)</f>
        <v>-5.709025814</v>
      </c>
      <c r="I11" s="53">
        <f>UpdateHashtag!S9</f>
        <v>15.6</v>
      </c>
      <c r="J11" s="58">
        <f>IF(TYPE($A11)=1,"",(UpdateHashtag!K9-J$1)/J$2*K11/$K$1)</f>
        <v>4.131663984</v>
      </c>
      <c r="K11" s="59">
        <f>UpdateHashtag!T9</f>
        <v>3.5</v>
      </c>
      <c r="L11" s="53">
        <f>IF(TYPE($A11)=1,"",-(UpdateHashtag!R9-L$1)/L$2)</f>
        <v>-0.7452689757</v>
      </c>
      <c r="M11" s="5" t="s">
        <v>2</v>
      </c>
      <c r="V11" s="106">
        <v>1.25</v>
      </c>
      <c r="Z11" s="44"/>
      <c r="AA11" s="139"/>
    </row>
    <row r="12">
      <c r="A12" s="50" t="str">
        <f>IF(UpdateHashtag!C10="",ROW(UpdateHashtag!C10),UpdateHashtag!C10)</f>
        <v>Trae Young</v>
      </c>
      <c r="B12" s="53">
        <f>IF(TYPE($A12)=1,"",(UpdateHashtag!M10-B$1)/B$2)</f>
        <v>1.916779259</v>
      </c>
      <c r="C12" s="53">
        <f>IF(TYPE($A12)=1,"",(UpdateHashtag!L10-C$1)/C$2)</f>
        <v>1.574739595</v>
      </c>
      <c r="D12" s="53">
        <f>IF(TYPE($A12)=1,"",(UpdateHashtag!N10-D$1)/D$2)</f>
        <v>-1.307871636</v>
      </c>
      <c r="E12" s="53">
        <f>IF(TYPE($A12)=1,"",(UpdateHashtag!O10-E$1)/E$2)</f>
        <v>3.401576103</v>
      </c>
      <c r="F12" s="53">
        <f>IF(TYPE($A12)=1,"",(UpdateHashtag!P10-F$1)/F$2)</f>
        <v>0.4717486444</v>
      </c>
      <c r="G12" s="53">
        <f>IF(TYPE($A12)=1,"",(UpdateHashtag!Q10-G$1)/G$2)</f>
        <v>-0.963939931</v>
      </c>
      <c r="H12" s="53">
        <f>IF(TYPE($A12)=1,"",(UpdateHashtag!I10-H$1)/H$2*I12/$I$1)</f>
        <v>-37.01086722</v>
      </c>
      <c r="I12" s="53">
        <f>UpdateHashtag!S10</f>
        <v>19.5</v>
      </c>
      <c r="J12" s="58">
        <f>IF(TYPE($A12)=1,"",(UpdateHashtag!K10-J$1)/J$2*K12/$K$1)</f>
        <v>12.63658922</v>
      </c>
      <c r="K12" s="59">
        <f>UpdateHashtag!T10</f>
        <v>8.9</v>
      </c>
      <c r="L12" s="53">
        <f>IF(TYPE($A12)=1,"",-(UpdateHashtag!R10-L$1)/L$2)</f>
        <v>-2.431547492</v>
      </c>
      <c r="M12" t="str">
        <f t="array" ref="M12:M30">transpose(Projections!M13:AE13)</f>
        <v>LeagV</v>
      </c>
      <c r="V12" s="143">
        <v>1.0</v>
      </c>
      <c r="Z12" s="144"/>
      <c r="AA12" s="144"/>
    </row>
    <row r="13">
      <c r="A13" s="50" t="str">
        <f>IF(UpdateHashtag!C11="",ROW(UpdateHashtag!C11),UpdateHashtag!C11)</f>
        <v>Jayson Tatum</v>
      </c>
      <c r="B13" s="53">
        <f>IF(TYPE($A13)=1,"",(UpdateHashtag!M11-B$1)/B$2)</f>
        <v>1.881690737</v>
      </c>
      <c r="C13" s="53">
        <f>IF(TYPE($A13)=1,"",(UpdateHashtag!L11-C$1)/C$2)</f>
        <v>1.091822875</v>
      </c>
      <c r="D13" s="53">
        <f>IF(TYPE($A13)=1,"",(UpdateHashtag!N11-D$1)/D$2)</f>
        <v>1.164785362</v>
      </c>
      <c r="E13" s="53">
        <f>IF(TYPE($A13)=1,"",(UpdateHashtag!O11-E$1)/E$2)</f>
        <v>0.6170434701</v>
      </c>
      <c r="F13" s="53">
        <f>IF(TYPE($A13)=1,"",(UpdateHashtag!P11-F$1)/F$2)</f>
        <v>0.1670256406</v>
      </c>
      <c r="G13" s="53">
        <f>IF(TYPE($A13)=1,"",(UpdateHashtag!Q11-G$1)/G$2)</f>
        <v>-0.05494381853</v>
      </c>
      <c r="H13" s="53">
        <f>IF(TYPE($A13)=1,"",(UpdateHashtag!I11-H$1)/H$2*I13/$I$1)</f>
        <v>-15.80906099</v>
      </c>
      <c r="I13" s="53">
        <f>UpdateHashtag!S11</f>
        <v>20.1</v>
      </c>
      <c r="J13" s="58">
        <f>IF(TYPE($A13)=1,"",(UpdateHashtag!K11-J$1)/J$2*K13/$K$1)</f>
        <v>5.588692028</v>
      </c>
      <c r="K13" s="59">
        <f>UpdateHashtag!T11</f>
        <v>7.3</v>
      </c>
      <c r="L13" s="53">
        <f>IF(TYPE($A13)=1,"",-(UpdateHashtag!R11-L$1)/L$2)</f>
        <v>-0.7452689757</v>
      </c>
      <c r="M13" t="s">
        <v>128</v>
      </c>
      <c r="V13" s="106">
        <v>0.75</v>
      </c>
    </row>
    <row r="14">
      <c r="A14" s="50" t="str">
        <f>IF(UpdateHashtag!C12="",ROW(UpdateHashtag!C12),UpdateHashtag!C12)</f>
        <v>James Harden</v>
      </c>
      <c r="B14" s="53">
        <f>IF(TYPE($A14)=1,"",(UpdateHashtag!M12-B$1)/B$2)</f>
        <v>0.5658711471</v>
      </c>
      <c r="C14" s="53">
        <f>IF(TYPE($A14)=1,"",(UpdateHashtag!L12-C$1)/C$2)</f>
        <v>0.9952395309</v>
      </c>
      <c r="D14" s="53">
        <f>IF(TYPE($A14)=1,"",(UpdateHashtag!N12-D$1)/D$2)</f>
        <v>-0.01074009614</v>
      </c>
      <c r="E14" s="53">
        <f>IF(TYPE($A14)=1,"",(UpdateHashtag!O12-E$1)/E$2)</f>
        <v>3.206170305</v>
      </c>
      <c r="F14" s="53">
        <f>IF(TYPE($A14)=1,"",(UpdateHashtag!P12-F$1)/F$2)</f>
        <v>0.1670256406</v>
      </c>
      <c r="G14" s="53">
        <f>IF(TYPE($A14)=1,"",(UpdateHashtag!Q12-G$1)/G$2)</f>
        <v>-0.05494381853</v>
      </c>
      <c r="H14" s="53">
        <f>IF(TYPE($A14)=1,"",(UpdateHashtag!I12-H$1)/H$2*I14/$I$1)</f>
        <v>-25.42276464</v>
      </c>
      <c r="I14" s="53">
        <f>UpdateHashtag!S12</f>
        <v>14.8</v>
      </c>
      <c r="J14" s="58">
        <f>IF(TYPE($A14)=1,"",(UpdateHashtag!K12-J$1)/J$2*K14/$K$1)</f>
        <v>7.017703823</v>
      </c>
      <c r="K14" s="59">
        <f>UpdateHashtag!T12</f>
        <v>5.3</v>
      </c>
      <c r="L14" s="53">
        <f>IF(TYPE($A14)=1,"",-(UpdateHashtag!R12-L$1)/L$2)</f>
        <v>-1.142040391</v>
      </c>
      <c r="M14" t="s">
        <v>156</v>
      </c>
      <c r="V14" s="106">
        <v>0.5</v>
      </c>
    </row>
    <row r="15">
      <c r="A15" s="50" t="str">
        <f>IF(UpdateHashtag!C13="",ROW(UpdateHashtag!C13),UpdateHashtag!C13)</f>
        <v>Stephen Curry</v>
      </c>
      <c r="B15" s="53">
        <f>IF(TYPE($A15)=1,"",(UpdateHashtag!M13-B$1)/B$2)</f>
        <v>1.618526819</v>
      </c>
      <c r="C15" s="53">
        <f>IF(TYPE($A15)=1,"",(UpdateHashtag!L13-C$1)/C$2)</f>
        <v>2.92690641</v>
      </c>
      <c r="D15" s="53">
        <f>IF(TYPE($A15)=1,"",(UpdateHashtag!N13-D$1)/D$2)</f>
        <v>-0.6593058662</v>
      </c>
      <c r="E15" s="53">
        <f>IF(TYPE($A15)=1,"",(UpdateHashtag!O13-E$1)/E$2)</f>
        <v>0.7147463695</v>
      </c>
      <c r="F15" s="53">
        <f>IF(TYPE($A15)=1,"",(UpdateHashtag!P13-F$1)/F$2)</f>
        <v>-0.7471433709</v>
      </c>
      <c r="G15" s="53">
        <f>IF(TYPE($A15)=1,"",(UpdateHashtag!Q13-G$1)/G$2)</f>
        <v>-0.600341486</v>
      </c>
      <c r="H15" s="53">
        <f>IF(TYPE($A15)=1,"",(UpdateHashtag!I13-H$1)/H$2*I15/$I$1)</f>
        <v>-14.70793237</v>
      </c>
      <c r="I15" s="53">
        <f>UpdateHashtag!S13</f>
        <v>18.7</v>
      </c>
      <c r="J15" s="58">
        <f>IF(TYPE($A15)=1,"",(UpdateHashtag!K13-J$1)/J$2*K15/$K$1)</f>
        <v>9.126078372</v>
      </c>
      <c r="K15" s="59">
        <f>UpdateHashtag!T13</f>
        <v>4.4</v>
      </c>
      <c r="L15" s="53">
        <f>IF(TYPE($A15)=1,"",-(UpdateHashtag!R13-L$1)/L$2)</f>
        <v>-1.042847537</v>
      </c>
      <c r="M15" t="s">
        <v>10</v>
      </c>
      <c r="V15" s="106">
        <v>0.25</v>
      </c>
      <c r="W15">
        <f>COLUMN(K1)</f>
        <v>11</v>
      </c>
    </row>
    <row r="16">
      <c r="A16" s="50" t="str">
        <f>IF(UpdateHashtag!C14="",ROW(UpdateHashtag!C14),UpdateHashtag!C14)</f>
        <v>Donovan Mitchell</v>
      </c>
      <c r="B16" s="53">
        <f>IF(TYPE($A16)=1,"",(UpdateHashtag!M14-B$1)/B$2)</f>
        <v>1.583438296</v>
      </c>
      <c r="C16" s="53">
        <f>IF(TYPE($A16)=1,"",(UpdateHashtag!L14-C$1)/C$2)</f>
        <v>1.478156251</v>
      </c>
      <c r="D16" s="53">
        <f>IF(TYPE($A16)=1,"",(UpdateHashtag!N14-D$1)/D$2)</f>
        <v>-0.6998412268</v>
      </c>
      <c r="E16" s="53">
        <f>IF(TYPE($A16)=1,"",(UpdateHashtag!O14-E$1)/E$2)</f>
        <v>0.7635978192</v>
      </c>
      <c r="F16" s="53">
        <f>IF(TYPE($A16)=1,"",(UpdateHashtag!P14-F$1)/F$2)</f>
        <v>1.69064066</v>
      </c>
      <c r="G16" s="53">
        <f>IF(TYPE($A16)=1,"",(UpdateHashtag!Q14-G$1)/G$2)</f>
        <v>-0.600341486</v>
      </c>
      <c r="H16" s="53">
        <f>IF(TYPE($A16)=1,"",(UpdateHashtag!I14-H$1)/H$2*I16/$I$1)</f>
        <v>-15.9229249</v>
      </c>
      <c r="I16" s="53">
        <f>UpdateHashtag!S14</f>
        <v>19.5</v>
      </c>
      <c r="J16" s="58">
        <f>IF(TYPE($A16)=1,"",(UpdateHashtag!K14-J$1)/J$2*K16/$K$1)</f>
        <v>6.719254419</v>
      </c>
      <c r="K16" s="59">
        <f>UpdateHashtag!T14</f>
        <v>5.4</v>
      </c>
      <c r="L16" s="53">
        <f>IF(TYPE($A16)=1,"",-(UpdateHashtag!R14-L$1)/L$2)</f>
        <v>-1.042847537</v>
      </c>
      <c r="M16" t="s">
        <v>109</v>
      </c>
      <c r="V16" s="106">
        <v>0.0</v>
      </c>
    </row>
    <row r="17">
      <c r="A17" s="50" t="str">
        <f>IF(UpdateHashtag!C15="",ROW(UpdateHashtag!C15),UpdateHashtag!C15)</f>
        <v>Kyrie Irving</v>
      </c>
      <c r="B17" s="53">
        <f>IF(TYPE($A17)=1,"",(UpdateHashtag!M15-B$1)/B$2)</f>
        <v>1.302730117</v>
      </c>
      <c r="C17" s="53">
        <f>IF(TYPE($A17)=1,"",(UpdateHashtag!L15-C$1)/C$2)</f>
        <v>1.188406219</v>
      </c>
      <c r="D17" s="53">
        <f>IF(TYPE($A17)=1,"",(UpdateHashtag!N15-D$1)/D$2)</f>
        <v>-0.4971644236</v>
      </c>
      <c r="E17" s="53">
        <f>IF(TYPE($A17)=1,"",(UpdateHashtag!O15-E$1)/E$2)</f>
        <v>0.6658949198</v>
      </c>
      <c r="F17" s="53">
        <f>IF(TYPE($A17)=1,"",(UpdateHashtag!P15-F$1)/F$2)</f>
        <v>0.4717486444</v>
      </c>
      <c r="G17" s="53">
        <f>IF(TYPE($A17)=1,"",(UpdateHashtag!Q15-G$1)/G$2)</f>
        <v>-0.236743041</v>
      </c>
      <c r="H17" s="53">
        <f>IF(TYPE($A17)=1,"",(UpdateHashtag!I15-H$1)/H$2*I17/$I$1)</f>
        <v>-0.1020311687</v>
      </c>
      <c r="I17" s="53">
        <f>UpdateHashtag!S15</f>
        <v>18.6</v>
      </c>
      <c r="J17" s="58">
        <f>IF(TYPE($A17)=1,"",(UpdateHashtag!K15-J$1)/J$2*K17/$K$1)</f>
        <v>6.834864993</v>
      </c>
      <c r="K17" s="59">
        <f>UpdateHashtag!T15</f>
        <v>3.6</v>
      </c>
      <c r="L17" s="53">
        <f>IF(TYPE($A17)=1,"",-(UpdateHashtag!R15-L$1)/L$2)</f>
        <v>-0.05091899834</v>
      </c>
      <c r="M17" t="s">
        <v>110</v>
      </c>
    </row>
    <row r="18">
      <c r="A18" s="50" t="str">
        <f>IF(UpdateHashtag!C16="",ROW(UpdateHashtag!C16),UpdateHashtag!C16)</f>
        <v>Kevin Durant</v>
      </c>
      <c r="B18" s="53">
        <f>IF(TYPE($A18)=1,"",(UpdateHashtag!M16-B$1)/B$2)</f>
        <v>1.49571699</v>
      </c>
      <c r="C18" s="53">
        <f>IF(TYPE($A18)=1,"",(UpdateHashtag!L16-C$1)/C$2)</f>
        <v>0.3191561231</v>
      </c>
      <c r="D18" s="53">
        <f>IF(TYPE($A18)=1,"",(UpdateHashtag!N16-D$1)/D$2)</f>
        <v>0.1108659857</v>
      </c>
      <c r="E18" s="53">
        <f>IF(TYPE($A18)=1,"",(UpdateHashtag!O16-E$1)/E$2)</f>
        <v>0.4704891209</v>
      </c>
      <c r="F18" s="53">
        <f>IF(TYPE($A18)=1,"",(UpdateHashtag!P16-F$1)/F$2)</f>
        <v>-0.7471433709</v>
      </c>
      <c r="G18" s="53">
        <f>IF(TYPE($A18)=1,"",(UpdateHashtag!Q16-G$1)/G$2)</f>
        <v>0.854052294</v>
      </c>
      <c r="H18" s="53">
        <f>IF(TYPE($A18)=1,"",(UpdateHashtag!I16-H$1)/H$2*I18/$I$1)</f>
        <v>13.64282477</v>
      </c>
      <c r="I18" s="53">
        <f>UpdateHashtag!S16</f>
        <v>18.3</v>
      </c>
      <c r="J18" s="58">
        <f>IF(TYPE($A18)=1,"",(UpdateHashtag!K16-J$1)/J$2*K18/$K$1)</f>
        <v>5.088333937</v>
      </c>
      <c r="K18" s="59">
        <f>UpdateHashtag!T16</f>
        <v>5.5</v>
      </c>
      <c r="L18" s="53">
        <f>IF(TYPE($A18)=1,"",-(UpdateHashtag!R16-L$1)/L$2)</f>
        <v>-1.439618953</v>
      </c>
      <c r="M18" t="s">
        <v>12</v>
      </c>
      <c r="R18" s="42"/>
      <c r="S18" s="156"/>
      <c r="T18" s="42"/>
      <c r="U18" s="42"/>
      <c r="V18" s="42" t="s">
        <v>10</v>
      </c>
      <c r="W18" s="156">
        <v>3.0</v>
      </c>
      <c r="X18" s="42" t="s">
        <v>110</v>
      </c>
      <c r="Y18" s="42" t="s">
        <v>12</v>
      </c>
      <c r="Z18" s="42" t="s">
        <v>13</v>
      </c>
      <c r="AA18" s="42" t="s">
        <v>111</v>
      </c>
      <c r="AB18" s="42" t="s">
        <v>8</v>
      </c>
      <c r="AC18" s="42" t="s">
        <v>9</v>
      </c>
      <c r="AD18" s="42" t="s">
        <v>15</v>
      </c>
    </row>
    <row r="19">
      <c r="A19" s="50" t="str">
        <f>IF(UpdateHashtag!C17="",ROW(UpdateHashtag!C17),UpdateHashtag!C17)</f>
        <v>LeBron James</v>
      </c>
      <c r="B19" s="53">
        <f>IF(TYPE($A19)=1,"",(UpdateHashtag!M17-B$1)/B$2)</f>
        <v>1.407995684</v>
      </c>
      <c r="C19" s="53">
        <f>IF(TYPE($A19)=1,"",(UpdateHashtag!L17-C$1)/C$2)</f>
        <v>0.3191561231</v>
      </c>
      <c r="D19" s="53">
        <f>IF(TYPE($A19)=1,"",(UpdateHashtag!N17-D$1)/D$2)</f>
        <v>0.4351488707</v>
      </c>
      <c r="E19" s="53">
        <f>IF(TYPE($A19)=1,"",(UpdateHashtag!O17-E$1)/E$2)</f>
        <v>2.131438411</v>
      </c>
      <c r="F19" s="53">
        <f>IF(TYPE($A19)=1,"",(UpdateHashtag!P17-F$1)/F$2)</f>
        <v>0.1670256406</v>
      </c>
      <c r="G19" s="53">
        <f>IF(TYPE($A19)=1,"",(UpdateHashtag!Q17-G$1)/G$2)</f>
        <v>-0.4185422635</v>
      </c>
      <c r="H19" s="53">
        <f>IF(TYPE($A19)=1,"",(UpdateHashtag!I17-H$1)/H$2*I19/$I$1)</f>
        <v>21.0514763</v>
      </c>
      <c r="I19" s="53">
        <f>UpdateHashtag!S17</f>
        <v>17.6</v>
      </c>
      <c r="J19" s="58">
        <f>IF(TYPE($A19)=1,"",(UpdateHashtag!K17-J$1)/J$2*K19/$K$1)</f>
        <v>-2.683123913</v>
      </c>
      <c r="K19" s="59">
        <f>UpdateHashtag!T17</f>
        <v>5.6</v>
      </c>
      <c r="L19" s="53">
        <f>IF(TYPE($A19)=1,"",-(UpdateHashtag!R17-L$1)/L$2)</f>
        <v>-1.538811807</v>
      </c>
      <c r="M19" t="s">
        <v>13</v>
      </c>
      <c r="V19" s="5">
        <f>Projections!K11</f>
        <v>1</v>
      </c>
      <c r="W19" s="5">
        <f>Projections!L11</f>
        <v>1</v>
      </c>
      <c r="X19" s="5">
        <f>Projections!M11</f>
        <v>1</v>
      </c>
      <c r="Y19" s="5">
        <f>Projections!N11</f>
        <v>1</v>
      </c>
      <c r="Z19" s="5">
        <f>Projections!O11</f>
        <v>1</v>
      </c>
      <c r="AA19" s="5">
        <f>Projections!P11</f>
        <v>1</v>
      </c>
      <c r="AB19" s="5">
        <f>Projections!Q11</f>
        <v>1</v>
      </c>
      <c r="AC19" s="5">
        <f>Projections!R11</f>
        <v>1</v>
      </c>
      <c r="AD19" s="5">
        <f>Projections!S11</f>
        <v>0</v>
      </c>
    </row>
    <row r="20">
      <c r="A20" s="50" t="str">
        <f>IF(UpdateHashtag!C18="",ROW(UpdateHashtag!C18),UpdateHashtag!C18)</f>
        <v>Scottie Barnes</v>
      </c>
      <c r="B20" s="53">
        <f>IF(TYPE($A20)=1,"",(UpdateHashtag!M18-B$1)/B$2)</f>
        <v>0.3377957515</v>
      </c>
      <c r="C20" s="53">
        <f>IF(TYPE($A20)=1,"",(UpdateHashtag!L18-C$1)/C$2)</f>
        <v>-0.06717725286</v>
      </c>
      <c r="D20" s="53">
        <f>IF(TYPE($A20)=1,"",(UpdateHashtag!N18-D$1)/D$2)</f>
        <v>0.8810378376</v>
      </c>
      <c r="E20" s="53">
        <f>IF(TYPE($A20)=1,"",(UpdateHashtag!O18-E$1)/E$2)</f>
        <v>1.056706517</v>
      </c>
      <c r="F20" s="53">
        <f>IF(TYPE($A20)=1,"",(UpdateHashtag!P18-F$1)/F$2)</f>
        <v>0.7764716483</v>
      </c>
      <c r="G20" s="53">
        <f>IF(TYPE($A20)=1,"",(UpdateHashtag!Q18-G$1)/G$2)</f>
        <v>1.399449961</v>
      </c>
      <c r="H20" s="53">
        <f>IF(TYPE($A20)=1,"",(UpdateHashtag!I18-H$1)/H$2*I20/$I$1)</f>
        <v>-7.048774926</v>
      </c>
      <c r="I20" s="53">
        <f>UpdateHashtag!S18</f>
        <v>14.5</v>
      </c>
      <c r="J20" s="58">
        <f>IF(TYPE($A20)=1,"",(UpdateHashtag!K18-J$1)/J$2*K20/$K$1)</f>
        <v>0.208894688</v>
      </c>
      <c r="K20" s="59">
        <f>UpdateHashtag!T18</f>
        <v>4.4</v>
      </c>
      <c r="L20" s="53">
        <f>IF(TYPE($A20)=1,"",-(UpdateHashtag!R18-L$1)/L$2)</f>
        <v>-0.6460761218</v>
      </c>
      <c r="M20" t="s">
        <v>14</v>
      </c>
      <c r="N20" s="160" t="s">
        <v>418</v>
      </c>
      <c r="O20" s="139"/>
      <c r="P20" s="160" t="s">
        <v>2</v>
      </c>
      <c r="Q20" s="161" t="s">
        <v>153</v>
      </c>
      <c r="R20" s="139" t="s">
        <v>6</v>
      </c>
      <c r="S20" s="161" t="s">
        <v>154</v>
      </c>
      <c r="T20" s="44" t="s">
        <v>155</v>
      </c>
      <c r="U20" s="161" t="s">
        <v>128</v>
      </c>
      <c r="V20" s="161" t="s">
        <v>156</v>
      </c>
      <c r="W20" s="162" t="s">
        <v>10</v>
      </c>
      <c r="X20" s="162" t="s">
        <v>109</v>
      </c>
      <c r="Y20" s="162" t="s">
        <v>110</v>
      </c>
      <c r="Z20" s="162" t="s">
        <v>12</v>
      </c>
      <c r="AA20" s="162" t="s">
        <v>13</v>
      </c>
      <c r="AB20" s="162" t="s">
        <v>14</v>
      </c>
      <c r="AC20" s="162" t="s">
        <v>8</v>
      </c>
      <c r="AD20" s="162" t="s">
        <v>9</v>
      </c>
      <c r="AE20" s="139" t="s">
        <v>15</v>
      </c>
      <c r="AF20" s="44" t="s">
        <v>50</v>
      </c>
      <c r="AG20" s="44" t="s">
        <v>51</v>
      </c>
      <c r="AH20" s="44" t="s">
        <v>52</v>
      </c>
      <c r="AI20" s="44" t="s">
        <v>53</v>
      </c>
      <c r="AJ20" s="44" t="s">
        <v>54</v>
      </c>
      <c r="AK20" s="44" t="s">
        <v>55</v>
      </c>
      <c r="AL20" s="44" t="s">
        <v>56</v>
      </c>
      <c r="AM20" s="44" t="s">
        <v>59</v>
      </c>
      <c r="AN20" s="162" t="s">
        <v>63</v>
      </c>
      <c r="AO20" s="162" t="s">
        <v>425</v>
      </c>
      <c r="AP20" s="162" t="s">
        <v>426</v>
      </c>
      <c r="AQ20" s="45" t="s">
        <v>427</v>
      </c>
      <c r="AR20" s="45" t="s">
        <v>428</v>
      </c>
    </row>
    <row r="21">
      <c r="A21" s="50" t="str">
        <f>IF(UpdateHashtag!C19="",ROW(UpdateHashtag!C19),UpdateHashtag!C19)</f>
        <v>Damian Lillard</v>
      </c>
      <c r="B21" s="53">
        <f>IF(TYPE($A21)=1,"",(UpdateHashtag!M19-B$1)/B$2)</f>
        <v>1.355362901</v>
      </c>
      <c r="C21" s="53">
        <f>IF(TYPE($A21)=1,"",(UpdateHashtag!L19-C$1)/C$2)</f>
        <v>1.284989563</v>
      </c>
      <c r="D21" s="53">
        <f>IF(TYPE($A21)=1,"",(UpdateHashtag!N19-D$1)/D$2)</f>
        <v>-0.6593058662</v>
      </c>
      <c r="E21" s="53">
        <f>IF(TYPE($A21)=1,"",(UpdateHashtag!O19-E$1)/E$2)</f>
        <v>1.594072464</v>
      </c>
      <c r="F21" s="53">
        <f>IF(TYPE($A21)=1,"",(UpdateHashtag!P19-F$1)/F$2)</f>
        <v>-0.442420367</v>
      </c>
      <c r="G21" s="53">
        <f>IF(TYPE($A21)=1,"",(UpdateHashtag!Q19-G$1)/G$2)</f>
        <v>-0.7821407085</v>
      </c>
      <c r="H21" s="53">
        <f>IF(TYPE($A21)=1,"",(UpdateHashtag!I19-H$1)/H$2*I21/$I$1)</f>
        <v>-33.78427879</v>
      </c>
      <c r="I21" s="53">
        <f>UpdateHashtag!S19</f>
        <v>17.8</v>
      </c>
      <c r="J21" s="58">
        <f>IF(TYPE($A21)=1,"",(UpdateHashtag!K19-J$1)/J$2*K21/$K$1)</f>
        <v>14.51876105</v>
      </c>
      <c r="K21" s="59">
        <f>UpdateHashtag!T19</f>
        <v>7</v>
      </c>
      <c r="L21" s="53">
        <f>IF(TYPE($A21)=1,"",-(UpdateHashtag!R19-L$1)/L$2)</f>
        <v>-1.142040391</v>
      </c>
      <c r="M21" t="s">
        <v>8</v>
      </c>
      <c r="N21" s="106">
        <f t="shared" ref="N21:N208" si="3">LARGE($T$21:$T1002,ROW(T21)-20)</f>
        <v>11.34254194</v>
      </c>
      <c r="O21" s="106">
        <f t="shared" ref="O21:O208" si="4">MATCH(T21,$N$21:$N1002,0)</f>
        <v>1</v>
      </c>
      <c r="P21" s="163"/>
      <c r="Q21" s="164" t="str">
        <f t="array" ref="Q21">INDIRECT("Update"&amp;Projections!$AG$11&amp;"!C"&amp;ROW(B2))</f>
        <v>Victor Wembanyama</v>
      </c>
      <c r="R21" s="163">
        <f>UpdateBBM!F2</f>
        <v>73</v>
      </c>
      <c r="S21" s="165" t="str">
        <f t="array" ref="S21">INDIRECT("Update"&amp;Projections!$AG$11&amp;"!D"&amp;ROW(B2))</f>
        <v>C</v>
      </c>
      <c r="T21" s="144">
        <f t="shared" ref="T21:T208" si="5">(W21-$B$1)/$B$2+(X21-$C$1)/$C$2+(Y21-$D$1)/$D$2+(Z21-$E$1)/$E$2+(AA21-$F$1)/$F$2+(AB21-$G$1)/$G$2+(AC21-$H$1)/$H$2*AQ21/$I$1+(AD21-$J$1)/$J$2*AR21/$K$1-(AE21-$L$1)/$L$2*0.25-AO21</f>
        <v>11.34254194</v>
      </c>
      <c r="U21" s="144">
        <f>SUM(AF21:AN21)-IFERROR(IFS(Projections!$I$11,AO21,Projections!$J$11,AP21),"")</f>
        <v>11.58973359</v>
      </c>
      <c r="V21" s="144">
        <f t="shared" ref="V21:V208" si="6">U21-T21</f>
        <v>0.2471916504</v>
      </c>
      <c r="W21" s="144">
        <f t="array" ref="W21">INDIRECT("Update"&amp;Projections!$AG$11&amp;"!M"&amp;ROW(B2))</f>
        <v>25.83918</v>
      </c>
      <c r="X21" s="144">
        <f t="array" ref="X21">INDIRECT("Update"&amp;Projections!$AG$11&amp;"!L"&amp;ROW(B2))</f>
        <v>3.049863</v>
      </c>
      <c r="Y21" s="144">
        <f t="array" ref="Y21">INDIRECT("Update"&amp;Projections!$AG$11&amp;"!N"&amp;ROW(B2))</f>
        <v>11.92123</v>
      </c>
      <c r="Z21" s="144">
        <f t="array" ref="Z21">INDIRECT("Update"&amp;Projections!$AG$11&amp;"!O"&amp;ROW(B2))</f>
        <v>3.829315</v>
      </c>
      <c r="AA21" s="144">
        <f t="array" ref="AA21">INDIRECT("Update"&amp;Projections!$AG$11&amp;"!P"&amp;ROW(B2))</f>
        <v>1.158356</v>
      </c>
      <c r="AB21" s="144">
        <f t="array" ref="AB21">INDIRECT("Update"&amp;Projections!$AG$11&amp;"!Q"&amp;ROW(B2))</f>
        <v>3.901507</v>
      </c>
      <c r="AC21" s="166">
        <f t="array" ref="AC21">INDIRECT("Update"&amp;Projections!$AG$11&amp;"!I"&amp;ROW(B2))</f>
        <v>0.491121</v>
      </c>
      <c r="AD21" s="166">
        <f t="array" ref="AD21">INDIRECT("Update"&amp;Projections!$AG$11&amp;"!K"&amp;ROW(B2))</f>
        <v>0.816988</v>
      </c>
      <c r="AE21" s="144">
        <f t="array" ref="AE21">INDIRECT("Update"&amp;Projections!$AG$11&amp;"!R"&amp;ROW(B2))</f>
        <v>2.745479</v>
      </c>
      <c r="AF21" s="144">
        <f t="shared" ref="AF21:AF208" si="7">V$19*(W21-$B$1)/$B$2</f>
        <v>1.520135093</v>
      </c>
      <c r="AG21" s="144">
        <f t="shared" ref="AG21:AG208" si="8">W$19*(X21-$C$1)/$C$2</f>
        <v>1.236565572</v>
      </c>
      <c r="AH21" s="144">
        <f t="shared" ref="AH21:AH208" si="9">X$19*(Y21-$D$1)/$D$2</f>
        <v>2.348916477</v>
      </c>
      <c r="AI21" s="144">
        <f t="shared" ref="AI21:AI208" si="10">Y$19*(Z21-$E$1)/$E$2</f>
        <v>-0.003704573662</v>
      </c>
      <c r="AJ21" s="144">
        <f t="shared" ref="AJ21:AJ208" si="11">Z$19*(AA21-$F$1)/$F$2</f>
        <v>0.3448497967</v>
      </c>
      <c r="AK21" s="144">
        <f t="shared" ref="AK21:AK208" si="12">AA$19*(AB21-$G$1)/$G$2</f>
        <v>5.765371016</v>
      </c>
      <c r="AL21" s="144">
        <f t="shared" ref="AL21:AL208" si="13">AB$19*(AC21-$H$1)/$H$2*AQ21/$I$1</f>
        <v>-0.05992164665</v>
      </c>
      <c r="AM21" s="144">
        <f t="shared" ref="AM21:AM208" si="14">AC$19*(AD21-$J$1)/$J$2*AR21/$K$1</f>
        <v>0.3776002084</v>
      </c>
      <c r="AN21" s="144">
        <f t="shared" ref="AN21:AN208" si="15">-AD$19*(AE21-$L$1)/$L$2</f>
        <v>0</v>
      </c>
      <c r="AO21" s="167">
        <f t="shared" ref="AO21:AO208" si="16">MIN(AF21:AN21)</f>
        <v>-0.05992164665</v>
      </c>
      <c r="AP21" s="167">
        <f t="shared" ref="AP21:AP208" si="17">small(AF21:AN21,2)+AO21</f>
        <v>-0.06362622031</v>
      </c>
      <c r="AQ21" s="167">
        <f t="array" ref="AQ21">INDIRECT("Update"&amp;Projections!$AG$11&amp;"!S"&amp;ROW(B2))</f>
        <v>0.491121</v>
      </c>
      <c r="AR21" s="167">
        <f t="array" ref="AR21">INDIRECT("Update"&amp;Projections!$AG$11&amp;"!T"&amp;ROW(B2))</f>
        <v>0.816988</v>
      </c>
    </row>
    <row r="22">
      <c r="A22" s="50" t="str">
        <f>IF(UpdateHashtag!C20="",ROW(UpdateHashtag!C20),UpdateHashtag!C20)</f>
        <v>Devin Booker</v>
      </c>
      <c r="B22" s="53">
        <f>IF(TYPE($A22)=1,"",(UpdateHashtag!M20-B$1)/B$2)</f>
        <v>1.864146475</v>
      </c>
      <c r="C22" s="53">
        <f>IF(TYPE($A22)=1,"",(UpdateHashtag!L20-C$1)/C$2)</f>
        <v>0.415739467</v>
      </c>
      <c r="D22" s="53">
        <f>IF(TYPE($A22)=1,"",(UpdateHashtag!N20-D$1)/D$2)</f>
        <v>-0.6593058662</v>
      </c>
      <c r="E22" s="53">
        <f>IF(TYPE($A22)=1,"",(UpdateHashtag!O20-E$1)/E$2)</f>
        <v>0.8124492689</v>
      </c>
      <c r="F22" s="53">
        <f>IF(TYPE($A22)=1,"",(UpdateHashtag!P20-F$1)/F$2)</f>
        <v>-0.1376973632</v>
      </c>
      <c r="G22" s="53">
        <f>IF(TYPE($A22)=1,"",(UpdateHashtag!Q20-G$1)/G$2)</f>
        <v>-0.600341486</v>
      </c>
      <c r="H22" s="53">
        <f>IF(TYPE($A22)=1,"",(UpdateHashtag!I20-H$1)/H$2*I22/$I$1)</f>
        <v>-3.129259778</v>
      </c>
      <c r="I22" s="53">
        <f>UpdateHashtag!S20</f>
        <v>20.1</v>
      </c>
      <c r="J22" s="58">
        <f>IF(TYPE($A22)=1,"",(UpdateHashtag!K20-J$1)/J$2*K22/$K$1)</f>
        <v>9.220871644</v>
      </c>
      <c r="K22" s="59">
        <f>UpdateHashtag!T20</f>
        <v>6.8</v>
      </c>
      <c r="L22" s="53">
        <f>IF(TYPE($A22)=1,"",-(UpdateHashtag!R20-L$1)/L$2)</f>
        <v>-0.9436546835</v>
      </c>
      <c r="M22" t="s">
        <v>9</v>
      </c>
      <c r="N22" s="106">
        <f t="shared" si="3"/>
        <v>9.482325824</v>
      </c>
      <c r="O22" s="106">
        <f t="shared" si="4"/>
        <v>2</v>
      </c>
      <c r="P22" s="163" t="str">
        <f t="array" ref="P22">INDIRECT("Update"&amp;Projections!$AG$11&amp;"!B"&amp;ROW(B3))</f>
        <v/>
      </c>
      <c r="Q22" s="164" t="str">
        <f t="array" ref="Q22">INDIRECT("Update"&amp;Projections!$AG$11&amp;"!C"&amp;ROW(B3))</f>
        <v>Nikola Jokic</v>
      </c>
      <c r="R22" s="163">
        <f>UpdateBBM!F3</f>
        <v>73</v>
      </c>
      <c r="S22" s="165" t="str">
        <f t="array" ref="S22">INDIRECT("Update"&amp;Projections!$AG$11&amp;"!D"&amp;ROW(B3))</f>
        <v>C</v>
      </c>
      <c r="T22" s="144">
        <f t="shared" si="5"/>
        <v>9.482325824</v>
      </c>
      <c r="U22" s="144">
        <f>SUM(AF22:AN22)-IFERROR(IFS(Projections!$I$11,AO22,Projections!$J$11,AP22),"")</f>
        <v>9.821236891</v>
      </c>
      <c r="V22" s="144">
        <f t="shared" si="6"/>
        <v>0.3389110667</v>
      </c>
      <c r="W22" s="144">
        <f t="array" ref="W22">INDIRECT("Update"&amp;Projections!$AG$11&amp;"!M"&amp;ROW(B3))</f>
        <v>27.67616</v>
      </c>
      <c r="X22" s="144">
        <f t="array" ref="X22">INDIRECT("Update"&amp;Projections!$AG$11&amp;"!L"&amp;ROW(B3))</f>
        <v>1.596849</v>
      </c>
      <c r="Y22" s="144">
        <f t="array" ref="Y22">INDIRECT("Update"&amp;Projections!$AG$11&amp;"!N"&amp;ROW(B3))</f>
        <v>12.16205</v>
      </c>
      <c r="Z22" s="144">
        <f t="array" ref="Z22">INDIRECT("Update"&amp;Projections!$AG$11&amp;"!O"&amp;ROW(B3))</f>
        <v>8.994658</v>
      </c>
      <c r="AA22" s="144">
        <f t="array" ref="AA22">INDIRECT("Update"&amp;Projections!$AG$11&amp;"!P"&amp;ROW(B3))</f>
        <v>1.430822</v>
      </c>
      <c r="AB22" s="144">
        <f t="array" ref="AB22">INDIRECT("Update"&amp;Projections!$AG$11&amp;"!Q"&amp;ROW(B3))</f>
        <v>0.715479</v>
      </c>
      <c r="AC22" s="166">
        <f t="array" ref="AC22">INDIRECT("Update"&amp;Projections!$AG$11&amp;"!I"&amp;ROW(B3))</f>
        <v>0.585091</v>
      </c>
      <c r="AD22" s="166">
        <f t="array" ref="AD22">INDIRECT("Update"&amp;Projections!$AG$11&amp;"!K"&amp;ROW(B3))</f>
        <v>0.810004</v>
      </c>
      <c r="AE22" s="144">
        <f t="array" ref="AE22">INDIRECT("Update"&amp;Projections!$AG$11&amp;"!R"&amp;ROW(B3))</f>
        <v>3.115342</v>
      </c>
      <c r="AF22" s="144">
        <f t="shared" si="7"/>
        <v>1.842419662</v>
      </c>
      <c r="AG22" s="144">
        <f t="shared" si="8"/>
        <v>-0.166803938</v>
      </c>
      <c r="AH22" s="144">
        <f t="shared" si="9"/>
        <v>2.446533733</v>
      </c>
      <c r="AI22" s="144">
        <f t="shared" si="10"/>
        <v>2.519640364</v>
      </c>
      <c r="AJ22" s="144">
        <f t="shared" si="11"/>
        <v>1.175116376</v>
      </c>
      <c r="AK22" s="144">
        <f t="shared" si="12"/>
        <v>-0.02680311688</v>
      </c>
      <c r="AL22" s="144">
        <f t="shared" si="13"/>
        <v>1.580231574</v>
      </c>
      <c r="AM22" s="144">
        <f t="shared" si="14"/>
        <v>0.2840982983</v>
      </c>
      <c r="AN22" s="144">
        <f t="shared" si="15"/>
        <v>0</v>
      </c>
      <c r="AO22" s="167">
        <f t="shared" si="16"/>
        <v>-0.166803938</v>
      </c>
      <c r="AP22" s="167">
        <f t="shared" si="17"/>
        <v>-0.1936070549</v>
      </c>
      <c r="AQ22" s="167">
        <f t="array" ref="AQ22">INDIRECT("Update"&amp;Projections!$AG$11&amp;"!S"&amp;ROW(B3))</f>
        <v>0.585091</v>
      </c>
      <c r="AR22" s="167">
        <f t="array" ref="AR22">INDIRECT("Update"&amp;Projections!$AG$11&amp;"!T"&amp;ROW(B3))</f>
        <v>0.810004</v>
      </c>
    </row>
    <row r="23">
      <c r="A23" s="50" t="str">
        <f>IF(UpdateHashtag!C21="",ROW(UpdateHashtag!C21),UpdateHashtag!C21)</f>
        <v>LaMelo Ball</v>
      </c>
      <c r="B23" s="53">
        <f>IF(TYPE($A23)=1,"",(UpdateHashtag!M21-B$1)/B$2)</f>
        <v>1.05711046</v>
      </c>
      <c r="C23" s="53">
        <f>IF(TYPE($A23)=1,"",(UpdateHashtag!L21-C$1)/C$2)</f>
        <v>1.767906283</v>
      </c>
      <c r="D23" s="53">
        <f>IF(TYPE($A23)=1,"",(UpdateHashtag!N21-D$1)/D$2)</f>
        <v>-0.1728815386</v>
      </c>
      <c r="E23" s="53">
        <f>IF(TYPE($A23)=1,"",(UpdateHashtag!O21-E$1)/E$2)</f>
        <v>2.32684421</v>
      </c>
      <c r="F23" s="53">
        <f>IF(TYPE($A23)=1,"",(UpdateHashtag!P21-F$1)/F$2)</f>
        <v>1.69064066</v>
      </c>
      <c r="G23" s="53">
        <f>IF(TYPE($A23)=1,"",(UpdateHashtag!Q21-G$1)/G$2)</f>
        <v>-0.7821407085</v>
      </c>
      <c r="H23" s="53">
        <f>IF(TYPE($A23)=1,"",(UpdateHashtag!I21-H$1)/H$2*I23/$I$1)</f>
        <v>-39.32529043</v>
      </c>
      <c r="I23" s="53">
        <f>UpdateHashtag!S21</f>
        <v>19.2</v>
      </c>
      <c r="J23" s="58">
        <f>IF(TYPE($A23)=1,"",(UpdateHashtag!K21-J$1)/J$2*K23/$K$1)</f>
        <v>4.072540926</v>
      </c>
      <c r="K23" s="59">
        <f>UpdateHashtag!T21</f>
        <v>3.7</v>
      </c>
      <c r="L23" s="53">
        <f>IF(TYPE($A23)=1,"",-(UpdateHashtag!R21-L$1)/L$2)</f>
        <v>-1.737197515</v>
      </c>
      <c r="M23" t="s">
        <v>15</v>
      </c>
      <c r="N23" s="106">
        <f t="shared" si="3"/>
        <v>7.082632868</v>
      </c>
      <c r="O23" s="106">
        <f t="shared" si="4"/>
        <v>4</v>
      </c>
      <c r="P23" s="163" t="str">
        <f t="array" ref="P23">INDIRECT("Update"&amp;Projections!$AG$11&amp;"!B"&amp;ROW(B4))</f>
        <v/>
      </c>
      <c r="Q23" s="164" t="str">
        <f t="array" ref="Q23">INDIRECT("Update"&amp;Projections!$AG$11&amp;"!C"&amp;ROW(B4))</f>
        <v>Shai Gilgeous-Alexander</v>
      </c>
      <c r="R23" s="163">
        <f>UpdateBBM!F4</f>
        <v>73</v>
      </c>
      <c r="S23" s="165" t="str">
        <f t="array" ref="S23">INDIRECT("Update"&amp;Projections!$AG$11&amp;"!D"&amp;ROW(B4))</f>
        <v>G</v>
      </c>
      <c r="T23" s="144">
        <f t="shared" si="5"/>
        <v>6.761339092</v>
      </c>
      <c r="U23" s="144">
        <f>SUM(AF23:AN23)-IFERROR(IFS(Projections!$I$11,AO23,Projections!$J$11,AP23),"")</f>
        <v>6.779843849</v>
      </c>
      <c r="V23" s="144">
        <f t="shared" si="6"/>
        <v>0.01850475754</v>
      </c>
      <c r="W23" s="144">
        <f t="array" ref="W23">INDIRECT("Update"&amp;Projections!$AG$11&amp;"!M"&amp;ROW(B4))</f>
        <v>30.51822</v>
      </c>
      <c r="X23" s="144">
        <f t="array" ref="X23">INDIRECT("Update"&amp;Projections!$AG$11&amp;"!L"&amp;ROW(B4))</f>
        <v>1.935479</v>
      </c>
      <c r="Y23" s="144">
        <f t="array" ref="Y23">INDIRECT("Update"&amp;Projections!$AG$11&amp;"!N"&amp;ROW(B4))</f>
        <v>4.558082</v>
      </c>
      <c r="Z23" s="144">
        <f t="array" ref="Z23">INDIRECT("Update"&amp;Projections!$AG$11&amp;"!O"&amp;ROW(B4))</f>
        <v>6.030685</v>
      </c>
      <c r="AA23" s="144">
        <f t="array" ref="AA23">INDIRECT("Update"&amp;Projections!$AG$11&amp;"!P"&amp;ROW(B4))</f>
        <v>1.462877</v>
      </c>
      <c r="AB23" s="144">
        <f t="array" ref="AB23">INDIRECT("Update"&amp;Projections!$AG$11&amp;"!Q"&amp;ROW(B4))</f>
        <v>0.91589</v>
      </c>
      <c r="AC23" s="166">
        <f t="array" ref="AC23">INDIRECT("Update"&amp;Projections!$AG$11&amp;"!I"&amp;ROW(B4))</f>
        <v>0.505971</v>
      </c>
      <c r="AD23" s="166">
        <f t="array" ref="AD23">INDIRECT("Update"&amp;Projections!$AG$11&amp;"!K"&amp;ROW(B4))</f>
        <v>0.889004</v>
      </c>
      <c r="AE23" s="144">
        <f t="array" ref="AE23">INDIRECT("Update"&amp;Projections!$AG$11&amp;"!R"&amp;ROW(B4))</f>
        <v>1.823288</v>
      </c>
      <c r="AF23" s="144">
        <f t="shared" si="7"/>
        <v>2.341038092</v>
      </c>
      <c r="AG23" s="144">
        <f t="shared" si="8"/>
        <v>0.1602562397</v>
      </c>
      <c r="AH23" s="144">
        <f t="shared" si="9"/>
        <v>-0.635762118</v>
      </c>
      <c r="AI23" s="144">
        <f t="shared" si="10"/>
        <v>1.071696585</v>
      </c>
      <c r="AJ23" s="144">
        <f t="shared" si="11"/>
        <v>1.272795335</v>
      </c>
      <c r="AK23" s="144">
        <f t="shared" si="12"/>
        <v>0.3375425229</v>
      </c>
      <c r="AL23" s="144">
        <f t="shared" si="13"/>
        <v>0.1639756593</v>
      </c>
      <c r="AM23" s="144">
        <f t="shared" si="14"/>
        <v>1.432539415</v>
      </c>
      <c r="AN23" s="144">
        <f t="shared" si="15"/>
        <v>0</v>
      </c>
      <c r="AO23" s="167">
        <f t="shared" si="16"/>
        <v>-0.635762118</v>
      </c>
      <c r="AP23" s="167">
        <f t="shared" si="17"/>
        <v>-0.635762118</v>
      </c>
      <c r="AQ23" s="167">
        <f t="array" ref="AQ23">INDIRECT("Update"&amp;Projections!$AG$11&amp;"!S"&amp;ROW(B4))</f>
        <v>0.505971</v>
      </c>
      <c r="AR23" s="167">
        <f t="array" ref="AR23">INDIRECT("Update"&amp;Projections!$AG$11&amp;"!T"&amp;ROW(B4))</f>
        <v>0.889004</v>
      </c>
    </row>
    <row r="24">
      <c r="A24" s="50" t="str">
        <f>IF(UpdateHashtag!C22="",ROW(UpdateHashtag!C22),UpdateHashtag!C22)</f>
        <v>Karl-Anthony Towns</v>
      </c>
      <c r="B24" s="53">
        <f>IF(TYPE($A24)=1,"",(UpdateHashtag!M22-B$1)/B$2)</f>
        <v>0.741313759</v>
      </c>
      <c r="C24" s="53">
        <f>IF(TYPE($A24)=1,"",(UpdateHashtag!L22-C$1)/C$2)</f>
        <v>0.415739467</v>
      </c>
      <c r="D24" s="53">
        <f>IF(TYPE($A24)=1,"",(UpdateHashtag!N22-D$1)/D$2)</f>
        <v>1.367462165</v>
      </c>
      <c r="E24" s="53">
        <f>IF(TYPE($A24)=1,"",(UpdateHashtag!O22-E$1)/E$2)</f>
        <v>-0.2622826247</v>
      </c>
      <c r="F24" s="53">
        <f>IF(TYPE($A24)=1,"",(UpdateHashtag!P22-F$1)/F$2)</f>
        <v>-1.051866375</v>
      </c>
      <c r="G24" s="53">
        <f>IF(TYPE($A24)=1,"",(UpdateHashtag!Q22-G$1)/G$2)</f>
        <v>0.490453849</v>
      </c>
      <c r="H24" s="53">
        <f>IF(TYPE($A24)=1,"",(UpdateHashtag!I22-H$1)/H$2*I24/$I$1)</f>
        <v>2.586348493</v>
      </c>
      <c r="I24" s="53">
        <f>UpdateHashtag!S22</f>
        <v>14.8</v>
      </c>
      <c r="J24" s="58">
        <f>IF(TYPE($A24)=1,"",(UpdateHashtag!K22-J$1)/J$2*K24/$K$1)</f>
        <v>6.915653733</v>
      </c>
      <c r="K24" s="59">
        <f>UpdateHashtag!T22</f>
        <v>5.1</v>
      </c>
      <c r="L24" s="53">
        <f>IF(TYPE($A24)=1,"",-(UpdateHashtag!R22-L$1)/L$2)</f>
        <v>-1.142040391</v>
      </c>
      <c r="M24" t="s">
        <v>50</v>
      </c>
      <c r="N24" s="106">
        <f t="shared" si="3"/>
        <v>6.761339092</v>
      </c>
      <c r="O24" s="106">
        <f t="shared" si="4"/>
        <v>3</v>
      </c>
      <c r="P24" s="163" t="str">
        <f t="array" ref="P24">INDIRECT("Update"&amp;Projections!$AG$11&amp;"!B"&amp;ROW(B5))</f>
        <v/>
      </c>
      <c r="Q24" s="164" t="str">
        <f t="array" ref="Q24">INDIRECT("Update"&amp;Projections!$AG$11&amp;"!C"&amp;ROW(B5))</f>
        <v>Luka Doncic</v>
      </c>
      <c r="R24" s="163">
        <f>UpdateBBM!F5</f>
        <v>68</v>
      </c>
      <c r="S24" s="165" t="str">
        <f t="array" ref="S24">INDIRECT("Update"&amp;Projections!$AG$11&amp;"!D"&amp;ROW(B5))</f>
        <v>G</v>
      </c>
      <c r="T24" s="144">
        <f t="shared" si="5"/>
        <v>7.082632868</v>
      </c>
      <c r="U24" s="144">
        <f>SUM(AF24:AN24)-IFERROR(IFS(Projections!$I$11,AO24,Projections!$J$11,AP24),"")</f>
        <v>7.50566369</v>
      </c>
      <c r="V24" s="144">
        <f t="shared" si="6"/>
        <v>0.4230308225</v>
      </c>
      <c r="W24" s="144">
        <f t="array" ref="W24">INDIRECT("Update"&amp;Projections!$AG$11&amp;"!M"&amp;ROW(B5))</f>
        <v>29.94368</v>
      </c>
      <c r="X24" s="144">
        <f t="array" ref="X24">INDIRECT("Update"&amp;Projections!$AG$11&amp;"!L"&amp;ROW(B5))</f>
        <v>3.678088</v>
      </c>
      <c r="Y24" s="144">
        <f t="array" ref="Y24">INDIRECT("Update"&amp;Projections!$AG$11&amp;"!N"&amp;ROW(B5))</f>
        <v>7.791029</v>
      </c>
      <c r="Z24" s="144">
        <f t="array" ref="Z24">INDIRECT("Update"&amp;Projections!$AG$11&amp;"!O"&amp;ROW(B5))</f>
        <v>7.497059</v>
      </c>
      <c r="AA24" s="144">
        <f t="array" ref="AA24">INDIRECT("Update"&amp;Projections!$AG$11&amp;"!P"&amp;ROW(B5))</f>
        <v>1.47</v>
      </c>
      <c r="AB24" s="144">
        <f t="array" ref="AB24">INDIRECT("Update"&amp;Projections!$AG$11&amp;"!Q"&amp;ROW(B5))</f>
        <v>0.44</v>
      </c>
      <c r="AC24" s="166">
        <f t="array" ref="AC24">INDIRECT("Update"&amp;Projections!$AG$11&amp;"!I"&amp;ROW(B5))</f>
        <v>0.468707</v>
      </c>
      <c r="AD24" s="166">
        <f t="array" ref="AD24">INDIRECT("Update"&amp;Projections!$AG$11&amp;"!K"&amp;ROW(B5))</f>
        <v>0.791004</v>
      </c>
      <c r="AE24" s="144">
        <f t="array" ref="AE24">INDIRECT("Update"&amp;Projections!$AG$11&amp;"!R"&amp;ROW(B5))</f>
        <v>3.454559</v>
      </c>
      <c r="AF24" s="144">
        <f t="shared" si="7"/>
        <v>2.240239294</v>
      </c>
      <c r="AG24" s="144">
        <f t="shared" si="8"/>
        <v>1.843326284</v>
      </c>
      <c r="AH24" s="144">
        <f t="shared" si="9"/>
        <v>0.6747246073</v>
      </c>
      <c r="AI24" s="144">
        <f t="shared" si="10"/>
        <v>1.788041542</v>
      </c>
      <c r="AJ24" s="144">
        <f t="shared" si="11"/>
        <v>1.294500755</v>
      </c>
      <c r="AK24" s="144">
        <f t="shared" si="12"/>
        <v>-0.527621797</v>
      </c>
      <c r="AL24" s="144">
        <f t="shared" si="13"/>
        <v>-0.3727730402</v>
      </c>
      <c r="AM24" s="144">
        <f t="shared" si="14"/>
        <v>0.03760424822</v>
      </c>
      <c r="AN24" s="144">
        <f t="shared" si="15"/>
        <v>0</v>
      </c>
      <c r="AO24" s="167">
        <f t="shared" si="16"/>
        <v>-0.527621797</v>
      </c>
      <c r="AP24" s="167">
        <f t="shared" si="17"/>
        <v>-0.9003948372</v>
      </c>
      <c r="AQ24" s="167">
        <f t="array" ref="AQ24">INDIRECT("Update"&amp;Projections!$AG$11&amp;"!S"&amp;ROW(B5))</f>
        <v>0.468707</v>
      </c>
      <c r="AR24" s="167">
        <f t="array" ref="AR24">INDIRECT("Update"&amp;Projections!$AG$11&amp;"!T"&amp;ROW(B5))</f>
        <v>0.791004</v>
      </c>
    </row>
    <row r="25">
      <c r="A25" s="50" t="str">
        <f>IF(UpdateHashtag!C23="",ROW(UpdateHashtag!C23),UpdateHashtag!C23)</f>
        <v>Domantas Sabonis</v>
      </c>
      <c r="B25" s="53">
        <f>IF(TYPE($A25)=1,"",(UpdateHashtag!M23-B$1)/B$2)</f>
        <v>0.285162968</v>
      </c>
      <c r="C25" s="53">
        <f>IF(TYPE($A25)=1,"",(UpdateHashtag!L23-C$1)/C$2)</f>
        <v>-1.322760725</v>
      </c>
      <c r="D25" s="53">
        <f>IF(TYPE($A25)=1,"",(UpdateHashtag!N23-D$1)/D$2)</f>
        <v>2.867270508</v>
      </c>
      <c r="E25" s="53">
        <f>IF(TYPE($A25)=1,"",(UpdateHashtag!O23-E$1)/E$2)</f>
        <v>1.984884062</v>
      </c>
      <c r="F25" s="53">
        <f>IF(TYPE($A25)=1,"",(UpdateHashtag!P23-F$1)/F$2)</f>
        <v>-0.442420367</v>
      </c>
      <c r="G25" s="53">
        <f>IF(TYPE($A25)=1,"",(UpdateHashtag!Q23-G$1)/G$2)</f>
        <v>-0.236743041</v>
      </c>
      <c r="H25" s="53">
        <f>IF(TYPE($A25)=1,"",(UpdateHashtag!I23-H$1)/H$2*I25/$I$1)</f>
        <v>38.09919571</v>
      </c>
      <c r="I25" s="53">
        <f>UpdateHashtag!S23</f>
        <v>12.1</v>
      </c>
      <c r="J25" s="58">
        <f>IF(TYPE($A25)=1,"",(UpdateHashtag!K23-J$1)/J$2*K25/$K$1)</f>
        <v>-5.430966872</v>
      </c>
      <c r="K25" s="59">
        <f>UpdateHashtag!T23</f>
        <v>5.4</v>
      </c>
      <c r="L25" s="53">
        <f>IF(TYPE($A25)=1,"",-(UpdateHashtag!R23-L$1)/L$2)</f>
        <v>-1.439618953</v>
      </c>
      <c r="M25" t="s">
        <v>51</v>
      </c>
      <c r="N25" s="106">
        <f t="shared" si="3"/>
        <v>6.561425854</v>
      </c>
      <c r="O25" s="106">
        <f t="shared" si="4"/>
        <v>13</v>
      </c>
      <c r="P25" s="163" t="str">
        <f t="array" ref="P25">INDIRECT("Update"&amp;Projections!$AG$11&amp;"!B"&amp;ROW(B6))</f>
        <v/>
      </c>
      <c r="Q25" s="164" t="str">
        <f t="array" ref="Q25">INDIRECT("Update"&amp;Projections!$AG$11&amp;"!C"&amp;ROW(B6))</f>
        <v>Kawhi Leonard</v>
      </c>
      <c r="R25" s="163">
        <f>UpdateBBM!F6</f>
        <v>60</v>
      </c>
      <c r="S25" s="165" t="str">
        <f t="array" ref="S25">INDIRECT("Update"&amp;Projections!$AG$11&amp;"!D"&amp;ROW(B6))</f>
        <v>F</v>
      </c>
      <c r="T25" s="144">
        <f t="shared" si="5"/>
        <v>4.609087691</v>
      </c>
      <c r="U25" s="144">
        <f>SUM(AF25:AN25)-IFERROR(IFS(Projections!$I$11,AO25,Projections!$J$11,AP25),"")</f>
        <v>4.618428269</v>
      </c>
      <c r="V25" s="144">
        <f t="shared" si="6"/>
        <v>0.009340577749</v>
      </c>
      <c r="W25" s="144">
        <f t="array" ref="W25">INDIRECT("Update"&amp;Projections!$AG$11&amp;"!M"&amp;ROW(B6))</f>
        <v>24.568</v>
      </c>
      <c r="X25" s="144">
        <f t="array" ref="X25">INDIRECT("Update"&amp;Projections!$AG$11&amp;"!L"&amp;ROW(B6))</f>
        <v>2.273333</v>
      </c>
      <c r="Y25" s="144">
        <f t="array" ref="Y25">INDIRECT("Update"&amp;Projections!$AG$11&amp;"!N"&amp;ROW(B6))</f>
        <v>6.321167</v>
      </c>
      <c r="Z25" s="144">
        <f t="array" ref="Z25">INDIRECT("Update"&amp;Projections!$AG$11&amp;"!O"&amp;ROW(B6))</f>
        <v>3.1605</v>
      </c>
      <c r="AA25" s="144">
        <f t="array" ref="AA25">INDIRECT("Update"&amp;Projections!$AG$11&amp;"!P"&amp;ROW(B6))</f>
        <v>1.653333</v>
      </c>
      <c r="AB25" s="144">
        <f t="array" ref="AB25">INDIRECT("Update"&amp;Projections!$AG$11&amp;"!Q"&amp;ROW(B6))</f>
        <v>0.617167</v>
      </c>
      <c r="AC25" s="166">
        <f t="array" ref="AC25">INDIRECT("Update"&amp;Projections!$AG$11&amp;"!I"&amp;ROW(B6))</f>
        <v>0.504101</v>
      </c>
      <c r="AD25" s="166">
        <f t="array" ref="AD25">INDIRECT("Update"&amp;Projections!$AG$11&amp;"!K"&amp;ROW(B6))</f>
        <v>0.859017</v>
      </c>
      <c r="AE25" s="144">
        <f t="array" ref="AE25">INDIRECT("Update"&amp;Projections!$AG$11&amp;"!R"&amp;ROW(B6))</f>
        <v>1.786333</v>
      </c>
      <c r="AF25" s="144">
        <f t="shared" si="7"/>
        <v>1.297115954</v>
      </c>
      <c r="AG25" s="144">
        <f t="shared" si="8"/>
        <v>0.4865669307</v>
      </c>
      <c r="AH25" s="144">
        <f t="shared" si="9"/>
        <v>0.0789107449</v>
      </c>
      <c r="AI25" s="144">
        <f t="shared" si="10"/>
        <v>-0.330430397</v>
      </c>
      <c r="AJ25" s="144">
        <f t="shared" si="11"/>
        <v>1.853158579</v>
      </c>
      <c r="AK25" s="144">
        <f t="shared" si="12"/>
        <v>-0.2055335685</v>
      </c>
      <c r="AL25" s="144">
        <f t="shared" si="13"/>
        <v>0.1350520396</v>
      </c>
      <c r="AM25" s="144">
        <f t="shared" si="14"/>
        <v>0.9731575895</v>
      </c>
      <c r="AN25" s="144">
        <f t="shared" si="15"/>
        <v>0</v>
      </c>
      <c r="AO25" s="167">
        <f t="shared" si="16"/>
        <v>-0.330430397</v>
      </c>
      <c r="AP25" s="167">
        <f t="shared" si="17"/>
        <v>-0.5359639655</v>
      </c>
      <c r="AQ25" s="167">
        <f t="array" ref="AQ25">INDIRECT("Update"&amp;Projections!$AG$11&amp;"!S"&amp;ROW(B6))</f>
        <v>0.504101</v>
      </c>
      <c r="AR25" s="167">
        <f t="array" ref="AR25">INDIRECT("Update"&amp;Projections!$AG$11&amp;"!T"&amp;ROW(B6))</f>
        <v>0.859017</v>
      </c>
    </row>
    <row r="26">
      <c r="A26" s="50" t="str">
        <f>IF(UpdateHashtag!C24="",ROW(UpdateHashtag!C24),UpdateHashtag!C24)</f>
        <v>Lauri Markkanen</v>
      </c>
      <c r="B26" s="53">
        <f>IF(TYPE($A26)=1,"",(UpdateHashtag!M24-B$1)/B$2)</f>
        <v>1.285185856</v>
      </c>
      <c r="C26" s="53">
        <f>IF(TYPE($A26)=1,"",(UpdateHashtag!L24-C$1)/C$2)</f>
        <v>1.284989563</v>
      </c>
      <c r="D26" s="53">
        <f>IF(TYPE($A26)=1,"",(UpdateHashtag!N24-D$1)/D$2)</f>
        <v>0.9215731983</v>
      </c>
      <c r="E26" s="53">
        <f>IF(TYPE($A26)=1,"",(UpdateHashtag!O24-E$1)/E$2)</f>
        <v>-0.9462029206</v>
      </c>
      <c r="F26" s="53">
        <f>IF(TYPE($A26)=1,"",(UpdateHashtag!P24-F$1)/F$2)</f>
        <v>-0.7471433709</v>
      </c>
      <c r="G26" s="53">
        <f>IF(TYPE($A26)=1,"",(UpdateHashtag!Q24-G$1)/G$2)</f>
        <v>-0.4185422635</v>
      </c>
      <c r="H26" s="53">
        <f>IF(TYPE($A26)=1,"",(UpdateHashtag!I24-H$1)/H$2*I26/$I$1)</f>
        <v>-6.257970603</v>
      </c>
      <c r="I26" s="53">
        <f>UpdateHashtag!S24</f>
        <v>17.1</v>
      </c>
      <c r="J26" s="58">
        <f>IF(TYPE($A26)=1,"",(UpdateHashtag!K24-J$1)/J$2*K26/$K$1)</f>
        <v>8.576655628</v>
      </c>
      <c r="K26" s="59">
        <f>UpdateHashtag!T24</f>
        <v>5.6</v>
      </c>
      <c r="L26" s="53">
        <f>IF(TYPE($A26)=1,"",-(UpdateHashtag!R24-L$1)/L$2)</f>
        <v>0.04827385557</v>
      </c>
      <c r="M26" t="s">
        <v>52</v>
      </c>
      <c r="N26" s="106">
        <f t="shared" si="3"/>
        <v>5.693887491</v>
      </c>
      <c r="O26" s="106">
        <f t="shared" si="4"/>
        <v>7</v>
      </c>
      <c r="P26" s="163" t="str">
        <f t="array" ref="P26">INDIRECT("Update"&amp;Projections!$AG$11&amp;"!B"&amp;ROW(B7))</f>
        <v/>
      </c>
      <c r="Q26" s="164" t="str">
        <f t="array" ref="Q26">INDIRECT("Update"&amp;Projections!$AG$11&amp;"!C"&amp;ROW(B7))</f>
        <v>Stephen Curry</v>
      </c>
      <c r="R26" s="163">
        <f>UpdateBBM!F7</f>
        <v>68</v>
      </c>
      <c r="S26" s="165" t="str">
        <f t="array" ref="S26">INDIRECT("Update"&amp;Projections!$AG$11&amp;"!D"&amp;ROW(B7))</f>
        <v>G</v>
      </c>
      <c r="T26" s="144">
        <f t="shared" si="5"/>
        <v>5.645798593</v>
      </c>
      <c r="U26" s="144">
        <f>SUM(AF26:AN26)-IFERROR(IFS(Projections!$I$11,AO26,Projections!$J$11,AP26),"")</f>
        <v>5.903191981</v>
      </c>
      <c r="V26" s="144">
        <f t="shared" si="6"/>
        <v>0.2573933874</v>
      </c>
      <c r="W26" s="144">
        <f t="array" ref="W26">INDIRECT("Update"&amp;Projections!$AG$11&amp;"!M"&amp;ROW(B7))</f>
        <v>25.34912</v>
      </c>
      <c r="X26" s="144">
        <f t="array" ref="X26">INDIRECT("Update"&amp;Projections!$AG$11&amp;"!L"&amp;ROW(B7))</f>
        <v>4.625882</v>
      </c>
      <c r="Y26" s="144">
        <f t="array" ref="Y26">INDIRECT("Update"&amp;Projections!$AG$11&amp;"!N"&amp;ROW(B7))</f>
        <v>4.492059</v>
      </c>
      <c r="Z26" s="144">
        <f t="array" ref="Z26">INDIRECT("Update"&amp;Projections!$AG$11&amp;"!O"&amp;ROW(B7))</f>
        <v>5.887794</v>
      </c>
      <c r="AA26" s="144">
        <f t="array" ref="AA26">INDIRECT("Update"&amp;Projections!$AG$11&amp;"!P"&amp;ROW(B7))</f>
        <v>1.020882</v>
      </c>
      <c r="AB26" s="144">
        <f t="array" ref="AB26">INDIRECT("Update"&amp;Projections!$AG$11&amp;"!Q"&amp;ROW(B7))</f>
        <v>0.407647</v>
      </c>
      <c r="AC26" s="166">
        <f t="array" ref="AC26">INDIRECT("Update"&amp;Projections!$AG$11&amp;"!I"&amp;ROW(B7))</f>
        <v>0.453424</v>
      </c>
      <c r="AD26" s="166">
        <f t="array" ref="AD26">INDIRECT("Update"&amp;Projections!$AG$11&amp;"!K"&amp;ROW(B7))</f>
        <v>0.920009</v>
      </c>
      <c r="AE26" s="144">
        <f t="array" ref="AE26">INDIRECT("Update"&amp;Projections!$AG$11&amp;"!R"&amp;ROW(B7))</f>
        <v>2.786618</v>
      </c>
      <c r="AF26" s="144">
        <f t="shared" si="7"/>
        <v>1.434157687</v>
      </c>
      <c r="AG26" s="144">
        <f t="shared" si="8"/>
        <v>2.758737424</v>
      </c>
      <c r="AH26" s="144">
        <f t="shared" si="9"/>
        <v>-0.6625247791</v>
      </c>
      <c r="AI26" s="144">
        <f t="shared" si="10"/>
        <v>1.00189226</v>
      </c>
      <c r="AJ26" s="144">
        <f t="shared" si="11"/>
        <v>-0.07406510556</v>
      </c>
      <c r="AK26" s="144">
        <f t="shared" si="12"/>
        <v>-0.5864392995</v>
      </c>
      <c r="AL26" s="144">
        <f t="shared" si="13"/>
        <v>-0.5687843302</v>
      </c>
      <c r="AM26" s="144">
        <f t="shared" si="14"/>
        <v>1.937693346</v>
      </c>
      <c r="AN26" s="144">
        <f t="shared" si="15"/>
        <v>0</v>
      </c>
      <c r="AO26" s="167">
        <f t="shared" si="16"/>
        <v>-0.6625247791</v>
      </c>
      <c r="AP26" s="167">
        <f t="shared" si="17"/>
        <v>-1.248964079</v>
      </c>
      <c r="AQ26" s="167">
        <f t="array" ref="AQ26">INDIRECT("Update"&amp;Projections!$AG$11&amp;"!S"&amp;ROW(B7))</f>
        <v>0.453424</v>
      </c>
      <c r="AR26" s="167">
        <f t="array" ref="AR26">INDIRECT("Update"&amp;Projections!$AG$11&amp;"!T"&amp;ROW(B7))</f>
        <v>0.920009</v>
      </c>
    </row>
    <row r="27">
      <c r="A27" s="50" t="str">
        <f>IF(UpdateHashtag!C25="",ROW(UpdateHashtag!C25),UpdateHashtag!C25)</f>
        <v>Chet Holmgren</v>
      </c>
      <c r="B27" s="53">
        <f>IF(TYPE($A27)=1,"",(UpdateHashtag!M25-B$1)/B$2)</f>
        <v>0.03954331123</v>
      </c>
      <c r="C27" s="53">
        <f>IF(TYPE($A27)=1,"",(UpdateHashtag!L25-C$1)/C$2)</f>
        <v>-0.06717725286</v>
      </c>
      <c r="D27" s="53">
        <f>IF(TYPE($A27)=1,"",(UpdateHashtag!N25-D$1)/D$2)</f>
        <v>0.7999671164</v>
      </c>
      <c r="E27" s="53">
        <f>IF(TYPE($A27)=1,"",(UpdateHashtag!O25-E$1)/E$2)</f>
        <v>-0.6042427726</v>
      </c>
      <c r="F27" s="53">
        <f>IF(TYPE($A27)=1,"",(UpdateHashtag!P25-F$1)/F$2)</f>
        <v>-1.051866375</v>
      </c>
      <c r="G27" s="53">
        <f>IF(TYPE($A27)=1,"",(UpdateHashtag!Q25-G$1)/G$2)</f>
        <v>2.853843741</v>
      </c>
      <c r="H27" s="53">
        <f>IF(TYPE($A27)=1,"",(UpdateHashtag!I25-H$1)/H$2*I27/$I$1)</f>
        <v>12.76007258</v>
      </c>
      <c r="I27" s="53">
        <f>UpdateHashtag!S25</f>
        <v>12.2</v>
      </c>
      <c r="J27" s="58">
        <f>IF(TYPE($A27)=1,"",(UpdateHashtag!K25-J$1)/J$2*K27/$K$1)</f>
        <v>0.2778703912</v>
      </c>
      <c r="K27" s="59">
        <f>UpdateHashtag!T25</f>
        <v>3.5</v>
      </c>
      <c r="L27" s="53">
        <f>IF(TYPE($A27)=1,"",-(UpdateHashtag!R25-L$1)/L$2)</f>
        <v>0.04827385557</v>
      </c>
      <c r="M27" t="s">
        <v>53</v>
      </c>
      <c r="N27" s="106">
        <f t="shared" si="3"/>
        <v>5.645798593</v>
      </c>
      <c r="O27" s="106">
        <f t="shared" si="4"/>
        <v>9</v>
      </c>
      <c r="P27" s="163" t="str">
        <f t="array" ref="P27">INDIRECT("Update"&amp;Projections!$AG$11&amp;"!B"&amp;ROW(B8))</f>
        <v/>
      </c>
      <c r="Q27" s="164" t="str">
        <f t="array" ref="Q27">INDIRECT("Update"&amp;Projections!$AG$11&amp;"!C"&amp;ROW(B8))</f>
        <v>Anthony Davis</v>
      </c>
      <c r="R27" s="163">
        <f>UpdateBBM!F8</f>
        <v>62</v>
      </c>
      <c r="S27" s="165" t="str">
        <f t="array" ref="S27">INDIRECT("Update"&amp;Projections!$AG$11&amp;"!D"&amp;ROW(B8))</f>
        <v>F,C</v>
      </c>
      <c r="T27" s="144">
        <f t="shared" si="5"/>
        <v>5.14223835</v>
      </c>
      <c r="U27" s="144">
        <f>SUM(AF27:AN27)-IFERROR(IFS(Projections!$I$11,AO27,Projections!$J$11,AP27),"")</f>
        <v>5.400510338</v>
      </c>
      <c r="V27" s="144">
        <f t="shared" si="6"/>
        <v>0.2582719881</v>
      </c>
      <c r="W27" s="144">
        <f t="array" ref="W27">INDIRECT("Update"&amp;Projections!$AG$11&amp;"!M"&amp;ROW(B8))</f>
        <v>22.60968</v>
      </c>
      <c r="X27" s="144">
        <f t="array" ref="X27">INDIRECT("Update"&amp;Projections!$AG$11&amp;"!L"&amp;ROW(B8))</f>
        <v>0.879677</v>
      </c>
      <c r="Y27" s="144">
        <f t="array" ref="Y27">INDIRECT("Update"&amp;Projections!$AG$11&amp;"!N"&amp;ROW(B8))</f>
        <v>10.01581</v>
      </c>
      <c r="Z27" s="144">
        <f t="array" ref="Z27">INDIRECT("Update"&amp;Projections!$AG$11&amp;"!O"&amp;ROW(B8))</f>
        <v>4.149355</v>
      </c>
      <c r="AA27" s="144">
        <f t="array" ref="AA27">INDIRECT("Update"&amp;Projections!$AG$11&amp;"!P"&amp;ROW(B8))</f>
        <v>1.227258</v>
      </c>
      <c r="AB27" s="144">
        <f t="array" ref="AB27">INDIRECT("Update"&amp;Projections!$AG$11&amp;"!Q"&amp;ROW(B8))</f>
        <v>2.074677</v>
      </c>
      <c r="AC27" s="166">
        <f t="array" ref="AC27">INDIRECT("Update"&amp;Projections!$AG$11&amp;"!I"&amp;ROW(B8))</f>
        <v>0.494364</v>
      </c>
      <c r="AD27" s="166">
        <f t="array" ref="AD27">INDIRECT("Update"&amp;Projections!$AG$11&amp;"!K"&amp;ROW(B8))</f>
        <v>0.766012</v>
      </c>
      <c r="AE27" s="144">
        <f t="array" ref="AE27">INDIRECT("Update"&amp;Projections!$AG$11&amp;"!R"&amp;ROW(B8))</f>
        <v>2.790161</v>
      </c>
      <c r="AF27" s="144">
        <f t="shared" si="7"/>
        <v>0.9535431778</v>
      </c>
      <c r="AG27" s="144">
        <f t="shared" si="8"/>
        <v>-0.8594726377</v>
      </c>
      <c r="AH27" s="144">
        <f t="shared" si="9"/>
        <v>1.576547609</v>
      </c>
      <c r="AI27" s="144">
        <f t="shared" si="10"/>
        <v>0.152639606</v>
      </c>
      <c r="AJ27" s="144">
        <f t="shared" si="11"/>
        <v>0.5548100408</v>
      </c>
      <c r="AK27" s="144">
        <f t="shared" si="12"/>
        <v>2.444208279</v>
      </c>
      <c r="AL27" s="144">
        <f t="shared" si="13"/>
        <v>-0.01215683688</v>
      </c>
      <c r="AM27" s="144">
        <f t="shared" si="14"/>
        <v>-0.2690815377</v>
      </c>
      <c r="AN27" s="144">
        <f t="shared" si="15"/>
        <v>0</v>
      </c>
      <c r="AO27" s="167">
        <f t="shared" si="16"/>
        <v>-0.8594726377</v>
      </c>
      <c r="AP27" s="167">
        <f t="shared" si="17"/>
        <v>-1.128554175</v>
      </c>
      <c r="AQ27" s="167">
        <f t="array" ref="AQ27">INDIRECT("Update"&amp;Projections!$AG$11&amp;"!S"&amp;ROW(B8))</f>
        <v>0.494364</v>
      </c>
      <c r="AR27" s="167">
        <f t="array" ref="AR27">INDIRECT("Update"&amp;Projections!$AG$11&amp;"!T"&amp;ROW(B8))</f>
        <v>0.766012</v>
      </c>
    </row>
    <row r="28">
      <c r="A28" s="50" t="str">
        <f>IF(UpdateHashtag!C26="",ROW(UpdateHashtag!C26),UpdateHashtag!C26)</f>
        <v>Jalen Brunson</v>
      </c>
      <c r="B28" s="53">
        <f>IF(TYPE($A28)=1,"",(UpdateHashtag!M26-B$1)/B$2)</f>
        <v>1.846602214</v>
      </c>
      <c r="C28" s="53">
        <f>IF(TYPE($A28)=1,"",(UpdateHashtag!L26-C$1)/C$2)</f>
        <v>0.8986561869</v>
      </c>
      <c r="D28" s="53">
        <f>IF(TYPE($A28)=1,"",(UpdateHashtag!N26-D$1)/D$2)</f>
        <v>-0.9835887512</v>
      </c>
      <c r="E28" s="53">
        <f>IF(TYPE($A28)=1,"",(UpdateHashtag!O26-E$1)/E$2)</f>
        <v>1.545221015</v>
      </c>
      <c r="F28" s="53">
        <f>IF(TYPE($A28)=1,"",(UpdateHashtag!P26-F$1)/F$2)</f>
        <v>-0.442420367</v>
      </c>
      <c r="G28" s="53">
        <f>IF(TYPE($A28)=1,"",(UpdateHashtag!Q26-G$1)/G$2)</f>
        <v>-0.963939931</v>
      </c>
      <c r="H28" s="53">
        <f>IF(TYPE($A28)=1,"",(UpdateHashtag!I26-H$1)/H$2*I28/$I$1)</f>
        <v>-6.819244803</v>
      </c>
      <c r="I28" s="53">
        <f>UpdateHashtag!S26</f>
        <v>20.3</v>
      </c>
      <c r="J28" s="58">
        <f>IF(TYPE($A28)=1,"",(UpdateHashtag!K26-J$1)/J$2*K28/$K$1)</f>
        <v>5.206063762</v>
      </c>
      <c r="K28" s="59">
        <f>UpdateHashtag!T26</f>
        <v>6.4</v>
      </c>
      <c r="L28" s="53">
        <f>IF(TYPE($A28)=1,"",-(UpdateHashtag!R26-L$1)/L$2)</f>
        <v>-0.5468832679</v>
      </c>
      <c r="M28" t="s">
        <v>54</v>
      </c>
      <c r="N28" s="106">
        <f t="shared" si="3"/>
        <v>5.187333301</v>
      </c>
      <c r="O28" s="106">
        <f t="shared" si="4"/>
        <v>31</v>
      </c>
      <c r="P28" s="163" t="str">
        <f t="array" ref="P28">INDIRECT("Update"&amp;Projections!$AG$11&amp;"!B"&amp;ROW(B9))</f>
        <v/>
      </c>
      <c r="Q28" s="164" t="str">
        <f t="array" ref="Q28">INDIRECT("Update"&amp;Projections!$AG$11&amp;"!C"&amp;ROW(B9))</f>
        <v>Kristaps Porzingis</v>
      </c>
      <c r="R28" s="163">
        <f>UpdateBBM!F9</f>
        <v>55</v>
      </c>
      <c r="S28" s="165" t="str">
        <f t="array" ref="S28">INDIRECT("Update"&amp;Projections!$AG$11&amp;"!D"&amp;ROW(B9))</f>
        <v>C</v>
      </c>
      <c r="T28" s="144">
        <f t="shared" si="5"/>
        <v>3.282134545</v>
      </c>
      <c r="U28" s="144">
        <f>SUM(AF28:AN28)-IFERROR(IFS(Projections!$I$11,AO28,Projections!$J$11,AP28),"")</f>
        <v>3.191298028</v>
      </c>
      <c r="V28" s="144">
        <f t="shared" si="6"/>
        <v>-0.09083651725</v>
      </c>
      <c r="W28" s="144">
        <f t="array" ref="W28">INDIRECT("Update"&amp;Projections!$AG$11&amp;"!M"&amp;ROW(B9))</f>
        <v>21.42764</v>
      </c>
      <c r="X28" s="144">
        <f t="array" ref="X28">INDIRECT("Update"&amp;Projections!$AG$11&amp;"!L"&amp;ROW(B9))</f>
        <v>2.510909</v>
      </c>
      <c r="Y28" s="144">
        <f t="array" ref="Y28">INDIRECT("Update"&amp;Projections!$AG$11&amp;"!N"&amp;ROW(B9))</f>
        <v>7.54</v>
      </c>
      <c r="Z28" s="144">
        <f t="array" ref="Z28">INDIRECT("Update"&amp;Projections!$AG$11&amp;"!O"&amp;ROW(B9))</f>
        <v>2.136364</v>
      </c>
      <c r="AA28" s="144">
        <f t="array" ref="AA28">INDIRECT("Update"&amp;Projections!$AG$11&amp;"!P"&amp;ROW(B9))</f>
        <v>0.762545</v>
      </c>
      <c r="AB28" s="144">
        <f t="array" ref="AB28">INDIRECT("Update"&amp;Projections!$AG$11&amp;"!Q"&amp;ROW(B9))</f>
        <v>1.633636</v>
      </c>
      <c r="AC28" s="166">
        <f t="array" ref="AC28">INDIRECT("Update"&amp;Projections!$AG$11&amp;"!I"&amp;ROW(B9))</f>
        <v>0.470257</v>
      </c>
      <c r="AD28" s="166">
        <f t="array" ref="AD28">INDIRECT("Update"&amp;Projections!$AG$11&amp;"!K"&amp;ROW(B9))</f>
        <v>0.839992</v>
      </c>
      <c r="AE28" s="144">
        <f t="array" ref="AE28">INDIRECT("Update"&amp;Projections!$AG$11&amp;"!R"&amp;ROW(B9))</f>
        <v>1.382364</v>
      </c>
      <c r="AF28" s="144">
        <f t="shared" si="7"/>
        <v>0.7461629928</v>
      </c>
      <c r="AG28" s="144">
        <f t="shared" si="8"/>
        <v>0.716025776</v>
      </c>
      <c r="AH28" s="144">
        <f t="shared" si="9"/>
        <v>0.5729690969</v>
      </c>
      <c r="AI28" s="144">
        <f t="shared" si="10"/>
        <v>-0.83073568</v>
      </c>
      <c r="AJ28" s="144">
        <f t="shared" si="11"/>
        <v>-0.8612773719</v>
      </c>
      <c r="AK28" s="144">
        <f t="shared" si="12"/>
        <v>1.64239917</v>
      </c>
      <c r="AL28" s="144">
        <f t="shared" si="13"/>
        <v>-0.352109826</v>
      </c>
      <c r="AM28" s="144">
        <f t="shared" si="14"/>
        <v>0.696586498</v>
      </c>
      <c r="AN28" s="144">
        <f t="shared" si="15"/>
        <v>0</v>
      </c>
      <c r="AO28" s="167">
        <f t="shared" si="16"/>
        <v>-0.8612773719</v>
      </c>
      <c r="AP28" s="167">
        <f t="shared" si="17"/>
        <v>-1.692013052</v>
      </c>
      <c r="AQ28" s="167">
        <f t="array" ref="AQ28">INDIRECT("Update"&amp;Projections!$AG$11&amp;"!S"&amp;ROW(B9))</f>
        <v>0.470257</v>
      </c>
      <c r="AR28" s="167">
        <f t="array" ref="AR28">INDIRECT("Update"&amp;Projections!$AG$11&amp;"!T"&amp;ROW(B9))</f>
        <v>0.839992</v>
      </c>
    </row>
    <row r="29">
      <c r="A29" s="50" t="str">
        <f>IF(UpdateHashtag!C27="",ROW(UpdateHashtag!C27),UpdateHashtag!C27)</f>
        <v>Anthony Edwards</v>
      </c>
      <c r="B29" s="53">
        <f>IF(TYPE($A29)=1,"",(UpdateHashtag!M27-B$1)/B$2)</f>
        <v>1.583438296</v>
      </c>
      <c r="C29" s="53">
        <f>IF(TYPE($A29)=1,"",(UpdateHashtag!L27-C$1)/C$2)</f>
        <v>0.705489499</v>
      </c>
      <c r="D29" s="53">
        <f>IF(TYPE($A29)=1,"",(UpdateHashtag!N27-D$1)/D$2)</f>
        <v>-0.2539522599</v>
      </c>
      <c r="E29" s="53">
        <f>IF(TYPE($A29)=1,"",(UpdateHashtag!O27-E$1)/E$2)</f>
        <v>0.6658949198</v>
      </c>
      <c r="F29" s="53">
        <f>IF(TYPE($A29)=1,"",(UpdateHashtag!P27-F$1)/F$2)</f>
        <v>1.081194652</v>
      </c>
      <c r="G29" s="53">
        <f>IF(TYPE($A29)=1,"",(UpdateHashtag!Q27-G$1)/G$2)</f>
        <v>-0.05494381853</v>
      </c>
      <c r="H29" s="53">
        <f>IF(TYPE($A29)=1,"",(UpdateHashtag!I27-H$1)/H$2*I29/$I$1)</f>
        <v>-21.45463725</v>
      </c>
      <c r="I29" s="53">
        <f>UpdateHashtag!S27</f>
        <v>20.3</v>
      </c>
      <c r="J29" s="58">
        <f>IF(TYPE($A29)=1,"",(UpdateHashtag!K27-J$1)/J$2*K29/$K$1)</f>
        <v>3.404554349</v>
      </c>
      <c r="K29" s="59">
        <f>UpdateHashtag!T27</f>
        <v>6.1</v>
      </c>
      <c r="L29" s="53">
        <f>IF(TYPE($A29)=1,"",-(UpdateHashtag!R27-L$1)/L$2)</f>
        <v>-1.340426099</v>
      </c>
      <c r="M29" t="s">
        <v>55</v>
      </c>
      <c r="N29" s="106">
        <f t="shared" si="3"/>
        <v>5.14223835</v>
      </c>
      <c r="O29" s="106">
        <f t="shared" si="4"/>
        <v>8</v>
      </c>
      <c r="P29" s="163" t="str">
        <f t="array" ref="P29">INDIRECT("Update"&amp;Projections!$AG$11&amp;"!B"&amp;ROW(B10))</f>
        <v/>
      </c>
      <c r="Q29" s="164" t="str">
        <f t="array" ref="Q29">INDIRECT("Update"&amp;Projections!$AG$11&amp;"!C"&amp;ROW(B10))</f>
        <v>James Harden</v>
      </c>
      <c r="R29" s="163">
        <f>UpdateBBM!F10</f>
        <v>73</v>
      </c>
      <c r="S29" s="165" t="str">
        <f t="array" ref="S29">INDIRECT("Update"&amp;Projections!$AG$11&amp;"!D"&amp;ROW(B10))</f>
        <v>G</v>
      </c>
      <c r="T29" s="144">
        <f t="shared" si="5"/>
        <v>5.187333301</v>
      </c>
      <c r="U29" s="144">
        <f>SUM(AF29:AN29)-IFERROR(IFS(Projections!$I$11,AO29,Projections!$J$11,AP29),"")</f>
        <v>5.630668653</v>
      </c>
      <c r="V29" s="144">
        <f t="shared" si="6"/>
        <v>0.4433353517</v>
      </c>
      <c r="W29" s="144">
        <f t="array" ref="W29">INDIRECT("Update"&amp;Projections!$AG$11&amp;"!M"&amp;ROW(B10))</f>
        <v>23.15562</v>
      </c>
      <c r="X29" s="144">
        <f t="array" ref="X29">INDIRECT("Update"&amp;Projections!$AG$11&amp;"!L"&amp;ROW(B10))</f>
        <v>3.018356</v>
      </c>
      <c r="Y29" s="144">
        <f t="array" ref="Y29">INDIRECT("Update"&amp;Projections!$AG$11&amp;"!N"&amp;ROW(B10))</f>
        <v>5.304658</v>
      </c>
      <c r="Z29" s="144">
        <f t="array" ref="Z29">INDIRECT("Update"&amp;Projections!$AG$11&amp;"!O"&amp;ROW(B10))</f>
        <v>8.091781</v>
      </c>
      <c r="AA29" s="144">
        <f t="array" ref="AA29">INDIRECT("Update"&amp;Projections!$AG$11&amp;"!P"&amp;ROW(B10))</f>
        <v>1.202329</v>
      </c>
      <c r="AB29" s="144">
        <f t="array" ref="AB29">INDIRECT("Update"&amp;Projections!$AG$11&amp;"!Q"&amp;ROW(B10))</f>
        <v>0.712192</v>
      </c>
      <c r="AC29" s="166">
        <f t="array" ref="AC29">INDIRECT("Update"&amp;Projections!$AG$11&amp;"!I"&amp;ROW(B10))</f>
        <v>0.443798</v>
      </c>
      <c r="AD29" s="166">
        <f t="array" ref="AD29">INDIRECT("Update"&amp;Projections!$AG$11&amp;"!K"&amp;ROW(B10))</f>
        <v>0.872994</v>
      </c>
      <c r="AE29" s="144">
        <f t="array" ref="AE29">INDIRECT("Update"&amp;Projections!$AG$11&amp;"!R"&amp;ROW(B10))</f>
        <v>3.536438</v>
      </c>
      <c r="AF29" s="144">
        <f t="shared" si="7"/>
        <v>1.049324317</v>
      </c>
      <c r="AG29" s="144">
        <f t="shared" si="8"/>
        <v>1.206135057</v>
      </c>
      <c r="AH29" s="144">
        <f t="shared" si="9"/>
        <v>-0.333134844</v>
      </c>
      <c r="AI29" s="144">
        <f t="shared" si="10"/>
        <v>2.078571861</v>
      </c>
      <c r="AJ29" s="144">
        <f t="shared" si="11"/>
        <v>0.4788456432</v>
      </c>
      <c r="AK29" s="144">
        <f t="shared" si="12"/>
        <v>-0.03277885732</v>
      </c>
      <c r="AL29" s="144">
        <f t="shared" si="13"/>
        <v>-0.6850393077</v>
      </c>
      <c r="AM29" s="144">
        <f t="shared" si="14"/>
        <v>1.183705476</v>
      </c>
      <c r="AN29" s="144">
        <f t="shared" si="15"/>
        <v>0</v>
      </c>
      <c r="AO29" s="167">
        <f t="shared" si="16"/>
        <v>-0.6850393077</v>
      </c>
      <c r="AP29" s="167">
        <f t="shared" si="17"/>
        <v>-1.018174152</v>
      </c>
      <c r="AQ29" s="167">
        <f t="array" ref="AQ29">INDIRECT("Update"&amp;Projections!$AG$11&amp;"!S"&amp;ROW(B10))</f>
        <v>0.443798</v>
      </c>
      <c r="AR29" s="167">
        <f t="array" ref="AR29">INDIRECT("Update"&amp;Projections!$AG$11&amp;"!T"&amp;ROW(B10))</f>
        <v>0.872994</v>
      </c>
    </row>
    <row r="30">
      <c r="A30" s="50" t="str">
        <f>IF(UpdateHashtag!C28="",ROW(UpdateHashtag!C28),UpdateHashtag!C28)</f>
        <v>Paul George</v>
      </c>
      <c r="B30" s="53">
        <f>IF(TYPE($A30)=1,"",(UpdateHashtag!M28-B$1)/B$2)</f>
        <v>0.8641235874</v>
      </c>
      <c r="C30" s="53">
        <f>IF(TYPE($A30)=1,"",(UpdateHashtag!L28-C$1)/C$2)</f>
        <v>1.188406219</v>
      </c>
      <c r="D30" s="53">
        <f>IF(TYPE($A30)=1,"",(UpdateHashtag!N28-D$1)/D$2)</f>
        <v>-0.456629063</v>
      </c>
      <c r="E30" s="53">
        <f>IF(TYPE($A30)=1,"",(UpdateHashtag!O28-E$1)/E$2)</f>
        <v>-0.213431175</v>
      </c>
      <c r="F30" s="53">
        <f>IF(TYPE($A30)=1,"",(UpdateHashtag!P28-F$1)/F$2)</f>
        <v>1.081194652</v>
      </c>
      <c r="G30" s="53">
        <f>IF(TYPE($A30)=1,"",(UpdateHashtag!Q28-G$1)/G$2)</f>
        <v>-0.600341486</v>
      </c>
      <c r="H30" s="53">
        <f>IF(TYPE($A30)=1,"",(UpdateHashtag!I28-H$1)/H$2*I30/$I$1)</f>
        <v>-14.96021444</v>
      </c>
      <c r="I30" s="53">
        <f>UpdateHashtag!S28</f>
        <v>16.5</v>
      </c>
      <c r="J30" s="58">
        <f>IF(TYPE($A30)=1,"",(UpdateHashtag!K28-J$1)/J$2*K30/$K$1)</f>
        <v>6.928737641</v>
      </c>
      <c r="K30" s="59">
        <f>UpdateHashtag!T28</f>
        <v>4.3</v>
      </c>
      <c r="L30" s="53">
        <f>IF(TYPE($A30)=1,"",-(UpdateHashtag!R28-L$1)/L$2)</f>
        <v>-0.6460761218</v>
      </c>
      <c r="M30" t="s">
        <v>56</v>
      </c>
      <c r="N30" s="106">
        <f t="shared" si="3"/>
        <v>4.884388547</v>
      </c>
      <c r="O30" s="106">
        <f t="shared" si="4"/>
        <v>16</v>
      </c>
      <c r="P30" s="163" t="str">
        <f t="array" ref="P30">INDIRECT("Update"&amp;Projections!$AG$11&amp;"!B"&amp;ROW(B11))</f>
        <v/>
      </c>
      <c r="Q30" s="164" t="str">
        <f t="array" ref="Q30">INDIRECT("Update"&amp;Projections!$AG$11&amp;"!C"&amp;ROW(B11))</f>
        <v>Donovan Mitchell</v>
      </c>
      <c r="R30" s="163">
        <f>UpdateBBM!F11</f>
        <v>68</v>
      </c>
      <c r="S30" s="165" t="str">
        <f t="array" ref="S30">INDIRECT("Update"&amp;Projections!$AG$11&amp;"!D"&amp;ROW(B11))</f>
        <v>G</v>
      </c>
      <c r="T30" s="144">
        <f t="shared" si="5"/>
        <v>4.263374274</v>
      </c>
      <c r="U30" s="144">
        <f>SUM(AF30:AN30)-IFERROR(IFS(Projections!$I$11,AO30,Projections!$J$11,AP30),"")</f>
        <v>4.414135343</v>
      </c>
      <c r="V30" s="144">
        <f t="shared" si="6"/>
        <v>0.1507610695</v>
      </c>
      <c r="W30" s="144">
        <f t="array" ref="W30">INDIRECT("Update"&amp;Projections!$AG$11&amp;"!M"&amp;ROW(B11))</f>
        <v>26.15735</v>
      </c>
      <c r="X30" s="144">
        <f t="array" ref="X30">INDIRECT("Update"&amp;Projections!$AG$11&amp;"!L"&amp;ROW(B11))</f>
        <v>3.337647</v>
      </c>
      <c r="Y30" s="144">
        <f t="array" ref="Y30">INDIRECT("Update"&amp;Projections!$AG$11&amp;"!N"&amp;ROW(B11))</f>
        <v>4.578676</v>
      </c>
      <c r="Z30" s="144">
        <f t="array" ref="Z30">INDIRECT("Update"&amp;Projections!$AG$11&amp;"!O"&amp;ROW(B11))</f>
        <v>5.656029</v>
      </c>
      <c r="AA30" s="144">
        <f t="array" ref="AA30">INDIRECT("Update"&amp;Projections!$AG$11&amp;"!P"&amp;ROW(B11))</f>
        <v>1.274706</v>
      </c>
      <c r="AB30" s="144">
        <f t="array" ref="AB30">INDIRECT("Update"&amp;Projections!$AG$11&amp;"!Q"&amp;ROW(B11))</f>
        <v>0.27</v>
      </c>
      <c r="AC30" s="166">
        <f t="array" ref="AC30">INDIRECT("Update"&amp;Projections!$AG$11&amp;"!I"&amp;ROW(B11))</f>
        <v>0.460659</v>
      </c>
      <c r="AD30" s="166">
        <f t="array" ref="AD30">INDIRECT("Update"&amp;Projections!$AG$11&amp;"!K"&amp;ROW(B11))</f>
        <v>0.850008</v>
      </c>
      <c r="AE30" s="144">
        <f t="array" ref="AE30">INDIRECT("Update"&amp;Projections!$AG$11&amp;"!R"&amp;ROW(B11))</f>
        <v>2.356618</v>
      </c>
      <c r="AF30" s="144">
        <f t="shared" si="7"/>
        <v>1.575955669</v>
      </c>
      <c r="AG30" s="144">
        <f t="shared" si="8"/>
        <v>1.514516982</v>
      </c>
      <c r="AH30" s="144">
        <f t="shared" si="9"/>
        <v>-0.6274142658</v>
      </c>
      <c r="AI30" s="144">
        <f t="shared" si="10"/>
        <v>0.8886716974</v>
      </c>
      <c r="AJ30" s="144">
        <f t="shared" si="11"/>
        <v>0.6993950117</v>
      </c>
      <c r="AK30" s="144">
        <f t="shared" si="12"/>
        <v>-0.8366804753</v>
      </c>
      <c r="AL30" s="144">
        <f t="shared" si="13"/>
        <v>-0.477741365</v>
      </c>
      <c r="AM30" s="144">
        <f t="shared" si="14"/>
        <v>0.840751614</v>
      </c>
      <c r="AN30" s="144">
        <f t="shared" si="15"/>
        <v>0</v>
      </c>
      <c r="AO30" s="167">
        <f t="shared" si="16"/>
        <v>-0.8366804753</v>
      </c>
      <c r="AP30" s="167">
        <f t="shared" si="17"/>
        <v>-1.464094741</v>
      </c>
      <c r="AQ30" s="167">
        <f t="array" ref="AQ30">INDIRECT("Update"&amp;Projections!$AG$11&amp;"!S"&amp;ROW(B11))</f>
        <v>0.460659</v>
      </c>
      <c r="AR30" s="167">
        <f t="array" ref="AR30">INDIRECT("Update"&amp;Projections!$AG$11&amp;"!T"&amp;ROW(B11))</f>
        <v>0.850008</v>
      </c>
    </row>
    <row r="31">
      <c r="A31" s="50" t="str">
        <f>IF(UpdateHashtag!C29="",ROW(UpdateHashtag!C29),UpdateHashtag!C29)</f>
        <v>Jalen Williams</v>
      </c>
      <c r="B31" s="53">
        <f>IF(TYPE($A31)=1,"",(UpdateHashtag!M29-B$1)/B$2)</f>
        <v>0.4956941023</v>
      </c>
      <c r="C31" s="53">
        <f>IF(TYPE($A31)=1,"",(UpdateHashtag!L29-C$1)/C$2)</f>
        <v>-0.06717725286</v>
      </c>
      <c r="D31" s="53">
        <f>IF(TYPE($A31)=1,"",(UpdateHashtag!N29-D$1)/D$2)</f>
        <v>-0.6187705055</v>
      </c>
      <c r="E31" s="53">
        <f>IF(TYPE($A31)=1,"",(UpdateHashtag!O29-E$1)/E$2)</f>
        <v>0.5193405706</v>
      </c>
      <c r="F31" s="53">
        <f>IF(TYPE($A31)=1,"",(UpdateHashtag!P29-F$1)/F$2)</f>
        <v>0.4717486444</v>
      </c>
      <c r="G31" s="53">
        <f>IF(TYPE($A31)=1,"",(UpdateHashtag!Q29-G$1)/G$2)</f>
        <v>-0.236743041</v>
      </c>
      <c r="H31" s="53">
        <f>IF(TYPE($A31)=1,"",(UpdateHashtag!I29-H$1)/H$2*I31/$I$1)</f>
        <v>17.77912298</v>
      </c>
      <c r="I31" s="53">
        <f>UpdateHashtag!S29</f>
        <v>14.5</v>
      </c>
      <c r="J31" s="58">
        <f>IF(TYPE($A31)=1,"",(UpdateHashtag!K29-J$1)/J$2*K31/$K$1)</f>
        <v>1.843364149</v>
      </c>
      <c r="K31" s="59">
        <f>UpdateHashtag!T29</f>
        <v>3.4</v>
      </c>
      <c r="L31" s="53">
        <f>IF(TYPE($A31)=1,"",-(UpdateHashtag!R29-L$1)/L$2)</f>
        <v>-0.05091899834</v>
      </c>
      <c r="N31" s="106">
        <f t="shared" si="3"/>
        <v>4.73179595</v>
      </c>
      <c r="O31" s="106">
        <f t="shared" si="4"/>
        <v>17</v>
      </c>
      <c r="P31" s="163" t="str">
        <f t="array" ref="P31">INDIRECT("Update"&amp;Projections!$AG$11&amp;"!B"&amp;ROW(B12))</f>
        <v/>
      </c>
      <c r="Q31" s="164" t="str">
        <f t="array" ref="Q31">INDIRECT("Update"&amp;Projections!$AG$11&amp;"!C"&amp;ROW(B12))</f>
        <v>Kevin Durant</v>
      </c>
      <c r="R31" s="163">
        <f>UpdateBBM!F12</f>
        <v>64</v>
      </c>
      <c r="S31" s="165" t="str">
        <f t="array" ref="S31">INDIRECT("Update"&amp;Projections!$AG$11&amp;"!D"&amp;ROW(B12))</f>
        <v>F</v>
      </c>
      <c r="T31" s="144">
        <f t="shared" si="5"/>
        <v>4.15770324</v>
      </c>
      <c r="U31" s="144">
        <f>SUM(AF31:AN31)-IFERROR(IFS(Projections!$I$11,AO31,Projections!$J$11,AP31),"")</f>
        <v>4.545893565</v>
      </c>
      <c r="V31" s="144">
        <f t="shared" si="6"/>
        <v>0.3881903245</v>
      </c>
      <c r="W31" s="144">
        <f t="array" ref="W31">INDIRECT("Update"&amp;Projections!$AG$11&amp;"!M"&amp;ROW(B12))</f>
        <v>28.26391</v>
      </c>
      <c r="X31" s="144">
        <f t="array" ref="X31">INDIRECT("Update"&amp;Projections!$AG$11&amp;"!L"&amp;ROW(B12))</f>
        <v>2.716563</v>
      </c>
      <c r="Y31" s="144">
        <f t="array" ref="Y31">INDIRECT("Update"&amp;Projections!$AG$11&amp;"!N"&amp;ROW(B12))</f>
        <v>5.3025</v>
      </c>
      <c r="Z31" s="144">
        <f t="array" ref="Z31">INDIRECT("Update"&amp;Projections!$AG$11&amp;"!O"&amp;ROW(B12))</f>
        <v>4.860625</v>
      </c>
      <c r="AA31" s="144">
        <f t="array" ref="AA31">INDIRECT("Update"&amp;Projections!$AG$11&amp;"!P"&amp;ROW(B12))</f>
        <v>0.807969</v>
      </c>
      <c r="AB31" s="144">
        <f t="array" ref="AB31">INDIRECT("Update"&amp;Projections!$AG$11&amp;"!Q"&amp;ROW(B12))</f>
        <v>0.88375</v>
      </c>
      <c r="AC31" s="166">
        <f t="array" ref="AC31">INDIRECT("Update"&amp;Projections!$AG$11&amp;"!I"&amp;ROW(B12))</f>
        <v>0.514412</v>
      </c>
      <c r="AD31" s="166">
        <f t="array" ref="AD31">INDIRECT("Update"&amp;Projections!$AG$11&amp;"!K"&amp;ROW(B12))</f>
        <v>0.857004</v>
      </c>
      <c r="AE31" s="144">
        <f t="array" ref="AE31">INDIRECT("Update"&amp;Projections!$AG$11&amp;"!R"&amp;ROW(B12))</f>
        <v>3.314063</v>
      </c>
      <c r="AF31" s="144">
        <f t="shared" si="7"/>
        <v>1.945536058</v>
      </c>
      <c r="AG31" s="144">
        <f t="shared" si="8"/>
        <v>0.9146532862</v>
      </c>
      <c r="AH31" s="144">
        <f t="shared" si="9"/>
        <v>-0.3340095971</v>
      </c>
      <c r="AI31" s="144">
        <f t="shared" si="10"/>
        <v>0.5001053123</v>
      </c>
      <c r="AJ31" s="144">
        <f t="shared" si="11"/>
        <v>-0.7228599947</v>
      </c>
      <c r="AK31" s="144">
        <f t="shared" si="12"/>
        <v>0.2791122528</v>
      </c>
      <c r="AL31" s="144">
        <f t="shared" si="13"/>
        <v>0.2971486134</v>
      </c>
      <c r="AM31" s="144">
        <f t="shared" si="14"/>
        <v>0.9433476396</v>
      </c>
      <c r="AN31" s="144">
        <f t="shared" si="15"/>
        <v>0</v>
      </c>
      <c r="AO31" s="167">
        <f t="shared" si="16"/>
        <v>-0.7228599947</v>
      </c>
      <c r="AP31" s="167">
        <f t="shared" si="17"/>
        <v>-1.056869592</v>
      </c>
      <c r="AQ31" s="167">
        <f t="array" ref="AQ31">INDIRECT("Update"&amp;Projections!$AG$11&amp;"!S"&amp;ROW(B12))</f>
        <v>0.514412</v>
      </c>
      <c r="AR31" s="167">
        <f t="array" ref="AR31">INDIRECT("Update"&amp;Projections!$AG$11&amp;"!T"&amp;ROW(B12))</f>
        <v>0.857004</v>
      </c>
    </row>
    <row r="32">
      <c r="A32" s="50" t="str">
        <f>IF(UpdateHashtag!C30="",ROW(UpdateHashtag!C30),UpdateHashtag!C30)</f>
        <v>Jimmy Butler</v>
      </c>
      <c r="B32" s="53">
        <f>IF(TYPE($A32)=1,"",(UpdateHashtag!M30-B$1)/B$2)</f>
        <v>0.6185039306</v>
      </c>
      <c r="C32" s="53">
        <f>IF(TYPE($A32)=1,"",(UpdateHashtag!L30-C$1)/C$2)</f>
        <v>-0.9364273487</v>
      </c>
      <c r="D32" s="53">
        <f>IF(TYPE($A32)=1,"",(UpdateHashtag!N30-D$1)/D$2)</f>
        <v>-0.2944876205</v>
      </c>
      <c r="E32" s="53">
        <f>IF(TYPE($A32)=1,"",(UpdateHashtag!O30-E$1)/E$2)</f>
        <v>0.6170434701</v>
      </c>
      <c r="F32" s="53">
        <f>IF(TYPE($A32)=1,"",(UpdateHashtag!P30-F$1)/F$2)</f>
        <v>0.7764716483</v>
      </c>
      <c r="G32" s="53">
        <f>IF(TYPE($A32)=1,"",(UpdateHashtag!Q30-G$1)/G$2)</f>
        <v>-0.7821407085</v>
      </c>
      <c r="H32" s="53">
        <f>IF(TYPE($A32)=1,"",(UpdateHashtag!I30-H$1)/H$2*I32/$I$1)</f>
        <v>-1.26198545</v>
      </c>
      <c r="I32" s="53">
        <f>UpdateHashtag!S30</f>
        <v>13.2</v>
      </c>
      <c r="J32" s="58">
        <f>IF(TYPE($A32)=1,"",(UpdateHashtag!K30-J$1)/J$2*K32/$K$1)</f>
        <v>8.657047222</v>
      </c>
      <c r="K32" s="59">
        <f>UpdateHashtag!T30</f>
        <v>8.1</v>
      </c>
      <c r="L32" s="53">
        <f>IF(TYPE($A32)=1,"",-(UpdateHashtag!R30-L$1)/L$2)</f>
        <v>0.1474667095</v>
      </c>
      <c r="M32" s="5" t="s">
        <v>63</v>
      </c>
      <c r="N32" s="106">
        <f t="shared" si="3"/>
        <v>4.698406981</v>
      </c>
      <c r="O32" s="106">
        <f t="shared" si="4"/>
        <v>27</v>
      </c>
      <c r="P32" s="163" t="str">
        <f t="array" ref="P32">INDIRECT("Update"&amp;Projections!$AG$11&amp;"!B"&amp;ROW(B13))</f>
        <v/>
      </c>
      <c r="Q32" s="164" t="str">
        <f t="array" ref="Q32">INDIRECT("Update"&amp;Projections!$AG$11&amp;"!C"&amp;ROW(B13))</f>
        <v>Dyson Daniels</v>
      </c>
      <c r="R32" s="163">
        <f>UpdateBBM!F13</f>
        <v>73</v>
      </c>
      <c r="S32" s="165" t="str">
        <f t="array" ref="S32">INDIRECT("Update"&amp;Projections!$AG$11&amp;"!D"&amp;ROW(B13))</f>
        <v>G,F</v>
      </c>
      <c r="T32" s="144">
        <f t="shared" si="5"/>
        <v>3.432847732</v>
      </c>
      <c r="U32" s="144">
        <f>SUM(AF32:AN32)-IFERROR(IFS(Projections!$I$11,AO32,Projections!$J$11,AP32),"")</f>
        <v>3.460218595</v>
      </c>
      <c r="V32" s="144">
        <f t="shared" si="6"/>
        <v>0.0273708628</v>
      </c>
      <c r="W32" s="144">
        <f t="array" ref="W32">INDIRECT("Update"&amp;Projections!$AG$11&amp;"!M"&amp;ROW(B13))</f>
        <v>13.23932</v>
      </c>
      <c r="X32" s="144">
        <f t="array" ref="X32">INDIRECT("Update"&amp;Projections!$AG$11&amp;"!L"&amp;ROW(B13))</f>
        <v>0.888356</v>
      </c>
      <c r="Y32" s="144">
        <f t="array" ref="Y32">INDIRECT("Update"&amp;Projections!$AG$11&amp;"!N"&amp;ROW(B13))</f>
        <v>5.791507</v>
      </c>
      <c r="Z32" s="144">
        <f t="array" ref="Z32">INDIRECT("Update"&amp;Projections!$AG$11&amp;"!O"&amp;ROW(B13))</f>
        <v>4.433014</v>
      </c>
      <c r="AA32" s="144">
        <f t="array" ref="AA32">INDIRECT("Update"&amp;Projections!$AG$11&amp;"!P"&amp;ROW(B13))</f>
        <v>2.573973</v>
      </c>
      <c r="AB32" s="144">
        <f t="array" ref="AB32">INDIRECT("Update"&amp;Projections!$AG$11&amp;"!Q"&amp;ROW(B13))</f>
        <v>0.645616</v>
      </c>
      <c r="AC32" s="166">
        <f t="array" ref="AC32">INDIRECT("Update"&amp;Projections!$AG$11&amp;"!I"&amp;ROW(B13))</f>
        <v>0.517168</v>
      </c>
      <c r="AD32" s="166">
        <f t="array" ref="AD32">INDIRECT("Update"&amp;Projections!$AG$11&amp;"!K"&amp;ROW(B13))</f>
        <v>0.615955</v>
      </c>
      <c r="AE32" s="144">
        <f t="array" ref="AE32">INDIRECT("Update"&amp;Projections!$AG$11&amp;"!R"&amp;ROW(B13))</f>
        <v>1.859041</v>
      </c>
      <c r="AF32" s="144">
        <f t="shared" si="7"/>
        <v>-0.6904172554</v>
      </c>
      <c r="AG32" s="144">
        <f t="shared" si="8"/>
        <v>-0.8510901693</v>
      </c>
      <c r="AH32" s="144">
        <f t="shared" si="9"/>
        <v>-0.1357888462</v>
      </c>
      <c r="AI32" s="144">
        <f t="shared" si="10"/>
        <v>0.2912111397</v>
      </c>
      <c r="AJ32" s="144">
        <f t="shared" si="11"/>
        <v>4.658560442</v>
      </c>
      <c r="AK32" s="144">
        <f t="shared" si="12"/>
        <v>-0.1538135077</v>
      </c>
      <c r="AL32" s="144">
        <f t="shared" si="13"/>
        <v>0.3415567922</v>
      </c>
      <c r="AM32" s="144">
        <f t="shared" si="14"/>
        <v>-1.691317626</v>
      </c>
      <c r="AN32" s="144">
        <f t="shared" si="15"/>
        <v>0</v>
      </c>
      <c r="AO32" s="167">
        <f t="shared" si="16"/>
        <v>-1.691317626</v>
      </c>
      <c r="AP32" s="167">
        <f t="shared" si="17"/>
        <v>-2.542407795</v>
      </c>
      <c r="AQ32" s="167">
        <f t="array" ref="AQ32">INDIRECT("Update"&amp;Projections!$AG$11&amp;"!S"&amp;ROW(B13))</f>
        <v>0.517168</v>
      </c>
      <c r="AR32" s="167">
        <f t="array" ref="AR32">INDIRECT("Update"&amp;Projections!$AG$11&amp;"!T"&amp;ROW(B13))</f>
        <v>0.615955</v>
      </c>
    </row>
    <row r="33">
      <c r="A33" s="50" t="str">
        <f>IF(UpdateHashtag!C31="",ROW(UpdateHashtag!C31),UpdateHashtag!C31)</f>
        <v>Jaren Jackson Jr.</v>
      </c>
      <c r="B33" s="53">
        <f>IF(TYPE($A33)=1,"",(UpdateHashtag!M31-B$1)/B$2)</f>
        <v>0.7237694978</v>
      </c>
      <c r="C33" s="53">
        <f>IF(TYPE($A33)=1,"",(UpdateHashtag!L31-C$1)/C$2)</f>
        <v>-0.06717725286</v>
      </c>
      <c r="D33" s="53">
        <f>IF(TYPE($A33)=1,"",(UpdateHashtag!N31-D$1)/D$2)</f>
        <v>0.07033062511</v>
      </c>
      <c r="E33" s="53">
        <f>IF(TYPE($A33)=1,"",(UpdateHashtag!O31-E$1)/E$2)</f>
        <v>-1.04390582</v>
      </c>
      <c r="F33" s="53">
        <f>IF(TYPE($A33)=1,"",(UpdateHashtag!P31-F$1)/F$2)</f>
        <v>0.4717486444</v>
      </c>
      <c r="G33" s="53">
        <f>IF(TYPE($A33)=1,"",(UpdateHashtag!Q31-G$1)/G$2)</f>
        <v>2.126646851</v>
      </c>
      <c r="H33" s="53">
        <f>IF(TYPE($A33)=1,"",(UpdateHashtag!I31-H$1)/H$2*I33/$I$1)</f>
        <v>-12.02804223</v>
      </c>
      <c r="I33" s="53">
        <f>UpdateHashtag!S31</f>
        <v>15.9</v>
      </c>
      <c r="J33" s="58">
        <f>IF(TYPE($A33)=1,"",(UpdateHashtag!K31-J$1)/J$2*K33/$K$1)</f>
        <v>1.108355074</v>
      </c>
      <c r="K33" s="59">
        <f>UpdateHashtag!T31</f>
        <v>5.8</v>
      </c>
      <c r="L33" s="53">
        <f>IF(TYPE($A33)=1,"",-(UpdateHashtag!R31-L$1)/L$2)</f>
        <v>-0.34849756</v>
      </c>
      <c r="N33" s="106">
        <f t="shared" si="3"/>
        <v>4.609087691</v>
      </c>
      <c r="O33" s="106">
        <f t="shared" si="4"/>
        <v>12</v>
      </c>
      <c r="P33" s="163" t="str">
        <f t="array" ref="P33">INDIRECT("Update"&amp;Projections!$AG$11&amp;"!B"&amp;ROW(B14))</f>
        <v/>
      </c>
      <c r="Q33" s="164" t="str">
        <f t="array" ref="Q33">INDIRECT("Update"&amp;Projections!$AG$11&amp;"!C"&amp;ROW(B14))</f>
        <v>Tyrese Maxey</v>
      </c>
      <c r="R33" s="163">
        <f>UpdateBBM!F14</f>
        <v>73</v>
      </c>
      <c r="S33" s="165" t="str">
        <f t="array" ref="S33">INDIRECT("Update"&amp;Projections!$AG$11&amp;"!D"&amp;ROW(B14))</f>
        <v>G</v>
      </c>
      <c r="T33" s="144">
        <f t="shared" si="5"/>
        <v>4.698406981</v>
      </c>
      <c r="U33" s="144">
        <f>SUM(AF33:AN33)-IFERROR(IFS(Projections!$I$11,AO33,Projections!$J$11,AP33),"")</f>
        <v>4.80897089</v>
      </c>
      <c r="V33" s="144">
        <f t="shared" si="6"/>
        <v>0.1105639094</v>
      </c>
      <c r="W33" s="144">
        <f t="array" ref="W33">INDIRECT("Update"&amp;Projections!$AG$11&amp;"!M"&amp;ROW(B14))</f>
        <v>25.30397</v>
      </c>
      <c r="X33" s="144">
        <f t="array" ref="X33">INDIRECT("Update"&amp;Projections!$AG$11&amp;"!L"&amp;ROW(B14))</f>
        <v>3.17</v>
      </c>
      <c r="Y33" s="144">
        <f t="array" ref="Y33">INDIRECT("Update"&amp;Projections!$AG$11&amp;"!N"&amp;ROW(B14))</f>
        <v>3.291781</v>
      </c>
      <c r="Z33" s="144">
        <f t="array" ref="Z33">INDIRECT("Update"&amp;Projections!$AG$11&amp;"!O"&amp;ROW(B14))</f>
        <v>6.363562</v>
      </c>
      <c r="AA33" s="144">
        <f t="array" ref="AA33">INDIRECT("Update"&amp;Projections!$AG$11&amp;"!P"&amp;ROW(B14))</f>
        <v>1.332329</v>
      </c>
      <c r="AB33" s="144">
        <f t="array" ref="AB33">INDIRECT("Update"&amp;Projections!$AG$11&amp;"!Q"&amp;ROW(B14))</f>
        <v>0.393151</v>
      </c>
      <c r="AC33" s="166">
        <f t="array" ref="AC33">INDIRECT("Update"&amp;Projections!$AG$11&amp;"!I"&amp;ROW(B14))</f>
        <v>0.449281</v>
      </c>
      <c r="AD33" s="166">
        <f t="array" ref="AD33">INDIRECT("Update"&amp;Projections!$AG$11&amp;"!K"&amp;ROW(B14))</f>
        <v>0.87099</v>
      </c>
      <c r="AE33" s="144">
        <f t="array" ref="AE33">INDIRECT("Update"&amp;Projections!$AG$11&amp;"!R"&amp;ROW(B14))</f>
        <v>2.194521</v>
      </c>
      <c r="AF33" s="144">
        <f t="shared" si="7"/>
        <v>1.426236453</v>
      </c>
      <c r="AG33" s="144">
        <f t="shared" si="8"/>
        <v>1.352597904</v>
      </c>
      <c r="AH33" s="144">
        <f t="shared" si="9"/>
        <v>-1.149061795</v>
      </c>
      <c r="AI33" s="144">
        <f t="shared" si="10"/>
        <v>1.234311825</v>
      </c>
      <c r="AJ33" s="144">
        <f t="shared" si="11"/>
        <v>0.8749855482</v>
      </c>
      <c r="AK33" s="144">
        <f t="shared" si="12"/>
        <v>-0.6127929148</v>
      </c>
      <c r="AL33" s="144">
        <f t="shared" si="13"/>
        <v>-0.6195024916</v>
      </c>
      <c r="AM33" s="144">
        <f t="shared" si="14"/>
        <v>1.153134567</v>
      </c>
      <c r="AN33" s="144">
        <f t="shared" si="15"/>
        <v>0</v>
      </c>
      <c r="AO33" s="167">
        <f t="shared" si="16"/>
        <v>-1.149061795</v>
      </c>
      <c r="AP33" s="167">
        <f t="shared" si="17"/>
        <v>-1.768564287</v>
      </c>
      <c r="AQ33" s="167">
        <f t="array" ref="AQ33">INDIRECT("Update"&amp;Projections!$AG$11&amp;"!S"&amp;ROW(B14))</f>
        <v>0.449281</v>
      </c>
      <c r="AR33" s="167">
        <f t="array" ref="AR33">INDIRECT("Update"&amp;Projections!$AG$11&amp;"!T"&amp;ROW(B14))</f>
        <v>0.87099</v>
      </c>
    </row>
    <row r="34">
      <c r="A34" s="50" t="str">
        <f>IF(UpdateHashtag!C32="",ROW(UpdateHashtag!C32),UpdateHashtag!C32)</f>
        <v>Tyrese Maxey</v>
      </c>
      <c r="B34" s="53">
        <f>IF(TYPE($A34)=1,"",(UpdateHashtag!M32-B$1)/B$2)</f>
        <v>1.267641595</v>
      </c>
      <c r="C34" s="53">
        <f>IF(TYPE($A34)=1,"",(UpdateHashtag!L32-C$1)/C$2)</f>
        <v>1.188406219</v>
      </c>
      <c r="D34" s="53">
        <f>IF(TYPE($A34)=1,"",(UpdateHashtag!N32-D$1)/D$2)</f>
        <v>-1.064659472</v>
      </c>
      <c r="E34" s="53">
        <f>IF(TYPE($A34)=1,"",(UpdateHashtag!O32-E$1)/E$2)</f>
        <v>1.007855068</v>
      </c>
      <c r="F34" s="53">
        <f>IF(TYPE($A34)=1,"",(UpdateHashtag!P32-F$1)/F$2)</f>
        <v>-0.1376973632</v>
      </c>
      <c r="G34" s="53">
        <f>IF(TYPE($A34)=1,"",(UpdateHashtag!Q32-G$1)/G$2)</f>
        <v>-0.7821407085</v>
      </c>
      <c r="H34" s="53">
        <f>IF(TYPE($A34)=1,"",(UpdateHashtag!I32-H$1)/H$2*I34/$I$1)</f>
        <v>-18.7398226</v>
      </c>
      <c r="I34" s="53">
        <f>UpdateHashtag!S32</f>
        <v>18.8</v>
      </c>
      <c r="J34" s="58">
        <f>IF(TYPE($A34)=1,"",(UpdateHashtag!K32-J$1)/J$2*K34/$K$1)</f>
        <v>5.436490616</v>
      </c>
      <c r="K34" s="59">
        <f>UpdateHashtag!T32</f>
        <v>4.8</v>
      </c>
      <c r="L34" s="53">
        <f>IF(TYPE($A34)=1,"",-(UpdateHashtag!R32-L$1)/L$2)</f>
        <v>0.1474667095</v>
      </c>
      <c r="N34" s="106">
        <f t="shared" si="3"/>
        <v>4.538513623</v>
      </c>
      <c r="O34" s="106">
        <f t="shared" si="4"/>
        <v>25</v>
      </c>
      <c r="P34" s="163" t="str">
        <f t="array" ref="P34">INDIRECT("Update"&amp;Projections!$AG$11&amp;"!B"&amp;ROW(B15))</f>
        <v/>
      </c>
      <c r="Q34" s="164" t="str">
        <f t="array" ref="Q34">INDIRECT("Update"&amp;Projections!$AG$11&amp;"!C"&amp;ROW(B15))</f>
        <v>Joel Embiid</v>
      </c>
      <c r="R34" s="163">
        <f>UpdateBBM!F15</f>
        <v>40</v>
      </c>
      <c r="S34" s="165" t="str">
        <f t="array" ref="S34">INDIRECT("Update"&amp;Projections!$AG$11&amp;"!D"&amp;ROW(B15))</f>
        <v>C</v>
      </c>
      <c r="T34" s="144">
        <f t="shared" si="5"/>
        <v>3.494873779</v>
      </c>
      <c r="U34" s="144">
        <f>SUM(AF34:AN34)-IFERROR(IFS(Projections!$I$11,AO34,Projections!$J$11,AP34),"")</f>
        <v>3.890921913</v>
      </c>
      <c r="V34" s="144">
        <f t="shared" si="6"/>
        <v>0.3960481344</v>
      </c>
      <c r="W34" s="144">
        <f t="array" ref="W34">INDIRECT("Update"&amp;Projections!$AG$11&amp;"!M"&amp;ROW(B15))</f>
        <v>24.878</v>
      </c>
      <c r="X34" s="144">
        <f t="array" ref="X34">INDIRECT("Update"&amp;Projections!$AG$11&amp;"!L"&amp;ROW(B15))</f>
        <v>1.10175</v>
      </c>
      <c r="Y34" s="144">
        <f t="array" ref="Y34">INDIRECT("Update"&amp;Projections!$AG$11&amp;"!N"&amp;ROW(B15))</f>
        <v>8.415</v>
      </c>
      <c r="Z34" s="144">
        <f t="array" ref="Z34">INDIRECT("Update"&amp;Projections!$AG$11&amp;"!O"&amp;ROW(B15))</f>
        <v>4.6145</v>
      </c>
      <c r="AA34" s="144">
        <f t="array" ref="AA34">INDIRECT("Update"&amp;Projections!$AG$11&amp;"!P"&amp;ROW(B15))</f>
        <v>0.86425</v>
      </c>
      <c r="AB34" s="144">
        <f t="array" ref="AB34">INDIRECT("Update"&amp;Projections!$AG$11&amp;"!Q"&amp;ROW(B15))</f>
        <v>1.11375</v>
      </c>
      <c r="AC34" s="166">
        <f t="array" ref="AC34">INDIRECT("Update"&amp;Projections!$AG$11&amp;"!I"&amp;ROW(B15))</f>
        <v>0.487457</v>
      </c>
      <c r="AD34" s="166">
        <f t="array" ref="AD34">INDIRECT("Update"&amp;Projections!$AG$11&amp;"!K"&amp;ROW(B15))</f>
        <v>0.874002</v>
      </c>
      <c r="AE34" s="144">
        <f t="array" ref="AE34">INDIRECT("Update"&amp;Projections!$AG$11&amp;"!R"&amp;ROW(B15))</f>
        <v>3.34575</v>
      </c>
      <c r="AF34" s="144">
        <f t="shared" si="7"/>
        <v>1.351503163</v>
      </c>
      <c r="AG34" s="144">
        <f t="shared" si="8"/>
        <v>-0.6449871082</v>
      </c>
      <c r="AH34" s="144">
        <f t="shared" si="9"/>
        <v>0.9276535024</v>
      </c>
      <c r="AI34" s="144">
        <f t="shared" si="10"/>
        <v>0.3798696817</v>
      </c>
      <c r="AJ34" s="144">
        <f t="shared" si="11"/>
        <v>-0.5513588409</v>
      </c>
      <c r="AK34" s="144">
        <f t="shared" si="12"/>
        <v>0.6972504646</v>
      </c>
      <c r="AL34" s="144">
        <f t="shared" si="13"/>
        <v>-0.1131269671</v>
      </c>
      <c r="AM34" s="144">
        <f t="shared" si="14"/>
        <v>1.199130909</v>
      </c>
      <c r="AN34" s="144">
        <f t="shared" si="15"/>
        <v>0</v>
      </c>
      <c r="AO34" s="167">
        <f t="shared" si="16"/>
        <v>-0.6449871082</v>
      </c>
      <c r="AP34" s="167">
        <f t="shared" si="17"/>
        <v>-1.196345949</v>
      </c>
      <c r="AQ34" s="167">
        <f t="array" ref="AQ34">INDIRECT("Update"&amp;Projections!$AG$11&amp;"!S"&amp;ROW(B15))</f>
        <v>0.487457</v>
      </c>
      <c r="AR34" s="167">
        <f t="array" ref="AR34">INDIRECT("Update"&amp;Projections!$AG$11&amp;"!T"&amp;ROW(B15))</f>
        <v>0.874002</v>
      </c>
    </row>
    <row r="35">
      <c r="A35" s="50" t="str">
        <f>IF(UpdateHashtag!C33="",ROW(UpdateHashtag!C33),UpdateHashtag!C33)</f>
        <v>Fred VanVleet</v>
      </c>
      <c r="B35" s="53">
        <f>IF(TYPE($A35)=1,"",(UpdateHashtag!M33-B$1)/B$2)</f>
        <v>0.02199905004</v>
      </c>
      <c r="C35" s="53">
        <f>IF(TYPE($A35)=1,"",(UpdateHashtag!L33-C$1)/C$2)</f>
        <v>1.091822875</v>
      </c>
      <c r="D35" s="53">
        <f>IF(TYPE($A35)=1,"",(UpdateHashtag!N33-D$1)/D$2)</f>
        <v>-0.9835887512</v>
      </c>
      <c r="E35" s="53">
        <f>IF(TYPE($A35)=1,"",(UpdateHashtag!O33-E$1)/E$2)</f>
        <v>1.838329713</v>
      </c>
      <c r="F35" s="53">
        <f>IF(TYPE($A35)=1,"",(UpdateHashtag!P33-F$1)/F$2)</f>
        <v>1.081194652</v>
      </c>
      <c r="G35" s="53">
        <f>IF(TYPE($A35)=1,"",(UpdateHashtag!Q33-G$1)/G$2)</f>
        <v>-0.05494381853</v>
      </c>
      <c r="H35" s="53">
        <f>IF(TYPE($A35)=1,"",(UpdateHashtag!I33-H$1)/H$2*I35/$I$1)</f>
        <v>-37.77429609</v>
      </c>
      <c r="I35" s="53">
        <f>UpdateHashtag!S33</f>
        <v>14.1</v>
      </c>
      <c r="J35" s="58">
        <f>IF(TYPE($A35)=1,"",(UpdateHashtag!K33-J$1)/J$2*K35/$K$1)</f>
        <v>4.664692129</v>
      </c>
      <c r="K35" s="59">
        <f>UpdateHashtag!T33</f>
        <v>3.4</v>
      </c>
      <c r="L35" s="53">
        <f>IF(TYPE($A35)=1,"",-(UpdateHashtag!R33-L$1)/L$2)</f>
        <v>-0.05091899834</v>
      </c>
      <c r="N35" s="106">
        <f t="shared" si="3"/>
        <v>4.434595826</v>
      </c>
      <c r="O35" s="106">
        <f t="shared" si="4"/>
        <v>18</v>
      </c>
      <c r="P35" s="163" t="str">
        <f t="array" ref="P35">INDIRECT("Update"&amp;Projections!$AG$11&amp;"!B"&amp;ROW(B16))</f>
        <v/>
      </c>
      <c r="Q35" s="164" t="str">
        <f t="array" ref="Q35">INDIRECT("Update"&amp;Projections!$AG$11&amp;"!C"&amp;ROW(B16))</f>
        <v>Devin Booker</v>
      </c>
      <c r="R35" s="163">
        <f>UpdateBBM!F16</f>
        <v>68</v>
      </c>
      <c r="S35" s="165" t="str">
        <f t="array" ref="S35">INDIRECT("Update"&amp;Projections!$AG$11&amp;"!D"&amp;ROW(B16))</f>
        <v>G,F</v>
      </c>
      <c r="T35" s="144">
        <f t="shared" si="5"/>
        <v>4.144406289</v>
      </c>
      <c r="U35" s="144">
        <f>SUM(AF35:AN35)-IFERROR(IFS(Projections!$I$11,AO35,Projections!$J$11,AP35),"")</f>
        <v>4.539320153</v>
      </c>
      <c r="V35" s="144">
        <f t="shared" si="6"/>
        <v>0.3949138641</v>
      </c>
      <c r="W35" s="144">
        <f t="array" ref="W35">INDIRECT("Update"&amp;Projections!$AG$11&amp;"!M"&amp;ROW(B16))</f>
        <v>26.84118</v>
      </c>
      <c r="X35" s="144">
        <f t="array" ref="X35">INDIRECT("Update"&amp;Projections!$AG$11&amp;"!L"&amp;ROW(B16))</f>
        <v>2.306176</v>
      </c>
      <c r="Y35" s="144">
        <f t="array" ref="Y35">INDIRECT("Update"&amp;Projections!$AG$11&amp;"!N"&amp;ROW(B16))</f>
        <v>4.752059</v>
      </c>
      <c r="Z35" s="144">
        <f t="array" ref="Z35">INDIRECT("Update"&amp;Projections!$AG$11&amp;"!O"&amp;ROW(B16))</f>
        <v>8.093235</v>
      </c>
      <c r="AA35" s="144">
        <f t="array" ref="AA35">INDIRECT("Update"&amp;Projections!$AG$11&amp;"!P"&amp;ROW(B16))</f>
        <v>0.891029</v>
      </c>
      <c r="AB35" s="144">
        <f t="array" ref="AB35">INDIRECT("Update"&amp;Projections!$AG$11&amp;"!Q"&amp;ROW(B16))</f>
        <v>0.297059</v>
      </c>
      <c r="AC35" s="166">
        <f t="array" ref="AC35">INDIRECT("Update"&amp;Projections!$AG$11&amp;"!I"&amp;ROW(B16))</f>
        <v>0.476236</v>
      </c>
      <c r="AD35" s="166">
        <f t="array" ref="AD35">INDIRECT("Update"&amp;Projections!$AG$11&amp;"!K"&amp;ROW(B16))</f>
        <v>0.895995</v>
      </c>
      <c r="AE35" s="144">
        <f t="array" ref="AE35">INDIRECT("Update"&amp;Projections!$AG$11&amp;"!R"&amp;ROW(B16))</f>
        <v>3.341176</v>
      </c>
      <c r="AF35" s="144">
        <f t="shared" si="7"/>
        <v>1.69592859</v>
      </c>
      <c r="AG35" s="144">
        <f t="shared" si="8"/>
        <v>0.5182877983</v>
      </c>
      <c r="AH35" s="144">
        <f t="shared" si="9"/>
        <v>-0.5571328415</v>
      </c>
      <c r="AI35" s="144">
        <f t="shared" si="10"/>
        <v>2.079282161</v>
      </c>
      <c r="AJ35" s="144">
        <f t="shared" si="11"/>
        <v>-0.4697570677</v>
      </c>
      <c r="AK35" s="144">
        <f t="shared" si="12"/>
        <v>-0.7874874237</v>
      </c>
      <c r="AL35" s="144">
        <f t="shared" si="13"/>
        <v>-0.271050875</v>
      </c>
      <c r="AM35" s="144">
        <f t="shared" si="14"/>
        <v>1.543762388</v>
      </c>
      <c r="AN35" s="144">
        <f t="shared" si="15"/>
        <v>0</v>
      </c>
      <c r="AO35" s="167">
        <f t="shared" si="16"/>
        <v>-0.7874874237</v>
      </c>
      <c r="AP35" s="167">
        <f t="shared" si="17"/>
        <v>-1.344620265</v>
      </c>
      <c r="AQ35" s="167">
        <f t="array" ref="AQ35">INDIRECT("Update"&amp;Projections!$AG$11&amp;"!S"&amp;ROW(B16))</f>
        <v>0.476236</v>
      </c>
      <c r="AR35" s="167">
        <f t="array" ref="AR35">INDIRECT("Update"&amp;Projections!$AG$11&amp;"!T"&amp;ROW(B16))</f>
        <v>0.895995</v>
      </c>
    </row>
    <row r="36">
      <c r="A36" s="50" t="str">
        <f>IF(UpdateHashtag!C34="",ROW(UpdateHashtag!C34),UpdateHashtag!C34)</f>
        <v>Jalen Johnson</v>
      </c>
      <c r="B36" s="53">
        <f>IF(TYPE($A36)=1,"",(UpdateHashtag!M34-B$1)/B$2)</f>
        <v>0.1798974008</v>
      </c>
      <c r="C36" s="53">
        <f>IF(TYPE($A36)=1,"",(UpdateHashtag!L34-C$1)/C$2)</f>
        <v>-0.3569272848</v>
      </c>
      <c r="D36" s="53">
        <f>IF(TYPE($A36)=1,"",(UpdateHashtag!N34-D$1)/D$2)</f>
        <v>1.245856083</v>
      </c>
      <c r="E36" s="53">
        <f>IF(TYPE($A36)=1,"",(UpdateHashtag!O34-E$1)/E$2)</f>
        <v>-0.1645797253</v>
      </c>
      <c r="F36" s="53">
        <f>IF(TYPE($A36)=1,"",(UpdateHashtag!P34-F$1)/F$2)</f>
        <v>0.7764716483</v>
      </c>
      <c r="G36" s="53">
        <f>IF(TYPE($A36)=1,"",(UpdateHashtag!Q34-G$1)/G$2)</f>
        <v>0.490453849</v>
      </c>
      <c r="H36" s="53">
        <f>IF(TYPE($A36)=1,"",(UpdateHashtag!I34-H$1)/H$2*I36/$I$1)</f>
        <v>3.405076822</v>
      </c>
      <c r="I36" s="53">
        <f>UpdateHashtag!S34</f>
        <v>14.5</v>
      </c>
      <c r="J36" s="58">
        <f>IF(TYPE($A36)=1,"",(UpdateHashtag!K34-J$1)/J$2*K36/$K$1)</f>
        <v>-1.898526708</v>
      </c>
      <c r="K36" s="59">
        <f>UpdateHashtag!T34</f>
        <v>2.9</v>
      </c>
      <c r="L36" s="53">
        <f>IF(TYPE($A36)=1,"",-(UpdateHashtag!R34-L$1)/L$2)</f>
        <v>0.04827385557</v>
      </c>
      <c r="N36" s="106">
        <f t="shared" si="3"/>
        <v>4.263374274</v>
      </c>
      <c r="O36" s="106">
        <f t="shared" si="4"/>
        <v>14</v>
      </c>
      <c r="P36" s="163" t="str">
        <f t="array" ref="P36">INDIRECT("Update"&amp;Projections!$AG$11&amp;"!B"&amp;ROW(B17))</f>
        <v/>
      </c>
      <c r="Q36" s="164" t="str">
        <f t="array" ref="Q36">INDIRECT("Update"&amp;Projections!$AG$11&amp;"!C"&amp;ROW(B17))</f>
        <v>Amen Thompson</v>
      </c>
      <c r="R36" s="163">
        <f>UpdateBBM!F17</f>
        <v>68</v>
      </c>
      <c r="S36" s="165" t="str">
        <f t="array" ref="S36">INDIRECT("Update"&amp;Projections!$AG$11&amp;"!D"&amp;ROW(B17))</f>
        <v>G,F</v>
      </c>
      <c r="T36" s="144">
        <f t="shared" si="5"/>
        <v>4.538513623</v>
      </c>
      <c r="U36" s="144">
        <f>SUM(AF36:AN36)-IFERROR(IFS(Projections!$I$11,AO36,Projections!$J$11,AP36),"")</f>
        <v>4.705977033</v>
      </c>
      <c r="V36" s="144">
        <f t="shared" si="6"/>
        <v>0.1674634102</v>
      </c>
      <c r="W36" s="144">
        <f t="array" ref="W36">INDIRECT("Update"&amp;Projections!$AG$11&amp;"!M"&amp;ROW(B17))</f>
        <v>17.87471</v>
      </c>
      <c r="X36" s="144">
        <f t="array" ref="X36">INDIRECT("Update"&amp;Projections!$AG$11&amp;"!L"&amp;ROW(B17))</f>
        <v>0.473382</v>
      </c>
      <c r="Y36" s="144">
        <f t="array" ref="Y36">INDIRECT("Update"&amp;Projections!$AG$11&amp;"!N"&amp;ROW(B17))</f>
        <v>8.483971</v>
      </c>
      <c r="Z36" s="144">
        <f t="array" ref="Z36">INDIRECT("Update"&amp;Projections!$AG$11&amp;"!O"&amp;ROW(B17))</f>
        <v>6.590294</v>
      </c>
      <c r="AA36" s="144">
        <f t="array" ref="AA36">INDIRECT("Update"&amp;Projections!$AG$11&amp;"!P"&amp;ROW(B17))</f>
        <v>1.515</v>
      </c>
      <c r="AB36" s="144">
        <f t="array" ref="AB36">INDIRECT("Update"&amp;Projections!$AG$11&amp;"!Q"&amp;ROW(B17))</f>
        <v>1.287794</v>
      </c>
      <c r="AC36" s="166">
        <f t="array" ref="AC36">INDIRECT("Update"&amp;Projections!$AG$11&amp;"!I"&amp;ROW(B17))</f>
        <v>0.55993</v>
      </c>
      <c r="AD36" s="166">
        <f t="array" ref="AD36">INDIRECT("Update"&amp;Projections!$AG$11&amp;"!K"&amp;ROW(B17))</f>
        <v>0.649986</v>
      </c>
      <c r="AE36" s="144">
        <f t="array" ref="AE36">INDIRECT("Update"&amp;Projections!$AG$11&amp;"!R"&amp;ROW(B17))</f>
        <v>2.423971</v>
      </c>
      <c r="AF36" s="144">
        <f t="shared" si="7"/>
        <v>0.1228276735</v>
      </c>
      <c r="AG36" s="144">
        <f t="shared" si="8"/>
        <v>-1.251885935</v>
      </c>
      <c r="AH36" s="144">
        <f t="shared" si="9"/>
        <v>0.9556111459</v>
      </c>
      <c r="AI36" s="144">
        <f t="shared" si="10"/>
        <v>1.345073694</v>
      </c>
      <c r="AJ36" s="144">
        <f t="shared" si="11"/>
        <v>1.431626106</v>
      </c>
      <c r="AK36" s="144">
        <f t="shared" si="12"/>
        <v>1.013661103</v>
      </c>
      <c r="AL36" s="144">
        <f t="shared" si="13"/>
        <v>1.089063245</v>
      </c>
      <c r="AM36" s="144">
        <f t="shared" si="14"/>
        <v>-1.431781571</v>
      </c>
      <c r="AN36" s="144">
        <f t="shared" si="15"/>
        <v>0</v>
      </c>
      <c r="AO36" s="167">
        <f t="shared" si="16"/>
        <v>-1.431781571</v>
      </c>
      <c r="AP36" s="167">
        <f t="shared" si="17"/>
        <v>-2.683667506</v>
      </c>
      <c r="AQ36" s="167">
        <f t="array" ref="AQ36">INDIRECT("Update"&amp;Projections!$AG$11&amp;"!S"&amp;ROW(B17))</f>
        <v>0.55993</v>
      </c>
      <c r="AR36" s="167">
        <f t="array" ref="AR36">INDIRECT("Update"&amp;Projections!$AG$11&amp;"!T"&amp;ROW(B17))</f>
        <v>0.649986</v>
      </c>
    </row>
    <row r="37">
      <c r="A37" s="50" t="str">
        <f>IF(UpdateHashtag!C35="",ROW(UpdateHashtag!C35),UpdateHashtag!C35)</f>
        <v>De'Aaron Fox</v>
      </c>
      <c r="B37" s="53">
        <f>IF(TYPE($A37)=1,"",(UpdateHashtag!M35-B$1)/B$2)</f>
        <v>1.390451423</v>
      </c>
      <c r="C37" s="53">
        <f>IF(TYPE($A37)=1,"",(UpdateHashtag!L35-C$1)/C$2)</f>
        <v>0.705489499</v>
      </c>
      <c r="D37" s="53">
        <f>IF(TYPE($A37)=1,"",(UpdateHashtag!N35-D$1)/D$2)</f>
        <v>-0.780911948</v>
      </c>
      <c r="E37" s="53">
        <f>IF(TYPE($A37)=1,"",(UpdateHashtag!O35-E$1)/E$2)</f>
        <v>0.8124492689</v>
      </c>
      <c r="F37" s="53">
        <f>IF(TYPE($A37)=1,"",(UpdateHashtag!P35-F$1)/F$2)</f>
        <v>1.995363664</v>
      </c>
      <c r="G37" s="53">
        <f>IF(TYPE($A37)=1,"",(UpdateHashtag!Q35-G$1)/G$2)</f>
        <v>-0.600341486</v>
      </c>
      <c r="H37" s="53">
        <f>IF(TYPE($A37)=1,"",(UpdateHashtag!I35-H$1)/H$2*I37/$I$1)</f>
        <v>-13.51018009</v>
      </c>
      <c r="I37" s="53">
        <f>UpdateHashtag!S35</f>
        <v>19.4</v>
      </c>
      <c r="J37" s="58">
        <f>IF(TYPE($A37)=1,"",(UpdateHashtag!K35-J$1)/J$2*K37/$K$1)</f>
        <v>-2.593760583</v>
      </c>
      <c r="K37" s="59">
        <f>UpdateHashtag!T35</f>
        <v>5.6</v>
      </c>
      <c r="L37" s="53">
        <f>IF(TYPE($A37)=1,"",-(UpdateHashtag!R35-L$1)/L$2)</f>
        <v>-0.7452689757</v>
      </c>
      <c r="N37" s="106">
        <f t="shared" si="3"/>
        <v>4.15770324</v>
      </c>
      <c r="O37" s="106">
        <f t="shared" si="4"/>
        <v>45</v>
      </c>
      <c r="P37" s="163" t="str">
        <f t="array" ref="P37">INDIRECT("Update"&amp;Projections!$AG$11&amp;"!B"&amp;ROW(B18))</f>
        <v/>
      </c>
      <c r="Q37" s="164" t="str">
        <f t="array" ref="Q37">INDIRECT("Update"&amp;Projections!$AG$11&amp;"!C"&amp;ROW(B18))</f>
        <v>Jimmy Butler</v>
      </c>
      <c r="R37" s="163">
        <f>UpdateBBM!F18</f>
        <v>68</v>
      </c>
      <c r="S37" s="165" t="str">
        <f t="array" ref="S37">INDIRECT("Update"&amp;Projections!$AG$11&amp;"!D"&amp;ROW(B18))</f>
        <v>F</v>
      </c>
      <c r="T37" s="144">
        <f t="shared" si="5"/>
        <v>2.449616412</v>
      </c>
      <c r="U37" s="144">
        <f>SUM(AF37:AN37)-IFERROR(IFS(Projections!$I$11,AO37,Projections!$J$11,AP37),"")</f>
        <v>2.369498675</v>
      </c>
      <c r="V37" s="144">
        <f t="shared" si="6"/>
        <v>-0.08011773746</v>
      </c>
      <c r="W37" s="144">
        <f t="array" ref="W37">INDIRECT("Update"&amp;Projections!$AG$11&amp;"!M"&amp;ROW(B18))</f>
        <v>16.69765</v>
      </c>
      <c r="X37" s="144">
        <f t="array" ref="X37">INDIRECT("Update"&amp;Projections!$AG$11&amp;"!L"&amp;ROW(B18))</f>
        <v>0.740294</v>
      </c>
      <c r="Y37" s="144">
        <f t="array" ref="Y37">INDIRECT("Update"&amp;Projections!$AG$11&amp;"!N"&amp;ROW(B18))</f>
        <v>5.376912</v>
      </c>
      <c r="Z37" s="144">
        <f t="array" ref="Z37">INDIRECT("Update"&amp;Projections!$AG$11&amp;"!O"&amp;ROW(B18))</f>
        <v>5.847353</v>
      </c>
      <c r="AA37" s="144">
        <f t="array" ref="AA37">INDIRECT("Update"&amp;Projections!$AG$11&amp;"!P"&amp;ROW(B18))</f>
        <v>1.565441</v>
      </c>
      <c r="AB37" s="144">
        <f t="array" ref="AB37">INDIRECT("Update"&amp;Projections!$AG$11&amp;"!Q"&amp;ROW(B18))</f>
        <v>0.271471</v>
      </c>
      <c r="AC37" s="166">
        <f t="array" ref="AC37">INDIRECT("Update"&amp;Projections!$AG$11&amp;"!I"&amp;ROW(B18))</f>
        <v>0.498564</v>
      </c>
      <c r="AD37" s="166">
        <f t="array" ref="AD37">INDIRECT("Update"&amp;Projections!$AG$11&amp;"!K"&amp;ROW(B18))</f>
        <v>0.859001</v>
      </c>
      <c r="AE37" s="144">
        <f t="array" ref="AE37">INDIRECT("Update"&amp;Projections!$AG$11&amp;"!R"&amp;ROW(B18))</f>
        <v>1.425588</v>
      </c>
      <c r="AF37" s="144">
        <f t="shared" si="7"/>
        <v>-0.08367880727</v>
      </c>
      <c r="AG37" s="144">
        <f t="shared" si="8"/>
        <v>-0.9940934</v>
      </c>
      <c r="AH37" s="144">
        <f t="shared" si="9"/>
        <v>-0.3038464246</v>
      </c>
      <c r="AI37" s="144">
        <f t="shared" si="10"/>
        <v>0.982136245</v>
      </c>
      <c r="AJ37" s="144">
        <f t="shared" si="11"/>
        <v>1.585331437</v>
      </c>
      <c r="AK37" s="144">
        <f t="shared" si="12"/>
        <v>-0.8340062087</v>
      </c>
      <c r="AL37" s="144">
        <f t="shared" si="13"/>
        <v>0.05064229356</v>
      </c>
      <c r="AM37" s="144">
        <f t="shared" si="14"/>
        <v>0.9729201402</v>
      </c>
      <c r="AN37" s="144">
        <f t="shared" si="15"/>
        <v>0</v>
      </c>
      <c r="AO37" s="167">
        <f t="shared" si="16"/>
        <v>-0.9940934</v>
      </c>
      <c r="AP37" s="167">
        <f t="shared" si="17"/>
        <v>-1.828099609</v>
      </c>
      <c r="AQ37" s="167">
        <f t="array" ref="AQ37">INDIRECT("Update"&amp;Projections!$AG$11&amp;"!S"&amp;ROW(B18))</f>
        <v>0.498564</v>
      </c>
      <c r="AR37" s="167">
        <f t="array" ref="AR37">INDIRECT("Update"&amp;Projections!$AG$11&amp;"!T"&amp;ROW(B18))</f>
        <v>0.859001</v>
      </c>
    </row>
    <row r="38">
      <c r="A38" s="50" t="str">
        <f>IF(UpdateHashtag!C36="",ROW(UpdateHashtag!C36),UpdateHashtag!C36)</f>
        <v>Derrick White</v>
      </c>
      <c r="B38" s="53">
        <f>IF(TYPE($A38)=1,"",(UpdateHashtag!M36-B$1)/B$2)</f>
        <v>-0.346430435</v>
      </c>
      <c r="C38" s="53">
        <f>IF(TYPE($A38)=1,"",(UpdateHashtag!L36-C$1)/C$2)</f>
        <v>0.8986561869</v>
      </c>
      <c r="D38" s="53">
        <f>IF(TYPE($A38)=1,"",(UpdateHashtag!N36-D$1)/D$2)</f>
        <v>-0.7403765874</v>
      </c>
      <c r="E38" s="53">
        <f>IF(TYPE($A38)=1,"",(UpdateHashtag!O36-E$1)/E$2)</f>
        <v>0.5193405706</v>
      </c>
      <c r="F38" s="53">
        <f>IF(TYPE($A38)=1,"",(UpdateHashtag!P36-F$1)/F$2)</f>
        <v>-0.442420367</v>
      </c>
      <c r="G38" s="53">
        <f>IF(TYPE($A38)=1,"",(UpdateHashtag!Q36-G$1)/G$2)</f>
        <v>0.854052294</v>
      </c>
      <c r="H38" s="53">
        <f>IF(TYPE($A38)=1,"",(UpdateHashtag!I36-H$1)/H$2*I38/$I$1)</f>
        <v>-11.60327933</v>
      </c>
      <c r="I38" s="53">
        <f>UpdateHashtag!S36</f>
        <v>11.3</v>
      </c>
      <c r="J38" s="58">
        <f>IF(TYPE($A38)=1,"",(UpdateHashtag!K36-J$1)/J$2*K38/$K$1)</f>
        <v>3.828903834</v>
      </c>
      <c r="K38" s="59">
        <f>UpdateHashtag!T36</f>
        <v>2.4</v>
      </c>
      <c r="L38" s="53">
        <f>IF(TYPE($A38)=1,"",-(UpdateHashtag!R36-L$1)/L$2)</f>
        <v>0.2466595634</v>
      </c>
      <c r="N38" s="106">
        <f t="shared" si="3"/>
        <v>4.144406289</v>
      </c>
      <c r="O38" s="106">
        <f t="shared" si="4"/>
        <v>29</v>
      </c>
      <c r="P38" s="163" t="str">
        <f t="array" ref="P38">INDIRECT("Update"&amp;Projections!$AG$11&amp;"!B"&amp;ROW(B19))</f>
        <v/>
      </c>
      <c r="Q38" s="164" t="str">
        <f t="array" ref="Q38">INDIRECT("Update"&amp;Projections!$AG$11&amp;"!C"&amp;ROW(B19))</f>
        <v>Karl-Anthony Towns</v>
      </c>
      <c r="R38" s="163">
        <f>UpdateBBM!F19</f>
        <v>68</v>
      </c>
      <c r="S38" s="165" t="str">
        <f t="array" ref="S38">INDIRECT("Update"&amp;Projections!$AG$11&amp;"!D"&amp;ROW(B19))</f>
        <v>C</v>
      </c>
      <c r="T38" s="144">
        <f t="shared" si="5"/>
        <v>3.416527446</v>
      </c>
      <c r="U38" s="144">
        <f>SUM(AF38:AN38)-IFERROR(IFS(Projections!$I$11,AO38,Projections!$J$11,AP38),"")</f>
        <v>3.73066485</v>
      </c>
      <c r="V38" s="144">
        <f t="shared" si="6"/>
        <v>0.3141374034</v>
      </c>
      <c r="W38" s="144">
        <f t="array" ref="W38">INDIRECT("Update"&amp;Projections!$AG$11&amp;"!M"&amp;ROW(B19))</f>
        <v>23.65838</v>
      </c>
      <c r="X38" s="144">
        <f t="array" ref="X38">INDIRECT("Update"&amp;Projections!$AG$11&amp;"!L"&amp;ROW(B19))</f>
        <v>2.223676</v>
      </c>
      <c r="Y38" s="144">
        <f t="array" ref="Y38">INDIRECT("Update"&amp;Projections!$AG$11&amp;"!N"&amp;ROW(B19))</f>
        <v>10.51882</v>
      </c>
      <c r="Z38" s="144">
        <f t="array" ref="Z38">INDIRECT("Update"&amp;Projections!$AG$11&amp;"!O"&amp;ROW(B19))</f>
        <v>3.506176</v>
      </c>
      <c r="AA38" s="144">
        <f t="array" ref="AA38">INDIRECT("Update"&amp;Projections!$AG$11&amp;"!P"&amp;ROW(B19))</f>
        <v>0.905294</v>
      </c>
      <c r="AB38" s="144">
        <f t="array" ref="AB38">INDIRECT("Update"&amp;Projections!$AG$11&amp;"!Q"&amp;ROW(B19))</f>
        <v>0.563676</v>
      </c>
      <c r="AC38" s="166">
        <f t="array" ref="AC38">INDIRECT("Update"&amp;Projections!$AG$11&amp;"!I"&amp;ROW(B19))</f>
        <v>0.513486</v>
      </c>
      <c r="AD38" s="166">
        <f t="array" ref="AD38">INDIRECT("Update"&amp;Projections!$AG$11&amp;"!K"&amp;ROW(B19))</f>
        <v>0.83001</v>
      </c>
      <c r="AE38" s="144">
        <f t="array" ref="AE38">INDIRECT("Update"&amp;Projections!$AG$11&amp;"!R"&amp;ROW(B19))</f>
        <v>3.015441</v>
      </c>
      <c r="AF38" s="144">
        <f t="shared" si="7"/>
        <v>1.137529845</v>
      </c>
      <c r="AG38" s="144">
        <f t="shared" si="8"/>
        <v>0.4386065396</v>
      </c>
      <c r="AH38" s="144">
        <f t="shared" si="9"/>
        <v>1.780444526</v>
      </c>
      <c r="AI38" s="144">
        <f t="shared" si="10"/>
        <v>-0.1615626597</v>
      </c>
      <c r="AJ38" s="144">
        <f t="shared" si="11"/>
        <v>-0.4262883312</v>
      </c>
      <c r="AK38" s="144">
        <f t="shared" si="12"/>
        <v>-0.3027797906</v>
      </c>
      <c r="AL38" s="144">
        <f t="shared" si="13"/>
        <v>0.2823301448</v>
      </c>
      <c r="AM38" s="144">
        <f t="shared" si="14"/>
        <v>0.5560962445</v>
      </c>
      <c r="AN38" s="144">
        <f t="shared" si="15"/>
        <v>0</v>
      </c>
      <c r="AO38" s="167">
        <f t="shared" si="16"/>
        <v>-0.4262883312</v>
      </c>
      <c r="AP38" s="167">
        <f t="shared" si="17"/>
        <v>-0.7290681218</v>
      </c>
      <c r="AQ38" s="167">
        <f t="array" ref="AQ38">INDIRECT("Update"&amp;Projections!$AG$11&amp;"!S"&amp;ROW(B19))</f>
        <v>0.513486</v>
      </c>
      <c r="AR38" s="167">
        <f t="array" ref="AR38">INDIRECT("Update"&amp;Projections!$AG$11&amp;"!T"&amp;ROW(B19))</f>
        <v>0.83001</v>
      </c>
    </row>
    <row r="39">
      <c r="A39" s="50" t="str">
        <f>IF(UpdateHashtag!C37="",ROW(UpdateHashtag!C37),UpdateHashtag!C37)</f>
        <v>Ja Morant</v>
      </c>
      <c r="B39" s="53">
        <f>IF(TYPE($A39)=1,"",(UpdateHashtag!M37-B$1)/B$2)</f>
        <v>1.513261252</v>
      </c>
      <c r="C39" s="53">
        <f>IF(TYPE($A39)=1,"",(UpdateHashtag!L37-C$1)/C$2)</f>
        <v>-0.2603439408</v>
      </c>
      <c r="D39" s="53">
        <f>IF(TYPE($A39)=1,"",(UpdateHashtag!N37-D$1)/D$2)</f>
        <v>-0.09181081739</v>
      </c>
      <c r="E39" s="53">
        <f>IF(TYPE($A39)=1,"",(UpdateHashtag!O37-E$1)/E$2)</f>
        <v>2.131438411</v>
      </c>
      <c r="F39" s="53">
        <f>IF(TYPE($A39)=1,"",(UpdateHashtag!P37-F$1)/F$2)</f>
        <v>-0.442420367</v>
      </c>
      <c r="G39" s="53">
        <f>IF(TYPE($A39)=1,"",(UpdateHashtag!Q37-G$1)/G$2)</f>
        <v>-0.4185422635</v>
      </c>
      <c r="H39" s="53">
        <f>IF(TYPE($A39)=1,"",(UpdateHashtag!I37-H$1)/H$2*I39/$I$1)</f>
        <v>-14.82702061</v>
      </c>
      <c r="I39" s="53">
        <f>UpdateHashtag!S37</f>
        <v>19.6</v>
      </c>
      <c r="J39" s="58">
        <f>IF(TYPE($A39)=1,"",(UpdateHashtag!K37-J$1)/J$2*K39/$K$1)</f>
        <v>-0.002938886835</v>
      </c>
      <c r="K39" s="59">
        <f>UpdateHashtag!T37</f>
        <v>7.4</v>
      </c>
      <c r="L39" s="53">
        <f>IF(TYPE($A39)=1,"",-(UpdateHashtag!R37-L$1)/L$2)</f>
        <v>-1.241233245</v>
      </c>
      <c r="N39" s="106">
        <f t="shared" si="3"/>
        <v>4.027455578</v>
      </c>
      <c r="O39" s="106">
        <f t="shared" si="4"/>
        <v>39</v>
      </c>
      <c r="P39" s="163" t="str">
        <f t="array" ref="P39">INDIRECT("Update"&amp;Projections!$AG$11&amp;"!B"&amp;ROW(B20))</f>
        <v/>
      </c>
      <c r="Q39" s="164" t="str">
        <f t="array" ref="Q39">INDIRECT("Update"&amp;Projections!$AG$11&amp;"!C"&amp;ROW(B20))</f>
        <v>Myles Turner</v>
      </c>
      <c r="R39" s="163">
        <f>UpdateBBM!F20</f>
        <v>73</v>
      </c>
      <c r="S39" s="165" t="str">
        <f t="array" ref="S39">INDIRECT("Update"&amp;Projections!$AG$11&amp;"!D"&amp;ROW(B20))</f>
        <v>C</v>
      </c>
      <c r="T39" s="144">
        <f t="shared" si="5"/>
        <v>2.919397555</v>
      </c>
      <c r="U39" s="144">
        <f>SUM(AF39:AN39)-IFERROR(IFS(Projections!$I$11,AO39,Projections!$J$11,AP39),"")</f>
        <v>2.886505288</v>
      </c>
      <c r="V39" s="144">
        <f t="shared" si="6"/>
        <v>-0.03289226769</v>
      </c>
      <c r="W39" s="144">
        <f t="array" ref="W39">INDIRECT("Update"&amp;Projections!$AG$11&amp;"!M"&amp;ROW(B20))</f>
        <v>17.20205</v>
      </c>
      <c r="X39" s="144">
        <f t="array" ref="X39">INDIRECT("Update"&amp;Projections!$AG$11&amp;"!L"&amp;ROW(B20))</f>
        <v>2.200137</v>
      </c>
      <c r="Y39" s="144">
        <f t="array" ref="Y39">INDIRECT("Update"&amp;Projections!$AG$11&amp;"!N"&amp;ROW(B20))</f>
        <v>6.867945</v>
      </c>
      <c r="Z39" s="144">
        <f t="array" ref="Z39">INDIRECT("Update"&amp;Projections!$AG$11&amp;"!O"&amp;ROW(B20))</f>
        <v>1.749589</v>
      </c>
      <c r="AA39" s="144">
        <f t="array" ref="AA39">INDIRECT("Update"&amp;Projections!$AG$11&amp;"!P"&amp;ROW(B20))</f>
        <v>0.752603</v>
      </c>
      <c r="AB39" s="144">
        <f t="array" ref="AB39">INDIRECT("Update"&amp;Projections!$AG$11&amp;"!Q"&amp;ROW(B20))</f>
        <v>2.356712</v>
      </c>
      <c r="AC39" s="166">
        <f t="array" ref="AC39">INDIRECT("Update"&amp;Projections!$AG$11&amp;"!I"&amp;ROW(B20))</f>
        <v>0.506691</v>
      </c>
      <c r="AD39" s="166">
        <f t="array" ref="AD39">INDIRECT("Update"&amp;Projections!$AG$11&amp;"!K"&amp;ROW(B20))</f>
        <v>0.781993</v>
      </c>
      <c r="AE39" s="144">
        <f t="array" ref="AE39">INDIRECT("Update"&amp;Projections!$AG$11&amp;"!R"&amp;ROW(B20))</f>
        <v>1.616027</v>
      </c>
      <c r="AF39" s="144">
        <f t="shared" si="7"/>
        <v>0.004814446196</v>
      </c>
      <c r="AG39" s="144">
        <f t="shared" si="8"/>
        <v>0.4158717862</v>
      </c>
      <c r="AH39" s="144">
        <f t="shared" si="9"/>
        <v>0.300549179</v>
      </c>
      <c r="AI39" s="144">
        <f t="shared" si="10"/>
        <v>-1.019680875</v>
      </c>
      <c r="AJ39" s="144">
        <f t="shared" si="11"/>
        <v>-0.891572933</v>
      </c>
      <c r="AK39" s="144">
        <f t="shared" si="12"/>
        <v>2.956945716</v>
      </c>
      <c r="AL39" s="144">
        <f t="shared" si="13"/>
        <v>0.1751680445</v>
      </c>
      <c r="AM39" s="144">
        <f t="shared" si="14"/>
        <v>-0.07527095181</v>
      </c>
      <c r="AN39" s="144">
        <f t="shared" si="15"/>
        <v>0</v>
      </c>
      <c r="AO39" s="167">
        <f t="shared" si="16"/>
        <v>-1.019680875</v>
      </c>
      <c r="AP39" s="167">
        <f t="shared" si="17"/>
        <v>-1.911253808</v>
      </c>
      <c r="AQ39" s="167">
        <f t="array" ref="AQ39">INDIRECT("Update"&amp;Projections!$AG$11&amp;"!S"&amp;ROW(B20))</f>
        <v>0.506691</v>
      </c>
      <c r="AR39" s="167">
        <f t="array" ref="AR39">INDIRECT("Update"&amp;Projections!$AG$11&amp;"!T"&amp;ROW(B20))</f>
        <v>0.781993</v>
      </c>
    </row>
    <row r="40">
      <c r="A40" s="50" t="str">
        <f>IF(UpdateHashtag!C38="",ROW(UpdateHashtag!C38),UpdateHashtag!C38)</f>
        <v>DeMar DeRozan</v>
      </c>
      <c r="B40" s="53">
        <f>IF(TYPE($A40)=1,"",(UpdateHashtag!M38-B$1)/B$2)</f>
        <v>0.8641235874</v>
      </c>
      <c r="C40" s="53">
        <f>IF(TYPE($A40)=1,"",(UpdateHashtag!L38-C$1)/C$2)</f>
        <v>-0.6466773167</v>
      </c>
      <c r="D40" s="53">
        <f>IF(TYPE($A40)=1,"",(UpdateHashtag!N38-D$1)/D$2)</f>
        <v>-0.9430533905</v>
      </c>
      <c r="E40" s="53">
        <f>IF(TYPE($A40)=1,"",(UpdateHashtag!O38-E$1)/E$2)</f>
        <v>0.03082607356</v>
      </c>
      <c r="F40" s="53">
        <f>IF(TYPE($A40)=1,"",(UpdateHashtag!P38-F$1)/F$2)</f>
        <v>0.1670256406</v>
      </c>
      <c r="G40" s="53">
        <f>IF(TYPE($A40)=1,"",(UpdateHashtag!Q38-G$1)/G$2)</f>
        <v>-0.236743041</v>
      </c>
      <c r="H40" s="53">
        <f>IF(TYPE($A40)=1,"",(UpdateHashtag!I38-H$1)/H$2*I40/$I$1)</f>
        <v>-4.247994236</v>
      </c>
      <c r="I40" s="53">
        <f>UpdateHashtag!S38</f>
        <v>15.4</v>
      </c>
      <c r="J40" s="58">
        <f>IF(TYPE($A40)=1,"",(UpdateHashtag!K38-J$1)/J$2*K40/$K$1)</f>
        <v>8.37503213</v>
      </c>
      <c r="K40" s="59">
        <f>UpdateHashtag!T38</f>
        <v>7</v>
      </c>
      <c r="L40" s="53">
        <f>IF(TYPE($A40)=1,"",-(UpdateHashtag!R38-L$1)/L$2)</f>
        <v>0.04827385557</v>
      </c>
      <c r="N40" s="106">
        <f t="shared" si="3"/>
        <v>3.943388389</v>
      </c>
      <c r="O40" s="106">
        <f t="shared" si="4"/>
        <v>33</v>
      </c>
      <c r="P40" s="163" t="str">
        <f t="array" ref="P40">INDIRECT("Update"&amp;Projections!$AG$11&amp;"!B"&amp;ROW(B21))</f>
        <v/>
      </c>
      <c r="Q40" s="164" t="str">
        <f t="array" ref="Q40">INDIRECT("Update"&amp;Projections!$AG$11&amp;"!C"&amp;ROW(B21))</f>
        <v>Jaren Jackson Jr.</v>
      </c>
      <c r="R40" s="163">
        <f>UpdateBBM!F21</f>
        <v>62</v>
      </c>
      <c r="S40" s="165" t="str">
        <f t="array" ref="S40">INDIRECT("Update"&amp;Projections!$AG$11&amp;"!D"&amp;ROW(B21))</f>
        <v>F,C</v>
      </c>
      <c r="T40" s="144">
        <f t="shared" si="5"/>
        <v>3.216798893</v>
      </c>
      <c r="U40" s="144">
        <f>SUM(AF40:AN40)-IFERROR(IFS(Projections!$I$11,AO40,Projections!$J$11,AP40),"")</f>
        <v>3.195811008</v>
      </c>
      <c r="V40" s="144">
        <f t="shared" si="6"/>
        <v>-0.02098788531</v>
      </c>
      <c r="W40" s="144">
        <f t="array" ref="W40">INDIRECT("Update"&amp;Projections!$AG$11&amp;"!M"&amp;ROW(B21))</f>
        <v>23.20919</v>
      </c>
      <c r="X40" s="144">
        <f t="array" ref="X40">INDIRECT("Update"&amp;Projections!$AG$11&amp;"!L"&amp;ROW(B21))</f>
        <v>2.403871</v>
      </c>
      <c r="Y40" s="144">
        <f t="array" ref="Y40">INDIRECT("Update"&amp;Projections!$AG$11&amp;"!N"&amp;ROW(B21))</f>
        <v>6.170645</v>
      </c>
      <c r="Z40" s="144">
        <f t="array" ref="Z40">INDIRECT("Update"&amp;Projections!$AG$11&amp;"!O"&amp;ROW(B21))</f>
        <v>1.733387</v>
      </c>
      <c r="AA40" s="144">
        <f t="array" ref="AA40">INDIRECT("Update"&amp;Projections!$AG$11&amp;"!P"&amp;ROW(B21))</f>
        <v>1.191129</v>
      </c>
      <c r="AB40" s="144">
        <f t="array" ref="AB40">INDIRECT("Update"&amp;Projections!$AG$11&amp;"!Q"&amp;ROW(B21))</f>
        <v>1.514516</v>
      </c>
      <c r="AC40" s="166">
        <f t="array" ref="AC40">INDIRECT("Update"&amp;Projections!$AG$11&amp;"!I"&amp;ROW(B21))</f>
        <v>0.473105</v>
      </c>
      <c r="AD40" s="166">
        <f t="array" ref="AD40">INDIRECT("Update"&amp;Projections!$AG$11&amp;"!K"&amp;ROW(B21))</f>
        <v>0.784009</v>
      </c>
      <c r="AE40" s="144">
        <f t="array" ref="AE40">INDIRECT("Update"&amp;Projections!$AG$11&amp;"!R"&amp;ROW(B21))</f>
        <v>1.664032</v>
      </c>
      <c r="AF40" s="144">
        <f t="shared" si="7"/>
        <v>1.058722778</v>
      </c>
      <c r="AG40" s="144">
        <f t="shared" si="8"/>
        <v>0.6126448962</v>
      </c>
      <c r="AH40" s="144">
        <f t="shared" si="9"/>
        <v>0.01789610938</v>
      </c>
      <c r="AI40" s="144">
        <f t="shared" si="10"/>
        <v>-1.027595787</v>
      </c>
      <c r="AJ40" s="144">
        <f t="shared" si="11"/>
        <v>0.4447166668</v>
      </c>
      <c r="AK40" s="144">
        <f t="shared" si="12"/>
        <v>1.425839937</v>
      </c>
      <c r="AL40" s="144">
        <f t="shared" si="13"/>
        <v>-0.3137665726</v>
      </c>
      <c r="AM40" s="144">
        <f t="shared" si="14"/>
        <v>-0.05024280674</v>
      </c>
      <c r="AN40" s="144">
        <f t="shared" si="15"/>
        <v>0</v>
      </c>
      <c r="AO40" s="167">
        <f t="shared" si="16"/>
        <v>-1.027595787</v>
      </c>
      <c r="AP40" s="167">
        <f t="shared" si="17"/>
        <v>-1.341362359</v>
      </c>
      <c r="AQ40" s="167">
        <f t="array" ref="AQ40">INDIRECT("Update"&amp;Projections!$AG$11&amp;"!S"&amp;ROW(B21))</f>
        <v>0.473105</v>
      </c>
      <c r="AR40" s="167">
        <f t="array" ref="AR40">INDIRECT("Update"&amp;Projections!$AG$11&amp;"!T"&amp;ROW(B21))</f>
        <v>0.784009</v>
      </c>
    </row>
    <row r="41">
      <c r="A41" s="50" t="str">
        <f>IF(UpdateHashtag!C39="",ROW(UpdateHashtag!C39),UpdateHashtag!C39)</f>
        <v>Evan Mobley</v>
      </c>
      <c r="B41" s="53">
        <f>IF(TYPE($A41)=1,"",(UpdateHashtag!M39-B$1)/B$2)</f>
        <v>-0.1885320843</v>
      </c>
      <c r="C41" s="53">
        <f>IF(TYPE($A41)=1,"",(UpdateHashtag!L39-C$1)/C$2)</f>
        <v>-1.322760725</v>
      </c>
      <c r="D41" s="53">
        <f>IF(TYPE($A41)=1,"",(UpdateHashtag!N39-D$1)/D$2)</f>
        <v>1.245856083</v>
      </c>
      <c r="E41" s="53">
        <f>IF(TYPE($A41)=1,"",(UpdateHashtag!O39-E$1)/E$2)</f>
        <v>-0.213431175</v>
      </c>
      <c r="F41" s="53">
        <f>IF(TYPE($A41)=1,"",(UpdateHashtag!P39-F$1)/F$2)</f>
        <v>-0.442420367</v>
      </c>
      <c r="G41" s="53">
        <f>IF(TYPE($A41)=1,"",(UpdateHashtag!Q39-G$1)/G$2)</f>
        <v>1.399449961</v>
      </c>
      <c r="H41" s="53">
        <f>IF(TYPE($A41)=1,"",(UpdateHashtag!I39-H$1)/H$2*I41/$I$1)</f>
        <v>26.64885837</v>
      </c>
      <c r="I41" s="53">
        <f>UpdateHashtag!S39</f>
        <v>11.4</v>
      </c>
      <c r="J41" s="58">
        <f>IF(TYPE($A41)=1,"",(UpdateHashtag!K39-J$1)/J$2*K41/$K$1)</f>
        <v>-3.563196726</v>
      </c>
      <c r="K41" s="59">
        <f>UpdateHashtag!T39</f>
        <v>3.6</v>
      </c>
      <c r="L41" s="53">
        <f>IF(TYPE($A41)=1,"",-(UpdateHashtag!R39-L$1)/L$2)</f>
        <v>-0.05091899834</v>
      </c>
      <c r="N41" s="106">
        <f t="shared" si="3"/>
        <v>3.891104309</v>
      </c>
      <c r="O41" s="106">
        <f t="shared" si="4"/>
        <v>15</v>
      </c>
      <c r="P41" s="163" t="str">
        <f t="array" ref="P41">INDIRECT("Update"&amp;Projections!$AG$11&amp;"!B"&amp;ROW(B22))</f>
        <v/>
      </c>
      <c r="Q41" s="164" t="str">
        <f t="array" ref="Q41">INDIRECT("Update"&amp;Projections!$AG$11&amp;"!C"&amp;ROW(B22))</f>
        <v>Anthony Edwards</v>
      </c>
      <c r="R41" s="163">
        <f>UpdateBBM!F22</f>
        <v>77</v>
      </c>
      <c r="S41" s="165" t="str">
        <f t="array" ref="S41">INDIRECT("Update"&amp;Projections!$AG$11&amp;"!D"&amp;ROW(B22))</f>
        <v>G,F</v>
      </c>
      <c r="T41" s="144">
        <f t="shared" si="5"/>
        <v>4.434595826</v>
      </c>
      <c r="U41" s="144">
        <f>SUM(AF41:AN41)-IFERROR(IFS(Projections!$I$11,AO41,Projections!$J$11,AP41),"")</f>
        <v>4.79269699</v>
      </c>
      <c r="V41" s="144">
        <f t="shared" si="6"/>
        <v>0.3581011642</v>
      </c>
      <c r="W41" s="144">
        <f t="array" ref="W41">INDIRECT("Update"&amp;Projections!$AG$11&amp;"!M"&amp;ROW(B22))</f>
        <v>28.19805</v>
      </c>
      <c r="X41" s="144">
        <f t="array" ref="X41">INDIRECT("Update"&amp;Projections!$AG$11&amp;"!L"&amp;ROW(B22))</f>
        <v>3.818701</v>
      </c>
      <c r="Y41" s="144">
        <f t="array" ref="Y41">INDIRECT("Update"&amp;Projections!$AG$11&amp;"!N"&amp;ROW(B22))</f>
        <v>5.42026</v>
      </c>
      <c r="Z41" s="144">
        <f t="array" ref="Z41">INDIRECT("Update"&amp;Projections!$AG$11&amp;"!O"&amp;ROW(B22))</f>
        <v>4.974805</v>
      </c>
      <c r="AA41" s="144">
        <f t="array" ref="AA41">INDIRECT("Update"&amp;Projections!$AG$11&amp;"!P"&amp;ROW(B22))</f>
        <v>1.113506</v>
      </c>
      <c r="AB41" s="144">
        <f t="array" ref="AB41">INDIRECT("Update"&amp;Projections!$AG$11&amp;"!Q"&amp;ROW(B22))</f>
        <v>0.668312</v>
      </c>
      <c r="AC41" s="166">
        <f t="array" ref="AC41">INDIRECT("Update"&amp;Projections!$AG$11&amp;"!I"&amp;ROW(B22))</f>
        <v>0.44995</v>
      </c>
      <c r="AD41" s="166">
        <f t="array" ref="AD41">INDIRECT("Update"&amp;Projections!$AG$11&amp;"!K"&amp;ROW(B22))</f>
        <v>0.826999</v>
      </c>
      <c r="AE41" s="144">
        <f t="array" ref="AE41">INDIRECT("Update"&amp;Projections!$AG$11&amp;"!R"&amp;ROW(B22))</f>
        <v>3.192727</v>
      </c>
      <c r="AF41" s="144">
        <f t="shared" si="7"/>
        <v>1.933981407</v>
      </c>
      <c r="AG41" s="144">
        <f t="shared" si="8"/>
        <v>1.979135022</v>
      </c>
      <c r="AH41" s="144">
        <f t="shared" si="9"/>
        <v>-0.2862751565</v>
      </c>
      <c r="AI41" s="144">
        <f t="shared" si="10"/>
        <v>0.5558838976</v>
      </c>
      <c r="AJ41" s="144">
        <f t="shared" si="11"/>
        <v>0.2081815295</v>
      </c>
      <c r="AK41" s="144">
        <f t="shared" si="12"/>
        <v>-0.1125523562</v>
      </c>
      <c r="AL41" s="144">
        <f t="shared" si="13"/>
        <v>-0.6113824811</v>
      </c>
      <c r="AM41" s="144">
        <f t="shared" si="14"/>
        <v>0.5143426464</v>
      </c>
      <c r="AN41" s="144">
        <f t="shared" si="15"/>
        <v>0</v>
      </c>
      <c r="AO41" s="167">
        <f t="shared" si="16"/>
        <v>-0.6113824811</v>
      </c>
      <c r="AP41" s="167">
        <f t="shared" si="17"/>
        <v>-0.8976576376</v>
      </c>
      <c r="AQ41" s="167">
        <f t="array" ref="AQ41">INDIRECT("Update"&amp;Projections!$AG$11&amp;"!S"&amp;ROW(B22))</f>
        <v>0.44995</v>
      </c>
      <c r="AR41" s="167">
        <f t="array" ref="AR41">INDIRECT("Update"&amp;Projections!$AG$11&amp;"!T"&amp;ROW(B22))</f>
        <v>0.826999</v>
      </c>
    </row>
    <row r="42">
      <c r="A42" s="50" t="str">
        <f>IF(UpdateHashtag!C40="",ROW(UpdateHashtag!C40),UpdateHashtag!C40)</f>
        <v>Kawhi Leonard</v>
      </c>
      <c r="B42" s="53">
        <f>IF(TYPE($A42)=1,"",(UpdateHashtag!M40-B$1)/B$2)</f>
        <v>0.5307826247</v>
      </c>
      <c r="C42" s="53">
        <f>IF(TYPE($A42)=1,"",(UpdateHashtag!L40-C$1)/C$2)</f>
        <v>-0.06717725286</v>
      </c>
      <c r="D42" s="53">
        <f>IF(TYPE($A42)=1,"",(UpdateHashtag!N40-D$1)/D$2)</f>
        <v>-0.2944876205</v>
      </c>
      <c r="E42" s="53">
        <f>IF(TYPE($A42)=1,"",(UpdateHashtag!O40-E$1)/E$2)</f>
        <v>-0.3111340744</v>
      </c>
      <c r="F42" s="53">
        <f>IF(TYPE($A42)=1,"",(UpdateHashtag!P40-F$1)/F$2)</f>
        <v>0.1670256406</v>
      </c>
      <c r="G42" s="53">
        <f>IF(TYPE($A42)=1,"",(UpdateHashtag!Q40-G$1)/G$2)</f>
        <v>-0.4185422635</v>
      </c>
      <c r="H42" s="53">
        <f>IF(TYPE($A42)=1,"",(UpdateHashtag!I40-H$1)/H$2*I42/$I$1)</f>
        <v>5.218383867</v>
      </c>
      <c r="I42" s="53">
        <f>UpdateHashtag!S40</f>
        <v>14.7</v>
      </c>
      <c r="J42" s="58">
        <f>IF(TYPE($A42)=1,"",(UpdateHashtag!K40-J$1)/J$2*K42/$K$1)</f>
        <v>4.643669068</v>
      </c>
      <c r="K42" s="59">
        <f>UpdateHashtag!T40</f>
        <v>4.1</v>
      </c>
      <c r="L42" s="53">
        <f>IF(TYPE($A42)=1,"",-(UpdateHashtag!R40-L$1)/L$2)</f>
        <v>0.1474667095</v>
      </c>
      <c r="N42" s="106">
        <f t="shared" si="3"/>
        <v>3.759771074</v>
      </c>
      <c r="O42" s="106">
        <f t="shared" si="4"/>
        <v>21</v>
      </c>
      <c r="P42" s="163" t="str">
        <f t="array" ref="P42">INDIRECT("Update"&amp;Projections!$AG$11&amp;"!B"&amp;ROW(B23))</f>
        <v/>
      </c>
      <c r="Q42" s="164" t="str">
        <f t="array" ref="Q42">INDIRECT("Update"&amp;Projections!$AG$11&amp;"!C"&amp;ROW(B23))</f>
        <v>Jakob Poeltl</v>
      </c>
      <c r="R42" s="163">
        <f>UpdateBBM!F23</f>
        <v>68</v>
      </c>
      <c r="S42" s="165" t="str">
        <f t="array" ref="S42">INDIRECT("Update"&amp;Projections!$AG$11&amp;"!D"&amp;ROW(B23))</f>
        <v>C</v>
      </c>
      <c r="T42" s="144">
        <f t="shared" si="5"/>
        <v>3.891104309</v>
      </c>
      <c r="U42" s="144">
        <f>SUM(AF42:AN42)-IFERROR(IFS(Projections!$I$11,AO42,Projections!$J$11,AP42),"")</f>
        <v>3.886365949</v>
      </c>
      <c r="V42" s="144">
        <f t="shared" si="6"/>
        <v>-0.00473835997</v>
      </c>
      <c r="W42" s="144">
        <f t="array" ref="W42">INDIRECT("Update"&amp;Projections!$AG$11&amp;"!M"&amp;ROW(B23))</f>
        <v>13.36265</v>
      </c>
      <c r="X42" s="144">
        <f t="array" ref="X42">INDIRECT("Update"&amp;Projections!$AG$11&amp;"!L"&amp;ROW(B23))</f>
        <v>0.025735</v>
      </c>
      <c r="Y42" s="144">
        <f t="array" ref="Y42">INDIRECT("Update"&amp;Projections!$AG$11&amp;"!N"&amp;ROW(B23))</f>
        <v>10.17765</v>
      </c>
      <c r="Z42" s="144">
        <f t="array" ref="Z42">INDIRECT("Update"&amp;Projections!$AG$11&amp;"!O"&amp;ROW(B23))</f>
        <v>2.993382</v>
      </c>
      <c r="AA42" s="144">
        <f t="array" ref="AA42">INDIRECT("Update"&amp;Projections!$AG$11&amp;"!P"&amp;ROW(B23))</f>
        <v>1.064265</v>
      </c>
      <c r="AB42" s="144">
        <f t="array" ref="AB42">INDIRECT("Update"&amp;Projections!$AG$11&amp;"!Q"&amp;ROW(B23))</f>
        <v>1.445735</v>
      </c>
      <c r="AC42" s="166">
        <f t="array" ref="AC42">INDIRECT("Update"&amp;Projections!$AG$11&amp;"!I"&amp;ROW(B23))</f>
        <v>0.65981</v>
      </c>
      <c r="AD42" s="166">
        <f t="array" ref="AD42">INDIRECT("Update"&amp;Projections!$AG$11&amp;"!K"&amp;ROW(B23))</f>
        <v>0.665999</v>
      </c>
      <c r="AE42" s="144">
        <f t="array" ref="AE42">INDIRECT("Update"&amp;Projections!$AG$11&amp;"!R"&amp;ROW(B23))</f>
        <v>1.729559</v>
      </c>
      <c r="AF42" s="144">
        <f t="shared" si="7"/>
        <v>-0.6687799181</v>
      </c>
      <c r="AG42" s="144">
        <f t="shared" si="8"/>
        <v>-1.684238377</v>
      </c>
      <c r="AH42" s="144">
        <f t="shared" si="9"/>
        <v>1.642150036</v>
      </c>
      <c r="AI42" s="144">
        <f t="shared" si="10"/>
        <v>-0.4120699628</v>
      </c>
      <c r="AJ42" s="144">
        <f t="shared" si="11"/>
        <v>0.05813287519</v>
      </c>
      <c r="AK42" s="144">
        <f t="shared" si="12"/>
        <v>1.300796613</v>
      </c>
      <c r="AL42" s="144">
        <f t="shared" si="13"/>
        <v>3.263007568</v>
      </c>
      <c r="AM42" s="144">
        <f t="shared" si="14"/>
        <v>-1.296871263</v>
      </c>
      <c r="AN42" s="144">
        <f t="shared" si="15"/>
        <v>0</v>
      </c>
      <c r="AO42" s="167">
        <f t="shared" si="16"/>
        <v>-1.684238377</v>
      </c>
      <c r="AP42" s="167">
        <f t="shared" si="17"/>
        <v>-2.98110964</v>
      </c>
      <c r="AQ42" s="167">
        <f t="array" ref="AQ42">INDIRECT("Update"&amp;Projections!$AG$11&amp;"!S"&amp;ROW(B23))</f>
        <v>0.65981</v>
      </c>
      <c r="AR42" s="167">
        <f t="array" ref="AR42">INDIRECT("Update"&amp;Projections!$AG$11&amp;"!T"&amp;ROW(B23))</f>
        <v>0.665999</v>
      </c>
    </row>
    <row r="43">
      <c r="A43" s="50" t="str">
        <f>IF(UpdateHashtag!C41="",ROW(UpdateHashtag!C41),UpdateHashtag!C41)</f>
        <v>Desmond Bane</v>
      </c>
      <c r="B43" s="53">
        <f>IF(TYPE($A43)=1,"",(UpdateHashtag!M41-B$1)/B$2)</f>
        <v>0.741313759</v>
      </c>
      <c r="C43" s="53">
        <f>IF(TYPE($A43)=1,"",(UpdateHashtag!L41-C$1)/C$2)</f>
        <v>1.091822875</v>
      </c>
      <c r="D43" s="53">
        <f>IF(TYPE($A43)=1,"",(UpdateHashtag!N41-D$1)/D$2)</f>
        <v>-0.6593058662</v>
      </c>
      <c r="E43" s="53">
        <f>IF(TYPE($A43)=1,"",(UpdateHashtag!O41-E$1)/E$2)</f>
        <v>0.2750833221</v>
      </c>
      <c r="F43" s="53">
        <f>IF(TYPE($A43)=1,"",(UpdateHashtag!P41-F$1)/F$2)</f>
        <v>-0.1376973632</v>
      </c>
      <c r="G43" s="53">
        <f>IF(TYPE($A43)=1,"",(UpdateHashtag!Q41-G$1)/G$2)</f>
        <v>-0.600341486</v>
      </c>
      <c r="H43" s="53">
        <f>IF(TYPE($A43)=1,"",(UpdateHashtag!I41-H$1)/H$2*I43/$I$1)</f>
        <v>-11.42097699</v>
      </c>
      <c r="I43" s="53">
        <f>UpdateHashtag!S41</f>
        <v>16.4</v>
      </c>
      <c r="J43" s="58">
        <f>IF(TYPE($A43)=1,"",(UpdateHashtag!K41-J$1)/J$2*K43/$K$1)</f>
        <v>4.9694452</v>
      </c>
      <c r="K43" s="59">
        <f>UpdateHashtag!T41</f>
        <v>3.5</v>
      </c>
      <c r="L43" s="53">
        <f>IF(TYPE($A43)=1,"",-(UpdateHashtag!R41-L$1)/L$2)</f>
        <v>-0.5468832679</v>
      </c>
      <c r="N43" s="106">
        <f t="shared" si="3"/>
        <v>3.596461695</v>
      </c>
      <c r="O43" s="106">
        <f t="shared" si="4"/>
        <v>19</v>
      </c>
      <c r="P43" s="163" t="str">
        <f t="array" ref="P43">INDIRECT("Update"&amp;Projections!$AG$11&amp;"!B"&amp;ROW(B24))</f>
        <v/>
      </c>
      <c r="Q43" s="164" t="str">
        <f t="array" ref="Q43">INDIRECT("Update"&amp;Projections!$AG$11&amp;"!C"&amp;ROW(B24))</f>
        <v>Cade Cunningham</v>
      </c>
      <c r="R43" s="163">
        <f>UpdateBBM!F24</f>
        <v>73</v>
      </c>
      <c r="S43" s="165" t="str">
        <f t="array" ref="S43">INDIRECT("Update"&amp;Projections!$AG$11&amp;"!D"&amp;ROW(B24))</f>
        <v>G</v>
      </c>
      <c r="T43" s="144">
        <f t="shared" si="5"/>
        <v>4.027455578</v>
      </c>
      <c r="U43" s="144">
        <f>SUM(AF43:AN43)-IFERROR(IFS(Projections!$I$11,AO43,Projections!$J$11,AP43),"")</f>
        <v>4.55184389</v>
      </c>
      <c r="V43" s="144">
        <f t="shared" si="6"/>
        <v>0.5243883124</v>
      </c>
      <c r="W43" s="144">
        <f t="array" ref="W43">INDIRECT("Update"&amp;Projections!$AG$11&amp;"!M"&amp;ROW(B24))</f>
        <v>26.39342</v>
      </c>
      <c r="X43" s="144">
        <f t="array" ref="X43">INDIRECT("Update"&amp;Projections!$AG$11&amp;"!L"&amp;ROW(B24))</f>
        <v>1.808219</v>
      </c>
      <c r="Y43" s="144">
        <f t="array" ref="Y43">INDIRECT("Update"&amp;Projections!$AG$11&amp;"!N"&amp;ROW(B24))</f>
        <v>5.580274</v>
      </c>
      <c r="Z43" s="144">
        <f t="array" ref="Z43">INDIRECT("Update"&amp;Projections!$AG$11&amp;"!O"&amp;ROW(B24))</f>
        <v>8.584932</v>
      </c>
      <c r="AA43" s="144">
        <f t="array" ref="AA43">INDIRECT("Update"&amp;Projections!$AG$11&amp;"!P"&amp;ROW(B24))</f>
        <v>1</v>
      </c>
      <c r="AB43" s="144">
        <f t="array" ref="AB43">INDIRECT("Update"&amp;Projections!$AG$11&amp;"!Q"&amp;ROW(B24))</f>
        <v>0.644521</v>
      </c>
      <c r="AC43" s="166">
        <f t="array" ref="AC43">INDIRECT("Update"&amp;Projections!$AG$11&amp;"!I"&amp;ROW(B24))</f>
        <v>0.479295</v>
      </c>
      <c r="AD43" s="166">
        <f t="array" ref="AD43">INDIRECT("Update"&amp;Projections!$AG$11&amp;"!K"&amp;ROW(B24))</f>
        <v>0.866994</v>
      </c>
      <c r="AE43" s="144">
        <f t="array" ref="AE43">INDIRECT("Update"&amp;Projections!$AG$11&amp;"!R"&amp;ROW(B24))</f>
        <v>3.863288</v>
      </c>
      <c r="AF43" s="144">
        <f t="shared" si="7"/>
        <v>1.617372406</v>
      </c>
      <c r="AG43" s="144">
        <f t="shared" si="8"/>
        <v>0.03734427616</v>
      </c>
      <c r="AH43" s="144">
        <f t="shared" si="9"/>
        <v>-0.2214129045</v>
      </c>
      <c r="AI43" s="144">
        <f t="shared" si="10"/>
        <v>2.319483273</v>
      </c>
      <c r="AJ43" s="144">
        <f t="shared" si="11"/>
        <v>-0.1376973632</v>
      </c>
      <c r="AK43" s="144">
        <f t="shared" si="12"/>
        <v>-0.1558042092</v>
      </c>
      <c r="AL43" s="144">
        <f t="shared" si="13"/>
        <v>-0.2287486512</v>
      </c>
      <c r="AM43" s="144">
        <f t="shared" si="14"/>
        <v>1.092558411</v>
      </c>
      <c r="AN43" s="144">
        <f t="shared" si="15"/>
        <v>0</v>
      </c>
      <c r="AO43" s="167">
        <f t="shared" si="16"/>
        <v>-0.2287486512</v>
      </c>
      <c r="AP43" s="167">
        <f t="shared" si="17"/>
        <v>-0.4501615557</v>
      </c>
      <c r="AQ43" s="167">
        <f t="array" ref="AQ43">INDIRECT("Update"&amp;Projections!$AG$11&amp;"!S"&amp;ROW(B24))</f>
        <v>0.479295</v>
      </c>
      <c r="AR43" s="167">
        <f t="array" ref="AR43">INDIRECT("Update"&amp;Projections!$AG$11&amp;"!T"&amp;ROW(B24))</f>
        <v>0.866994</v>
      </c>
    </row>
    <row r="44">
      <c r="A44" s="50" t="str">
        <f>IF(UpdateHashtag!C42="",ROW(UpdateHashtag!C42),UpdateHashtag!C42)</f>
        <v>Dejounte Murray</v>
      </c>
      <c r="B44" s="53">
        <f>IF(TYPE($A44)=1,"",(UpdateHashtag!M42-B$1)/B$2)</f>
        <v>0.4079727963</v>
      </c>
      <c r="C44" s="53">
        <f>IF(TYPE($A44)=1,"",(UpdateHashtag!L42-C$1)/C$2)</f>
        <v>0.415739467</v>
      </c>
      <c r="D44" s="53">
        <f>IF(TYPE($A44)=1,"",(UpdateHashtag!N42-D$1)/D$2)</f>
        <v>-0.3755583418</v>
      </c>
      <c r="E44" s="53">
        <f>IF(TYPE($A44)=1,"",(UpdateHashtag!O42-E$1)/E$2)</f>
        <v>1.300963766</v>
      </c>
      <c r="F44" s="53">
        <f>IF(TYPE($A44)=1,"",(UpdateHashtag!P42-F$1)/F$2)</f>
        <v>1.081194652</v>
      </c>
      <c r="G44" s="53">
        <f>IF(TYPE($A44)=1,"",(UpdateHashtag!Q42-G$1)/G$2)</f>
        <v>-0.7821407085</v>
      </c>
      <c r="H44" s="53">
        <f>IF(TYPE($A44)=1,"",(UpdateHashtag!I42-H$1)/H$2*I44/$I$1)</f>
        <v>-16.34750482</v>
      </c>
      <c r="I44" s="53">
        <f>UpdateHashtag!S42</f>
        <v>16.4</v>
      </c>
      <c r="J44" s="58">
        <f>IF(TYPE($A44)=1,"",(UpdateHashtag!K42-J$1)/J$2*K44/$K$1)</f>
        <v>0.9037314166</v>
      </c>
      <c r="K44" s="59">
        <f>UpdateHashtag!T42</f>
        <v>2.7</v>
      </c>
      <c r="L44" s="53">
        <f>IF(TYPE($A44)=1,"",-(UpdateHashtag!R42-L$1)/L$2)</f>
        <v>-0.34849756</v>
      </c>
      <c r="N44" s="106">
        <f t="shared" si="3"/>
        <v>3.576702554</v>
      </c>
      <c r="O44" s="106">
        <f t="shared" si="4"/>
        <v>36</v>
      </c>
      <c r="P44" s="163" t="str">
        <f t="array" ref="P44">INDIRECT("Update"&amp;Projections!$AG$11&amp;"!B"&amp;ROW(B25))</f>
        <v/>
      </c>
      <c r="Q44" s="164" t="str">
        <f t="array" ref="Q44">INDIRECT("Update"&amp;Projections!$AG$11&amp;"!C"&amp;ROW(B25))</f>
        <v>Jalen Johnson</v>
      </c>
      <c r="R44" s="163">
        <f>UpdateBBM!F25</f>
        <v>68</v>
      </c>
      <c r="S44" s="165" t="str">
        <f t="array" ref="S44">INDIRECT("Update"&amp;Projections!$AG$11&amp;"!D"&amp;ROW(B25))</f>
        <v>F</v>
      </c>
      <c r="T44" s="144">
        <f t="shared" si="5"/>
        <v>3.127799892</v>
      </c>
      <c r="U44" s="144">
        <f>SUM(AF44:AN44)-IFERROR(IFS(Projections!$I$11,AO44,Projections!$J$11,AP44),"")</f>
        <v>3.389970408</v>
      </c>
      <c r="V44" s="144">
        <f t="shared" si="6"/>
        <v>0.2621705153</v>
      </c>
      <c r="W44" s="144">
        <f t="array" ref="W44">INDIRECT("Update"&amp;Projections!$AG$11&amp;"!M"&amp;ROW(B25))</f>
        <v>19.61265</v>
      </c>
      <c r="X44" s="144">
        <f t="array" ref="X44">INDIRECT("Update"&amp;Projections!$AG$11&amp;"!L"&amp;ROW(B25))</f>
        <v>1.142059</v>
      </c>
      <c r="Y44" s="144">
        <f t="array" ref="Y44">INDIRECT("Update"&amp;Projections!$AG$11&amp;"!N"&amp;ROW(B25))</f>
        <v>9.251618</v>
      </c>
      <c r="Z44" s="144">
        <f t="array" ref="Z44">INDIRECT("Update"&amp;Projections!$AG$11&amp;"!O"&amp;ROW(B25))</f>
        <v>5.156618</v>
      </c>
      <c r="AA44" s="144">
        <f t="array" ref="AA44">INDIRECT("Update"&amp;Projections!$AG$11&amp;"!P"&amp;ROW(B25))</f>
        <v>1.372206</v>
      </c>
      <c r="AB44" s="144">
        <f t="array" ref="AB44">INDIRECT("Update"&amp;Projections!$AG$11&amp;"!Q"&amp;ROW(B25))</f>
        <v>0.834118</v>
      </c>
      <c r="AC44" s="166">
        <f t="array" ref="AC44">INDIRECT("Update"&amp;Projections!$AG$11&amp;"!I"&amp;ROW(B25))</f>
        <v>0.51443</v>
      </c>
      <c r="AD44" s="166">
        <f t="array" ref="AD44">INDIRECT("Update"&amp;Projections!$AG$11&amp;"!K"&amp;ROW(B25))</f>
        <v>0.752021</v>
      </c>
      <c r="AE44" s="144">
        <f t="array" ref="AE44">INDIRECT("Update"&amp;Projections!$AG$11&amp;"!R"&amp;ROW(B25))</f>
        <v>2.805882</v>
      </c>
      <c r="AF44" s="144">
        <f t="shared" si="7"/>
        <v>0.4277364065</v>
      </c>
      <c r="AG44" s="144">
        <f t="shared" si="8"/>
        <v>-0.6060553281</v>
      </c>
      <c r="AH44" s="144">
        <f t="shared" si="9"/>
        <v>1.266779626</v>
      </c>
      <c r="AI44" s="144">
        <f t="shared" si="10"/>
        <v>0.6447021839</v>
      </c>
      <c r="AJ44" s="144">
        <f t="shared" si="11"/>
        <v>0.9964999404</v>
      </c>
      <c r="AK44" s="144">
        <f t="shared" si="12"/>
        <v>0.1888816627</v>
      </c>
      <c r="AL44" s="144">
        <f t="shared" si="13"/>
        <v>0.2974371718</v>
      </c>
      <c r="AM44" s="144">
        <f t="shared" si="14"/>
        <v>-0.4320665833</v>
      </c>
      <c r="AN44" s="144">
        <f t="shared" si="15"/>
        <v>0</v>
      </c>
      <c r="AO44" s="167">
        <f t="shared" si="16"/>
        <v>-0.6060553281</v>
      </c>
      <c r="AP44" s="167">
        <f t="shared" si="17"/>
        <v>-1.038121911</v>
      </c>
      <c r="AQ44" s="167">
        <f t="array" ref="AQ44">INDIRECT("Update"&amp;Projections!$AG$11&amp;"!S"&amp;ROW(B25))</f>
        <v>0.51443</v>
      </c>
      <c r="AR44" s="167">
        <f t="array" ref="AR44">INDIRECT("Update"&amp;Projections!$AG$11&amp;"!T"&amp;ROW(B25))</f>
        <v>0.752021</v>
      </c>
    </row>
    <row r="45">
      <c r="A45" s="50" t="str">
        <f>IF(UpdateHashtag!C43="",ROW(UpdateHashtag!C43),UpdateHashtag!C43)</f>
        <v>Alperen Sengün</v>
      </c>
      <c r="B45" s="53">
        <f>IF(TYPE($A45)=1,"",(UpdateHashtag!M43-B$1)/B$2)</f>
        <v>0.3904285351</v>
      </c>
      <c r="C45" s="53">
        <f>IF(TYPE($A45)=1,"",(UpdateHashtag!L43-C$1)/C$2)</f>
        <v>-1.322760725</v>
      </c>
      <c r="D45" s="53">
        <f>IF(TYPE($A45)=1,"",(UpdateHashtag!N43-D$1)/D$2)</f>
        <v>1.529603608</v>
      </c>
      <c r="E45" s="53">
        <f>IF(TYPE($A45)=1,"",(UpdateHashtag!O43-E$1)/E$2)</f>
        <v>0.7635978192</v>
      </c>
      <c r="F45" s="53">
        <f>IF(TYPE($A45)=1,"",(UpdateHashtag!P43-F$1)/F$2)</f>
        <v>0.4717486444</v>
      </c>
      <c r="G45" s="53">
        <f>IF(TYPE($A45)=1,"",(UpdateHashtag!Q43-G$1)/G$2)</f>
        <v>0.126855404</v>
      </c>
      <c r="H45" s="53">
        <f>IF(TYPE($A45)=1,"",(UpdateHashtag!I43-H$1)/H$2*I45/$I$1)</f>
        <v>20.38386132</v>
      </c>
      <c r="I45" s="53">
        <f>UpdateHashtag!S43</f>
        <v>13.9</v>
      </c>
      <c r="J45" s="58">
        <f>IF(TYPE($A45)=1,"",(UpdateHashtag!K43-J$1)/J$2*K45/$K$1)</f>
        <v>-6.465028258</v>
      </c>
      <c r="K45" s="59">
        <f>UpdateHashtag!T43</f>
        <v>5.4</v>
      </c>
      <c r="L45" s="53">
        <f>IF(TYPE($A45)=1,"",-(UpdateHashtag!R43-L$1)/L$2)</f>
        <v>-1.042847537</v>
      </c>
      <c r="N45" s="106">
        <f t="shared" si="3"/>
        <v>3.494873779</v>
      </c>
      <c r="O45" s="106">
        <f t="shared" si="4"/>
        <v>43</v>
      </c>
      <c r="P45" s="163" t="str">
        <f t="array" ref="P45">INDIRECT("Update"&amp;Projections!$AG$11&amp;"!B"&amp;ROW(B26))</f>
        <v/>
      </c>
      <c r="Q45" s="164" t="str">
        <f t="array" ref="Q45">INDIRECT("Update"&amp;Projections!$AG$11&amp;"!C"&amp;ROW(B26))</f>
        <v>Austin Reaves</v>
      </c>
      <c r="R45" s="163">
        <f>UpdateBBM!F26</f>
        <v>68</v>
      </c>
      <c r="S45" s="165" t="str">
        <f t="array" ref="S45">INDIRECT("Update"&amp;Projections!$AG$11&amp;"!D"&amp;ROW(B26))</f>
        <v>G,F</v>
      </c>
      <c r="T45" s="144">
        <f t="shared" si="5"/>
        <v>2.52246871</v>
      </c>
      <c r="U45" s="144">
        <f>SUM(AF45:AN45)-IFERROR(IFS(Projections!$I$11,AO45,Projections!$J$11,AP45),"")</f>
        <v>2.620423968</v>
      </c>
      <c r="V45" s="144">
        <f t="shared" si="6"/>
        <v>0.09795525773</v>
      </c>
      <c r="W45" s="144">
        <f t="array" ref="W45">INDIRECT("Update"&amp;Projections!$AG$11&amp;"!M"&amp;ROW(B26))</f>
        <v>20.53868</v>
      </c>
      <c r="X45" s="144">
        <f t="array" ref="X45">INDIRECT("Update"&amp;Projections!$AG$11&amp;"!L"&amp;ROW(B26))</f>
        <v>2.782353</v>
      </c>
      <c r="Y45" s="144">
        <f t="array" ref="Y45">INDIRECT("Update"&amp;Projections!$AG$11&amp;"!N"&amp;ROW(B26))</f>
        <v>4.501912</v>
      </c>
      <c r="Z45" s="144">
        <f t="array" ref="Z45">INDIRECT("Update"&amp;Projections!$AG$11&amp;"!O"&amp;ROW(B26))</f>
        <v>4.859118</v>
      </c>
      <c r="AA45" s="144">
        <f t="array" ref="AA45">INDIRECT("Update"&amp;Projections!$AG$11&amp;"!P"&amp;ROW(B26))</f>
        <v>1.066176</v>
      </c>
      <c r="AB45" s="144">
        <f t="array" ref="AB45">INDIRECT("Update"&amp;Projections!$AG$11&amp;"!Q"&amp;ROW(B26))</f>
        <v>0.358676</v>
      </c>
      <c r="AC45" s="166">
        <f t="array" ref="AC45">INDIRECT("Update"&amp;Projections!$AG$11&amp;"!I"&amp;ROW(B26))</f>
        <v>0.475197</v>
      </c>
      <c r="AD45" s="166">
        <f t="array" ref="AD45">INDIRECT("Update"&amp;Projections!$AG$11&amp;"!K"&amp;ROW(B26))</f>
        <v>0.889003</v>
      </c>
      <c r="AE45" s="144">
        <f t="array" ref="AE45">INDIRECT("Update"&amp;Projections!$AG$11&amp;"!R"&amp;ROW(B26))</f>
        <v>2.143676</v>
      </c>
      <c r="AF45" s="144">
        <f t="shared" si="7"/>
        <v>0.5902015285</v>
      </c>
      <c r="AG45" s="144">
        <f t="shared" si="8"/>
        <v>0.9781954682</v>
      </c>
      <c r="AH45" s="144">
        <f t="shared" si="9"/>
        <v>-0.6585308301</v>
      </c>
      <c r="AI45" s="144">
        <f t="shared" si="10"/>
        <v>0.499369121</v>
      </c>
      <c r="AJ45" s="144">
        <f t="shared" si="11"/>
        <v>0.0639561318</v>
      </c>
      <c r="AK45" s="144">
        <f t="shared" si="12"/>
        <v>-0.6754681967</v>
      </c>
      <c r="AL45" s="144">
        <f t="shared" si="13"/>
        <v>-0.2852910685</v>
      </c>
      <c r="AM45" s="144">
        <f t="shared" si="14"/>
        <v>1.432523617</v>
      </c>
      <c r="AN45" s="144">
        <f t="shared" si="15"/>
        <v>0</v>
      </c>
      <c r="AO45" s="167">
        <f t="shared" si="16"/>
        <v>-0.6754681967</v>
      </c>
      <c r="AP45" s="167">
        <f t="shared" si="17"/>
        <v>-1.333999027</v>
      </c>
      <c r="AQ45" s="167">
        <f t="array" ref="AQ45">INDIRECT("Update"&amp;Projections!$AG$11&amp;"!S"&amp;ROW(B26))</f>
        <v>0.475197</v>
      </c>
      <c r="AR45" s="167">
        <f t="array" ref="AR45">INDIRECT("Update"&amp;Projections!$AG$11&amp;"!T"&amp;ROW(B26))</f>
        <v>0.889003</v>
      </c>
    </row>
    <row r="46">
      <c r="A46" s="50" t="str">
        <f>IF(UpdateHashtag!C44="",ROW(UpdateHashtag!C44),UpdateHashtag!C44)</f>
        <v>Bam Adebayo</v>
      </c>
      <c r="B46" s="53">
        <f>IF(TYPE($A46)=1,"",(UpdateHashtag!M44-B$1)/B$2)</f>
        <v>0.4956941023</v>
      </c>
      <c r="C46" s="53">
        <f>IF(TYPE($A46)=1,"",(UpdateHashtag!L44-C$1)/C$2)</f>
        <v>-1.515927413</v>
      </c>
      <c r="D46" s="53">
        <f>IF(TYPE($A46)=1,"",(UpdateHashtag!N44-D$1)/D$2)</f>
        <v>1.732280411</v>
      </c>
      <c r="E46" s="53">
        <f>IF(TYPE($A46)=1,"",(UpdateHashtag!O44-E$1)/E$2)</f>
        <v>0.03082607356</v>
      </c>
      <c r="F46" s="53">
        <f>IF(TYPE($A46)=1,"",(UpdateHashtag!P44-F$1)/F$2)</f>
        <v>0.4717486444</v>
      </c>
      <c r="G46" s="53">
        <f>IF(TYPE($A46)=1,"",(UpdateHashtag!Q44-G$1)/G$2)</f>
        <v>0.3086546265</v>
      </c>
      <c r="H46" s="53">
        <f>IF(TYPE($A46)=1,"",(UpdateHashtag!I44-H$1)/H$2*I46/$I$1)</f>
        <v>15.92402141</v>
      </c>
      <c r="I46" s="53">
        <f>UpdateHashtag!S44</f>
        <v>14.8</v>
      </c>
      <c r="J46" s="58">
        <f>IF(TYPE($A46)=1,"",(UpdateHashtag!K44-J$1)/J$2*K46/$K$1)</f>
        <v>-3.951724325</v>
      </c>
      <c r="K46" s="59">
        <f>UpdateHashtag!T44</f>
        <v>5.5</v>
      </c>
      <c r="L46" s="53">
        <f>IF(TYPE($A46)=1,"",-(UpdateHashtag!R44-L$1)/L$2)</f>
        <v>-0.6460761218</v>
      </c>
      <c r="N46" s="106">
        <f t="shared" si="3"/>
        <v>3.454701502</v>
      </c>
      <c r="O46" s="106">
        <f t="shared" si="4"/>
        <v>6</v>
      </c>
      <c r="P46" s="163" t="str">
        <f t="array" ref="P46">INDIRECT("Update"&amp;Projections!$AG$11&amp;"!B"&amp;ROW(B27))</f>
        <v/>
      </c>
      <c r="Q46" s="164" t="str">
        <f t="array" ref="Q46">INDIRECT("Update"&amp;Projections!$AG$11&amp;"!C"&amp;ROW(B27))</f>
        <v>Trae Young</v>
      </c>
      <c r="R46" s="163">
        <f>UpdateBBM!F27</f>
        <v>77</v>
      </c>
      <c r="S46" s="165" t="str">
        <f t="array" ref="S46">INDIRECT("Update"&amp;Projections!$AG$11&amp;"!D"&amp;ROW(B27))</f>
        <v>G</v>
      </c>
      <c r="T46" s="144">
        <f t="shared" si="5"/>
        <v>5.693887491</v>
      </c>
      <c r="U46" s="144">
        <f>SUM(AF46:AN46)-IFERROR(IFS(Projections!$I$11,AO46,Projections!$J$11,AP46),"")</f>
        <v>6.324092756</v>
      </c>
      <c r="V46" s="144">
        <f t="shared" si="6"/>
        <v>0.6302052651</v>
      </c>
      <c r="W46" s="144">
        <f t="array" ref="W46">INDIRECT("Update"&amp;Projections!$AG$11&amp;"!M"&amp;ROW(B27))</f>
        <v>25.69468</v>
      </c>
      <c r="X46" s="144">
        <f t="array" ref="X46">INDIRECT("Update"&amp;Projections!$AG$11&amp;"!L"&amp;ROW(B27))</f>
        <v>3.18987</v>
      </c>
      <c r="Y46" s="144">
        <f t="array" ref="Y46">INDIRECT("Update"&amp;Projections!$AG$11&amp;"!N"&amp;ROW(B27))</f>
        <v>2.885974</v>
      </c>
      <c r="Z46" s="144">
        <f t="array" ref="Z46">INDIRECT("Update"&amp;Projections!$AG$11&amp;"!O"&amp;ROW(B27))</f>
        <v>11.73519</v>
      </c>
      <c r="AA46" s="144">
        <f t="array" ref="AA46">INDIRECT("Update"&amp;Projections!$AG$11&amp;"!P"&amp;ROW(B27))</f>
        <v>1.171558</v>
      </c>
      <c r="AB46" s="144">
        <f t="array" ref="AB46">INDIRECT("Update"&amp;Projections!$AG$11&amp;"!Q"&amp;ROW(B27))</f>
        <v>0.077922</v>
      </c>
      <c r="AC46" s="166">
        <f t="array" ref="AC46">INDIRECT("Update"&amp;Projections!$AG$11&amp;"!I"&amp;ROW(B27))</f>
        <v>0.419483</v>
      </c>
      <c r="AD46" s="166">
        <f t="array" ref="AD46">INDIRECT("Update"&amp;Projections!$AG$11&amp;"!K"&amp;ROW(B27))</f>
        <v>0.883994</v>
      </c>
      <c r="AE46" s="144">
        <f t="array" ref="AE46">INDIRECT("Update"&amp;Projections!$AG$11&amp;"!R"&amp;ROW(B27))</f>
        <v>4.29</v>
      </c>
      <c r="AF46" s="144">
        <f t="shared" si="7"/>
        <v>1.494783636</v>
      </c>
      <c r="AG46" s="144">
        <f t="shared" si="8"/>
        <v>1.371789014</v>
      </c>
      <c r="AH46" s="144">
        <f t="shared" si="9"/>
        <v>-1.313557126</v>
      </c>
      <c r="AI46" s="144">
        <f t="shared" si="10"/>
        <v>3.858429976</v>
      </c>
      <c r="AJ46" s="144">
        <f t="shared" si="11"/>
        <v>0.3850793277</v>
      </c>
      <c r="AK46" s="144">
        <f t="shared" si="12"/>
        <v>-1.185876786</v>
      </c>
      <c r="AL46" s="144">
        <f t="shared" si="13"/>
        <v>-0.9539049359</v>
      </c>
      <c r="AM46" s="144">
        <f t="shared" si="14"/>
        <v>1.353792524</v>
      </c>
      <c r="AN46" s="144">
        <f t="shared" si="15"/>
        <v>0</v>
      </c>
      <c r="AO46" s="167">
        <f t="shared" si="16"/>
        <v>-1.313557126</v>
      </c>
      <c r="AP46" s="167">
        <f t="shared" si="17"/>
        <v>-2.499433912</v>
      </c>
      <c r="AQ46" s="167">
        <f t="array" ref="AQ46">INDIRECT("Update"&amp;Projections!$AG$11&amp;"!S"&amp;ROW(B27))</f>
        <v>0.419483</v>
      </c>
      <c r="AR46" s="167">
        <f t="array" ref="AR46">INDIRECT("Update"&amp;Projections!$AG$11&amp;"!T"&amp;ROW(B27))</f>
        <v>0.883994</v>
      </c>
    </row>
    <row r="47">
      <c r="A47" s="50" t="str">
        <f>IF(UpdateHashtag!C45="",ROW(UpdateHashtag!C45),UpdateHashtag!C45)</f>
        <v>Kristaps Porzingis</v>
      </c>
      <c r="B47" s="53">
        <f>IF(TYPE($A47)=1,"",(UpdateHashtag!M45-B$1)/B$2)</f>
        <v>0.109720356</v>
      </c>
      <c r="C47" s="53">
        <f>IF(TYPE($A47)=1,"",(UpdateHashtag!L45-C$1)/C$2)</f>
        <v>0.02940609112</v>
      </c>
      <c r="D47" s="53">
        <f>IF(TYPE($A47)=1,"",(UpdateHashtag!N45-D$1)/D$2)</f>
        <v>0.2324720676</v>
      </c>
      <c r="E47" s="53">
        <f>IF(TYPE($A47)=1,"",(UpdateHashtag!O45-E$1)/E$2)</f>
        <v>-0.8973514709</v>
      </c>
      <c r="F47" s="53">
        <f>IF(TYPE($A47)=1,"",(UpdateHashtag!P45-F$1)/F$2)</f>
        <v>-1.051866375</v>
      </c>
      <c r="G47" s="53">
        <f>IF(TYPE($A47)=1,"",(UpdateHashtag!Q45-G$1)/G$2)</f>
        <v>1.399449961</v>
      </c>
      <c r="H47" s="53">
        <f>IF(TYPE($A47)=1,"",(UpdateHashtag!I45-H$1)/H$2*I47/$I$1)</f>
        <v>-4.232634705</v>
      </c>
      <c r="I47" s="53">
        <f>UpdateHashtag!S45</f>
        <v>12.6</v>
      </c>
      <c r="J47" s="58">
        <f>IF(TYPE($A47)=1,"",(UpdateHashtag!K45-J$1)/J$2*K47/$K$1)</f>
        <v>4.306801949</v>
      </c>
      <c r="K47" s="59">
        <f>UpdateHashtag!T45</f>
        <v>4.5</v>
      </c>
      <c r="L47" s="53">
        <f>IF(TYPE($A47)=1,"",-(UpdateHashtag!R45-L$1)/L$2)</f>
        <v>0.1474667095</v>
      </c>
      <c r="N47" s="106">
        <f t="shared" si="3"/>
        <v>3.432847732</v>
      </c>
      <c r="O47" s="106">
        <f t="shared" si="4"/>
        <v>26</v>
      </c>
      <c r="P47" s="163" t="str">
        <f t="array" ref="P47">INDIRECT("Update"&amp;Projections!$AG$11&amp;"!B"&amp;ROW(B28))</f>
        <v/>
      </c>
      <c r="Q47" s="164" t="str">
        <f t="array" ref="Q47">INDIRECT("Update"&amp;Projections!$AG$11&amp;"!C"&amp;ROW(B28))</f>
        <v>Jamal Murray</v>
      </c>
      <c r="R47" s="163">
        <f>UpdateBBM!F28</f>
        <v>68</v>
      </c>
      <c r="S47" s="165" t="str">
        <f t="array" ref="S47">INDIRECT("Update"&amp;Projections!$AG$11&amp;"!D"&amp;ROW(B28))</f>
        <v>G</v>
      </c>
      <c r="T47" s="144">
        <f t="shared" si="5"/>
        <v>3.454701502</v>
      </c>
      <c r="U47" s="144">
        <f>SUM(AF47:AN47)-IFERROR(IFS(Projections!$I$11,AO47,Projections!$J$11,AP47),"")</f>
        <v>3.623732903</v>
      </c>
      <c r="V47" s="144">
        <f t="shared" si="6"/>
        <v>0.1690314012</v>
      </c>
      <c r="W47" s="144">
        <f t="array" ref="W47">INDIRECT("Update"&amp;Projections!$AG$11&amp;"!M"&amp;ROW(B28))</f>
        <v>22.03706</v>
      </c>
      <c r="X47" s="144">
        <f t="array" ref="X47">INDIRECT("Update"&amp;Projections!$AG$11&amp;"!L"&amp;ROW(B28))</f>
        <v>2.417353</v>
      </c>
      <c r="Y47" s="144">
        <f t="array" ref="Y47">INDIRECT("Update"&amp;Projections!$AG$11&amp;"!N"&amp;ROW(B28))</f>
        <v>4.124118</v>
      </c>
      <c r="Z47" s="144">
        <f t="array" ref="Z47">INDIRECT("Update"&amp;Projections!$AG$11&amp;"!O"&amp;ROW(B28))</f>
        <v>6.407206</v>
      </c>
      <c r="AA47" s="144">
        <f t="array" ref="AA47">INDIRECT("Update"&amp;Projections!$AG$11&amp;"!P"&amp;ROW(B28))</f>
        <v>1.169118</v>
      </c>
      <c r="AB47" s="144">
        <f t="array" ref="AB47">INDIRECT("Update"&amp;Projections!$AG$11&amp;"!Q"&amp;ROW(B28))</f>
        <v>0.444265</v>
      </c>
      <c r="AC47" s="166">
        <f t="array" ref="AC47">INDIRECT("Update"&amp;Projections!$AG$11&amp;"!I"&amp;ROW(B28))</f>
        <v>0.472484</v>
      </c>
      <c r="AD47" s="166">
        <f t="array" ref="AD47">INDIRECT("Update"&amp;Projections!$AG$11&amp;"!K"&amp;ROW(B28))</f>
        <v>0.883991</v>
      </c>
      <c r="AE47" s="144">
        <f t="array" ref="AE47">INDIRECT("Update"&amp;Projections!$AG$11&amp;"!R"&amp;ROW(B28))</f>
        <v>2.430294</v>
      </c>
      <c r="AF47" s="144">
        <f t="shared" si="7"/>
        <v>0.8530812294</v>
      </c>
      <c r="AG47" s="144">
        <f t="shared" si="8"/>
        <v>0.6256662627</v>
      </c>
      <c r="AH47" s="144">
        <f t="shared" si="9"/>
        <v>-0.8116709904</v>
      </c>
      <c r="AI47" s="144">
        <f t="shared" si="10"/>
        <v>1.255632552</v>
      </c>
      <c r="AJ47" s="144">
        <f t="shared" si="11"/>
        <v>0.3776440864</v>
      </c>
      <c r="AK47" s="144">
        <f t="shared" si="12"/>
        <v>-0.5198680602</v>
      </c>
      <c r="AL47" s="144">
        <f t="shared" si="13"/>
        <v>-0.3221687769</v>
      </c>
      <c r="AM47" s="144">
        <f t="shared" si="14"/>
        <v>1.35374561</v>
      </c>
      <c r="AN47" s="144">
        <f t="shared" si="15"/>
        <v>0</v>
      </c>
      <c r="AO47" s="167">
        <f t="shared" si="16"/>
        <v>-0.8116709904</v>
      </c>
      <c r="AP47" s="167">
        <f t="shared" si="17"/>
        <v>-1.331539051</v>
      </c>
      <c r="AQ47" s="167">
        <f t="array" ref="AQ47">INDIRECT("Update"&amp;Projections!$AG$11&amp;"!S"&amp;ROW(B28))</f>
        <v>0.472484</v>
      </c>
      <c r="AR47" s="167">
        <f t="array" ref="AR47">INDIRECT("Update"&amp;Projections!$AG$11&amp;"!T"&amp;ROW(B28))</f>
        <v>0.883991</v>
      </c>
    </row>
    <row r="48">
      <c r="A48" s="50" t="str">
        <f>IF(UpdateHashtag!C46="",ROW(UpdateHashtag!C46),UpdateHashtag!C46)</f>
        <v>Cade Cunningham</v>
      </c>
      <c r="B48" s="53">
        <f>IF(TYPE($A48)=1,"",(UpdateHashtag!M46-B$1)/B$2)</f>
        <v>1.05711046</v>
      </c>
      <c r="C48" s="53">
        <f>IF(TYPE($A48)=1,"",(UpdateHashtag!L46-C$1)/C$2)</f>
        <v>0.1259894351</v>
      </c>
      <c r="D48" s="53">
        <f>IF(TYPE($A48)=1,"",(UpdateHashtag!N46-D$1)/D$2)</f>
        <v>-0.5782351449</v>
      </c>
      <c r="E48" s="53">
        <f>IF(TYPE($A48)=1,"",(UpdateHashtag!O46-E$1)/E$2)</f>
        <v>1.936032612</v>
      </c>
      <c r="F48" s="53">
        <f>IF(TYPE($A48)=1,"",(UpdateHashtag!P46-F$1)/F$2)</f>
        <v>-0.442420367</v>
      </c>
      <c r="G48" s="53">
        <f>IF(TYPE($A48)=1,"",(UpdateHashtag!Q46-G$1)/G$2)</f>
        <v>-0.600341486</v>
      </c>
      <c r="H48" s="53">
        <f>IF(TYPE($A48)=1,"",(UpdateHashtag!I46-H$1)/H$2*I48/$I$1)</f>
        <v>-26.46689606</v>
      </c>
      <c r="I48" s="53">
        <f>UpdateHashtag!S46</f>
        <v>19.5</v>
      </c>
      <c r="J48" s="58">
        <f>IF(TYPE($A48)=1,"",(UpdateHashtag!K46-J$1)/J$2*K48/$K$1)</f>
        <v>5.404734</v>
      </c>
      <c r="K48" s="59">
        <f>UpdateHashtag!T46</f>
        <v>4.4</v>
      </c>
      <c r="L48" s="53">
        <f>IF(TYPE($A48)=1,"",-(UpdateHashtag!R46-L$1)/L$2)</f>
        <v>-1.737197515</v>
      </c>
      <c r="N48" s="106">
        <f t="shared" si="3"/>
        <v>3.425902886</v>
      </c>
      <c r="O48" s="106">
        <f t="shared" si="4"/>
        <v>34</v>
      </c>
      <c r="P48" s="163" t="str">
        <f t="array" ref="P48">INDIRECT("Update"&amp;Projections!$AG$11&amp;"!B"&amp;ROW(B29))</f>
        <v/>
      </c>
      <c r="Q48" s="164" t="str">
        <f t="array" ref="Q48">INDIRECT("Update"&amp;Projections!$AG$11&amp;"!C"&amp;ROW(B29))</f>
        <v>Evan Mobley</v>
      </c>
      <c r="R48" s="163">
        <f>UpdateBBM!F29</f>
        <v>73</v>
      </c>
      <c r="S48" s="165" t="str">
        <f t="array" ref="S48">INDIRECT("Update"&amp;Projections!$AG$11&amp;"!D"&amp;ROW(B29))</f>
        <v>F,C</v>
      </c>
      <c r="T48" s="144">
        <f t="shared" si="5"/>
        <v>3.173638499</v>
      </c>
      <c r="U48" s="144">
        <f>SUM(AF48:AN48)-IFERROR(IFS(Projections!$I$11,AO48,Projections!$J$11,AP48),"")</f>
        <v>3.257773464</v>
      </c>
      <c r="V48" s="144">
        <f t="shared" si="6"/>
        <v>0.08413496538</v>
      </c>
      <c r="W48" s="144">
        <f t="array" ref="W48">INDIRECT("Update"&amp;Projections!$AG$11&amp;"!M"&amp;ROW(B29))</f>
        <v>19.13356</v>
      </c>
      <c r="X48" s="144">
        <f t="array" ref="X48">INDIRECT("Update"&amp;Projections!$AG$11&amp;"!L"&amp;ROW(B29))</f>
        <v>1.494247</v>
      </c>
      <c r="Y48" s="144">
        <f t="array" ref="Y48">INDIRECT("Update"&amp;Projections!$AG$11&amp;"!N"&amp;ROW(B29))</f>
        <v>9.58863</v>
      </c>
      <c r="Z48" s="144">
        <f t="array" ref="Z48">INDIRECT("Update"&amp;Projections!$AG$11&amp;"!O"&amp;ROW(B29))</f>
        <v>3.587671</v>
      </c>
      <c r="AA48" s="144">
        <f t="array" ref="AA48">INDIRECT("Update"&amp;Projections!$AG$11&amp;"!P"&amp;ROW(B29))</f>
        <v>0.847534</v>
      </c>
      <c r="AB48" s="144">
        <f t="array" ref="AB48">INDIRECT("Update"&amp;Projections!$AG$11&amp;"!Q"&amp;ROW(B29))</f>
        <v>1.696575</v>
      </c>
      <c r="AC48" s="166">
        <f t="array" ref="AC48">INDIRECT("Update"&amp;Projections!$AG$11&amp;"!I"&amp;ROW(B29))</f>
        <v>0.540956</v>
      </c>
      <c r="AD48" s="166">
        <f t="array" ref="AD48">INDIRECT("Update"&amp;Projections!$AG$11&amp;"!K"&amp;ROW(B29))</f>
        <v>0.694007</v>
      </c>
      <c r="AE48" s="144">
        <f t="array" ref="AE48">INDIRECT("Update"&amp;Projections!$AG$11&amp;"!R"&amp;ROW(B29))</f>
        <v>2.087945</v>
      </c>
      <c r="AF48" s="144">
        <f t="shared" si="7"/>
        <v>0.3436836056</v>
      </c>
      <c r="AG48" s="144">
        <f t="shared" si="8"/>
        <v>-0.2659003806</v>
      </c>
      <c r="AH48" s="144">
        <f t="shared" si="9"/>
        <v>1.403388655</v>
      </c>
      <c r="AI48" s="144">
        <f t="shared" si="10"/>
        <v>-0.1217511708</v>
      </c>
      <c r="AJ48" s="144">
        <f t="shared" si="11"/>
        <v>-0.6022963382</v>
      </c>
      <c r="AK48" s="144">
        <f t="shared" si="12"/>
        <v>1.756821783</v>
      </c>
      <c r="AL48" s="144">
        <f t="shared" si="13"/>
        <v>0.7438273099</v>
      </c>
      <c r="AM48" s="144">
        <f t="shared" si="14"/>
        <v>-1.041227559</v>
      </c>
      <c r="AN48" s="144">
        <f t="shared" si="15"/>
        <v>0</v>
      </c>
      <c r="AO48" s="167">
        <f t="shared" si="16"/>
        <v>-1.041227559</v>
      </c>
      <c r="AP48" s="167">
        <f t="shared" si="17"/>
        <v>-1.643523898</v>
      </c>
      <c r="AQ48" s="167">
        <f t="array" ref="AQ48">INDIRECT("Update"&amp;Projections!$AG$11&amp;"!S"&amp;ROW(B29))</f>
        <v>0.540956</v>
      </c>
      <c r="AR48" s="167">
        <f t="array" ref="AR48">INDIRECT("Update"&amp;Projections!$AG$11&amp;"!T"&amp;ROW(B29))</f>
        <v>0.694007</v>
      </c>
    </row>
    <row r="49">
      <c r="A49" s="50" t="str">
        <f>IF(UpdateHashtag!C47="",ROW(UpdateHashtag!C47),UpdateHashtag!C47)</f>
        <v>Myles Turner</v>
      </c>
      <c r="B49" s="53">
        <f>IF(TYPE($A49)=1,"",(UpdateHashtag!M47-B$1)/B$2)</f>
        <v>-0.03063373355</v>
      </c>
      <c r="C49" s="53">
        <f>IF(TYPE($A49)=1,"",(UpdateHashtag!L47-C$1)/C$2)</f>
        <v>-0.2603439408</v>
      </c>
      <c r="D49" s="53">
        <f>IF(TYPE($A49)=1,"",(UpdateHashtag!N47-D$1)/D$2)</f>
        <v>0.3540781495</v>
      </c>
      <c r="E49" s="53">
        <f>IF(TYPE($A49)=1,"",(UpdateHashtag!O47-E$1)/E$2)</f>
        <v>-1.239311619</v>
      </c>
      <c r="F49" s="53">
        <f>IF(TYPE($A49)=1,"",(UpdateHashtag!P47-F$1)/F$2)</f>
        <v>-1.661312382</v>
      </c>
      <c r="G49" s="53">
        <f>IF(TYPE($A49)=1,"",(UpdateHashtag!Q47-G$1)/G$2)</f>
        <v>2.308446074</v>
      </c>
      <c r="H49" s="53">
        <f>IF(TYPE($A49)=1,"",(UpdateHashtag!I47-H$1)/H$2*I49/$I$1)</f>
        <v>13.75522599</v>
      </c>
      <c r="I49" s="53">
        <f>UpdateHashtag!S47</f>
        <v>11.5</v>
      </c>
      <c r="J49" s="58">
        <f>IF(TYPE($A49)=1,"",(UpdateHashtag!K47-J$1)/J$2*K49/$K$1)</f>
        <v>-0.6558955374</v>
      </c>
      <c r="K49" s="59">
        <f>UpdateHashtag!T47</f>
        <v>4.1</v>
      </c>
      <c r="L49" s="53">
        <f>IF(TYPE($A49)=1,"",-(UpdateHashtag!R47-L$1)/L$2)</f>
        <v>0.2466595634</v>
      </c>
      <c r="N49" s="106">
        <f t="shared" si="3"/>
        <v>3.416527446</v>
      </c>
      <c r="O49" s="106">
        <f t="shared" si="4"/>
        <v>38</v>
      </c>
      <c r="P49" s="163" t="str">
        <f t="array" ref="P49">INDIRECT("Update"&amp;Projections!$AG$11&amp;"!B"&amp;ROW(B30))</f>
        <v/>
      </c>
      <c r="Q49" s="164" t="str">
        <f t="array" ref="Q49">INDIRECT("Update"&amp;Projections!$AG$11&amp;"!C"&amp;ROW(B30))</f>
        <v>Tyler Herro</v>
      </c>
      <c r="R49" s="163">
        <f>UpdateBBM!F30</f>
        <v>47</v>
      </c>
      <c r="S49" s="165" t="str">
        <f t="array" ref="S49">INDIRECT("Update"&amp;Projections!$AG$11&amp;"!D"&amp;ROW(B30))</f>
        <v>G</v>
      </c>
      <c r="T49" s="144">
        <f t="shared" si="5"/>
        <v>3.049674242</v>
      </c>
      <c r="U49" s="144">
        <f>SUM(AF49:AN49)-IFERROR(IFS(Projections!$I$11,AO49,Projections!$J$11,AP49),"")</f>
        <v>3.236202519</v>
      </c>
      <c r="V49" s="144">
        <f t="shared" si="6"/>
        <v>0.1865282767</v>
      </c>
      <c r="W49" s="144">
        <f t="array" ref="W49">INDIRECT("Update"&amp;Projections!$AG$11&amp;"!M"&amp;ROW(B30))</f>
        <v>23.14511</v>
      </c>
      <c r="X49" s="144">
        <f t="array" ref="X49">INDIRECT("Update"&amp;Projections!$AG$11&amp;"!L"&amp;ROW(B30))</f>
        <v>2.425745</v>
      </c>
      <c r="Y49" s="144">
        <f t="array" ref="Y49">INDIRECT("Update"&amp;Projections!$AG$11&amp;"!N"&amp;ROW(B30))</f>
        <v>4.789787</v>
      </c>
      <c r="Z49" s="144">
        <f t="array" ref="Z49">INDIRECT("Update"&amp;Projections!$AG$11&amp;"!O"&amp;ROW(B30))</f>
        <v>5.553404</v>
      </c>
      <c r="AA49" s="144">
        <f t="array" ref="AA49">INDIRECT("Update"&amp;Projections!$AG$11&amp;"!P"&amp;ROW(B30))</f>
        <v>1.04</v>
      </c>
      <c r="AB49" s="144">
        <f t="array" ref="AB49">INDIRECT("Update"&amp;Projections!$AG$11&amp;"!Q"&amp;ROW(B30))</f>
        <v>0.277872</v>
      </c>
      <c r="AC49" s="166">
        <f t="array" ref="AC49">INDIRECT("Update"&amp;Projections!$AG$11&amp;"!I"&amp;ROW(B30))</f>
        <v>0.483199</v>
      </c>
      <c r="AD49" s="166">
        <f t="array" ref="AD49">INDIRECT("Update"&amp;Projections!$AG$11&amp;"!K"&amp;ROW(B30))</f>
        <v>0.889982</v>
      </c>
      <c r="AE49" s="144">
        <f t="array" ref="AE49">INDIRECT("Update"&amp;Projections!$AG$11&amp;"!R"&amp;ROW(B30))</f>
        <v>2.500851</v>
      </c>
      <c r="AF49" s="144">
        <f t="shared" si="7"/>
        <v>1.047480416</v>
      </c>
      <c r="AG49" s="144">
        <f t="shared" si="8"/>
        <v>0.6337715369</v>
      </c>
      <c r="AH49" s="144">
        <f t="shared" si="9"/>
        <v>-0.5418396607</v>
      </c>
      <c r="AI49" s="144">
        <f t="shared" si="10"/>
        <v>0.8385378971</v>
      </c>
      <c r="AJ49" s="144">
        <f t="shared" si="11"/>
        <v>-0.01580816168</v>
      </c>
      <c r="AK49" s="144">
        <f t="shared" si="12"/>
        <v>-0.8223692405</v>
      </c>
      <c r="AL49" s="144">
        <f t="shared" si="13"/>
        <v>-0.1739445235</v>
      </c>
      <c r="AM49" s="144">
        <f t="shared" si="14"/>
        <v>1.448005015</v>
      </c>
      <c r="AN49" s="144">
        <f t="shared" si="15"/>
        <v>0</v>
      </c>
      <c r="AO49" s="167">
        <f t="shared" si="16"/>
        <v>-0.8223692405</v>
      </c>
      <c r="AP49" s="167">
        <f t="shared" si="17"/>
        <v>-1.364208901</v>
      </c>
      <c r="AQ49" s="167">
        <f t="array" ref="AQ49">INDIRECT("Update"&amp;Projections!$AG$11&amp;"!S"&amp;ROW(B30))</f>
        <v>0.483199</v>
      </c>
      <c r="AR49" s="167">
        <f t="array" ref="AR49">INDIRECT("Update"&amp;Projections!$AG$11&amp;"!T"&amp;ROW(B30))</f>
        <v>0.889982</v>
      </c>
    </row>
    <row r="50">
      <c r="A50" s="50" t="str">
        <f>IF(UpdateHashtag!C48="",ROW(UpdateHashtag!C48),UpdateHashtag!C48)</f>
        <v>Immanuel Quickley</v>
      </c>
      <c r="B50" s="53">
        <f>IF(TYPE($A50)=1,"",(UpdateHashtag!M48-B$1)/B$2)</f>
        <v>0.2676187068</v>
      </c>
      <c r="C50" s="53">
        <f>IF(TYPE($A50)=1,"",(UpdateHashtag!L48-C$1)/C$2)</f>
        <v>0.802072843</v>
      </c>
      <c r="D50" s="53">
        <f>IF(TYPE($A50)=1,"",(UpdateHashtag!N48-D$1)/D$2)</f>
        <v>-0.6187705055</v>
      </c>
      <c r="E50" s="53">
        <f>IF(TYPE($A50)=1,"",(UpdateHashtag!O48-E$1)/E$2)</f>
        <v>1.447518115</v>
      </c>
      <c r="F50" s="53">
        <f>IF(TYPE($A50)=1,"",(UpdateHashtag!P48-F$1)/F$2)</f>
        <v>0.1670256406</v>
      </c>
      <c r="G50" s="53">
        <f>IF(TYPE($A50)=1,"",(UpdateHashtag!Q48-G$1)/G$2)</f>
        <v>-0.963939931</v>
      </c>
      <c r="H50" s="53">
        <f>IF(TYPE($A50)=1,"",(UpdateHashtag!I48-H$1)/H$2*I50/$I$1)</f>
        <v>-24.36781897</v>
      </c>
      <c r="I50" s="53">
        <f>UpdateHashtag!S48</f>
        <v>14.7</v>
      </c>
      <c r="J50" s="58">
        <f>IF(TYPE($A50)=1,"",(UpdateHashtag!K48-J$1)/J$2*K50/$K$1)</f>
        <v>3.697494382</v>
      </c>
      <c r="K50" s="59">
        <f>UpdateHashtag!T48</f>
        <v>3.8</v>
      </c>
      <c r="L50" s="53">
        <f>IF(TYPE($A50)=1,"",-(UpdateHashtag!R48-L$1)/L$2)</f>
        <v>0.1474667095</v>
      </c>
      <c r="N50" s="106">
        <f t="shared" si="3"/>
        <v>3.345178931</v>
      </c>
      <c r="O50" s="106">
        <f t="shared" si="4"/>
        <v>23</v>
      </c>
      <c r="P50" s="163" t="str">
        <f t="array" ref="P50">INDIRECT("Update"&amp;Projections!$AG$11&amp;"!B"&amp;ROW(B31))</f>
        <v/>
      </c>
      <c r="Q50" s="164" t="str">
        <f t="array" ref="Q50">INDIRECT("Update"&amp;Projections!$AG$11&amp;"!C"&amp;ROW(B31))</f>
        <v>Derrick White</v>
      </c>
      <c r="R50" s="163">
        <f>UpdateBBM!F31</f>
        <v>57</v>
      </c>
      <c r="S50" s="165" t="str">
        <f t="array" ref="S50">INDIRECT("Update"&amp;Projections!$AG$11&amp;"!D"&amp;ROW(B31))</f>
        <v>G</v>
      </c>
      <c r="T50" s="144">
        <f t="shared" si="5"/>
        <v>3.596461695</v>
      </c>
      <c r="U50" s="144">
        <f>SUM(AF50:AN50)-IFERROR(IFS(Projections!$I$11,AO50,Projections!$J$11,AP50),"")</f>
        <v>3.74231867</v>
      </c>
      <c r="V50" s="144">
        <f t="shared" si="6"/>
        <v>0.1458569748</v>
      </c>
      <c r="W50" s="144">
        <f t="array" ref="W50">INDIRECT("Update"&amp;Projections!$AG$11&amp;"!M"&amp;ROW(B31))</f>
        <v>17.76579</v>
      </c>
      <c r="X50" s="144">
        <f t="array" ref="X50">INDIRECT("Update"&amp;Projections!$AG$11&amp;"!L"&amp;ROW(B31))</f>
        <v>3.402982</v>
      </c>
      <c r="Y50" s="144">
        <f t="array" ref="Y50">INDIRECT("Update"&amp;Projections!$AG$11&amp;"!N"&amp;ROW(B31))</f>
        <v>4.744386</v>
      </c>
      <c r="Z50" s="144">
        <f t="array" ref="Z50">INDIRECT("Update"&amp;Projections!$AG$11&amp;"!O"&amp;ROW(B31))</f>
        <v>6.939649</v>
      </c>
      <c r="AA50" s="144">
        <f t="array" ref="AA50">INDIRECT("Update"&amp;Projections!$AG$11&amp;"!P"&amp;ROW(B31))</f>
        <v>1.056316</v>
      </c>
      <c r="AB50" s="144">
        <f t="array" ref="AB50">INDIRECT("Update"&amp;Projections!$AG$11&amp;"!Q"&amp;ROW(B31))</f>
        <v>0.920526</v>
      </c>
      <c r="AC50" s="166">
        <f t="array" ref="AC50">INDIRECT("Update"&amp;Projections!$AG$11&amp;"!I"&amp;ROW(B31))</f>
        <v>0.429917</v>
      </c>
      <c r="AD50" s="166">
        <f t="array" ref="AD50">INDIRECT("Update"&amp;Projections!$AG$11&amp;"!K"&amp;ROW(B31))</f>
        <v>0.842026</v>
      </c>
      <c r="AE50" s="144">
        <f t="array" ref="AE50">INDIRECT("Update"&amp;Projections!$AG$11&amp;"!R"&amp;ROW(B31))</f>
        <v>2.336842</v>
      </c>
      <c r="AF50" s="144">
        <f t="shared" si="7"/>
        <v>0.1037184643</v>
      </c>
      <c r="AG50" s="144">
        <f t="shared" si="8"/>
        <v>1.57761971</v>
      </c>
      <c r="AH50" s="144">
        <f t="shared" si="9"/>
        <v>-0.5602431197</v>
      </c>
      <c r="AI50" s="144">
        <f t="shared" si="10"/>
        <v>1.515738676</v>
      </c>
      <c r="AJ50" s="144">
        <f t="shared" si="11"/>
        <v>0.03391044362</v>
      </c>
      <c r="AK50" s="144">
        <f t="shared" si="12"/>
        <v>0.3459707349</v>
      </c>
      <c r="AL50" s="144">
        <f t="shared" si="13"/>
        <v>-0.8428806969</v>
      </c>
      <c r="AM50" s="144">
        <f t="shared" si="14"/>
        <v>0.7256037604</v>
      </c>
      <c r="AN50" s="144">
        <f t="shared" si="15"/>
        <v>0</v>
      </c>
      <c r="AO50" s="167">
        <f t="shared" si="16"/>
        <v>-0.8428806969</v>
      </c>
      <c r="AP50" s="167">
        <f t="shared" si="17"/>
        <v>-1.403123817</v>
      </c>
      <c r="AQ50" s="167">
        <f t="array" ref="AQ50">INDIRECT("Update"&amp;Projections!$AG$11&amp;"!S"&amp;ROW(B31))</f>
        <v>0.429917</v>
      </c>
      <c r="AR50" s="167">
        <f t="array" ref="AR50">INDIRECT("Update"&amp;Projections!$AG$11&amp;"!T"&amp;ROW(B31))</f>
        <v>0.842026</v>
      </c>
    </row>
    <row r="51">
      <c r="A51" s="50" t="str">
        <f>IF(UpdateHashtag!C49="",ROW(UpdateHashtag!C49),UpdateHashtag!C49)</f>
        <v>Jamal Murray</v>
      </c>
      <c r="B51" s="53">
        <f>IF(TYPE($A51)=1,"",(UpdateHashtag!M49-B$1)/B$2)</f>
        <v>0.4956941023</v>
      </c>
      <c r="C51" s="53">
        <f>IF(TYPE($A51)=1,"",(UpdateHashtag!L49-C$1)/C$2)</f>
        <v>0.705489499</v>
      </c>
      <c r="D51" s="53">
        <f>IF(TYPE($A51)=1,"",(UpdateHashtag!N49-D$1)/D$2)</f>
        <v>-0.9025180299</v>
      </c>
      <c r="E51" s="53">
        <f>IF(TYPE($A51)=1,"",(UpdateHashtag!O49-E$1)/E$2)</f>
        <v>1.105557967</v>
      </c>
      <c r="F51" s="53">
        <f>IF(TYPE($A51)=1,"",(UpdateHashtag!P49-F$1)/F$2)</f>
        <v>-0.1376973632</v>
      </c>
      <c r="G51" s="53">
        <f>IF(TYPE($A51)=1,"",(UpdateHashtag!Q49-G$1)/G$2)</f>
        <v>-0.4185422635</v>
      </c>
      <c r="H51" s="53">
        <f>IF(TYPE($A51)=1,"",(UpdateHashtag!I49-H$1)/H$2*I51/$I$1)</f>
        <v>-11.47776527</v>
      </c>
      <c r="I51" s="53">
        <f>UpdateHashtag!S49</f>
        <v>15.8</v>
      </c>
      <c r="J51" s="58">
        <f>IF(TYPE($A51)=1,"",(UpdateHashtag!K49-J$1)/J$2*K51/$K$1)</f>
        <v>2.620625107</v>
      </c>
      <c r="K51" s="59">
        <f>UpdateHashtag!T49</f>
        <v>3.1</v>
      </c>
      <c r="L51" s="53">
        <f>IF(TYPE($A51)=1,"",-(UpdateHashtag!R49-L$1)/L$2)</f>
        <v>-0.34849756</v>
      </c>
      <c r="N51" s="106">
        <f t="shared" si="3"/>
        <v>3.282134545</v>
      </c>
      <c r="O51" s="106">
        <f t="shared" si="4"/>
        <v>40</v>
      </c>
      <c r="P51" s="163" t="str">
        <f t="array" ref="P51">INDIRECT("Update"&amp;Projections!$AG$11&amp;"!B"&amp;ROW(B32))</f>
        <v/>
      </c>
      <c r="Q51" s="164" t="str">
        <f t="array" ref="Q51">INDIRECT("Update"&amp;Projections!$AG$11&amp;"!C"&amp;ROW(B32))</f>
        <v>Payton Pritchard</v>
      </c>
      <c r="R51" s="163">
        <f>UpdateBBM!F32</f>
        <v>66</v>
      </c>
      <c r="S51" s="165" t="str">
        <f t="array" ref="S51">INDIRECT("Update"&amp;Projections!$AG$11&amp;"!D"&amp;ROW(B32))</f>
        <v>G</v>
      </c>
      <c r="T51" s="144">
        <f t="shared" si="5"/>
        <v>2.852011912</v>
      </c>
      <c r="U51" s="144">
        <f>SUM(AF51:AN51)-IFERROR(IFS(Projections!$I$11,AO51,Projections!$J$11,AP51),"")</f>
        <v>2.810035315</v>
      </c>
      <c r="V51" s="144">
        <f t="shared" si="6"/>
        <v>-0.04197659724</v>
      </c>
      <c r="W51" s="144">
        <f t="array" ref="W51">INDIRECT("Update"&amp;Projections!$AG$11&amp;"!M"&amp;ROW(B32))</f>
        <v>19.52621</v>
      </c>
      <c r="X51" s="144">
        <f t="array" ref="X51">INDIRECT("Update"&amp;Projections!$AG$11&amp;"!L"&amp;ROW(B32))</f>
        <v>4.231364</v>
      </c>
      <c r="Y51" s="144">
        <f t="array" ref="Y51">INDIRECT("Update"&amp;Projections!$AG$11&amp;"!N"&amp;ROW(B32))</f>
        <v>4.73803</v>
      </c>
      <c r="Z51" s="144">
        <f t="array" ref="Z51">INDIRECT("Update"&amp;Projections!$AG$11&amp;"!O"&amp;ROW(B32))</f>
        <v>4.943939</v>
      </c>
      <c r="AA51" s="144">
        <f t="array" ref="AA51">INDIRECT("Update"&amp;Projections!$AG$11&amp;"!P"&amp;ROW(B32))</f>
        <v>0.892727</v>
      </c>
      <c r="AB51" s="144">
        <f t="array" ref="AB51">INDIRECT("Update"&amp;Projections!$AG$11&amp;"!Q"&amp;ROW(B32))</f>
        <v>0.205303</v>
      </c>
      <c r="AC51" s="166">
        <f t="array" ref="AC51">INDIRECT("Update"&amp;Projections!$AG$11&amp;"!I"&amp;ROW(B32))</f>
        <v>0.47378</v>
      </c>
      <c r="AD51" s="166">
        <f t="array" ref="AD51">INDIRECT("Update"&amp;Projections!$AG$11&amp;"!K"&amp;ROW(B32))</f>
        <v>0.847957</v>
      </c>
      <c r="AE51" s="144">
        <f t="array" ref="AE51">INDIRECT("Update"&amp;Projections!$AG$11&amp;"!R"&amp;ROW(B32))</f>
        <v>1.579394</v>
      </c>
      <c r="AF51" s="144">
        <f t="shared" si="7"/>
        <v>0.4125711472</v>
      </c>
      <c r="AG51" s="144">
        <f t="shared" si="8"/>
        <v>2.377698747</v>
      </c>
      <c r="AH51" s="144">
        <f t="shared" si="9"/>
        <v>-0.5628195473</v>
      </c>
      <c r="AI51" s="144">
        <f t="shared" si="10"/>
        <v>0.5408054091</v>
      </c>
      <c r="AJ51" s="144">
        <f t="shared" si="11"/>
        <v>-0.4645828711</v>
      </c>
      <c r="AK51" s="144">
        <f t="shared" si="12"/>
        <v>-0.9542991182</v>
      </c>
      <c r="AL51" s="144">
        <f t="shared" si="13"/>
        <v>-0.304607463</v>
      </c>
      <c r="AM51" s="144">
        <f t="shared" si="14"/>
        <v>0.8109698933</v>
      </c>
      <c r="AN51" s="144">
        <f t="shared" si="15"/>
        <v>0</v>
      </c>
      <c r="AO51" s="167">
        <f t="shared" si="16"/>
        <v>-0.9542991182</v>
      </c>
      <c r="AP51" s="167">
        <f t="shared" si="17"/>
        <v>-1.517118666</v>
      </c>
      <c r="AQ51" s="167">
        <f t="array" ref="AQ51">INDIRECT("Update"&amp;Projections!$AG$11&amp;"!S"&amp;ROW(B32))</f>
        <v>0.47378</v>
      </c>
      <c r="AR51" s="167">
        <f t="array" ref="AR51">INDIRECT("Update"&amp;Projections!$AG$11&amp;"!T"&amp;ROW(B32))</f>
        <v>0.847957</v>
      </c>
    </row>
    <row r="52">
      <c r="A52" s="50" t="str">
        <f>IF(UpdateHashtag!C50="",ROW(UpdateHashtag!C50),UpdateHashtag!C50)</f>
        <v>Franz Wagner</v>
      </c>
      <c r="B52" s="53">
        <f>IF(TYPE($A52)=1,"",(UpdateHashtag!M50-B$1)/B$2)</f>
        <v>0.4255170575</v>
      </c>
      <c r="C52" s="53">
        <f>IF(TYPE($A52)=1,"",(UpdateHashtag!L50-C$1)/C$2)</f>
        <v>-0.3569272848</v>
      </c>
      <c r="D52" s="53">
        <f>IF(TYPE($A52)=1,"",(UpdateHashtag!N50-D$1)/D$2)</f>
        <v>-0.2944876205</v>
      </c>
      <c r="E52" s="53">
        <f>IF(TYPE($A52)=1,"",(UpdateHashtag!O50-E$1)/E$2)</f>
        <v>0.03082607356</v>
      </c>
      <c r="F52" s="53">
        <f>IF(TYPE($A52)=1,"",(UpdateHashtag!P50-F$1)/F$2)</f>
        <v>0.4717486444</v>
      </c>
      <c r="G52" s="53">
        <f>IF(TYPE($A52)=1,"",(UpdateHashtag!Q50-G$1)/G$2)</f>
        <v>-0.600341486</v>
      </c>
      <c r="H52" s="53">
        <f>IF(TYPE($A52)=1,"",(UpdateHashtag!I50-H$1)/H$2*I52/$I$1)</f>
        <v>-5.489447898</v>
      </c>
      <c r="I52" s="53">
        <f>UpdateHashtag!S50</f>
        <v>15</v>
      </c>
      <c r="J52" s="58">
        <f>IF(TYPE($A52)=1,"",(UpdateHashtag!K50-J$1)/J$2*K52/$K$1)</f>
        <v>3.909533716</v>
      </c>
      <c r="K52" s="59">
        <f>UpdateHashtag!T50</f>
        <v>4.3</v>
      </c>
      <c r="L52" s="53">
        <f>IF(TYPE($A52)=1,"",-(UpdateHashtag!R50-L$1)/L$2)</f>
        <v>-0.2493047061</v>
      </c>
      <c r="N52" s="106">
        <f t="shared" si="3"/>
        <v>3.27858408</v>
      </c>
      <c r="O52" s="106">
        <f t="shared" si="4"/>
        <v>57</v>
      </c>
      <c r="P52" s="163" t="str">
        <f t="array" ref="P52">INDIRECT("Update"&amp;Projections!$AG$11&amp;"!B"&amp;ROW(B33))</f>
        <v/>
      </c>
      <c r="Q52" s="164" t="str">
        <f t="array" ref="Q52">INDIRECT("Update"&amp;Projections!$AG$11&amp;"!C"&amp;ROW(B33))</f>
        <v>Bam Adebayo</v>
      </c>
      <c r="R52" s="163">
        <f>UpdateBBM!F33</f>
        <v>73</v>
      </c>
      <c r="S52" s="165" t="str">
        <f t="array" ref="S52">INDIRECT("Update"&amp;Projections!$AG$11&amp;"!D"&amp;ROW(B33))</f>
        <v>F,C</v>
      </c>
      <c r="T52" s="144">
        <f t="shared" si="5"/>
        <v>1.994626325</v>
      </c>
      <c r="U52" s="144">
        <f>SUM(AF52:AN52)-IFERROR(IFS(Projections!$I$11,AO52,Projections!$J$11,AP52),"")</f>
        <v>1.991356019</v>
      </c>
      <c r="V52" s="144">
        <f t="shared" si="6"/>
        <v>-0.003270305733</v>
      </c>
      <c r="W52" s="144">
        <f t="array" ref="W52">INDIRECT("Update"&amp;Projections!$AG$11&amp;"!M"&amp;ROW(B33))</f>
        <v>19.5174</v>
      </c>
      <c r="X52" s="144">
        <f t="array" ref="X52">INDIRECT("Update"&amp;Projections!$AG$11&amp;"!L"&amp;ROW(B33))</f>
        <v>1.322055</v>
      </c>
      <c r="Y52" s="144">
        <f t="array" ref="Y52">INDIRECT("Update"&amp;Projections!$AG$11&amp;"!N"&amp;ROW(B33))</f>
        <v>8.468767</v>
      </c>
      <c r="Z52" s="144">
        <f t="array" ref="Z52">INDIRECT("Update"&amp;Projections!$AG$11&amp;"!O"&amp;ROW(B33))</f>
        <v>4.373288</v>
      </c>
      <c r="AA52" s="144">
        <f t="array" ref="AA52">INDIRECT("Update"&amp;Projections!$AG$11&amp;"!P"&amp;ROW(B33))</f>
        <v>1.318904</v>
      </c>
      <c r="AB52" s="144">
        <f t="array" ref="AB52">INDIRECT("Update"&amp;Projections!$AG$11&amp;"!Q"&amp;ROW(B33))</f>
        <v>0.556164</v>
      </c>
      <c r="AC52" s="166">
        <f t="array" ref="AC52">INDIRECT("Update"&amp;Projections!$AG$11&amp;"!I"&amp;ROW(B33))</f>
        <v>0.47959</v>
      </c>
      <c r="AD52" s="166">
        <f t="array" ref="AD52">INDIRECT("Update"&amp;Projections!$AG$11&amp;"!K"&amp;ROW(B33))</f>
        <v>0.794011</v>
      </c>
      <c r="AE52" s="144">
        <f t="array" ref="AE52">INDIRECT("Update"&amp;Projections!$AG$11&amp;"!R"&amp;ROW(B33))</f>
        <v>1.735479</v>
      </c>
      <c r="AF52" s="144">
        <f t="shared" si="7"/>
        <v>0.4110254978</v>
      </c>
      <c r="AG52" s="144">
        <f t="shared" si="8"/>
        <v>-0.4322091723</v>
      </c>
      <c r="AH52" s="144">
        <f t="shared" si="9"/>
        <v>0.9494481497</v>
      </c>
      <c r="AI52" s="144">
        <f t="shared" si="10"/>
        <v>0.2620341229</v>
      </c>
      <c r="AJ52" s="144">
        <f t="shared" si="11"/>
        <v>0.8340764849</v>
      </c>
      <c r="AK52" s="144">
        <f t="shared" si="12"/>
        <v>-0.3164365482</v>
      </c>
      <c r="AL52" s="144">
        <f t="shared" si="13"/>
        <v>-0.2246394401</v>
      </c>
      <c r="AM52" s="144">
        <f t="shared" si="14"/>
        <v>0.07584775222</v>
      </c>
      <c r="AN52" s="144">
        <f t="shared" si="15"/>
        <v>0</v>
      </c>
      <c r="AO52" s="167">
        <f t="shared" si="16"/>
        <v>-0.4322091723</v>
      </c>
      <c r="AP52" s="167">
        <f t="shared" si="17"/>
        <v>-0.7486457205</v>
      </c>
      <c r="AQ52" s="167">
        <f t="array" ref="AQ52">INDIRECT("Update"&amp;Projections!$AG$11&amp;"!S"&amp;ROW(B33))</f>
        <v>0.47959</v>
      </c>
      <c r="AR52" s="167">
        <f t="array" ref="AR52">INDIRECT("Update"&amp;Projections!$AG$11&amp;"!T"&amp;ROW(B33))</f>
        <v>0.794011</v>
      </c>
    </row>
    <row r="53">
      <c r="A53" s="50" t="str">
        <f>IF(UpdateHashtag!C51="",ROW(UpdateHashtag!C51),UpdateHashtag!C51)</f>
        <v>Tobias Harris</v>
      </c>
      <c r="B53" s="53">
        <f>IF(TYPE($A53)=1,"",(UpdateHashtag!M51-B$1)/B$2)</f>
        <v>0.07463183362</v>
      </c>
      <c r="C53" s="53">
        <f>IF(TYPE($A53)=1,"",(UpdateHashtag!L51-C$1)/C$2)</f>
        <v>-0.1637605968</v>
      </c>
      <c r="D53" s="53">
        <f>IF(TYPE($A53)=1,"",(UpdateHashtag!N51-D$1)/D$2)</f>
        <v>0.07033062511</v>
      </c>
      <c r="E53" s="53">
        <f>IF(TYPE($A53)=1,"",(UpdateHashtag!O51-E$1)/E$2)</f>
        <v>-0.4088369738</v>
      </c>
      <c r="F53" s="53">
        <f>IF(TYPE($A53)=1,"",(UpdateHashtag!P51-F$1)/F$2)</f>
        <v>-0.1376973632</v>
      </c>
      <c r="G53" s="53">
        <f>IF(TYPE($A53)=1,"",(UpdateHashtag!Q51-G$1)/G$2)</f>
        <v>-0.236743041</v>
      </c>
      <c r="H53" s="53">
        <f>IF(TYPE($A53)=1,"",(UpdateHashtag!I51-H$1)/H$2*I53/$I$1)</f>
        <v>-5.583642258</v>
      </c>
      <c r="I53" s="53">
        <f>UpdateHashtag!S51</f>
        <v>14.1</v>
      </c>
      <c r="J53" s="58">
        <f>IF(TYPE($A53)=1,"",(UpdateHashtag!K51-J$1)/J$2*K53/$K$1)</f>
        <v>4.163817747</v>
      </c>
      <c r="K53" s="59">
        <f>UpdateHashtag!T51</f>
        <v>2.9</v>
      </c>
      <c r="L53" s="53">
        <f>IF(TYPE($A53)=1,"",-(UpdateHashtag!R51-L$1)/L$2)</f>
        <v>0.4450452712</v>
      </c>
      <c r="N53" s="106">
        <f t="shared" si="3"/>
        <v>3.216798893</v>
      </c>
      <c r="O53" s="106">
        <f t="shared" si="4"/>
        <v>55</v>
      </c>
      <c r="P53" s="163" t="str">
        <f t="array" ref="P53">INDIRECT("Update"&amp;Projections!$AG$11&amp;"!B"&amp;ROW(B34))</f>
        <v/>
      </c>
      <c r="Q53" s="164" t="str">
        <f t="array" ref="Q53">INDIRECT("Update"&amp;Projections!$AG$11&amp;"!C"&amp;ROW(B34))</f>
        <v>O.G. Anunoby</v>
      </c>
      <c r="R53" s="163">
        <f>UpdateBBM!F34</f>
        <v>68</v>
      </c>
      <c r="S53" s="165" t="str">
        <f t="array" ref="S53">INDIRECT("Update"&amp;Projections!$AG$11&amp;"!D"&amp;ROW(B34))</f>
        <v>F</v>
      </c>
      <c r="T53" s="144">
        <f t="shared" si="5"/>
        <v>2.11759293</v>
      </c>
      <c r="U53" s="144">
        <f>SUM(AF53:AN53)-IFERROR(IFS(Projections!$I$11,AO53,Projections!$J$11,AP53),"")</f>
        <v>2.059866492</v>
      </c>
      <c r="V53" s="144">
        <f t="shared" si="6"/>
        <v>-0.05772643858</v>
      </c>
      <c r="W53" s="144">
        <f t="array" ref="W53">INDIRECT("Update"&amp;Projections!$AG$11&amp;"!M"&amp;ROW(B34))</f>
        <v>18.63368</v>
      </c>
      <c r="X53" s="144">
        <f t="array" ref="X53">INDIRECT("Update"&amp;Projections!$AG$11&amp;"!L"&amp;ROW(B34))</f>
        <v>2.3825</v>
      </c>
      <c r="Y53" s="144">
        <f t="array" ref="Y53">INDIRECT("Update"&amp;Projections!$AG$11&amp;"!N"&amp;ROW(B34))</f>
        <v>4.62</v>
      </c>
      <c r="Z53" s="144">
        <f t="array" ref="Z53">INDIRECT("Update"&amp;Projections!$AG$11&amp;"!O"&amp;ROW(B34))</f>
        <v>2.382206</v>
      </c>
      <c r="AA53" s="144">
        <f t="array" ref="AA53">INDIRECT("Update"&amp;Projections!$AG$11&amp;"!P"&amp;ROW(B34))</f>
        <v>1.510882</v>
      </c>
      <c r="AB53" s="144">
        <f t="array" ref="AB53">INDIRECT("Update"&amp;Projections!$AG$11&amp;"!Q"&amp;ROW(B34))</f>
        <v>0.868382</v>
      </c>
      <c r="AC53" s="166">
        <f t="array" ref="AC53">INDIRECT("Update"&amp;Projections!$AG$11&amp;"!I"&amp;ROW(B34))</f>
        <v>0.476605</v>
      </c>
      <c r="AD53" s="166">
        <f t="array" ref="AD53">INDIRECT("Update"&amp;Projections!$AG$11&amp;"!K"&amp;ROW(B34))</f>
        <v>0.81999</v>
      </c>
      <c r="AE53" s="144">
        <f t="array" ref="AE53">INDIRECT("Update"&amp;Projections!$AG$11&amp;"!R"&amp;ROW(B34))</f>
        <v>1.515882</v>
      </c>
      <c r="AF53" s="144">
        <f t="shared" si="7"/>
        <v>0.2559833527</v>
      </c>
      <c r="AG53" s="144">
        <f t="shared" si="8"/>
        <v>0.5920040698</v>
      </c>
      <c r="AH53" s="144">
        <f t="shared" si="9"/>
        <v>-0.6106634334</v>
      </c>
      <c r="AI53" s="144">
        <f t="shared" si="10"/>
        <v>-0.710638299</v>
      </c>
      <c r="AJ53" s="144">
        <f t="shared" si="11"/>
        <v>1.419077613</v>
      </c>
      <c r="AK53" s="144">
        <f t="shared" si="12"/>
        <v>0.2511733483</v>
      </c>
      <c r="AL53" s="144">
        <f t="shared" si="13"/>
        <v>-0.2659778747</v>
      </c>
      <c r="AM53" s="144">
        <f t="shared" si="14"/>
        <v>0.4182694158</v>
      </c>
      <c r="AN53" s="144">
        <f t="shared" si="15"/>
        <v>0</v>
      </c>
      <c r="AO53" s="167">
        <f t="shared" si="16"/>
        <v>-0.710638299</v>
      </c>
      <c r="AP53" s="167">
        <f t="shared" si="17"/>
        <v>-1.321301732</v>
      </c>
      <c r="AQ53" s="167">
        <f t="array" ref="AQ53">INDIRECT("Update"&amp;Projections!$AG$11&amp;"!S"&amp;ROW(B34))</f>
        <v>0.476605</v>
      </c>
      <c r="AR53" s="167">
        <f t="array" ref="AR53">INDIRECT("Update"&amp;Projections!$AG$11&amp;"!T"&amp;ROW(B34))</f>
        <v>0.81999</v>
      </c>
    </row>
    <row r="54">
      <c r="A54" s="50" t="str">
        <f>IF(UpdateHashtag!C52="",ROW(UpdateHashtag!C52),UpdateHashtag!C52)</f>
        <v>Nikola Vucevic</v>
      </c>
      <c r="B54" s="53">
        <f>IF(TYPE($A54)=1,"",(UpdateHashtag!M52-B$1)/B$2)</f>
        <v>-0.01308947235</v>
      </c>
      <c r="C54" s="53">
        <f>IF(TYPE($A54)=1,"",(UpdateHashtag!L52-C$1)/C$2)</f>
        <v>-0.3569272848</v>
      </c>
      <c r="D54" s="53">
        <f>IF(TYPE($A54)=1,"",(UpdateHashtag!N52-D$1)/D$2)</f>
        <v>1.732280411</v>
      </c>
      <c r="E54" s="53">
        <f>IF(TYPE($A54)=1,"",(UpdateHashtag!O52-E$1)/E$2)</f>
        <v>-0.2622826247</v>
      </c>
      <c r="F54" s="53">
        <f>IF(TYPE($A54)=1,"",(UpdateHashtag!P52-F$1)/F$2)</f>
        <v>-1.051866375</v>
      </c>
      <c r="G54" s="53">
        <f>IF(TYPE($A54)=1,"",(UpdateHashtag!Q52-G$1)/G$2)</f>
        <v>-0.05494381853</v>
      </c>
      <c r="H54" s="53">
        <f>IF(TYPE($A54)=1,"",(UpdateHashtag!I52-H$1)/H$2*I54/$I$1)</f>
        <v>-5.860844356</v>
      </c>
      <c r="I54" s="53">
        <f>UpdateHashtag!S52</f>
        <v>14.8</v>
      </c>
      <c r="J54" s="58">
        <f>IF(TYPE($A54)=1,"",(UpdateHashtag!K52-J$1)/J$2*K54/$K$1)</f>
        <v>0.8322790302</v>
      </c>
      <c r="K54" s="59">
        <f>UpdateHashtag!T52</f>
        <v>1.8</v>
      </c>
      <c r="L54" s="53">
        <f>IF(TYPE($A54)=1,"",-(UpdateHashtag!R52-L$1)/L$2)</f>
        <v>0.1474667095</v>
      </c>
      <c r="N54" s="106">
        <f t="shared" si="3"/>
        <v>3.173638499</v>
      </c>
      <c r="O54" s="106">
        <f t="shared" si="4"/>
        <v>56</v>
      </c>
      <c r="P54" s="163" t="str">
        <f t="array" ref="P54">INDIRECT("Update"&amp;Projections!$AG$11&amp;"!B"&amp;ROW(B35))</f>
        <v/>
      </c>
      <c r="Q54" s="164" t="str">
        <f t="array" ref="Q54">INDIRECT("Update"&amp;Projections!$AG$11&amp;"!C"&amp;ROW(B35))</f>
        <v>Jalen Williams</v>
      </c>
      <c r="R54" s="163">
        <f>UpdateBBM!F35</f>
        <v>73</v>
      </c>
      <c r="S54" s="165" t="str">
        <f t="array" ref="S54">INDIRECT("Update"&amp;Projections!$AG$11&amp;"!D"&amp;ROW(B35))</f>
        <v>G,F</v>
      </c>
      <c r="T54" s="144">
        <f t="shared" si="5"/>
        <v>2.004798054</v>
      </c>
      <c r="U54" s="144">
        <f>SUM(AF54:AN54)-IFERROR(IFS(Projections!$I$11,AO54,Projections!$J$11,AP54),"")</f>
        <v>2.04331125</v>
      </c>
      <c r="V54" s="144">
        <f t="shared" si="6"/>
        <v>0.03851319608</v>
      </c>
      <c r="W54" s="144">
        <f t="array" ref="W54">INDIRECT("Update"&amp;Projections!$AG$11&amp;"!M"&amp;ROW(B35))</f>
        <v>22.20082</v>
      </c>
      <c r="X54" s="144">
        <f t="array" ref="X54">INDIRECT("Update"&amp;Projections!$AG$11&amp;"!L"&amp;ROW(B35))</f>
        <v>1.76274</v>
      </c>
      <c r="Y54" s="144">
        <f t="array" ref="Y54">INDIRECT("Update"&amp;Projections!$AG$11&amp;"!N"&amp;ROW(B35))</f>
        <v>5.032055</v>
      </c>
      <c r="Z54" s="144">
        <f t="array" ref="Z54">INDIRECT("Update"&amp;Projections!$AG$11&amp;"!O"&amp;ROW(B35))</f>
        <v>4.76</v>
      </c>
      <c r="AA54" s="144">
        <f t="array" ref="AA54">INDIRECT("Update"&amp;Projections!$AG$11&amp;"!P"&amp;ROW(B35))</f>
        <v>1.36</v>
      </c>
      <c r="AB54" s="144">
        <f t="array" ref="AB54">INDIRECT("Update"&amp;Projections!$AG$11&amp;"!Q"&amp;ROW(B35))</f>
        <v>0.476027</v>
      </c>
      <c r="AC54" s="166">
        <f t="array" ref="AC54">INDIRECT("Update"&amp;Projections!$AG$11&amp;"!I"&amp;ROW(B35))</f>
        <v>0.498437</v>
      </c>
      <c r="AD54" s="166">
        <f t="array" ref="AD54">INDIRECT("Update"&amp;Projections!$AG$11&amp;"!K"&amp;ROW(B35))</f>
        <v>0.799989</v>
      </c>
      <c r="AE54" s="144">
        <f t="array" ref="AE54">INDIRECT("Update"&amp;Projections!$AG$11&amp;"!R"&amp;ROW(B35))</f>
        <v>1.903973</v>
      </c>
      <c r="AF54" s="144">
        <f t="shared" si="7"/>
        <v>0.8818117115</v>
      </c>
      <c r="AG54" s="144">
        <f t="shared" si="8"/>
        <v>-0.00658086285</v>
      </c>
      <c r="AH54" s="144">
        <f t="shared" si="9"/>
        <v>-0.4436354532</v>
      </c>
      <c r="AI54" s="144">
        <f t="shared" si="10"/>
        <v>0.4509485411</v>
      </c>
      <c r="AJ54" s="144">
        <f t="shared" si="11"/>
        <v>0.9593054506</v>
      </c>
      <c r="AK54" s="144">
        <f t="shared" si="12"/>
        <v>-0.4621249911</v>
      </c>
      <c r="AL54" s="144">
        <f t="shared" si="13"/>
        <v>0.04872782876</v>
      </c>
      <c r="AM54" s="144">
        <f t="shared" si="14"/>
        <v>0.1527340338</v>
      </c>
      <c r="AN54" s="144">
        <f t="shared" si="15"/>
        <v>0</v>
      </c>
      <c r="AO54" s="167">
        <f t="shared" si="16"/>
        <v>-0.4621249911</v>
      </c>
      <c r="AP54" s="167">
        <f t="shared" si="17"/>
        <v>-0.9057604443</v>
      </c>
      <c r="AQ54" s="167">
        <f t="array" ref="AQ54">INDIRECT("Update"&amp;Projections!$AG$11&amp;"!S"&amp;ROW(B35))</f>
        <v>0.498437</v>
      </c>
      <c r="AR54" s="167">
        <f t="array" ref="AR54">INDIRECT("Update"&amp;Projections!$AG$11&amp;"!T"&amp;ROW(B35))</f>
        <v>0.799989</v>
      </c>
    </row>
    <row r="55">
      <c r="A55" s="50" t="str">
        <f>IF(UpdateHashtag!C53="",ROW(UpdateHashtag!C53),UpdateHashtag!C53)</f>
        <v>Jarrett Allen</v>
      </c>
      <c r="B55" s="53">
        <f>IF(TYPE($A55)=1,"",(UpdateHashtag!M53-B$1)/B$2)</f>
        <v>-0.3990632186</v>
      </c>
      <c r="C55" s="53">
        <f>IF(TYPE($A55)=1,"",(UpdateHashtag!L53-C$1)/C$2)</f>
        <v>-1.709094101</v>
      </c>
      <c r="D55" s="53">
        <f>IF(TYPE($A55)=1,"",(UpdateHashtag!N53-D$1)/D$2)</f>
        <v>1.529603608</v>
      </c>
      <c r="E55" s="53">
        <f>IF(TYPE($A55)=1,"",(UpdateHashtag!O53-E$1)/E$2)</f>
        <v>-0.7996485715</v>
      </c>
      <c r="F55" s="53">
        <f>IF(TYPE($A55)=1,"",(UpdateHashtag!P53-F$1)/F$2)</f>
        <v>-1.051866375</v>
      </c>
      <c r="G55" s="53">
        <f>IF(TYPE($A55)=1,"",(UpdateHashtag!Q53-G$1)/G$2)</f>
        <v>0.6722530715</v>
      </c>
      <c r="H55" s="53">
        <f>IF(TYPE($A55)=1,"",(UpdateHashtag!I53-H$1)/H$2*I55/$I$1)</f>
        <v>41.32361605</v>
      </c>
      <c r="I55" s="53">
        <f>UpdateHashtag!S53</f>
        <v>9.7</v>
      </c>
      <c r="J55" s="58">
        <f>IF(TYPE($A55)=1,"",(UpdateHashtag!K53-J$1)/J$2*K55/$K$1)</f>
        <v>-3.046166033</v>
      </c>
      <c r="K55" s="59">
        <f>UpdateHashtag!T53</f>
        <v>3.6</v>
      </c>
      <c r="L55" s="53">
        <f>IF(TYPE($A55)=1,"",-(UpdateHashtag!R53-L$1)/L$2)</f>
        <v>0.3458524173</v>
      </c>
      <c r="N55" s="106">
        <f t="shared" si="3"/>
        <v>3.148091343</v>
      </c>
      <c r="O55" s="106">
        <f t="shared" si="4"/>
        <v>22</v>
      </c>
      <c r="P55" s="163" t="str">
        <f t="array" ref="P55">INDIRECT("Update"&amp;Projections!$AG$11&amp;"!B"&amp;ROW(B36))</f>
        <v/>
      </c>
      <c r="Q55" s="164" t="str">
        <f t="array" ref="Q55">INDIRECT("Update"&amp;Projections!$AG$11&amp;"!C"&amp;ROW(B36))</f>
        <v>Mark Williams</v>
      </c>
      <c r="R55" s="163">
        <f>UpdateBBM!F36</f>
        <v>62</v>
      </c>
      <c r="S55" s="165" t="str">
        <f t="array" ref="S55">INDIRECT("Update"&amp;Projections!$AG$11&amp;"!D"&amp;ROW(B36))</f>
        <v>C</v>
      </c>
      <c r="T55" s="144">
        <f t="shared" si="5"/>
        <v>3.759771074</v>
      </c>
      <c r="U55" s="144">
        <f>SUM(AF55:AN55)-IFERROR(IFS(Projections!$I$11,AO55,Projections!$J$11,AP55),"")</f>
        <v>3.832496382</v>
      </c>
      <c r="V55" s="144">
        <f t="shared" si="6"/>
        <v>0.07272530736</v>
      </c>
      <c r="W55" s="144">
        <f t="array" ref="W55">INDIRECT("Update"&amp;Projections!$AG$11&amp;"!M"&amp;ROW(B36))</f>
        <v>15.2979</v>
      </c>
      <c r="X55" s="144">
        <f t="array" ref="X55">INDIRECT("Update"&amp;Projections!$AG$11&amp;"!L"&amp;ROW(B36))</f>
        <v>0.023387</v>
      </c>
      <c r="Y55" s="144">
        <f t="array" ref="Y55">INDIRECT("Update"&amp;Projections!$AG$11&amp;"!N"&amp;ROW(B36))</f>
        <v>10.76629</v>
      </c>
      <c r="Z55" s="144">
        <f t="array" ref="Z55">INDIRECT("Update"&amp;Projections!$AG$11&amp;"!O"&amp;ROW(B36))</f>
        <v>2.908065</v>
      </c>
      <c r="AA55" s="144">
        <f t="array" ref="AA55">INDIRECT("Update"&amp;Projections!$AG$11&amp;"!P"&amp;ROW(B36))</f>
        <v>0.823065</v>
      </c>
      <c r="AB55" s="144">
        <f t="array" ref="AB55">INDIRECT("Update"&amp;Projections!$AG$11&amp;"!Q"&amp;ROW(B36))</f>
        <v>1.279677</v>
      </c>
      <c r="AC55" s="166">
        <f t="array" ref="AC55">INDIRECT("Update"&amp;Projections!$AG$11&amp;"!I"&amp;ROW(B36))</f>
        <v>0.61651</v>
      </c>
      <c r="AD55" s="166">
        <f t="array" ref="AD55">INDIRECT("Update"&amp;Projections!$AG$11&amp;"!K"&amp;ROW(B36))</f>
        <v>0.800991</v>
      </c>
      <c r="AE55" s="144">
        <f t="array" ref="AE55">INDIRECT("Update"&amp;Projections!$AG$11&amp;"!R"&amp;ROW(B36))</f>
        <v>2.041935</v>
      </c>
      <c r="AF55" s="144">
        <f t="shared" si="7"/>
        <v>-0.3292546033</v>
      </c>
      <c r="AG55" s="144">
        <f t="shared" si="8"/>
        <v>-1.686506154</v>
      </c>
      <c r="AH55" s="144">
        <f t="shared" si="9"/>
        <v>1.880757383</v>
      </c>
      <c r="AI55" s="144">
        <f t="shared" si="10"/>
        <v>-0.4537485541</v>
      </c>
      <c r="AJ55" s="144">
        <f t="shared" si="11"/>
        <v>-0.67685901</v>
      </c>
      <c r="AK55" s="144">
        <f t="shared" si="12"/>
        <v>0.9989044605</v>
      </c>
      <c r="AL55" s="144">
        <f t="shared" si="13"/>
        <v>2.246963802</v>
      </c>
      <c r="AM55" s="144">
        <f t="shared" si="14"/>
        <v>0.1657329039</v>
      </c>
      <c r="AN55" s="144">
        <f t="shared" si="15"/>
        <v>0</v>
      </c>
      <c r="AO55" s="167">
        <f t="shared" si="16"/>
        <v>-1.686506154</v>
      </c>
      <c r="AP55" s="167">
        <f t="shared" si="17"/>
        <v>-2.363365164</v>
      </c>
      <c r="AQ55" s="167">
        <f t="array" ref="AQ55">INDIRECT("Update"&amp;Projections!$AG$11&amp;"!S"&amp;ROW(B36))</f>
        <v>0.61651</v>
      </c>
      <c r="AR55" s="167">
        <f t="array" ref="AR55">INDIRECT("Update"&amp;Projections!$AG$11&amp;"!T"&amp;ROW(B36))</f>
        <v>0.800991</v>
      </c>
    </row>
    <row r="56">
      <c r="A56" s="50" t="str">
        <f>IF(UpdateHashtag!C54="",ROW(UpdateHashtag!C54),UpdateHashtag!C54)</f>
        <v>Rudy Gobert</v>
      </c>
      <c r="B56" s="53">
        <f>IF(TYPE($A56)=1,"",(UpdateHashtag!M54-B$1)/B$2)</f>
        <v>-0.5043287858</v>
      </c>
      <c r="C56" s="53">
        <f>IF(TYPE($A56)=1,"",(UpdateHashtag!L54-C$1)/C$2)</f>
        <v>-1.709094101</v>
      </c>
      <c r="D56" s="53">
        <f>IF(TYPE($A56)=1,"",(UpdateHashtag!N54-D$1)/D$2)</f>
        <v>2.745664426</v>
      </c>
      <c r="E56" s="53">
        <f>IF(TYPE($A56)=1,"",(UpdateHashtag!O54-E$1)/E$2)</f>
        <v>-1.190460169</v>
      </c>
      <c r="F56" s="53">
        <f>IF(TYPE($A56)=1,"",(UpdateHashtag!P54-F$1)/F$2)</f>
        <v>-0.7471433709</v>
      </c>
      <c r="G56" s="53">
        <f>IF(TYPE($A56)=1,"",(UpdateHashtag!Q54-G$1)/G$2)</f>
        <v>1.944847629</v>
      </c>
      <c r="H56" s="53">
        <f>IF(TYPE($A56)=1,"",(UpdateHashtag!I54-H$1)/H$2*I56/$I$1)</f>
        <v>41.09398137</v>
      </c>
      <c r="I56" s="53">
        <f>UpdateHashtag!S54</f>
        <v>8.3</v>
      </c>
      <c r="J56" s="58">
        <f>IF(TYPE($A56)=1,"",(UpdateHashtag!K54-J$1)/J$2*K56/$K$1)</f>
        <v>-12.11717943</v>
      </c>
      <c r="K56" s="59">
        <f>UpdateHashtag!T54</f>
        <v>5.2</v>
      </c>
      <c r="L56" s="53">
        <f>IF(TYPE($A56)=1,"",-(UpdateHashtag!R54-L$1)/L$2)</f>
        <v>0.04827385557</v>
      </c>
      <c r="N56" s="106">
        <f t="shared" si="3"/>
        <v>3.127799892</v>
      </c>
      <c r="O56" s="106">
        <f t="shared" si="4"/>
        <v>54</v>
      </c>
      <c r="P56" s="163" t="str">
        <f t="array" ref="P56">INDIRECT("Update"&amp;Projections!$AG$11&amp;"!B"&amp;ROW(B37))</f>
        <v/>
      </c>
      <c r="Q56" s="164" t="str">
        <f t="array" ref="Q56">INDIRECT("Update"&amp;Projections!$AG$11&amp;"!C"&amp;ROW(B37))</f>
        <v>Chet Holmgren</v>
      </c>
      <c r="R56" s="163">
        <f>UpdateBBM!F37</f>
        <v>62</v>
      </c>
      <c r="S56" s="165" t="str">
        <f t="array" ref="S56">INDIRECT("Update"&amp;Projections!$AG$11&amp;"!D"&amp;ROW(B37))</f>
        <v>F,C</v>
      </c>
      <c r="T56" s="144">
        <f t="shared" si="5"/>
        <v>2.170239002</v>
      </c>
      <c r="U56" s="144">
        <f>SUM(AF56:AN56)-IFERROR(IFS(Projections!$I$11,AO56,Projections!$J$11,AP56),"")</f>
        <v>2.175569213</v>
      </c>
      <c r="V56" s="144">
        <f t="shared" si="6"/>
        <v>0.005330210665</v>
      </c>
      <c r="W56" s="144">
        <f t="array" ref="W56">INDIRECT("Update"&amp;Projections!$AG$11&amp;"!M"&amp;ROW(B37))</f>
        <v>16.75968</v>
      </c>
      <c r="X56" s="144">
        <f t="array" ref="X56">INDIRECT("Update"&amp;Projections!$AG$11&amp;"!L"&amp;ROW(B37))</f>
        <v>1.498226</v>
      </c>
      <c r="Y56" s="144">
        <f t="array" ref="Y56">INDIRECT("Update"&amp;Projections!$AG$11&amp;"!N"&amp;ROW(B37))</f>
        <v>8.287419</v>
      </c>
      <c r="Z56" s="144">
        <f t="array" ref="Z56">INDIRECT("Update"&amp;Projections!$AG$11&amp;"!O"&amp;ROW(B37))</f>
        <v>2.248065</v>
      </c>
      <c r="AA56" s="144">
        <f t="array" ref="AA56">INDIRECT("Update"&amp;Projections!$AG$11&amp;"!P"&amp;ROW(B37))</f>
        <v>0.776452</v>
      </c>
      <c r="AB56" s="144">
        <f t="array" ref="AB56">INDIRECT("Update"&amp;Projections!$AG$11&amp;"!Q"&amp;ROW(B37))</f>
        <v>2.04</v>
      </c>
      <c r="AC56" s="166">
        <f t="array" ref="AC56">INDIRECT("Update"&amp;Projections!$AG$11&amp;"!I"&amp;ROW(B37))</f>
        <v>0.515974</v>
      </c>
      <c r="AD56" s="166">
        <f t="array" ref="AD56">INDIRECT("Update"&amp;Projections!$AG$11&amp;"!K"&amp;ROW(B37))</f>
        <v>0.764011</v>
      </c>
      <c r="AE56" s="144">
        <f t="array" ref="AE56">INDIRECT("Update"&amp;Projections!$AG$11&amp;"!R"&amp;ROW(B37))</f>
        <v>1.770161</v>
      </c>
      <c r="AF56" s="144">
        <f t="shared" si="7"/>
        <v>-0.07279610205</v>
      </c>
      <c r="AG56" s="144">
        <f t="shared" si="8"/>
        <v>-0.2620573293</v>
      </c>
      <c r="AH56" s="144">
        <f t="shared" si="9"/>
        <v>0.8759380839</v>
      </c>
      <c r="AI56" s="144">
        <f t="shared" si="10"/>
        <v>-0.7761681222</v>
      </c>
      <c r="AJ56" s="144">
        <f t="shared" si="11"/>
        <v>-0.8188995438</v>
      </c>
      <c r="AK56" s="144">
        <f t="shared" si="12"/>
        <v>2.381165763</v>
      </c>
      <c r="AL56" s="144">
        <f t="shared" si="13"/>
        <v>0.3222615199</v>
      </c>
      <c r="AM56" s="144">
        <f t="shared" si="14"/>
        <v>-0.2927746004</v>
      </c>
      <c r="AN56" s="144">
        <f t="shared" si="15"/>
        <v>0</v>
      </c>
      <c r="AO56" s="167">
        <f t="shared" si="16"/>
        <v>-0.8188995438</v>
      </c>
      <c r="AP56" s="167">
        <f t="shared" si="17"/>
        <v>-1.595067666</v>
      </c>
      <c r="AQ56" s="167">
        <f t="array" ref="AQ56">INDIRECT("Update"&amp;Projections!$AG$11&amp;"!S"&amp;ROW(B37))</f>
        <v>0.515974</v>
      </c>
      <c r="AR56" s="167">
        <f t="array" ref="AR56">INDIRECT("Update"&amp;Projections!$AG$11&amp;"!T"&amp;ROW(B37))</f>
        <v>0.764011</v>
      </c>
    </row>
    <row r="57">
      <c r="A57" s="50" t="str">
        <f>IF(UpdateHashtag!C55="",ROW(UpdateHashtag!C55),UpdateHashtag!C55)</f>
        <v>Darius Garland</v>
      </c>
      <c r="B57" s="53">
        <f>IF(TYPE($A57)=1,"",(UpdateHashtag!M55-B$1)/B$2)</f>
        <v>0.3728842739</v>
      </c>
      <c r="C57" s="53">
        <f>IF(TYPE($A57)=1,"",(UpdateHashtag!L55-C$1)/C$2)</f>
        <v>0.512322811</v>
      </c>
      <c r="D57" s="53">
        <f>IF(TYPE($A57)=1,"",(UpdateHashtag!N55-D$1)/D$2)</f>
        <v>-1.429477718</v>
      </c>
      <c r="E57" s="53">
        <f>IF(TYPE($A57)=1,"",(UpdateHashtag!O55-E$1)/E$2)</f>
        <v>1.545221015</v>
      </c>
      <c r="F57" s="53">
        <f>IF(TYPE($A57)=1,"",(UpdateHashtag!P55-F$1)/F$2)</f>
        <v>0.4717486444</v>
      </c>
      <c r="G57" s="53">
        <f>IF(TYPE($A57)=1,"",(UpdateHashtag!Q55-G$1)/G$2)</f>
        <v>-1.145739154</v>
      </c>
      <c r="H57" s="53">
        <f>IF(TYPE($A57)=1,"",(UpdateHashtag!I55-H$1)/H$2*I57/$I$1)</f>
        <v>-18.22687329</v>
      </c>
      <c r="I57" s="53">
        <f>UpdateHashtag!S55</f>
        <v>15.1</v>
      </c>
      <c r="J57" s="58">
        <f>IF(TYPE($A57)=1,"",(UpdateHashtag!K55-J$1)/J$2*K57/$K$1)</f>
        <v>3.758133784</v>
      </c>
      <c r="K57" s="59">
        <f>UpdateHashtag!T55</f>
        <v>3.8</v>
      </c>
      <c r="L57" s="53">
        <f>IF(TYPE($A57)=1,"",-(UpdateHashtag!R55-L$1)/L$2)</f>
        <v>-1.142040391</v>
      </c>
      <c r="N57" s="106">
        <f t="shared" si="3"/>
        <v>3.077946497</v>
      </c>
      <c r="O57" s="106">
        <f t="shared" si="4"/>
        <v>24</v>
      </c>
      <c r="P57" s="163" t="str">
        <f t="array" ref="P57">INDIRECT("Update"&amp;Projections!$AG$11&amp;"!B"&amp;ROW(B38))</f>
        <v/>
      </c>
      <c r="Q57" s="164" t="str">
        <f t="array" ref="Q57">INDIRECT("Update"&amp;Projections!$AG$11&amp;"!C"&amp;ROW(B38))</f>
        <v>Josh Giddey</v>
      </c>
      <c r="R57" s="163">
        <f>UpdateBBM!F38</f>
        <v>73</v>
      </c>
      <c r="S57" s="165" t="str">
        <f t="array" ref="S57">INDIRECT("Update"&amp;Projections!$AG$11&amp;"!D"&amp;ROW(B38))</f>
        <v>G</v>
      </c>
      <c r="T57" s="144">
        <f t="shared" si="5"/>
        <v>3.576702554</v>
      </c>
      <c r="U57" s="144">
        <f>SUM(AF57:AN57)-IFERROR(IFS(Projections!$I$11,AO57,Projections!$J$11,AP57),"")</f>
        <v>4.011885245</v>
      </c>
      <c r="V57" s="144">
        <f t="shared" si="6"/>
        <v>0.435182691</v>
      </c>
      <c r="W57" s="144">
        <f t="array" ref="W57">INDIRECT("Update"&amp;Projections!$AG$11&amp;"!M"&amp;ROW(B38))</f>
        <v>18.93918</v>
      </c>
      <c r="X57" s="144">
        <f t="array" ref="X57">INDIRECT("Update"&amp;Projections!$AG$11&amp;"!L"&amp;ROW(B38))</f>
        <v>1.564658</v>
      </c>
      <c r="Y57" s="144">
        <f t="array" ref="Y57">INDIRECT("Update"&amp;Projections!$AG$11&amp;"!N"&amp;ROW(B38))</f>
        <v>9.295068</v>
      </c>
      <c r="Z57" s="144">
        <f t="array" ref="Z57">INDIRECT("Update"&amp;Projections!$AG$11&amp;"!O"&amp;ROW(B38))</f>
        <v>8.508493</v>
      </c>
      <c r="AA57" s="144">
        <f t="array" ref="AA57">INDIRECT("Update"&amp;Projections!$AG$11&amp;"!P"&amp;ROW(B38))</f>
        <v>1.143973</v>
      </c>
      <c r="AB57" s="144">
        <f t="array" ref="AB57">INDIRECT("Update"&amp;Projections!$AG$11&amp;"!Q"&amp;ROW(B38))</f>
        <v>0.713562</v>
      </c>
      <c r="AC57" s="166">
        <f t="array" ref="AC57">INDIRECT("Update"&amp;Projections!$AG$11&amp;"!I"&amp;ROW(B38))</f>
        <v>0.472402</v>
      </c>
      <c r="AD57" s="166">
        <f t="array" ref="AD57">INDIRECT("Update"&amp;Projections!$AG$11&amp;"!K"&amp;ROW(B38))</f>
        <v>0.792998</v>
      </c>
      <c r="AE57" s="144">
        <f t="array" ref="AE57">INDIRECT("Update"&amp;Projections!$AG$11&amp;"!R"&amp;ROW(B38))</f>
        <v>3.503562</v>
      </c>
      <c r="AF57" s="144">
        <f t="shared" si="7"/>
        <v>0.3095810707</v>
      </c>
      <c r="AG57" s="144">
        <f t="shared" si="8"/>
        <v>-0.1978950823</v>
      </c>
      <c r="AH57" s="144">
        <f t="shared" si="9"/>
        <v>1.28439224</v>
      </c>
      <c r="AI57" s="144">
        <f t="shared" si="10"/>
        <v>2.282141714</v>
      </c>
      <c r="AJ57" s="144">
        <f t="shared" si="11"/>
        <v>0.3010214871</v>
      </c>
      <c r="AK57" s="144">
        <f t="shared" si="12"/>
        <v>-0.03028820798</v>
      </c>
      <c r="AL57" s="144">
        <f t="shared" si="13"/>
        <v>-0.323276515</v>
      </c>
      <c r="AM57" s="144">
        <f t="shared" si="14"/>
        <v>0.06293202381</v>
      </c>
      <c r="AN57" s="144">
        <f t="shared" si="15"/>
        <v>0</v>
      </c>
      <c r="AO57" s="167">
        <f t="shared" si="16"/>
        <v>-0.323276515</v>
      </c>
      <c r="AP57" s="167">
        <f t="shared" si="17"/>
        <v>-0.5211715973</v>
      </c>
      <c r="AQ57" s="167">
        <f t="array" ref="AQ57">INDIRECT("Update"&amp;Projections!$AG$11&amp;"!S"&amp;ROW(B38))</f>
        <v>0.472402</v>
      </c>
      <c r="AR57" s="167">
        <f t="array" ref="AR57">INDIRECT("Update"&amp;Projections!$AG$11&amp;"!T"&amp;ROW(B38))</f>
        <v>0.792998</v>
      </c>
    </row>
    <row r="58">
      <c r="A58" s="50" t="str">
        <f>IF(UpdateHashtag!C56="",ROW(UpdateHashtag!C56),UpdateHashtag!C56)</f>
        <v>Jaylen Brown</v>
      </c>
      <c r="B58" s="53">
        <f>IF(TYPE($A58)=1,"",(UpdateHashtag!M56-B$1)/B$2)</f>
        <v>1.267641595</v>
      </c>
      <c r="C58" s="53">
        <f>IF(TYPE($A58)=1,"",(UpdateHashtag!L56-C$1)/C$2)</f>
        <v>0.415739467</v>
      </c>
      <c r="D58" s="53">
        <f>IF(TYPE($A58)=1,"",(UpdateHashtag!N56-D$1)/D$2)</f>
        <v>-0.01074009614</v>
      </c>
      <c r="E58" s="53">
        <f>IF(TYPE($A58)=1,"",(UpdateHashtag!O56-E$1)/E$2)</f>
        <v>-0.1645797253</v>
      </c>
      <c r="F58" s="53">
        <f>IF(TYPE($A58)=1,"",(UpdateHashtag!P56-F$1)/F$2)</f>
        <v>0.1670256406</v>
      </c>
      <c r="G58" s="53">
        <f>IF(TYPE($A58)=1,"",(UpdateHashtag!Q56-G$1)/G$2)</f>
        <v>-0.4185422635</v>
      </c>
      <c r="H58" s="53">
        <f>IF(TYPE($A58)=1,"",(UpdateHashtag!I56-H$1)/H$2*I58/$I$1)</f>
        <v>-0.1042253873</v>
      </c>
      <c r="I58" s="53">
        <f>UpdateHashtag!S56</f>
        <v>19</v>
      </c>
      <c r="J58" s="58">
        <f>IF(TYPE($A58)=1,"",(UpdateHashtag!K56-J$1)/J$2*K58/$K$1)</f>
        <v>-3.74551208</v>
      </c>
      <c r="K58" s="59">
        <f>UpdateHashtag!T56</f>
        <v>4.6</v>
      </c>
      <c r="L58" s="53">
        <f>IF(TYPE($A58)=1,"",-(UpdateHashtag!R56-L$1)/L$2)</f>
        <v>-0.8444618296</v>
      </c>
      <c r="N58" s="106">
        <f t="shared" si="3"/>
        <v>3.049674242</v>
      </c>
      <c r="O58" s="106">
        <f t="shared" si="4"/>
        <v>60</v>
      </c>
      <c r="P58" s="163" t="str">
        <f t="array" ref="P58">INDIRECT("Update"&amp;Projections!$AG$11&amp;"!B"&amp;ROW(B39))</f>
        <v/>
      </c>
      <c r="Q58" s="164" t="str">
        <f t="array" ref="Q58">INDIRECT("Update"&amp;Projections!$AG$11&amp;"!C"&amp;ROW(B39))</f>
        <v>Trey Murphy</v>
      </c>
      <c r="R58" s="163">
        <f>UpdateBBM!F39</f>
        <v>66</v>
      </c>
      <c r="S58" s="165" t="str">
        <f t="array" ref="S58">INDIRECT("Update"&amp;Projections!$AG$11&amp;"!D"&amp;ROW(B39))</f>
        <v>F</v>
      </c>
      <c r="T58" s="144">
        <f t="shared" si="5"/>
        <v>1.889488635</v>
      </c>
      <c r="U58" s="144">
        <f>SUM(AF58:AN58)-IFERROR(IFS(Projections!$I$11,AO58,Projections!$J$11,AP58),"")</f>
        <v>1.846159296</v>
      </c>
      <c r="V58" s="144">
        <f t="shared" si="6"/>
        <v>-0.04332933978</v>
      </c>
      <c r="W58" s="144">
        <f t="array" ref="W58">INDIRECT("Update"&amp;Projections!$AG$11&amp;"!M"&amp;ROW(B39))</f>
        <v>19.88212</v>
      </c>
      <c r="X58" s="144">
        <f t="array" ref="X58">INDIRECT("Update"&amp;Projections!$AG$11&amp;"!L"&amp;ROW(B39))</f>
        <v>3.000303</v>
      </c>
      <c r="Y58" s="144">
        <f t="array" ref="Y58">INDIRECT("Update"&amp;Projections!$AG$11&amp;"!N"&amp;ROW(B39))</f>
        <v>5.079394</v>
      </c>
      <c r="Z58" s="144">
        <f t="array" ref="Z58">INDIRECT("Update"&amp;Projections!$AG$11&amp;"!O"&amp;ROW(B39))</f>
        <v>3.219394</v>
      </c>
      <c r="AA58" s="144">
        <f t="array" ref="AA58">INDIRECT("Update"&amp;Projections!$AG$11&amp;"!P"&amp;ROW(B39))</f>
        <v>0.995303</v>
      </c>
      <c r="AB58" s="144">
        <f t="array" ref="AB58">INDIRECT("Update"&amp;Projections!$AG$11&amp;"!Q"&amp;ROW(B39))</f>
        <v>0.646667</v>
      </c>
      <c r="AC58" s="166">
        <f t="array" ref="AC58">INDIRECT("Update"&amp;Projections!$AG$11&amp;"!I"&amp;ROW(B39))</f>
        <v>0.468123</v>
      </c>
      <c r="AD58" s="166">
        <f t="array" ref="AD58">INDIRECT("Update"&amp;Projections!$AG$11&amp;"!K"&amp;ROW(B39))</f>
        <v>0.872001</v>
      </c>
      <c r="AE58" s="144">
        <f t="array" ref="AE58">INDIRECT("Update"&amp;Projections!$AG$11&amp;"!R"&amp;ROW(B39))</f>
        <v>1.573939</v>
      </c>
      <c r="AF58" s="144">
        <f t="shared" si="7"/>
        <v>0.4750129272</v>
      </c>
      <c r="AG58" s="144">
        <f t="shared" si="8"/>
        <v>1.188698866</v>
      </c>
      <c r="AH58" s="144">
        <f t="shared" si="9"/>
        <v>-0.4244464188</v>
      </c>
      <c r="AI58" s="144">
        <f t="shared" si="10"/>
        <v>-0.3016598242</v>
      </c>
      <c r="AJ58" s="144">
        <f t="shared" si="11"/>
        <v>-0.1520102027</v>
      </c>
      <c r="AK58" s="144">
        <f t="shared" si="12"/>
        <v>-0.1519027979</v>
      </c>
      <c r="AL58" s="144">
        <f t="shared" si="13"/>
        <v>-0.3805209688</v>
      </c>
      <c r="AM58" s="144">
        <f t="shared" si="14"/>
        <v>1.168541295</v>
      </c>
      <c r="AN58" s="144">
        <f t="shared" si="15"/>
        <v>0</v>
      </c>
      <c r="AO58" s="167">
        <f t="shared" si="16"/>
        <v>-0.4244464188</v>
      </c>
      <c r="AP58" s="167">
        <f t="shared" si="17"/>
        <v>-0.8049673876</v>
      </c>
      <c r="AQ58" s="167">
        <f t="array" ref="AQ58">INDIRECT("Update"&amp;Projections!$AG$11&amp;"!S"&amp;ROW(B39))</f>
        <v>0.468123</v>
      </c>
      <c r="AR58" s="167">
        <f t="array" ref="AR58">INDIRECT("Update"&amp;Projections!$AG$11&amp;"!T"&amp;ROW(B39))</f>
        <v>0.872001</v>
      </c>
    </row>
    <row r="59">
      <c r="A59" s="50" t="str">
        <f>IF(UpdateHashtag!C57="",ROW(UpdateHashtag!C57),UpdateHashtag!C57)</f>
        <v>Deandre Ayton</v>
      </c>
      <c r="B59" s="53">
        <f>IF(TYPE($A59)=1,"",(UpdateHashtag!M57-B$1)/B$2)</f>
        <v>-0.03063373355</v>
      </c>
      <c r="C59" s="53">
        <f>IF(TYPE($A59)=1,"",(UpdateHashtag!L57-C$1)/C$2)</f>
        <v>-1.612510757</v>
      </c>
      <c r="D59" s="53">
        <f>IF(TYPE($A59)=1,"",(UpdateHashtag!N57-D$1)/D$2)</f>
        <v>1.69174505</v>
      </c>
      <c r="E59" s="53">
        <f>IF(TYPE($A59)=1,"",(UpdateHashtag!O57-E$1)/E$2)</f>
        <v>-1.04390582</v>
      </c>
      <c r="F59" s="53">
        <f>IF(TYPE($A59)=1,"",(UpdateHashtag!P57-F$1)/F$2)</f>
        <v>-0.7471433709</v>
      </c>
      <c r="G59" s="53">
        <f>IF(TYPE($A59)=1,"",(UpdateHashtag!Q57-G$1)/G$2)</f>
        <v>0.126855404</v>
      </c>
      <c r="H59" s="53">
        <f>IF(TYPE($A59)=1,"",(UpdateHashtag!I57-H$1)/H$2*I59/$I$1)</f>
        <v>30.29127598</v>
      </c>
      <c r="I59" s="53">
        <f>UpdateHashtag!S57</f>
        <v>13.3</v>
      </c>
      <c r="J59" s="58">
        <f>IF(TYPE($A59)=1,"",(UpdateHashtag!K57-J$1)/J$2*K59/$K$1)</f>
        <v>-0.367941399</v>
      </c>
      <c r="K59" s="59">
        <f>UpdateHashtag!T57</f>
        <v>2.3</v>
      </c>
      <c r="L59" s="53">
        <f>IF(TYPE($A59)=1,"",-(UpdateHashtag!R57-L$1)/L$2)</f>
        <v>-0.05091899834</v>
      </c>
      <c r="N59" s="106">
        <f t="shared" si="3"/>
        <v>2.919397555</v>
      </c>
      <c r="O59" s="106">
        <f t="shared" si="4"/>
        <v>42</v>
      </c>
      <c r="P59" s="163" t="str">
        <f t="array" ref="P59">INDIRECT("Update"&amp;Projections!$AG$11&amp;"!B"&amp;ROW(B40))</f>
        <v/>
      </c>
      <c r="Q59" s="164" t="str">
        <f t="array" ref="Q59">INDIRECT("Update"&amp;Projections!$AG$11&amp;"!C"&amp;ROW(B40))</f>
        <v>Ausar Thompson</v>
      </c>
      <c r="R59" s="163">
        <f>UpdateBBM!F40</f>
        <v>68</v>
      </c>
      <c r="S59" s="165" t="str">
        <f t="array" ref="S59">INDIRECT("Update"&amp;Projections!$AG$11&amp;"!D"&amp;ROW(B40))</f>
        <v>F</v>
      </c>
      <c r="T59" s="144">
        <f t="shared" si="5"/>
        <v>2.523325803</v>
      </c>
      <c r="U59" s="144">
        <f>SUM(AF59:AN59)-IFERROR(IFS(Projections!$I$11,AO59,Projections!$J$11,AP59),"")</f>
        <v>2.473075282</v>
      </c>
      <c r="V59" s="144">
        <f t="shared" si="6"/>
        <v>-0.05025052116</v>
      </c>
      <c r="W59" s="144">
        <f t="array" ref="W59">INDIRECT("Update"&amp;Projections!$AG$11&amp;"!M"&amp;ROW(B40))</f>
        <v>13.51956</v>
      </c>
      <c r="X59" s="144">
        <f t="array" ref="X59">INDIRECT("Update"&amp;Projections!$AG$11&amp;"!L"&amp;ROW(B40))</f>
        <v>0.255147</v>
      </c>
      <c r="Y59" s="144">
        <f t="array" ref="Y59">INDIRECT("Update"&amp;Projections!$AG$11&amp;"!N"&amp;ROW(B40))</f>
        <v>6.565</v>
      </c>
      <c r="Z59" s="144">
        <f t="array" ref="Z59">INDIRECT("Update"&amp;Projections!$AG$11&amp;"!O"&amp;ROW(B40))</f>
        <v>3.117206</v>
      </c>
      <c r="AA59" s="144">
        <f t="array" ref="AA59">INDIRECT("Update"&amp;Projections!$AG$11&amp;"!P"&amp;ROW(B40))</f>
        <v>2.096912</v>
      </c>
      <c r="AB59" s="144">
        <f t="array" ref="AB59">INDIRECT("Update"&amp;Projections!$AG$11&amp;"!Q"&amp;ROW(B40))</f>
        <v>1.136176</v>
      </c>
      <c r="AC59" s="166">
        <f t="array" ref="AC59">INDIRECT("Update"&amp;Projections!$AG$11&amp;"!I"&amp;ROW(B40))</f>
        <v>0.523389</v>
      </c>
      <c r="AD59" s="166">
        <f t="array" ref="AD59">INDIRECT("Update"&amp;Projections!$AG$11&amp;"!K"&amp;ROW(B40))</f>
        <v>0.687998</v>
      </c>
      <c r="AE59" s="144">
        <f t="array" ref="AE59">INDIRECT("Update"&amp;Projections!$AG$11&amp;"!R"&amp;ROW(B40))</f>
        <v>1.546029</v>
      </c>
      <c r="AF59" s="144">
        <f t="shared" si="7"/>
        <v>-0.6412512179</v>
      </c>
      <c r="AG59" s="144">
        <f t="shared" si="8"/>
        <v>-1.462664596</v>
      </c>
      <c r="AH59" s="144">
        <f t="shared" si="9"/>
        <v>0.1777493308</v>
      </c>
      <c r="AI59" s="144">
        <f t="shared" si="10"/>
        <v>-0.3515801437</v>
      </c>
      <c r="AJ59" s="144">
        <f t="shared" si="11"/>
        <v>3.204845832</v>
      </c>
      <c r="AK59" s="144">
        <f t="shared" si="12"/>
        <v>0.7380207582</v>
      </c>
      <c r="AL59" s="144">
        <f t="shared" si="13"/>
        <v>0.4434750603</v>
      </c>
      <c r="AM59" s="144">
        <f t="shared" si="14"/>
        <v>-1.098184339</v>
      </c>
      <c r="AN59" s="144">
        <f t="shared" si="15"/>
        <v>0</v>
      </c>
      <c r="AO59" s="167">
        <f t="shared" si="16"/>
        <v>-1.462664596</v>
      </c>
      <c r="AP59" s="167">
        <f t="shared" si="17"/>
        <v>-2.560848935</v>
      </c>
      <c r="AQ59" s="167">
        <f t="array" ref="AQ59">INDIRECT("Update"&amp;Projections!$AG$11&amp;"!S"&amp;ROW(B40))</f>
        <v>0.523389</v>
      </c>
      <c r="AR59" s="167">
        <f t="array" ref="AR59">INDIRECT("Update"&amp;Projections!$AG$11&amp;"!T"&amp;ROW(B40))</f>
        <v>0.687998</v>
      </c>
    </row>
    <row r="60">
      <c r="A60" s="50" t="str">
        <f>IF(UpdateHashtag!C58="",ROW(UpdateHashtag!C58),UpdateHashtag!C58)</f>
        <v>Bradley Beal</v>
      </c>
      <c r="B60" s="53">
        <f>IF(TYPE($A60)=1,"",(UpdateHashtag!M58-B$1)/B$2)</f>
        <v>0.3027072291</v>
      </c>
      <c r="C60" s="53">
        <f>IF(TYPE($A60)=1,"",(UpdateHashtag!L58-C$1)/C$2)</f>
        <v>0.1259894351</v>
      </c>
      <c r="D60" s="53">
        <f>IF(TYPE($A60)=1,"",(UpdateHashtag!N58-D$1)/D$2)</f>
        <v>-0.9430533905</v>
      </c>
      <c r="E60" s="53">
        <f>IF(TYPE($A60)=1,"",(UpdateHashtag!O58-E$1)/E$2)</f>
        <v>0.1773804227</v>
      </c>
      <c r="F60" s="53">
        <f>IF(TYPE($A60)=1,"",(UpdateHashtag!P58-F$1)/F$2)</f>
        <v>-0.1376973632</v>
      </c>
      <c r="G60" s="53">
        <f>IF(TYPE($A60)=1,"",(UpdateHashtag!Q58-G$1)/G$2)</f>
        <v>-0.4185422635</v>
      </c>
      <c r="H60" s="53">
        <f>IF(TYPE($A60)=1,"",(UpdateHashtag!I58-H$1)/H$2*I60/$I$1)</f>
        <v>5.894018247</v>
      </c>
      <c r="I60" s="53">
        <f>UpdateHashtag!S58</f>
        <v>14.2</v>
      </c>
      <c r="J60" s="58">
        <f>IF(TYPE($A60)=1,"",(UpdateHashtag!K58-J$1)/J$2*K60/$K$1)</f>
        <v>1.631245385</v>
      </c>
      <c r="K60" s="59">
        <f>UpdateHashtag!T58</f>
        <v>3.1</v>
      </c>
      <c r="L60" s="53">
        <f>IF(TYPE($A60)=1,"",-(UpdateHashtag!R58-L$1)/L$2)</f>
        <v>-0.6460761218</v>
      </c>
      <c r="N60" s="106">
        <f t="shared" si="3"/>
        <v>2.852011912</v>
      </c>
      <c r="O60" s="106">
        <f t="shared" si="4"/>
        <v>11</v>
      </c>
      <c r="P60" s="163" t="str">
        <f t="array" ref="P60">INDIRECT("Update"&amp;Projections!$AG$11&amp;"!B"&amp;ROW(B41))</f>
        <v/>
      </c>
      <c r="Q60" s="164" t="str">
        <f t="array" ref="Q60">INDIRECT("Update"&amp;Projections!$AG$11&amp;"!C"&amp;ROW(B41))</f>
        <v>Walker Kessler</v>
      </c>
      <c r="R60" s="163">
        <f>UpdateBBM!F41</f>
        <v>63</v>
      </c>
      <c r="S60" s="165" t="str">
        <f t="array" ref="S60">INDIRECT("Update"&amp;Projections!$AG$11&amp;"!D"&amp;ROW(B41))</f>
        <v>C</v>
      </c>
      <c r="T60" s="144">
        <f t="shared" si="5"/>
        <v>4.73179595</v>
      </c>
      <c r="U60" s="144">
        <f>SUM(AF60:AN60)-IFERROR(IFS(Projections!$I$11,AO60,Projections!$J$11,AP60),"")</f>
        <v>4.69268553</v>
      </c>
      <c r="V60" s="144">
        <f t="shared" si="6"/>
        <v>-0.03911041972</v>
      </c>
      <c r="W60" s="144">
        <f t="array" ref="W60">INDIRECT("Update"&amp;Projections!$AG$11&amp;"!M"&amp;ROW(B41))</f>
        <v>13.72825</v>
      </c>
      <c r="X60" s="144">
        <f t="array" ref="X60">INDIRECT("Update"&amp;Projections!$AG$11&amp;"!L"&amp;ROW(B41))</f>
        <v>0.132698</v>
      </c>
      <c r="Y60" s="144">
        <f t="array" ref="Y60">INDIRECT("Update"&amp;Projections!$AG$11&amp;"!N"&amp;ROW(B41))</f>
        <v>11.97381</v>
      </c>
      <c r="Z60" s="144">
        <f t="array" ref="Z60">INDIRECT("Update"&amp;Projections!$AG$11&amp;"!O"&amp;ROW(B41))</f>
        <v>1.995556</v>
      </c>
      <c r="AA60" s="144">
        <f t="array" ref="AA60">INDIRECT("Update"&amp;Projections!$AG$11&amp;"!P"&amp;ROW(B41))</f>
        <v>0.669365</v>
      </c>
      <c r="AB60" s="144">
        <f t="array" ref="AB60">INDIRECT("Update"&amp;Projections!$AG$11&amp;"!Q"&amp;ROW(B41))</f>
        <v>2.252381</v>
      </c>
      <c r="AC60" s="166">
        <f t="array" ref="AC60">INDIRECT("Update"&amp;Projections!$AG$11&amp;"!I"&amp;ROW(B41))</f>
        <v>0.680393</v>
      </c>
      <c r="AD60" s="166">
        <f t="array" ref="AD60">INDIRECT("Update"&amp;Projections!$AG$11&amp;"!K"&amp;ROW(B41))</f>
        <v>0.528016</v>
      </c>
      <c r="AE60" s="144">
        <f t="array" ref="AE60">INDIRECT("Update"&amp;Projections!$AG$11&amp;"!R"&amp;ROW(B41))</f>
        <v>1.590952</v>
      </c>
      <c r="AF60" s="144">
        <f t="shared" si="7"/>
        <v>-0.6046380992</v>
      </c>
      <c r="AG60" s="144">
        <f t="shared" si="8"/>
        <v>-1.580929935</v>
      </c>
      <c r="AH60" s="144">
        <f t="shared" si="9"/>
        <v>2.37022997</v>
      </c>
      <c r="AI60" s="144">
        <f t="shared" si="10"/>
        <v>-0.8995224293</v>
      </c>
      <c r="AJ60" s="144">
        <f t="shared" si="11"/>
        <v>-1.145218267</v>
      </c>
      <c r="AK60" s="144">
        <f t="shared" si="12"/>
        <v>2.76727277</v>
      </c>
      <c r="AL60" s="144">
        <f t="shared" si="13"/>
        <v>3.78549152</v>
      </c>
      <c r="AM60" s="144">
        <f t="shared" si="14"/>
        <v>-2.190819465</v>
      </c>
      <c r="AN60" s="144">
        <f t="shared" si="15"/>
        <v>0</v>
      </c>
      <c r="AO60" s="167">
        <f t="shared" si="16"/>
        <v>-2.190819465</v>
      </c>
      <c r="AP60" s="167">
        <f t="shared" si="17"/>
        <v>-3.7717494</v>
      </c>
      <c r="AQ60" s="167">
        <f t="array" ref="AQ60">INDIRECT("Update"&amp;Projections!$AG$11&amp;"!S"&amp;ROW(B41))</f>
        <v>0.680393</v>
      </c>
      <c r="AR60" s="167">
        <f t="array" ref="AR60">INDIRECT("Update"&amp;Projections!$AG$11&amp;"!T"&amp;ROW(B41))</f>
        <v>0.528016</v>
      </c>
    </row>
    <row r="61">
      <c r="A61" s="50" t="str">
        <f>IF(UpdateHashtag!C59="",ROW(UpdateHashtag!C59),UpdateHashtag!C59)</f>
        <v>D'Angelo Russell</v>
      </c>
      <c r="B61" s="53">
        <f>IF(TYPE($A61)=1,"",(UpdateHashtag!M59-B$1)/B$2)</f>
        <v>0.05708757242</v>
      </c>
      <c r="C61" s="53">
        <f>IF(TYPE($A61)=1,"",(UpdateHashtag!L59-C$1)/C$2)</f>
        <v>1.091822875</v>
      </c>
      <c r="D61" s="53">
        <f>IF(TYPE($A61)=1,"",(UpdateHashtag!N59-D$1)/D$2)</f>
        <v>-1.226800915</v>
      </c>
      <c r="E61" s="53">
        <f>IF(TYPE($A61)=1,"",(UpdateHashtag!O59-E$1)/E$2)</f>
        <v>1.056706517</v>
      </c>
      <c r="F61" s="53">
        <f>IF(TYPE($A61)=1,"",(UpdateHashtag!P59-F$1)/F$2)</f>
        <v>-0.1376973632</v>
      </c>
      <c r="G61" s="53">
        <f>IF(TYPE($A61)=1,"",(UpdateHashtag!Q59-G$1)/G$2)</f>
        <v>-0.4185422635</v>
      </c>
      <c r="H61" s="53">
        <f>IF(TYPE($A61)=1,"",(UpdateHashtag!I59-H$1)/H$2*I61/$I$1)</f>
        <v>-15.48447427</v>
      </c>
      <c r="I61" s="53">
        <f>UpdateHashtag!S59</f>
        <v>13.5</v>
      </c>
      <c r="J61" s="58">
        <f>IF(TYPE($A61)=1,"",(UpdateHashtag!K59-J$1)/J$2*K61/$K$1)</f>
        <v>1.830836247</v>
      </c>
      <c r="K61" s="59">
        <f>UpdateHashtag!T59</f>
        <v>2.8</v>
      </c>
      <c r="L61" s="53">
        <f>IF(TYPE($A61)=1,"",-(UpdateHashtag!R59-L$1)/L$2)</f>
        <v>-0.6460761218</v>
      </c>
      <c r="N61" s="106">
        <f t="shared" si="3"/>
        <v>2.766118732</v>
      </c>
      <c r="O61" s="106">
        <f t="shared" si="4"/>
        <v>44</v>
      </c>
      <c r="P61" s="163" t="str">
        <f t="array" ref="P61">INDIRECT("Update"&amp;Projections!$AG$11&amp;"!B"&amp;ROW(B42))</f>
        <v/>
      </c>
      <c r="Q61" s="164" t="str">
        <f t="array" ref="Q61">INDIRECT("Update"&amp;Projections!$AG$11&amp;"!C"&amp;ROW(B42))</f>
        <v>Ivica Zubac</v>
      </c>
      <c r="R61" s="163">
        <f>UpdateBBM!F42</f>
        <v>73</v>
      </c>
      <c r="S61" s="165" t="str">
        <f t="array" ref="S61">INDIRECT("Update"&amp;Projections!$AG$11&amp;"!D"&amp;ROW(B42))</f>
        <v>C</v>
      </c>
      <c r="T61" s="144">
        <f t="shared" si="5"/>
        <v>2.496259925</v>
      </c>
      <c r="U61" s="144">
        <f>SUM(AF61:AN61)-IFERROR(IFS(Projections!$I$11,AO61,Projections!$J$11,AP61),"")</f>
        <v>2.373312945</v>
      </c>
      <c r="V61" s="144">
        <f t="shared" si="6"/>
        <v>-0.1229469799</v>
      </c>
      <c r="W61" s="144">
        <f t="array" ref="W61">INDIRECT("Update"&amp;Projections!$AG$11&amp;"!M"&amp;ROW(B42))</f>
        <v>16.56041</v>
      </c>
      <c r="X61" s="144">
        <f t="array" ref="X61">INDIRECT("Update"&amp;Projections!$AG$11&amp;"!L"&amp;ROW(B42))</f>
        <v>0</v>
      </c>
      <c r="Y61" s="144">
        <f t="array" ref="Y61">INDIRECT("Update"&amp;Projections!$AG$11&amp;"!N"&amp;ROW(B42))</f>
        <v>11.58945</v>
      </c>
      <c r="Z61" s="144">
        <f t="array" ref="Z61">INDIRECT("Update"&amp;Projections!$AG$11&amp;"!O"&amp;ROW(B42))</f>
        <v>2.004658</v>
      </c>
      <c r="AA61" s="144">
        <f t="array" ref="AA61">INDIRECT("Update"&amp;Projections!$AG$11&amp;"!P"&amp;ROW(B42))</f>
        <v>0.555068</v>
      </c>
      <c r="AB61" s="144">
        <f t="array" ref="AB61">INDIRECT("Update"&amp;Projections!$AG$11&amp;"!Q"&amp;ROW(B42))</f>
        <v>1.076301</v>
      </c>
      <c r="AC61" s="166">
        <f t="array" ref="AC61">INDIRECT("Update"&amp;Projections!$AG$11&amp;"!I"&amp;ROW(B42))</f>
        <v>0.647396</v>
      </c>
      <c r="AD61" s="166">
        <f t="array" ref="AD61">INDIRECT("Update"&amp;Projections!$AG$11&amp;"!K"&amp;ROW(B42))</f>
        <v>0.704991</v>
      </c>
      <c r="AE61" s="144">
        <f t="array" ref="AE61">INDIRECT("Update"&amp;Projections!$AG$11&amp;"!R"&amp;ROW(B42))</f>
        <v>1.252877</v>
      </c>
      <c r="AF61" s="144">
        <f t="shared" si="7"/>
        <v>-0.1077565513</v>
      </c>
      <c r="AG61" s="144">
        <f t="shared" si="8"/>
        <v>-1.709094101</v>
      </c>
      <c r="AH61" s="144">
        <f t="shared" si="9"/>
        <v>2.214428258</v>
      </c>
      <c r="AI61" s="144">
        <f t="shared" si="10"/>
        <v>-0.8950759704</v>
      </c>
      <c r="AJ61" s="144">
        <f t="shared" si="11"/>
        <v>-1.493507519</v>
      </c>
      <c r="AK61" s="144">
        <f t="shared" si="12"/>
        <v>0.6291684737</v>
      </c>
      <c r="AL61" s="144">
        <f t="shared" si="13"/>
        <v>2.960192576</v>
      </c>
      <c r="AM61" s="144">
        <f t="shared" si="14"/>
        <v>-0.9341363217</v>
      </c>
      <c r="AN61" s="144">
        <f t="shared" si="15"/>
        <v>0</v>
      </c>
      <c r="AO61" s="167">
        <f t="shared" si="16"/>
        <v>-1.709094101</v>
      </c>
      <c r="AP61" s="167">
        <f t="shared" si="17"/>
        <v>-3.202601619</v>
      </c>
      <c r="AQ61" s="167">
        <f t="array" ref="AQ61">INDIRECT("Update"&amp;Projections!$AG$11&amp;"!S"&amp;ROW(B42))</f>
        <v>0.647396</v>
      </c>
      <c r="AR61" s="167">
        <f t="array" ref="AR61">INDIRECT("Update"&amp;Projections!$AG$11&amp;"!T"&amp;ROW(B42))</f>
        <v>0.704991</v>
      </c>
    </row>
    <row r="62">
      <c r="A62" s="50" t="str">
        <f>IF(UpdateHashtag!C60="",ROW(UpdateHashtag!C60),UpdateHashtag!C60)</f>
        <v>Jalen Duren</v>
      </c>
      <c r="B62" s="53">
        <f>IF(TYPE($A62)=1,"",(UpdateHashtag!M60-B$1)/B$2)</f>
        <v>-0.7674927037</v>
      </c>
      <c r="C62" s="53">
        <f>IF(TYPE($A62)=1,"",(UpdateHashtag!L60-C$1)/C$2)</f>
        <v>-1.709094101</v>
      </c>
      <c r="D62" s="53">
        <f>IF(TYPE($A62)=1,"",(UpdateHashtag!N60-D$1)/D$2)</f>
        <v>1.934957214</v>
      </c>
      <c r="E62" s="53">
        <f>IF(TYPE($A62)=1,"",(UpdateHashtag!O60-E$1)/E$2)</f>
        <v>-0.8973514709</v>
      </c>
      <c r="F62" s="53">
        <f>IF(TYPE($A62)=1,"",(UpdateHashtag!P60-F$1)/F$2)</f>
        <v>-1.356589379</v>
      </c>
      <c r="G62" s="53">
        <f>IF(TYPE($A62)=1,"",(UpdateHashtag!Q60-G$1)/G$2)</f>
        <v>0.3086546265</v>
      </c>
      <c r="H62" s="53">
        <f>IF(TYPE($A62)=1,"",(UpdateHashtag!I60-H$1)/H$2*I62/$I$1)</f>
        <v>33.91337113</v>
      </c>
      <c r="I62" s="53">
        <f>UpdateHashtag!S60</f>
        <v>8.5</v>
      </c>
      <c r="J62" s="58">
        <f>IF(TYPE($A62)=1,"",(UpdateHashtag!K60-J$1)/J$2*K62/$K$1)</f>
        <v>-0.3026735343</v>
      </c>
      <c r="K62" s="59">
        <f>UpdateHashtag!T60</f>
        <v>2.7</v>
      </c>
      <c r="L62" s="53">
        <f>IF(TYPE($A62)=1,"",-(UpdateHashtag!R60-L$1)/L$2)</f>
        <v>-0.1501118522</v>
      </c>
      <c r="N62" s="106">
        <f t="shared" si="3"/>
        <v>2.523325803</v>
      </c>
      <c r="O62" s="106">
        <f t="shared" si="4"/>
        <v>35</v>
      </c>
      <c r="P62" s="163" t="str">
        <f t="array" ref="P62">INDIRECT("Update"&amp;Projections!$AG$11&amp;"!B"&amp;ROW(B43))</f>
        <v/>
      </c>
      <c r="Q62" s="164" t="str">
        <f t="array" ref="Q62">INDIRECT("Update"&amp;Projections!$AG$11&amp;"!C"&amp;ROW(B43))</f>
        <v>Scottie Barnes</v>
      </c>
      <c r="R62" s="163">
        <f>UpdateBBM!F43</f>
        <v>64</v>
      </c>
      <c r="S62" s="165" t="str">
        <f t="array" ref="S62">INDIRECT("Update"&amp;Projections!$AG$11&amp;"!D"&amp;ROW(B43))</f>
        <v>F</v>
      </c>
      <c r="T62" s="144">
        <f t="shared" si="5"/>
        <v>3.148091343</v>
      </c>
      <c r="U62" s="144">
        <f>SUM(AF62:AN62)-IFERROR(IFS(Projections!$I$11,AO62,Projections!$J$11,AP62),"")</f>
        <v>3.43112162</v>
      </c>
      <c r="V62" s="144">
        <f t="shared" si="6"/>
        <v>0.2830302765</v>
      </c>
      <c r="W62" s="144">
        <f t="array" ref="W62">INDIRECT("Update"&amp;Projections!$AG$11&amp;"!M"&amp;ROW(B43))</f>
        <v>20.02125</v>
      </c>
      <c r="X62" s="144">
        <f t="array" ref="X62">INDIRECT("Update"&amp;Projections!$AG$11&amp;"!L"&amp;ROW(B43))</f>
        <v>1.262188</v>
      </c>
      <c r="Y62" s="144">
        <f t="array" ref="Y62">INDIRECT("Update"&amp;Projections!$AG$11&amp;"!N"&amp;ROW(B43))</f>
        <v>8.486719</v>
      </c>
      <c r="Z62" s="144">
        <f t="array" ref="Z62">INDIRECT("Update"&amp;Projections!$AG$11&amp;"!O"&amp;ROW(B43))</f>
        <v>6.008281</v>
      </c>
      <c r="AA62" s="144">
        <f t="array" ref="AA62">INDIRECT("Update"&amp;Projections!$AG$11&amp;"!P"&amp;ROW(B43))</f>
        <v>1.427031</v>
      </c>
      <c r="AB62" s="144">
        <f t="array" ref="AB62">INDIRECT("Update"&amp;Projections!$AG$11&amp;"!Q"&amp;ROW(B43))</f>
        <v>1.10875</v>
      </c>
      <c r="AC62" s="166">
        <f t="array" ref="AC62">INDIRECT("Update"&amp;Projections!$AG$11&amp;"!I"&amp;ROW(B43))</f>
        <v>0.462938</v>
      </c>
      <c r="AD62" s="166">
        <f t="array" ref="AD62">INDIRECT("Update"&amp;Projections!$AG$11&amp;"!K"&amp;ROW(B43))</f>
        <v>0.746995</v>
      </c>
      <c r="AE62" s="144">
        <f t="array" ref="AE62">INDIRECT("Update"&amp;Projections!$AG$11&amp;"!R"&amp;ROW(B43))</f>
        <v>2.89</v>
      </c>
      <c r="AF62" s="144">
        <f t="shared" si="7"/>
        <v>0.4994222578</v>
      </c>
      <c r="AG62" s="144">
        <f t="shared" si="8"/>
        <v>-0.4900307228</v>
      </c>
      <c r="AH62" s="144">
        <f t="shared" si="9"/>
        <v>0.9567250576</v>
      </c>
      <c r="AI62" s="144">
        <f t="shared" si="10"/>
        <v>1.060751906</v>
      </c>
      <c r="AJ62" s="144">
        <f t="shared" si="11"/>
        <v>1.163564327</v>
      </c>
      <c r="AK62" s="144">
        <f t="shared" si="12"/>
        <v>0.6881605034</v>
      </c>
      <c r="AL62" s="144">
        <f t="shared" si="13"/>
        <v>-0.4484118104</v>
      </c>
      <c r="AM62" s="144">
        <f t="shared" si="14"/>
        <v>-0.4890906219</v>
      </c>
      <c r="AN62" s="144">
        <f t="shared" si="15"/>
        <v>0</v>
      </c>
      <c r="AO62" s="167">
        <f t="shared" si="16"/>
        <v>-0.4900307228</v>
      </c>
      <c r="AP62" s="167">
        <f t="shared" si="17"/>
        <v>-0.9791213447</v>
      </c>
      <c r="AQ62" s="167">
        <f t="array" ref="AQ62">INDIRECT("Update"&amp;Projections!$AG$11&amp;"!S"&amp;ROW(B43))</f>
        <v>0.462938</v>
      </c>
      <c r="AR62" s="167">
        <f t="array" ref="AR62">INDIRECT("Update"&amp;Projections!$AG$11&amp;"!T"&amp;ROW(B43))</f>
        <v>0.746995</v>
      </c>
    </row>
    <row r="63">
      <c r="A63" s="50" t="str">
        <f>IF(UpdateHashtag!C61="",ROW(UpdateHashtag!C61),UpdateHashtag!C61)</f>
        <v>Jrue Holiday</v>
      </c>
      <c r="B63" s="53">
        <f>IF(TYPE($A63)=1,"",(UpdateHashtag!M61-B$1)/B$2)</f>
        <v>-0.6446828753</v>
      </c>
      <c r="C63" s="53">
        <f>IF(TYPE($A63)=1,"",(UpdateHashtag!L61-C$1)/C$2)</f>
        <v>0.415739467</v>
      </c>
      <c r="D63" s="53">
        <f>IF(TYPE($A63)=1,"",(UpdateHashtag!N61-D$1)/D$2)</f>
        <v>-0.3350229811</v>
      </c>
      <c r="E63" s="53">
        <f>IF(TYPE($A63)=1,"",(UpdateHashtag!O61-E$1)/E$2)</f>
        <v>0.6170434701</v>
      </c>
      <c r="F63" s="53">
        <f>IF(TYPE($A63)=1,"",(UpdateHashtag!P61-F$1)/F$2)</f>
        <v>-0.1376973632</v>
      </c>
      <c r="G63" s="53">
        <f>IF(TYPE($A63)=1,"",(UpdateHashtag!Q61-G$1)/G$2)</f>
        <v>-0.236743041</v>
      </c>
      <c r="H63" s="53">
        <f>IF(TYPE($A63)=1,"",(UpdateHashtag!I61-H$1)/H$2*I63/$I$1)</f>
        <v>-5.789741374</v>
      </c>
      <c r="I63" s="53">
        <f>UpdateHashtag!S61</f>
        <v>10.6</v>
      </c>
      <c r="J63" s="58">
        <f>IF(TYPE($A63)=1,"",(UpdateHashtag!K61-J$1)/J$2*K63/$K$1)</f>
        <v>1.317553107</v>
      </c>
      <c r="K63" s="59">
        <f>UpdateHashtag!T61</f>
        <v>1.4</v>
      </c>
      <c r="L63" s="53">
        <f>IF(TYPE($A63)=1,"",-(UpdateHashtag!R61-L$1)/L$2)</f>
        <v>-0.6460761218</v>
      </c>
      <c r="N63" s="106">
        <f t="shared" si="3"/>
        <v>2.52246871</v>
      </c>
      <c r="O63" s="106">
        <f t="shared" si="4"/>
        <v>71</v>
      </c>
      <c r="P63" s="163" t="str">
        <f t="array" ref="P63">INDIRECT("Update"&amp;Projections!$AG$11&amp;"!B"&amp;ROW(B44))</f>
        <v/>
      </c>
      <c r="Q63" s="164" t="str">
        <f t="array" ref="Q63">INDIRECT("Update"&amp;Projections!$AG$11&amp;"!C"&amp;ROW(B44))</f>
        <v>Nikola Vucevic</v>
      </c>
      <c r="R63" s="163">
        <f>UpdateBBM!F44</f>
        <v>73</v>
      </c>
      <c r="S63" s="165" t="str">
        <f t="array" ref="S63">INDIRECT("Update"&amp;Projections!$AG$11&amp;"!D"&amp;ROW(B44))</f>
        <v>C</v>
      </c>
      <c r="T63" s="144">
        <f t="shared" si="5"/>
        <v>1.397292744</v>
      </c>
      <c r="U63" s="144">
        <f>SUM(AF63:AN63)-IFERROR(IFS(Projections!$I$11,AO63,Projections!$J$11,AP63),"")</f>
        <v>1.366744403</v>
      </c>
      <c r="V63" s="144">
        <f t="shared" si="6"/>
        <v>-0.03054834056</v>
      </c>
      <c r="W63" s="144">
        <f t="array" ref="W63">INDIRECT("Update"&amp;Projections!$AG$11&amp;"!M"&amp;ROW(B44))</f>
        <v>17.2374</v>
      </c>
      <c r="X63" s="144">
        <f t="array" ref="X63">INDIRECT("Update"&amp;Projections!$AG$11&amp;"!L"&amp;ROW(B44))</f>
        <v>1.530411</v>
      </c>
      <c r="Y63" s="144">
        <f t="array" ref="Y63">INDIRECT("Update"&amp;Projections!$AG$11&amp;"!N"&amp;ROW(B44))</f>
        <v>9.815068</v>
      </c>
      <c r="Z63" s="144">
        <f t="array" ref="Z63">INDIRECT("Update"&amp;Projections!$AG$11&amp;"!O"&amp;ROW(B44))</f>
        <v>3.25</v>
      </c>
      <c r="AA63" s="144">
        <f t="array" ref="AA63">INDIRECT("Update"&amp;Projections!$AG$11&amp;"!P"&amp;ROW(B44))</f>
        <v>0.844658</v>
      </c>
      <c r="AB63" s="144">
        <f t="array" ref="AB63">INDIRECT("Update"&amp;Projections!$AG$11&amp;"!Q"&amp;ROW(B44))</f>
        <v>0.715205</v>
      </c>
      <c r="AC63" s="166">
        <f t="array" ref="AC63">INDIRECT("Update"&amp;Projections!$AG$11&amp;"!I"&amp;ROW(B44))</f>
        <v>0.50581</v>
      </c>
      <c r="AD63" s="166">
        <f t="array" ref="AD63">INDIRECT("Update"&amp;Projections!$AG$11&amp;"!K"&amp;ROW(B44))</f>
        <v>0.806977</v>
      </c>
      <c r="AE63" s="144">
        <f t="array" ref="AE63">INDIRECT("Update"&amp;Projections!$AG$11&amp;"!R"&amp;ROW(B44))</f>
        <v>1.625479</v>
      </c>
      <c r="AF63" s="144">
        <f t="shared" si="7"/>
        <v>0.01101634253</v>
      </c>
      <c r="AG63" s="144">
        <f t="shared" si="8"/>
        <v>-0.2309719801</v>
      </c>
      <c r="AH63" s="144">
        <f t="shared" si="9"/>
        <v>1.495176115</v>
      </c>
      <c r="AI63" s="144">
        <f t="shared" si="10"/>
        <v>-0.2867083495</v>
      </c>
      <c r="AJ63" s="144">
        <f t="shared" si="11"/>
        <v>-0.6110601718</v>
      </c>
      <c r="AK63" s="144">
        <f t="shared" si="12"/>
        <v>-0.02730124675</v>
      </c>
      <c r="AL63" s="144">
        <f t="shared" si="13"/>
        <v>0.1614771785</v>
      </c>
      <c r="AM63" s="144">
        <f t="shared" si="14"/>
        <v>0.2440563432</v>
      </c>
      <c r="AN63" s="144">
        <f t="shared" si="15"/>
        <v>0</v>
      </c>
      <c r="AO63" s="167">
        <f t="shared" si="16"/>
        <v>-0.6110601718</v>
      </c>
      <c r="AP63" s="167">
        <f t="shared" si="17"/>
        <v>-0.8977685214</v>
      </c>
      <c r="AQ63" s="167">
        <f t="array" ref="AQ63">INDIRECT("Update"&amp;Projections!$AG$11&amp;"!S"&amp;ROW(B44))</f>
        <v>0.50581</v>
      </c>
      <c r="AR63" s="167">
        <f t="array" ref="AR63">INDIRECT("Update"&amp;Projections!$AG$11&amp;"!T"&amp;ROW(B44))</f>
        <v>0.806977</v>
      </c>
    </row>
    <row r="64">
      <c r="A64" s="50" t="str">
        <f>IF(UpdateHashtag!C62="",ROW(UpdateHashtag!C62),UpdateHashtag!C62)</f>
        <v>Zion Williamson</v>
      </c>
      <c r="B64" s="53">
        <f>IF(TYPE($A64)=1,"",(UpdateHashtag!M62-B$1)/B$2)</f>
        <v>0.9869334157</v>
      </c>
      <c r="C64" s="53">
        <f>IF(TYPE($A64)=1,"",(UpdateHashtag!L62-C$1)/C$2)</f>
        <v>-1.612510757</v>
      </c>
      <c r="D64" s="53">
        <f>IF(TYPE($A64)=1,"",(UpdateHashtag!N62-D$1)/D$2)</f>
        <v>0.02979526449</v>
      </c>
      <c r="E64" s="53">
        <f>IF(TYPE($A64)=1,"",(UpdateHashtag!O62-E$1)/E$2)</f>
        <v>0.5681920204</v>
      </c>
      <c r="F64" s="53">
        <f>IF(TYPE($A64)=1,"",(UpdateHashtag!P62-F$1)/F$2)</f>
        <v>0.1670256406</v>
      </c>
      <c r="G64" s="53">
        <f>IF(TYPE($A64)=1,"",(UpdateHashtag!Q62-G$1)/G$2)</f>
        <v>-0.05494381853</v>
      </c>
      <c r="H64" s="53">
        <f>IF(TYPE($A64)=1,"",(UpdateHashtag!I62-H$1)/H$2*I64/$I$1)</f>
        <v>35.99933499</v>
      </c>
      <c r="I64" s="53">
        <f>UpdateHashtag!S62</f>
        <v>15.4</v>
      </c>
      <c r="J64" s="58">
        <f>IF(TYPE($A64)=1,"",(UpdateHashtag!K62-J$1)/J$2*K64/$K$1)</f>
        <v>-8.387014996</v>
      </c>
      <c r="K64" s="59">
        <f>UpdateHashtag!T62</f>
        <v>7.1</v>
      </c>
      <c r="L64" s="53">
        <f>IF(TYPE($A64)=1,"",-(UpdateHashtag!R62-L$1)/L$2)</f>
        <v>-1.241233245</v>
      </c>
      <c r="N64" s="106">
        <f t="shared" si="3"/>
        <v>2.496259925</v>
      </c>
      <c r="O64" s="106">
        <f t="shared" si="4"/>
        <v>10</v>
      </c>
      <c r="P64" s="163" t="str">
        <f t="array" ref="P64">INDIRECT("Update"&amp;Projections!$AG$11&amp;"!B"&amp;ROW(B45))</f>
        <v/>
      </c>
      <c r="Q64" s="164" t="str">
        <f t="array" ref="Q64">INDIRECT("Update"&amp;Projections!$AG$11&amp;"!C"&amp;ROW(B45))</f>
        <v>LaMelo Ball</v>
      </c>
      <c r="R64" s="163">
        <f>UpdateBBM!F45</f>
        <v>59</v>
      </c>
      <c r="S64" s="165" t="str">
        <f t="array" ref="S64">INDIRECT("Update"&amp;Projections!$AG$11&amp;"!D"&amp;ROW(B45))</f>
        <v>G</v>
      </c>
      <c r="T64" s="144">
        <f t="shared" si="5"/>
        <v>4.884388547</v>
      </c>
      <c r="U64" s="144">
        <f>SUM(AF64:AN64)-IFERROR(IFS(Projections!$I$11,AO64,Projections!$J$11,AP64),"")</f>
        <v>5.331128941</v>
      </c>
      <c r="V64" s="144">
        <f t="shared" si="6"/>
        <v>0.4467403944</v>
      </c>
      <c r="W64" s="144">
        <f t="array" ref="W64">INDIRECT("Update"&amp;Projections!$AG$11&amp;"!M"&amp;ROW(B45))</f>
        <v>23.88695</v>
      </c>
      <c r="X64" s="144">
        <f t="array" ref="X64">INDIRECT("Update"&amp;Projections!$AG$11&amp;"!L"&amp;ROW(B45))</f>
        <v>3.725254</v>
      </c>
      <c r="Y64" s="144">
        <f t="array" ref="Y64">INDIRECT("Update"&amp;Projections!$AG$11&amp;"!N"&amp;ROW(B45))</f>
        <v>4.95</v>
      </c>
      <c r="Z64" s="144">
        <f t="array" ref="Z64">INDIRECT("Update"&amp;Projections!$AG$11&amp;"!O"&amp;ROW(B45))</f>
        <v>8.13678</v>
      </c>
      <c r="AA64" s="144">
        <f t="array" ref="AA64">INDIRECT("Update"&amp;Projections!$AG$11&amp;"!P"&amp;ROW(B45))</f>
        <v>1.252542</v>
      </c>
      <c r="AB64" s="144">
        <f t="array" ref="AB64">INDIRECT("Update"&amp;Projections!$AG$11&amp;"!Q"&amp;ROW(B45))</f>
        <v>0.272712</v>
      </c>
      <c r="AC64" s="166">
        <f t="array" ref="AC64">INDIRECT("Update"&amp;Projections!$AG$11&amp;"!I"&amp;ROW(B45))</f>
        <v>0.416645</v>
      </c>
      <c r="AD64" s="166">
        <f t="array" ref="AD64">INDIRECT("Update"&amp;Projections!$AG$11&amp;"!K"&amp;ROW(B45))</f>
        <v>0.850015</v>
      </c>
      <c r="AE64" s="144">
        <f t="array" ref="AE64">INDIRECT("Update"&amp;Projections!$AG$11&amp;"!R"&amp;ROW(B45))</f>
        <v>3.550169</v>
      </c>
      <c r="AF64" s="144">
        <f t="shared" si="7"/>
        <v>1.177630763</v>
      </c>
      <c r="AG64" s="144">
        <f t="shared" si="8"/>
        <v>1.888880784</v>
      </c>
      <c r="AH64" s="144">
        <f t="shared" si="9"/>
        <v>-0.4768967433</v>
      </c>
      <c r="AI64" s="144">
        <f t="shared" si="10"/>
        <v>2.100554525</v>
      </c>
      <c r="AJ64" s="144">
        <f t="shared" si="11"/>
        <v>0.6318562051</v>
      </c>
      <c r="AK64" s="144">
        <f t="shared" si="12"/>
        <v>-0.8317500804</v>
      </c>
      <c r="AL64" s="144">
        <f t="shared" si="13"/>
        <v>-0.9829715408</v>
      </c>
      <c r="AM64" s="144">
        <f t="shared" si="14"/>
        <v>0.840853488</v>
      </c>
      <c r="AN64" s="144">
        <f t="shared" si="15"/>
        <v>0</v>
      </c>
      <c r="AO64" s="167">
        <f t="shared" si="16"/>
        <v>-0.9829715408</v>
      </c>
      <c r="AP64" s="167">
        <f t="shared" si="17"/>
        <v>-1.814721621</v>
      </c>
      <c r="AQ64" s="167">
        <f t="array" ref="AQ64">INDIRECT("Update"&amp;Projections!$AG$11&amp;"!S"&amp;ROW(B45))</f>
        <v>0.416645</v>
      </c>
      <c r="AR64" s="167">
        <f t="array" ref="AR64">INDIRECT("Update"&amp;Projections!$AG$11&amp;"!T"&amp;ROW(B45))</f>
        <v>0.850015</v>
      </c>
    </row>
    <row r="65">
      <c r="A65" s="50" t="str">
        <f>IF(UpdateHashtag!C63="",ROW(UpdateHashtag!C63),UpdateHashtag!C63)</f>
        <v>Pascal Siakam</v>
      </c>
      <c r="B65" s="53">
        <f>IF(TYPE($A65)=1,"",(UpdateHashtag!M63-B$1)/B$2)</f>
        <v>0.6886809754</v>
      </c>
      <c r="C65" s="53">
        <f>IF(TYPE($A65)=1,"",(UpdateHashtag!L63-C$1)/C$2)</f>
        <v>-0.6466773167</v>
      </c>
      <c r="D65" s="53">
        <f>IF(TYPE($A65)=1,"",(UpdateHashtag!N63-D$1)/D$2)</f>
        <v>0.5567549526</v>
      </c>
      <c r="E65" s="53">
        <f>IF(TYPE($A65)=1,"",(UpdateHashtag!O63-E$1)/E$2)</f>
        <v>0.03082607356</v>
      </c>
      <c r="F65" s="53">
        <f>IF(TYPE($A65)=1,"",(UpdateHashtag!P63-F$1)/F$2)</f>
        <v>-0.7471433709</v>
      </c>
      <c r="G65" s="53">
        <f>IF(TYPE($A65)=1,"",(UpdateHashtag!Q63-G$1)/G$2)</f>
        <v>-0.600341486</v>
      </c>
      <c r="H65" s="53">
        <f>IF(TYPE($A65)=1,"",(UpdateHashtag!I63-H$1)/H$2*I65/$I$1)</f>
        <v>19.74398736</v>
      </c>
      <c r="I65" s="53">
        <f>UpdateHashtag!S63</f>
        <v>15</v>
      </c>
      <c r="J65" s="58">
        <f>IF(TYPE($A65)=1,"",(UpdateHashtag!K63-J$1)/J$2*K65/$K$1)</f>
        <v>-3.745710654</v>
      </c>
      <c r="K65" s="59">
        <f>UpdateHashtag!T63</f>
        <v>5.1</v>
      </c>
      <c r="L65" s="53">
        <f>IF(TYPE($A65)=1,"",-(UpdateHashtag!R63-L$1)/L$2)</f>
        <v>0.2466595634</v>
      </c>
      <c r="N65" s="106">
        <f t="shared" si="3"/>
        <v>2.449616412</v>
      </c>
      <c r="O65" s="106">
        <f t="shared" si="4"/>
        <v>41</v>
      </c>
      <c r="P65" s="163" t="str">
        <f t="array" ref="P65">INDIRECT("Update"&amp;Projections!$AG$11&amp;"!B"&amp;ROW(B46))</f>
        <v/>
      </c>
      <c r="Q65" s="164" t="str">
        <f t="array" ref="Q65">INDIRECT("Update"&amp;Projections!$AG$11&amp;"!C"&amp;ROW(B46))</f>
        <v>Domantas Sabonis</v>
      </c>
      <c r="R65" s="163">
        <f>UpdateBBM!F46</f>
        <v>73</v>
      </c>
      <c r="S65" s="165" t="str">
        <f t="array" ref="S65">INDIRECT("Update"&amp;Projections!$AG$11&amp;"!D"&amp;ROW(B46))</f>
        <v>C</v>
      </c>
      <c r="T65" s="144">
        <f t="shared" si="5"/>
        <v>2.766118732</v>
      </c>
      <c r="U65" s="144">
        <f>SUM(AF65:AN65)-IFERROR(IFS(Projections!$I$11,AO65,Projections!$J$11,AP65),"")</f>
        <v>3.04660124</v>
      </c>
      <c r="V65" s="144">
        <f t="shared" si="6"/>
        <v>0.280482508</v>
      </c>
      <c r="W65" s="144">
        <f t="array" ref="W65">INDIRECT("Update"&amp;Projections!$AG$11&amp;"!M"&amp;ROW(B46))</f>
        <v>18.12329</v>
      </c>
      <c r="X65" s="144">
        <f t="array" ref="X65">INDIRECT("Update"&amp;Projections!$AG$11&amp;"!L"&amp;ROW(B46))</f>
        <v>0.792329</v>
      </c>
      <c r="Y65" s="144">
        <f t="array" ref="Y65">INDIRECT("Update"&amp;Projections!$AG$11&amp;"!N"&amp;ROW(B46))</f>
        <v>13.9337</v>
      </c>
      <c r="Z65" s="144">
        <f t="array" ref="Z65">INDIRECT("Update"&amp;Projections!$AG$11&amp;"!O"&amp;ROW(B46))</f>
        <v>5.446164</v>
      </c>
      <c r="AA65" s="144">
        <f t="array" ref="AA65">INDIRECT("Update"&amp;Projections!$AG$11&amp;"!P"&amp;ROW(B46))</f>
        <v>0.715753</v>
      </c>
      <c r="AB65" s="144">
        <f t="array" ref="AB65">INDIRECT("Update"&amp;Projections!$AG$11&amp;"!Q"&amp;ROW(B46))</f>
        <v>0.280548</v>
      </c>
      <c r="AC65" s="166">
        <f t="array" ref="AC65">INDIRECT("Update"&amp;Projections!$AG$11&amp;"!I"&amp;ROW(B46))</f>
        <v>0.569938</v>
      </c>
      <c r="AD65" s="166">
        <f t="array" ref="AD65">INDIRECT("Update"&amp;Projections!$AG$11&amp;"!K"&amp;ROW(B46))</f>
        <v>0.737994</v>
      </c>
      <c r="AE65" s="144">
        <f t="array" ref="AE65">INDIRECT("Update"&amp;Projections!$AG$11&amp;"!R"&amp;ROW(B46))</f>
        <v>2.879726</v>
      </c>
      <c r="AF65" s="144">
        <f t="shared" si="7"/>
        <v>0.166439198</v>
      </c>
      <c r="AG65" s="144">
        <f t="shared" si="8"/>
        <v>-0.943836257</v>
      </c>
      <c r="AH65" s="144">
        <f t="shared" si="9"/>
        <v>3.164678449</v>
      </c>
      <c r="AI65" s="144">
        <f t="shared" si="10"/>
        <v>0.7861496024</v>
      </c>
      <c r="AJ65" s="144">
        <f t="shared" si="11"/>
        <v>-1.00386336</v>
      </c>
      <c r="AK65" s="144">
        <f t="shared" si="12"/>
        <v>-0.8175042933</v>
      </c>
      <c r="AL65" s="144">
        <f t="shared" si="13"/>
        <v>1.279874018</v>
      </c>
      <c r="AM65" s="144">
        <f t="shared" si="14"/>
        <v>-0.5891994767</v>
      </c>
      <c r="AN65" s="144">
        <f t="shared" si="15"/>
        <v>0</v>
      </c>
      <c r="AO65" s="167">
        <f t="shared" si="16"/>
        <v>-1.00386336</v>
      </c>
      <c r="AP65" s="167">
        <f t="shared" si="17"/>
        <v>-1.947699617</v>
      </c>
      <c r="AQ65" s="167">
        <f t="array" ref="AQ65">INDIRECT("Update"&amp;Projections!$AG$11&amp;"!S"&amp;ROW(B46))</f>
        <v>0.569938</v>
      </c>
      <c r="AR65" s="167">
        <f t="array" ref="AR65">INDIRECT("Update"&amp;Projections!$AG$11&amp;"!T"&amp;ROW(B46))</f>
        <v>0.737994</v>
      </c>
    </row>
    <row r="66">
      <c r="A66" s="50" t="str">
        <f>IF(UpdateHashtag!C64="",ROW(UpdateHashtag!C64),UpdateHashtag!C64)</f>
        <v>Zach LaVine</v>
      </c>
      <c r="B66" s="53">
        <f>IF(TYPE($A66)=1,"",(UpdateHashtag!M64-B$1)/B$2)</f>
        <v>0.7764022814</v>
      </c>
      <c r="C66" s="53">
        <f>IF(TYPE($A66)=1,"",(UpdateHashtag!L64-C$1)/C$2)</f>
        <v>0.705489499</v>
      </c>
      <c r="D66" s="53">
        <f>IF(TYPE($A66)=1,"",(UpdateHashtag!N64-D$1)/D$2)</f>
        <v>-0.6593058662</v>
      </c>
      <c r="E66" s="53">
        <f>IF(TYPE($A66)=1,"",(UpdateHashtag!O64-E$1)/E$2)</f>
        <v>0.07967752327</v>
      </c>
      <c r="F66" s="53">
        <f>IF(TYPE($A66)=1,"",(UpdateHashtag!P64-F$1)/F$2)</f>
        <v>-0.442420367</v>
      </c>
      <c r="G66" s="53">
        <f>IF(TYPE($A66)=1,"",(UpdateHashtag!Q64-G$1)/G$2)</f>
        <v>-0.7821407085</v>
      </c>
      <c r="H66" s="53">
        <f>IF(TYPE($A66)=1,"",(UpdateHashtag!I64-H$1)/H$2*I66/$I$1)</f>
        <v>-17.71677132</v>
      </c>
      <c r="I66" s="53">
        <f>UpdateHashtag!S64</f>
        <v>16.3</v>
      </c>
      <c r="J66" s="58">
        <f>IF(TYPE($A66)=1,"",(UpdateHashtag!K64-J$1)/J$2*K66/$K$1)</f>
        <v>4.545969437</v>
      </c>
      <c r="K66" s="59">
        <f>UpdateHashtag!T64</f>
        <v>5</v>
      </c>
      <c r="L66" s="53">
        <f>IF(TYPE($A66)=1,"",-(UpdateHashtag!R64-L$1)/L$2)</f>
        <v>-0.5468832679</v>
      </c>
      <c r="N66" s="106">
        <f t="shared" si="3"/>
        <v>2.310851257</v>
      </c>
      <c r="O66" s="106">
        <f t="shared" si="4"/>
        <v>49</v>
      </c>
      <c r="P66" s="163" t="str">
        <f t="array" ref="P66">INDIRECT("Update"&amp;Projections!$AG$11&amp;"!B"&amp;ROW(B47))</f>
        <v/>
      </c>
      <c r="Q66" s="164" t="str">
        <f t="array" ref="Q66">INDIRECT("Update"&amp;Projections!$AG$11&amp;"!C"&amp;ROW(B47))</f>
        <v>LeBron James</v>
      </c>
      <c r="R66" s="163">
        <f>UpdateBBM!F47</f>
        <v>61</v>
      </c>
      <c r="S66" s="165" t="str">
        <f t="array" ref="S66">INDIRECT("Update"&amp;Projections!$AG$11&amp;"!D"&amp;ROW(B47))</f>
        <v>F</v>
      </c>
      <c r="T66" s="144">
        <f t="shared" si="5"/>
        <v>2.298940247</v>
      </c>
      <c r="U66" s="144">
        <f>SUM(AF66:AN66)-IFERROR(IFS(Projections!$I$11,AO66,Projections!$J$11,AP66),"")</f>
        <v>2.605508492</v>
      </c>
      <c r="V66" s="144">
        <f t="shared" si="6"/>
        <v>0.3065682447</v>
      </c>
      <c r="W66" s="144">
        <f t="array" ref="W66">INDIRECT("Update"&amp;Projections!$AG$11&amp;"!M"&amp;ROW(B47))</f>
        <v>21.74148</v>
      </c>
      <c r="X66" s="144">
        <f t="array" ref="X66">INDIRECT("Update"&amp;Projections!$AG$11&amp;"!L"&amp;ROW(B47))</f>
        <v>1.939672</v>
      </c>
      <c r="Y66" s="144">
        <f t="array" ref="Y66">INDIRECT("Update"&amp;Projections!$AG$11&amp;"!N"&amp;ROW(B47))</f>
        <v>6.941639</v>
      </c>
      <c r="Z66" s="144">
        <f t="array" ref="Z66">INDIRECT("Update"&amp;Projections!$AG$11&amp;"!O"&amp;ROW(B47))</f>
        <v>6.455738</v>
      </c>
      <c r="AA66" s="144">
        <f t="array" ref="AA66">INDIRECT("Update"&amp;Projections!$AG$11&amp;"!P"&amp;ROW(B47))</f>
        <v>1.033115</v>
      </c>
      <c r="AB66" s="144">
        <f t="array" ref="AB66">INDIRECT("Update"&amp;Projections!$AG$11&amp;"!Q"&amp;ROW(B47))</f>
        <v>0.558361</v>
      </c>
      <c r="AC66" s="166">
        <f t="array" ref="AC66">INDIRECT("Update"&amp;Projections!$AG$11&amp;"!I"&amp;ROW(B47))</f>
        <v>0.494596</v>
      </c>
      <c r="AD66" s="166">
        <f t="array" ref="AD66">INDIRECT("Update"&amp;Projections!$AG$11&amp;"!K"&amp;ROW(B47))</f>
        <v>0.794001</v>
      </c>
      <c r="AE66" s="144">
        <f t="array" ref="AE66">INDIRECT("Update"&amp;Projections!$AG$11&amp;"!R"&amp;ROW(B47))</f>
        <v>2.984918</v>
      </c>
      <c r="AF66" s="144">
        <f t="shared" si="7"/>
        <v>0.8012239021</v>
      </c>
      <c r="AG66" s="144">
        <f t="shared" si="8"/>
        <v>0.1643059793</v>
      </c>
      <c r="AH66" s="144">
        <f t="shared" si="9"/>
        <v>0.3304213077</v>
      </c>
      <c r="AI66" s="144">
        <f t="shared" si="10"/>
        <v>1.279341137</v>
      </c>
      <c r="AJ66" s="144">
        <f t="shared" si="11"/>
        <v>-0.0367883405</v>
      </c>
      <c r="AK66" s="144">
        <f t="shared" si="12"/>
        <v>-0.3124424193</v>
      </c>
      <c r="AL66" s="144">
        <f t="shared" si="13"/>
        <v>-0.008715586459</v>
      </c>
      <c r="AM66" s="144">
        <f t="shared" si="14"/>
        <v>0.07572009238</v>
      </c>
      <c r="AN66" s="144">
        <f t="shared" si="15"/>
        <v>0</v>
      </c>
      <c r="AO66" s="167">
        <f t="shared" si="16"/>
        <v>-0.3124424193</v>
      </c>
      <c r="AP66" s="167">
        <f t="shared" si="17"/>
        <v>-0.3492307598</v>
      </c>
      <c r="AQ66" s="167">
        <f t="array" ref="AQ66">INDIRECT("Update"&amp;Projections!$AG$11&amp;"!S"&amp;ROW(B47))</f>
        <v>0.494596</v>
      </c>
      <c r="AR66" s="167">
        <f t="array" ref="AR66">INDIRECT("Update"&amp;Projections!$AG$11&amp;"!T"&amp;ROW(B47))</f>
        <v>0.794001</v>
      </c>
    </row>
    <row r="67">
      <c r="A67" s="50" t="str">
        <f>IF(UpdateHashtag!C65="",ROW(UpdateHashtag!C65),UpdateHashtag!C65)</f>
        <v>Jordan Poole</v>
      </c>
      <c r="B67" s="53">
        <f>IF(TYPE($A67)=1,"",(UpdateHashtag!M65-B$1)/B$2)</f>
        <v>0.5132383635</v>
      </c>
      <c r="C67" s="53">
        <f>IF(TYPE($A67)=1,"",(UpdateHashtag!L65-C$1)/C$2)</f>
        <v>0.802072843</v>
      </c>
      <c r="D67" s="53">
        <f>IF(TYPE($A67)=1,"",(UpdateHashtag!N65-D$1)/D$2)</f>
        <v>-1.307871636</v>
      </c>
      <c r="E67" s="53">
        <f>IF(TYPE($A67)=1,"",(UpdateHashtag!O65-E$1)/E$2)</f>
        <v>0.9101521683</v>
      </c>
      <c r="F67" s="53">
        <f>IF(TYPE($A67)=1,"",(UpdateHashtag!P65-F$1)/F$2)</f>
        <v>0.1670256406</v>
      </c>
      <c r="G67" s="53">
        <f>IF(TYPE($A67)=1,"",(UpdateHashtag!Q65-G$1)/G$2)</f>
        <v>-0.7821407085</v>
      </c>
      <c r="H67" s="53">
        <f>IF(TYPE($A67)=1,"",(UpdateHashtag!I65-H$1)/H$2*I67/$I$1)</f>
        <v>-35.83377704</v>
      </c>
      <c r="I67" s="53">
        <f>UpdateHashtag!S65</f>
        <v>16.3</v>
      </c>
      <c r="J67" s="58">
        <f>IF(TYPE($A67)=1,"",(UpdateHashtag!K65-J$1)/J$2*K67/$K$1)</f>
        <v>5.561199256</v>
      </c>
      <c r="K67" s="59">
        <f>UpdateHashtag!T65</f>
        <v>4.2</v>
      </c>
      <c r="L67" s="53">
        <f>IF(TYPE($A67)=1,"",-(UpdateHashtag!R65-L$1)/L$2)</f>
        <v>-1.142040391</v>
      </c>
      <c r="N67" s="106">
        <f t="shared" si="3"/>
        <v>2.306728831</v>
      </c>
      <c r="O67" s="106">
        <f t="shared" si="4"/>
        <v>5</v>
      </c>
      <c r="P67" s="163" t="str">
        <f t="array" ref="P67">INDIRECT("Update"&amp;Projections!$AG$11&amp;"!B"&amp;ROW(B48))</f>
        <v/>
      </c>
      <c r="Q67" s="164" t="str">
        <f t="array" ref="Q67">INDIRECT("Update"&amp;Projections!$AG$11&amp;"!C"&amp;ROW(B48))</f>
        <v>Giannis Antetokounmpo</v>
      </c>
      <c r="R67" s="163">
        <f>UpdateBBM!F48</f>
        <v>61</v>
      </c>
      <c r="S67" s="165" t="str">
        <f t="array" ref="S67">INDIRECT("Update"&amp;Projections!$AG$11&amp;"!D"&amp;ROW(B48))</f>
        <v>F,C</v>
      </c>
      <c r="T67" s="144">
        <f t="shared" si="5"/>
        <v>6.561425854</v>
      </c>
      <c r="U67" s="144">
        <f>SUM(AF67:AN67)-IFERROR(IFS(Projections!$I$11,AO67,Projections!$J$11,AP67),"")</f>
        <v>6.837423109</v>
      </c>
      <c r="V67" s="144">
        <f t="shared" si="6"/>
        <v>0.2759972551</v>
      </c>
      <c r="W67" s="144">
        <f t="array" ref="W67">INDIRECT("Update"&amp;Projections!$AG$11&amp;"!M"&amp;ROW(B48))</f>
        <v>31.87295</v>
      </c>
      <c r="X67" s="144">
        <f t="array" ref="X67">INDIRECT("Update"&amp;Projections!$AG$11&amp;"!L"&amp;ROW(B48))</f>
        <v>0.322951</v>
      </c>
      <c r="Y67" s="144">
        <f t="array" ref="Y67">INDIRECT("Update"&amp;Projections!$AG$11&amp;"!N"&amp;ROW(B48))</f>
        <v>11.01738</v>
      </c>
      <c r="Z67" s="144">
        <f t="array" ref="Z67">INDIRECT("Update"&amp;Projections!$AG$11&amp;"!O"&amp;ROW(B48))</f>
        <v>8.227213</v>
      </c>
      <c r="AA67" s="144">
        <f t="array" ref="AA67">INDIRECT("Update"&amp;Projections!$AG$11&amp;"!P"&amp;ROW(B48))</f>
        <v>0.929508</v>
      </c>
      <c r="AB67" s="144">
        <f t="array" ref="AB67">INDIRECT("Update"&amp;Projections!$AG$11&amp;"!Q"&amp;ROW(B48))</f>
        <v>0.93</v>
      </c>
      <c r="AC67" s="166">
        <f t="array" ref="AC67">INDIRECT("Update"&amp;Projections!$AG$11&amp;"!I"&amp;ROW(B48))</f>
        <v>0.582004</v>
      </c>
      <c r="AD67" s="166">
        <f t="array" ref="AD67">INDIRECT("Update"&amp;Projections!$AG$11&amp;"!K"&amp;ROW(B48))</f>
        <v>0.638995</v>
      </c>
      <c r="AE67" s="144">
        <f t="array" ref="AE67">INDIRECT("Update"&amp;Projections!$AG$11&amp;"!R"&amp;ROW(B48))</f>
        <v>2.861639</v>
      </c>
      <c r="AF67" s="144">
        <f t="shared" si="7"/>
        <v>2.578715462</v>
      </c>
      <c r="AG67" s="144">
        <f t="shared" si="8"/>
        <v>-1.397177225</v>
      </c>
      <c r="AH67" s="144">
        <f t="shared" si="9"/>
        <v>1.98253762</v>
      </c>
      <c r="AI67" s="144">
        <f t="shared" si="10"/>
        <v>2.144732356</v>
      </c>
      <c r="AJ67" s="144">
        <f t="shared" si="11"/>
        <v>-0.3525027031</v>
      </c>
      <c r="AK67" s="144">
        <f t="shared" si="12"/>
        <v>0.3631943932</v>
      </c>
      <c r="AL67" s="144">
        <f t="shared" si="13"/>
        <v>1.517923206</v>
      </c>
      <c r="AM67" s="144">
        <f t="shared" si="14"/>
        <v>-1.519645011</v>
      </c>
      <c r="AN67" s="144">
        <f t="shared" si="15"/>
        <v>0</v>
      </c>
      <c r="AO67" s="167">
        <f t="shared" si="16"/>
        <v>-1.519645011</v>
      </c>
      <c r="AP67" s="167">
        <f t="shared" si="17"/>
        <v>-2.916822236</v>
      </c>
      <c r="AQ67" s="167">
        <f t="array" ref="AQ67">INDIRECT("Update"&amp;Projections!$AG$11&amp;"!S"&amp;ROW(B48))</f>
        <v>0.582004</v>
      </c>
      <c r="AR67" s="167">
        <f t="array" ref="AR67">INDIRECT("Update"&amp;Projections!$AG$11&amp;"!T"&amp;ROW(B48))</f>
        <v>0.638995</v>
      </c>
    </row>
    <row r="68">
      <c r="A68" s="50" t="str">
        <f>IF(UpdateHashtag!C66="",ROW(UpdateHashtag!C66),UpdateHashtag!C66)</f>
        <v>Nicolas Claxton</v>
      </c>
      <c r="B68" s="53">
        <f>IF(TYPE($A68)=1,"",(UpdateHashtag!M66-B$1)/B$2)</f>
        <v>-0.8201254873</v>
      </c>
      <c r="C68" s="53">
        <f>IF(TYPE($A68)=1,"",(UpdateHashtag!L66-C$1)/C$2)</f>
        <v>-1.709094101</v>
      </c>
      <c r="D68" s="53">
        <f>IF(TYPE($A68)=1,"",(UpdateHashtag!N66-D$1)/D$2)</f>
        <v>1.489068247</v>
      </c>
      <c r="E68" s="53">
        <f>IF(TYPE($A68)=1,"",(UpdateHashtag!O66-E$1)/E$2)</f>
        <v>-0.8973514709</v>
      </c>
      <c r="F68" s="53">
        <f>IF(TYPE($A68)=1,"",(UpdateHashtag!P66-F$1)/F$2)</f>
        <v>-0.7471433709</v>
      </c>
      <c r="G68" s="53">
        <f>IF(TYPE($A68)=1,"",(UpdateHashtag!Q66-G$1)/G$2)</f>
        <v>2.672044519</v>
      </c>
      <c r="H68" s="53">
        <f>IF(TYPE($A68)=1,"",(UpdateHashtag!I66-H$1)/H$2*I68/$I$1)</f>
        <v>32.88190875</v>
      </c>
      <c r="I68" s="53">
        <f>UpdateHashtag!S66</f>
        <v>8.7</v>
      </c>
      <c r="J68" s="58">
        <f>IF(TYPE($A68)=1,"",(UpdateHashtag!K66-J$1)/J$2*K68/$K$1)</f>
        <v>-11.15564991</v>
      </c>
      <c r="K68" s="59">
        <f>UpdateHashtag!T66</f>
        <v>3</v>
      </c>
      <c r="L68" s="53">
        <f>IF(TYPE($A68)=1,"",-(UpdateHashtag!R66-L$1)/L$2)</f>
        <v>0.4450452712</v>
      </c>
      <c r="N68" s="106">
        <f t="shared" si="3"/>
        <v>2.303840732</v>
      </c>
      <c r="O68" s="106">
        <f t="shared" si="4"/>
        <v>84</v>
      </c>
      <c r="P68" s="163" t="str">
        <f t="array" ref="P68">INDIRECT("Update"&amp;Projections!$AG$11&amp;"!B"&amp;ROW(B49))</f>
        <v/>
      </c>
      <c r="Q68" s="164" t="str">
        <f t="array" ref="Q68">INDIRECT("Update"&amp;Projections!$AG$11&amp;"!C"&amp;ROW(B49))</f>
        <v>Toumani Camara</v>
      </c>
      <c r="R68" s="163">
        <f>UpdateBBM!F49</f>
        <v>73</v>
      </c>
      <c r="S68" s="165" t="str">
        <f t="array" ref="S68">INDIRECT("Update"&amp;Projections!$AG$11&amp;"!D"&amp;ROW(B49))</f>
        <v>F</v>
      </c>
      <c r="T68" s="144">
        <f t="shared" si="5"/>
        <v>0.6235022804</v>
      </c>
      <c r="U68" s="144">
        <f>SUM(AF68:AN68)-IFERROR(IFS(Projections!$I$11,AO68,Projections!$J$11,AP68),"")</f>
        <v>0.4681137816</v>
      </c>
      <c r="V68" s="144">
        <f t="shared" si="6"/>
        <v>-0.1553884988</v>
      </c>
      <c r="W68" s="144">
        <f t="array" ref="W68">INDIRECT("Update"&amp;Projections!$AG$11&amp;"!M"&amp;ROW(B49))</f>
        <v>14.79849</v>
      </c>
      <c r="X68" s="144">
        <f t="array" ref="X68">INDIRECT("Update"&amp;Projections!$AG$11&amp;"!L"&amp;ROW(B49))</f>
        <v>2.506986</v>
      </c>
      <c r="Y68" s="144">
        <f t="array" ref="Y68">INDIRECT("Update"&amp;Projections!$AG$11&amp;"!N"&amp;ROW(B49))</f>
        <v>5.820411</v>
      </c>
      <c r="Z68" s="144">
        <f t="array" ref="Z68">INDIRECT("Update"&amp;Projections!$AG$11&amp;"!O"&amp;ROW(B49))</f>
        <v>2.363425</v>
      </c>
      <c r="AA68" s="144">
        <f t="array" ref="AA68">INDIRECT("Update"&amp;Projections!$AG$11&amp;"!P"&amp;ROW(B49))</f>
        <v>1.536986</v>
      </c>
      <c r="AB68" s="144">
        <f t="array" ref="AB68">INDIRECT("Update"&amp;Projections!$AG$11&amp;"!Q"&amp;ROW(B49))</f>
        <v>0.703014</v>
      </c>
      <c r="AC68" s="166">
        <f t="array" ref="AC68">INDIRECT("Update"&amp;Projections!$AG$11&amp;"!I"&amp;ROW(B49))</f>
        <v>0.459902</v>
      </c>
      <c r="AD68" s="166">
        <f t="array" ref="AD68">INDIRECT("Update"&amp;Projections!$AG$11&amp;"!K"&amp;ROW(B49))</f>
        <v>0.731026</v>
      </c>
      <c r="AE68" s="144">
        <f t="array" ref="AE68">INDIRECT("Update"&amp;Projections!$AG$11&amp;"!R"&amp;ROW(B49))</f>
        <v>1.122055</v>
      </c>
      <c r="AF68" s="144">
        <f t="shared" si="7"/>
        <v>-0.4168723982</v>
      </c>
      <c r="AG68" s="144">
        <f t="shared" si="8"/>
        <v>0.7122368114</v>
      </c>
      <c r="AH68" s="144">
        <f t="shared" si="9"/>
        <v>-0.1240725056</v>
      </c>
      <c r="AI68" s="144">
        <f t="shared" si="10"/>
        <v>-0.7198130898</v>
      </c>
      <c r="AJ68" s="144">
        <f t="shared" si="11"/>
        <v>1.498622506</v>
      </c>
      <c r="AK68" s="144">
        <f t="shared" si="12"/>
        <v>-0.04946438996</v>
      </c>
      <c r="AL68" s="144">
        <f t="shared" si="13"/>
        <v>-0.4874145256</v>
      </c>
      <c r="AM68" s="144">
        <f t="shared" si="14"/>
        <v>-0.6649217166</v>
      </c>
      <c r="AN68" s="144">
        <f t="shared" si="15"/>
        <v>0</v>
      </c>
      <c r="AO68" s="167">
        <f t="shared" si="16"/>
        <v>-0.7198130898</v>
      </c>
      <c r="AP68" s="167">
        <f t="shared" si="17"/>
        <v>-1.384734806</v>
      </c>
      <c r="AQ68" s="167">
        <f t="array" ref="AQ68">INDIRECT("Update"&amp;Projections!$AG$11&amp;"!S"&amp;ROW(B49))</f>
        <v>0.459902</v>
      </c>
      <c r="AR68" s="167">
        <f t="array" ref="AR68">INDIRECT("Update"&amp;Projections!$AG$11&amp;"!T"&amp;ROW(B49))</f>
        <v>0.731026</v>
      </c>
    </row>
    <row r="69">
      <c r="A69" s="50" t="str">
        <f>IF(UpdateHashtag!C67="",ROW(UpdateHashtag!C67),UpdateHashtag!C67)</f>
        <v>Miles Bridges</v>
      </c>
      <c r="B69" s="53">
        <f>IF(TYPE($A69)=1,"",(UpdateHashtag!M67-B$1)/B$2)</f>
        <v>0.4606055799</v>
      </c>
      <c r="C69" s="53">
        <f>IF(TYPE($A69)=1,"",(UpdateHashtag!L67-C$1)/C$2)</f>
        <v>0.415739467</v>
      </c>
      <c r="D69" s="53">
        <f>IF(TYPE($A69)=1,"",(UpdateHashtag!N67-D$1)/D$2)</f>
        <v>0.3135427889</v>
      </c>
      <c r="E69" s="53">
        <f>IF(TYPE($A69)=1,"",(UpdateHashtag!O67-E$1)/E$2)</f>
        <v>-0.3111340744</v>
      </c>
      <c r="F69" s="53">
        <f>IF(TYPE($A69)=1,"",(UpdateHashtag!P67-F$1)/F$2)</f>
        <v>-0.442420367</v>
      </c>
      <c r="G69" s="53">
        <f>IF(TYPE($A69)=1,"",(UpdateHashtag!Q67-G$1)/G$2)</f>
        <v>-0.4185422635</v>
      </c>
      <c r="H69" s="53">
        <f>IF(TYPE($A69)=1,"",(UpdateHashtag!I67-H$1)/H$2*I69/$I$1)</f>
        <v>-16.54686464</v>
      </c>
      <c r="I69" s="53">
        <f>UpdateHashtag!S67</f>
        <v>16.6</v>
      </c>
      <c r="J69" s="58">
        <f>IF(TYPE($A69)=1,"",(UpdateHashtag!K67-J$1)/J$2*K69/$K$1)</f>
        <v>1.664836063</v>
      </c>
      <c r="K69" s="59">
        <f>UpdateHashtag!T67</f>
        <v>2.9</v>
      </c>
      <c r="L69" s="53">
        <f>IF(TYPE($A69)=1,"",-(UpdateHashtag!R67-L$1)/L$2)</f>
        <v>-0.1501118522</v>
      </c>
      <c r="N69" s="106">
        <f t="shared" si="3"/>
        <v>2.298940247</v>
      </c>
      <c r="O69" s="106">
        <f t="shared" si="4"/>
        <v>74</v>
      </c>
      <c r="P69" s="163" t="str">
        <f t="array" ref="P69">INDIRECT("Update"&amp;Projections!$AG$11&amp;"!B"&amp;ROW(B50))</f>
        <v/>
      </c>
      <c r="Q69" s="164" t="str">
        <f t="array" ref="Q69">INDIRECT("Update"&amp;Projections!$AG$11&amp;"!C"&amp;ROW(B50))</f>
        <v>Onyeka Okongwu</v>
      </c>
      <c r="R69" s="163">
        <f>UpdateBBM!F50</f>
        <v>73</v>
      </c>
      <c r="S69" s="165" t="str">
        <f t="array" ref="S69">INDIRECT("Update"&amp;Projections!$AG$11&amp;"!D"&amp;ROW(B50))</f>
        <v>C</v>
      </c>
      <c r="T69" s="144">
        <f t="shared" si="5"/>
        <v>1.056075551</v>
      </c>
      <c r="U69" s="144">
        <f>SUM(AF69:AN69)-IFERROR(IFS(Projections!$I$11,AO69,Projections!$J$11,AP69),"")</f>
        <v>0.9286785315</v>
      </c>
      <c r="V69" s="144">
        <f t="shared" si="6"/>
        <v>-0.1273970193</v>
      </c>
      <c r="W69" s="144">
        <f t="array" ref="W69">INDIRECT("Update"&amp;Projections!$AG$11&amp;"!M"&amp;ROW(B50))</f>
        <v>14.09507</v>
      </c>
      <c r="X69" s="144">
        <f t="array" ref="X69">INDIRECT("Update"&amp;Projections!$AG$11&amp;"!L"&amp;ROW(B50))</f>
        <v>0.916164</v>
      </c>
      <c r="Y69" s="144">
        <f t="array" ref="Y69">INDIRECT("Update"&amp;Projections!$AG$11&amp;"!N"&amp;ROW(B50))</f>
        <v>8.645068</v>
      </c>
      <c r="Z69" s="144">
        <f t="array" ref="Z69">INDIRECT("Update"&amp;Projections!$AG$11&amp;"!O"&amp;ROW(B50))</f>
        <v>2.21</v>
      </c>
      <c r="AA69" s="144">
        <f t="array" ref="AA69">INDIRECT("Update"&amp;Projections!$AG$11&amp;"!P"&amp;ROW(B50))</f>
        <v>0.969589</v>
      </c>
      <c r="AB69" s="144">
        <f t="array" ref="AB69">INDIRECT("Update"&amp;Projections!$AG$11&amp;"!Q"&amp;ROW(B50))</f>
        <v>0.844932</v>
      </c>
      <c r="AC69" s="166">
        <f t="array" ref="AC69">INDIRECT("Update"&amp;Projections!$AG$11&amp;"!I"&amp;ROW(B50))</f>
        <v>0.564522</v>
      </c>
      <c r="AD69" s="166">
        <f t="array" ref="AD69">INDIRECT("Update"&amp;Projections!$AG$11&amp;"!K"&amp;ROW(B50))</f>
        <v>0.795022</v>
      </c>
      <c r="AE69" s="144">
        <f t="array" ref="AE69">INDIRECT("Update"&amp;Projections!$AG$11&amp;"!R"&amp;ROW(B50))</f>
        <v>1.234932</v>
      </c>
      <c r="AF69" s="144">
        <f t="shared" si="7"/>
        <v>-0.5402822403</v>
      </c>
      <c r="AG69" s="144">
        <f t="shared" si="8"/>
        <v>-0.824232273</v>
      </c>
      <c r="AH69" s="144">
        <f t="shared" si="9"/>
        <v>1.020912396</v>
      </c>
      <c r="AI69" s="144">
        <f t="shared" si="10"/>
        <v>-0.7947634265</v>
      </c>
      <c r="AJ69" s="144">
        <f t="shared" si="11"/>
        <v>-0.2303666759</v>
      </c>
      <c r="AK69" s="144">
        <f t="shared" si="12"/>
        <v>0.2085414306</v>
      </c>
      <c r="AL69" s="144">
        <f t="shared" si="13"/>
        <v>1.175866413</v>
      </c>
      <c r="AM69" s="144">
        <f t="shared" si="14"/>
        <v>0.08877063442</v>
      </c>
      <c r="AN69" s="144">
        <f t="shared" si="15"/>
        <v>0</v>
      </c>
      <c r="AO69" s="167">
        <f t="shared" si="16"/>
        <v>-0.824232273</v>
      </c>
      <c r="AP69" s="167">
        <f t="shared" si="17"/>
        <v>-1.618995699</v>
      </c>
      <c r="AQ69" s="167">
        <f t="array" ref="AQ69">INDIRECT("Update"&amp;Projections!$AG$11&amp;"!S"&amp;ROW(B50))</f>
        <v>0.564522</v>
      </c>
      <c r="AR69" s="167">
        <f t="array" ref="AR69">INDIRECT("Update"&amp;Projections!$AG$11&amp;"!T"&amp;ROW(B50))</f>
        <v>0.795022</v>
      </c>
    </row>
    <row r="70">
      <c r="A70" s="50" t="str">
        <f>IF(UpdateHashtag!C68="",ROW(UpdateHashtag!C68),UpdateHashtag!C68)</f>
        <v>Tyler Herro</v>
      </c>
      <c r="B70" s="53">
        <f>IF(TYPE($A70)=1,"",(UpdateHashtag!M68-B$1)/B$2)</f>
        <v>0.5307826247</v>
      </c>
      <c r="C70" s="53">
        <f>IF(TYPE($A70)=1,"",(UpdateHashtag!L68-C$1)/C$2)</f>
        <v>1.284989563</v>
      </c>
      <c r="D70" s="53">
        <f>IF(TYPE($A70)=1,"",(UpdateHashtag!N68-D$1)/D$2)</f>
        <v>-0.3350229811</v>
      </c>
      <c r="E70" s="53">
        <f>IF(TYPE($A70)=1,"",(UpdateHashtag!O68-E$1)/E$2)</f>
        <v>0.2262318724</v>
      </c>
      <c r="F70" s="53">
        <f>IF(TYPE($A70)=1,"",(UpdateHashtag!P68-F$1)/F$2)</f>
        <v>-1.051866375</v>
      </c>
      <c r="G70" s="53">
        <f>IF(TYPE($A70)=1,"",(UpdateHashtag!Q68-G$1)/G$2)</f>
        <v>-0.963939931</v>
      </c>
      <c r="H70" s="53">
        <f>IF(TYPE($A70)=1,"",(UpdateHashtag!I68-H$1)/H$2*I70/$I$1)</f>
        <v>-27.84893596</v>
      </c>
      <c r="I70" s="53">
        <f>UpdateHashtag!S68</f>
        <v>16.8</v>
      </c>
      <c r="J70" s="58">
        <f>IF(TYPE($A70)=1,"",(UpdateHashtag!K68-J$1)/J$2*K70/$K$1)</f>
        <v>4.95380518</v>
      </c>
      <c r="K70" s="59">
        <f>UpdateHashtag!T68</f>
        <v>2.7</v>
      </c>
      <c r="L70" s="53">
        <f>IF(TYPE($A70)=1,"",-(UpdateHashtag!R68-L$1)/L$2)</f>
        <v>-0.5468832679</v>
      </c>
      <c r="N70" s="106">
        <f t="shared" si="3"/>
        <v>2.2981056</v>
      </c>
      <c r="O70" s="106">
        <f t="shared" si="4"/>
        <v>46</v>
      </c>
      <c r="P70" s="163" t="str">
        <f t="array" ref="P70">INDIRECT("Update"&amp;Projections!$AG$11&amp;"!B"&amp;ROW(B51))</f>
        <v/>
      </c>
      <c r="Q70" s="164" t="str">
        <f t="array" ref="Q70">INDIRECT("Update"&amp;Projections!$AG$11&amp;"!C"&amp;ROW(B51))</f>
        <v>Zach Edey</v>
      </c>
      <c r="R70" s="163">
        <f>UpdateBBM!F51</f>
        <v>47</v>
      </c>
      <c r="S70" s="165" t="str">
        <f t="array" ref="S70">INDIRECT("Update"&amp;Projections!$AG$11&amp;"!D"&amp;ROW(B51))</f>
        <v>C</v>
      </c>
      <c r="T70" s="144">
        <f t="shared" si="5"/>
        <v>2.310851257</v>
      </c>
      <c r="U70" s="144">
        <f>SUM(AF70:AN70)-IFERROR(IFS(Projections!$I$11,AO70,Projections!$J$11,AP70),"")</f>
        <v>2.262324212</v>
      </c>
      <c r="V70" s="144">
        <f t="shared" si="6"/>
        <v>-0.04852704533</v>
      </c>
      <c r="W70" s="144">
        <f t="array" ref="W70">INDIRECT("Update"&amp;Projections!$AG$11&amp;"!M"&amp;ROW(B51))</f>
        <v>14.4817</v>
      </c>
      <c r="X70" s="144">
        <f t="array" ref="X70">INDIRECT("Update"&amp;Projections!$AG$11&amp;"!L"&amp;ROW(B51))</f>
        <v>0.311702</v>
      </c>
      <c r="Y70" s="144">
        <f t="array" ref="Y70">INDIRECT("Update"&amp;Projections!$AG$11&amp;"!N"&amp;ROW(B51))</f>
        <v>10.99809</v>
      </c>
      <c r="Z70" s="144">
        <f t="array" ref="Z70">INDIRECT("Update"&amp;Projections!$AG$11&amp;"!O"&amp;ROW(B51))</f>
        <v>1.331489</v>
      </c>
      <c r="AA70" s="144">
        <f t="array" ref="AA70">INDIRECT("Update"&amp;Projections!$AG$11&amp;"!P"&amp;ROW(B51))</f>
        <v>0.664255</v>
      </c>
      <c r="AB70" s="144">
        <f t="array" ref="AB70">INDIRECT("Update"&amp;Projections!$AG$11&amp;"!Q"&amp;ROW(B51))</f>
        <v>1.605532</v>
      </c>
      <c r="AC70" s="166">
        <f t="array" ref="AC70">INDIRECT("Update"&amp;Projections!$AG$11&amp;"!I"&amp;ROW(B51))</f>
        <v>0.619996</v>
      </c>
      <c r="AD70" s="166">
        <f t="array" ref="AD70">INDIRECT("Update"&amp;Projections!$AG$11&amp;"!K"&amp;ROW(B51))</f>
        <v>0.721003</v>
      </c>
      <c r="AE70" s="144">
        <f t="array" ref="AE70">INDIRECT("Update"&amp;Projections!$AG$11&amp;"!R"&amp;ROW(B51))</f>
        <v>1.552979</v>
      </c>
      <c r="AF70" s="144">
        <f t="shared" si="7"/>
        <v>-0.4724508632</v>
      </c>
      <c r="AG70" s="144">
        <f t="shared" si="8"/>
        <v>-1.408041886</v>
      </c>
      <c r="AH70" s="144">
        <f t="shared" si="9"/>
        <v>1.974718349</v>
      </c>
      <c r="AI70" s="144">
        <f t="shared" si="10"/>
        <v>-1.223928786</v>
      </c>
      <c r="AJ70" s="144">
        <f t="shared" si="11"/>
        <v>-1.160789612</v>
      </c>
      <c r="AK70" s="144">
        <f t="shared" si="12"/>
        <v>1.591306317</v>
      </c>
      <c r="AL70" s="144">
        <f t="shared" si="13"/>
        <v>2.324594265</v>
      </c>
      <c r="AM70" s="144">
        <f t="shared" si="14"/>
        <v>-0.7711254576</v>
      </c>
      <c r="AN70" s="144">
        <f t="shared" si="15"/>
        <v>0</v>
      </c>
      <c r="AO70" s="167">
        <f t="shared" si="16"/>
        <v>-1.408041886</v>
      </c>
      <c r="AP70" s="167">
        <f t="shared" si="17"/>
        <v>-2.631970672</v>
      </c>
      <c r="AQ70" s="167">
        <f t="array" ref="AQ70">INDIRECT("Update"&amp;Projections!$AG$11&amp;"!S"&amp;ROW(B51))</f>
        <v>0.619996</v>
      </c>
      <c r="AR70" s="167">
        <f t="array" ref="AR70">INDIRECT("Update"&amp;Projections!$AG$11&amp;"!T"&amp;ROW(B51))</f>
        <v>0.721003</v>
      </c>
    </row>
    <row r="71">
      <c r="A71" s="50" t="str">
        <f>IF(UpdateHashtag!C69="",ROW(UpdateHashtag!C69),UpdateHashtag!C69)</f>
        <v>Trey Murphy III</v>
      </c>
      <c r="B71" s="53">
        <f>IF(TYPE($A71)=1,"",(UpdateHashtag!M69-B$1)/B$2)</f>
        <v>-0.3639746962</v>
      </c>
      <c r="C71" s="53">
        <f>IF(TYPE($A71)=1,"",(UpdateHashtag!L69-C$1)/C$2)</f>
        <v>1.091822875</v>
      </c>
      <c r="D71" s="53">
        <f>IF(TYPE($A71)=1,"",(UpdateHashtag!N69-D$1)/D$2)</f>
        <v>-0.7403765874</v>
      </c>
      <c r="E71" s="53">
        <f>IF(TYPE($A71)=1,"",(UpdateHashtag!O69-E$1)/E$2)</f>
        <v>-0.9950543703</v>
      </c>
      <c r="F71" s="53">
        <f>IF(TYPE($A71)=1,"",(UpdateHashtag!P69-F$1)/F$2)</f>
        <v>0.1670256406</v>
      </c>
      <c r="G71" s="53">
        <f>IF(TYPE($A71)=1,"",(UpdateHashtag!Q69-G$1)/G$2)</f>
        <v>-0.236743041</v>
      </c>
      <c r="H71" s="53">
        <f>IF(TYPE($A71)=1,"",(UpdateHashtag!I69-H$1)/H$2*I71/$I$1)</f>
        <v>-13.27785472</v>
      </c>
      <c r="I71" s="53">
        <f>UpdateHashtag!S69</f>
        <v>11</v>
      </c>
      <c r="J71" s="58">
        <f>IF(TYPE($A71)=1,"",(UpdateHashtag!K69-J$1)/J$2*K71/$K$1)</f>
        <v>3.152216337</v>
      </c>
      <c r="K71" s="59">
        <f>UpdateHashtag!T69</f>
        <v>2.6</v>
      </c>
      <c r="L71" s="53">
        <f>IF(TYPE($A71)=1,"",-(UpdateHashtag!R69-L$1)/L$2)</f>
        <v>1.040202395</v>
      </c>
      <c r="N71" s="106">
        <f t="shared" si="3"/>
        <v>2.224870341</v>
      </c>
      <c r="O71" s="106">
        <f t="shared" si="4"/>
        <v>32</v>
      </c>
      <c r="P71" s="163" t="str">
        <f t="array" ref="P71">INDIRECT("Update"&amp;Projections!$AG$11&amp;"!B"&amp;ROW(B52))</f>
        <v/>
      </c>
      <c r="Q71" s="164" t="str">
        <f t="array" ref="Q71">INDIRECT("Update"&amp;Projections!$AG$11&amp;"!C"&amp;ROW(B52))</f>
        <v>Rudy Gobert</v>
      </c>
      <c r="R71" s="163">
        <f>UpdateBBM!F52</f>
        <v>73</v>
      </c>
      <c r="S71" s="165" t="str">
        <f t="array" ref="S71">INDIRECT("Update"&amp;Projections!$AG$11&amp;"!D"&amp;ROW(B52))</f>
        <v>C</v>
      </c>
      <c r="T71" s="144">
        <f t="shared" si="5"/>
        <v>3.27858408</v>
      </c>
      <c r="U71" s="144">
        <f>SUM(AF71:AN71)-IFERROR(IFS(Projections!$I$11,AO71,Projections!$J$11,AP71),"")</f>
        <v>3.090448301</v>
      </c>
      <c r="V71" s="144">
        <f t="shared" si="6"/>
        <v>-0.1881357796</v>
      </c>
      <c r="W71" s="144">
        <f t="array" ref="W71">INDIRECT("Update"&amp;Projections!$AG$11&amp;"!M"&amp;ROW(B52))</f>
        <v>12.37959</v>
      </c>
      <c r="X71" s="144">
        <f t="array" ref="X71">INDIRECT("Update"&amp;Projections!$AG$11&amp;"!L"&amp;ROW(B52))</f>
        <v>0</v>
      </c>
      <c r="Y71" s="144">
        <f t="array" ref="Y71">INDIRECT("Update"&amp;Projections!$AG$11&amp;"!N"&amp;ROW(B52))</f>
        <v>11.41795</v>
      </c>
      <c r="Z71" s="144">
        <f t="array" ref="Z71">INDIRECT("Update"&amp;Projections!$AG$11&amp;"!O"&amp;ROW(B52))</f>
        <v>1.517945</v>
      </c>
      <c r="AA71" s="144">
        <f t="array" ref="AA71">INDIRECT("Update"&amp;Projections!$AG$11&amp;"!P"&amp;ROW(B52))</f>
        <v>0.853699</v>
      </c>
      <c r="AB71" s="144">
        <f t="array" ref="AB71">INDIRECT("Update"&amp;Projections!$AG$11&amp;"!Q"&amp;ROW(B52))</f>
        <v>1.253973</v>
      </c>
      <c r="AC71" s="166">
        <f t="array" ref="AC71">INDIRECT("Update"&amp;Projections!$AG$11&amp;"!I"&amp;ROW(B52))</f>
        <v>0.679039</v>
      </c>
      <c r="AD71" s="166">
        <f t="array" ref="AD71">INDIRECT("Update"&amp;Projections!$AG$11&amp;"!K"&amp;ROW(B52))</f>
        <v>0.677008</v>
      </c>
      <c r="AE71" s="144">
        <f t="array" ref="AE71">INDIRECT("Update"&amp;Projections!$AG$11&amp;"!R"&amp;ROW(B52))</f>
        <v>0.99</v>
      </c>
      <c r="AF71" s="144">
        <f t="shared" si="7"/>
        <v>-0.8412505322</v>
      </c>
      <c r="AG71" s="144">
        <f t="shared" si="8"/>
        <v>-1.709094101</v>
      </c>
      <c r="AH71" s="144">
        <f t="shared" si="9"/>
        <v>2.144910114</v>
      </c>
      <c r="AI71" s="144">
        <f t="shared" si="10"/>
        <v>-1.132842327</v>
      </c>
      <c r="AJ71" s="144">
        <f t="shared" si="11"/>
        <v>-0.583510165</v>
      </c>
      <c r="AK71" s="144">
        <f t="shared" si="12"/>
        <v>0.9521747883</v>
      </c>
      <c r="AL71" s="144">
        <f t="shared" si="13"/>
        <v>3.750339132</v>
      </c>
      <c r="AM71" s="144">
        <f t="shared" si="14"/>
        <v>-1.19937271</v>
      </c>
      <c r="AN71" s="144">
        <f t="shared" si="15"/>
        <v>0</v>
      </c>
      <c r="AO71" s="167">
        <f t="shared" si="16"/>
        <v>-1.709094101</v>
      </c>
      <c r="AP71" s="167">
        <f t="shared" si="17"/>
        <v>-2.90846681</v>
      </c>
      <c r="AQ71" s="167">
        <f t="array" ref="AQ71">INDIRECT("Update"&amp;Projections!$AG$11&amp;"!S"&amp;ROW(B52))</f>
        <v>0.679039</v>
      </c>
      <c r="AR71" s="167">
        <f t="array" ref="AR71">INDIRECT("Update"&amp;Projections!$AG$11&amp;"!T"&amp;ROW(B52))</f>
        <v>0.677008</v>
      </c>
    </row>
    <row r="72">
      <c r="A72" s="50" t="str">
        <f>IF(UpdateHashtag!C70="",ROW(UpdateHashtag!C70),UpdateHashtag!C70)</f>
        <v>Isaiah Hartenstein</v>
      </c>
      <c r="B72" s="53">
        <f>IF(TYPE($A72)=1,"",(UpdateHashtag!M70-B$1)/B$2)</f>
        <v>-1.486807413</v>
      </c>
      <c r="C72" s="53">
        <f>IF(TYPE($A72)=1,"",(UpdateHashtag!L70-C$1)/C$2)</f>
        <v>-1.612510757</v>
      </c>
      <c r="D72" s="53">
        <f>IF(TYPE($A72)=1,"",(UpdateHashtag!N70-D$1)/D$2)</f>
        <v>1.164785362</v>
      </c>
      <c r="E72" s="53">
        <f>IF(TYPE($A72)=1,"",(UpdateHashtag!O70-E$1)/E$2)</f>
        <v>-0.7019456721</v>
      </c>
      <c r="F72" s="53">
        <f>IF(TYPE($A72)=1,"",(UpdateHashtag!P70-F$1)/F$2)</f>
        <v>0.1670256406</v>
      </c>
      <c r="G72" s="53">
        <f>IF(TYPE($A72)=1,"",(UpdateHashtag!Q70-G$1)/G$2)</f>
        <v>0.854052294</v>
      </c>
      <c r="H72" s="53">
        <f>IF(TYPE($A72)=1,"",(UpdateHashtag!I70-H$1)/H$2*I72/$I$1)</f>
        <v>22.29922547</v>
      </c>
      <c r="I72" s="53">
        <f>UpdateHashtag!S70</f>
        <v>5.9</v>
      </c>
      <c r="J72" s="58">
        <f>IF(TYPE($A72)=1,"",(UpdateHashtag!K70-J$1)/J$2*K72/$K$1)</f>
        <v>-2.66888828</v>
      </c>
      <c r="K72" s="59">
        <f>UpdateHashtag!T70</f>
        <v>1.9</v>
      </c>
      <c r="L72" s="53">
        <f>IF(TYPE($A72)=1,"",-(UpdateHashtag!R70-L$1)/L$2)</f>
        <v>0.4450452712</v>
      </c>
      <c r="N72" s="106">
        <f t="shared" si="3"/>
        <v>2.180901961</v>
      </c>
      <c r="O72" s="106">
        <f t="shared" si="4"/>
        <v>28</v>
      </c>
      <c r="P72" s="163" t="str">
        <f t="array" ref="P72">INDIRECT("Update"&amp;Projections!$AG$11&amp;"!B"&amp;ROW(B53))</f>
        <v/>
      </c>
      <c r="Q72" s="164" t="str">
        <f t="array" ref="Q72">INDIRECT("Update"&amp;Projections!$AG$11&amp;"!C"&amp;ROW(B53))</f>
        <v>Brandon Miller</v>
      </c>
      <c r="R72" s="163">
        <f>UpdateBBM!F53</f>
        <v>64</v>
      </c>
      <c r="S72" s="165" t="str">
        <f t="array" ref="S72">INDIRECT("Update"&amp;Projections!$AG$11&amp;"!D"&amp;ROW(B53))</f>
        <v>F</v>
      </c>
      <c r="T72" s="144">
        <f t="shared" si="5"/>
        <v>3.425902886</v>
      </c>
      <c r="U72" s="144">
        <f>SUM(AF72:AN72)-IFERROR(IFS(Projections!$I$11,AO72,Projections!$J$11,AP72),"")</f>
        <v>3.626130439</v>
      </c>
      <c r="V72" s="144">
        <f t="shared" si="6"/>
        <v>0.2002275538</v>
      </c>
      <c r="W72" s="144">
        <f t="array" ref="W72">INDIRECT("Update"&amp;Projections!$AG$11&amp;"!M"&amp;ROW(B53))</f>
        <v>22.05984</v>
      </c>
      <c r="X72" s="144">
        <f t="array" ref="X72">INDIRECT("Update"&amp;Projections!$AG$11&amp;"!L"&amp;ROW(B53))</f>
        <v>3.9725</v>
      </c>
      <c r="Y72" s="144">
        <f t="array" ref="Y72">INDIRECT("Update"&amp;Projections!$AG$11&amp;"!N"&amp;ROW(B53))</f>
        <v>4.958281</v>
      </c>
      <c r="Z72" s="144">
        <f t="array" ref="Z72">INDIRECT("Update"&amp;Projections!$AG$11&amp;"!O"&amp;ROW(B53))</f>
        <v>3.966719</v>
      </c>
      <c r="AA72" s="144">
        <f t="array" ref="AA72">INDIRECT("Update"&amp;Projections!$AG$11&amp;"!P"&amp;ROW(B53))</f>
        <v>1.058281</v>
      </c>
      <c r="AB72" s="144">
        <f t="array" ref="AB72">INDIRECT("Update"&amp;Projections!$AG$11&amp;"!Q"&amp;ROW(B53))</f>
        <v>0.710313</v>
      </c>
      <c r="AC72" s="166">
        <f t="array" ref="AC72">INDIRECT("Update"&amp;Projections!$AG$11&amp;"!I"&amp;ROW(B53))</f>
        <v>0.420572</v>
      </c>
      <c r="AD72" s="166">
        <f t="array" ref="AD72">INDIRECT("Update"&amp;Projections!$AG$11&amp;"!K"&amp;ROW(B53))</f>
        <v>0.864019</v>
      </c>
      <c r="AE72" s="144">
        <f t="array" ref="AE72">INDIRECT("Update"&amp;Projections!$AG$11&amp;"!R"&amp;ROW(B53))</f>
        <v>2.556094</v>
      </c>
      <c r="AF72" s="144">
        <f t="shared" si="7"/>
        <v>0.8570778121</v>
      </c>
      <c r="AG72" s="144">
        <f t="shared" si="8"/>
        <v>2.127679239</v>
      </c>
      <c r="AH72" s="144">
        <f t="shared" si="9"/>
        <v>-0.4735400101</v>
      </c>
      <c r="AI72" s="144">
        <f t="shared" si="10"/>
        <v>0.0634192723</v>
      </c>
      <c r="AJ72" s="144">
        <f t="shared" si="11"/>
        <v>0.03989825065</v>
      </c>
      <c r="AK72" s="144">
        <f t="shared" si="12"/>
        <v>-0.03619486471</v>
      </c>
      <c r="AL72" s="144">
        <f t="shared" si="13"/>
        <v>-0.9426230059</v>
      </c>
      <c r="AM72" s="144">
        <f t="shared" si="14"/>
        <v>1.04779074</v>
      </c>
      <c r="AN72" s="144">
        <f t="shared" si="15"/>
        <v>0</v>
      </c>
      <c r="AO72" s="167">
        <f t="shared" si="16"/>
        <v>-0.9426230059</v>
      </c>
      <c r="AP72" s="167">
        <f t="shared" si="17"/>
        <v>-1.416163016</v>
      </c>
      <c r="AQ72" s="167">
        <f t="array" ref="AQ72">INDIRECT("Update"&amp;Projections!$AG$11&amp;"!S"&amp;ROW(B53))</f>
        <v>0.420572</v>
      </c>
      <c r="AR72" s="167">
        <f t="array" ref="AR72">INDIRECT("Update"&amp;Projections!$AG$11&amp;"!T"&amp;ROW(B53))</f>
        <v>0.864019</v>
      </c>
    </row>
    <row r="73">
      <c r="A73" s="50" t="str">
        <f>IF(UpdateHashtag!C71="",ROW(UpdateHashtag!C71),UpdateHashtag!C71)</f>
        <v>Walker Kessler</v>
      </c>
      <c r="B73" s="53">
        <f>IF(TYPE($A73)=1,"",(UpdateHashtag!M71-B$1)/B$2)</f>
        <v>-1.346453323</v>
      </c>
      <c r="C73" s="53">
        <f>IF(TYPE($A73)=1,"",(UpdateHashtag!L71-C$1)/C$2)</f>
        <v>-1.709094101</v>
      </c>
      <c r="D73" s="53">
        <f>IF(TYPE($A73)=1,"",(UpdateHashtag!N71-D$1)/D$2)</f>
        <v>1.04317928</v>
      </c>
      <c r="E73" s="53">
        <f>IF(TYPE($A73)=1,"",(UpdateHashtag!O71-E$1)/E$2)</f>
        <v>-1.385865968</v>
      </c>
      <c r="F73" s="53">
        <f>IF(TYPE($A73)=1,"",(UpdateHashtag!P71-F$1)/F$2)</f>
        <v>-1.966035386</v>
      </c>
      <c r="G73" s="53">
        <f>IF(TYPE($A73)=1,"",(UpdateHashtag!Q71-G$1)/G$2)</f>
        <v>3.217442186</v>
      </c>
      <c r="H73" s="53">
        <f>IF(TYPE($A73)=1,"",(UpdateHashtag!I71-H$1)/H$2*I73/$I$1)</f>
        <v>31.57031871</v>
      </c>
      <c r="I73" s="53">
        <f>UpdateHashtag!S71</f>
        <v>6.3</v>
      </c>
      <c r="J73" s="58">
        <f>IF(TYPE($A73)=1,"",(UpdateHashtag!K71-J$1)/J$2*K73/$K$1)</f>
        <v>-6.398211521</v>
      </c>
      <c r="K73" s="59">
        <f>UpdateHashtag!T71</f>
        <v>1.9</v>
      </c>
      <c r="L73" s="53">
        <f>IF(TYPE($A73)=1,"",-(UpdateHashtag!R71-L$1)/L$2)</f>
        <v>0.7426238329</v>
      </c>
      <c r="N73" s="106">
        <f t="shared" si="3"/>
        <v>2.172212771</v>
      </c>
      <c r="O73" s="106">
        <f t="shared" si="4"/>
        <v>64</v>
      </c>
      <c r="P73" s="163" t="str">
        <f t="array" ref="P73">INDIRECT("Update"&amp;Projections!$AG$11&amp;"!B"&amp;ROW(B54))</f>
        <v/>
      </c>
      <c r="Q73" s="164" t="str">
        <f t="array" ref="Q73">INDIRECT("Update"&amp;Projections!$AG$11&amp;"!C"&amp;ROW(B54))</f>
        <v>Lauri Markkanen</v>
      </c>
      <c r="R73" s="163">
        <f>UpdateBBM!F54</f>
        <v>53</v>
      </c>
      <c r="S73" s="165" t="str">
        <f t="array" ref="S73">INDIRECT("Update"&amp;Projections!$AG$11&amp;"!D"&amp;ROW(B54))</f>
        <v>F</v>
      </c>
      <c r="T73" s="144">
        <f t="shared" si="5"/>
        <v>1.612488075</v>
      </c>
      <c r="U73" s="144">
        <f>SUM(AF73:AN73)-IFERROR(IFS(Projections!$I$11,AO73,Projections!$J$11,AP73),"")</f>
        <v>1.542307478</v>
      </c>
      <c r="V73" s="144">
        <f t="shared" si="6"/>
        <v>-0.07018059735</v>
      </c>
      <c r="W73" s="144">
        <f t="array" ref="W73">INDIRECT("Update"&amp;Projections!$AG$11&amp;"!M"&amp;ROW(B54))</f>
        <v>21.86509</v>
      </c>
      <c r="X73" s="144">
        <f t="array" ref="X73">INDIRECT("Update"&amp;Projections!$AG$11&amp;"!L"&amp;ROW(B54))</f>
        <v>3.411132</v>
      </c>
      <c r="Y73" s="144">
        <f t="array" ref="Y73">INDIRECT("Update"&amp;Projections!$AG$11&amp;"!N"&amp;ROW(B54))</f>
        <v>5.65434</v>
      </c>
      <c r="Z73" s="144">
        <f t="array" ref="Z73">INDIRECT("Update"&amp;Projections!$AG$11&amp;"!O"&amp;ROW(B54))</f>
        <v>1.796038</v>
      </c>
      <c r="AA73" s="144">
        <f t="array" ref="AA73">INDIRECT("Update"&amp;Projections!$AG$11&amp;"!P"&amp;ROW(B54))</f>
        <v>0.729811</v>
      </c>
      <c r="AB73" s="144">
        <f t="array" ref="AB73">INDIRECT("Update"&amp;Projections!$AG$11&amp;"!Q"&amp;ROW(B54))</f>
        <v>0.399811</v>
      </c>
      <c r="AC73" s="166">
        <f t="array" ref="AC73">INDIRECT("Update"&amp;Projections!$AG$11&amp;"!I"&amp;ROW(B54))</f>
        <v>0.457836</v>
      </c>
      <c r="AD73" s="166">
        <f t="array" ref="AD73">INDIRECT("Update"&amp;Projections!$AG$11&amp;"!K"&amp;ROW(B54))</f>
        <v>0.886981</v>
      </c>
      <c r="AE73" s="144">
        <f t="array" ref="AE73">INDIRECT("Update"&amp;Projections!$AG$11&amp;"!R"&amp;ROW(B54))</f>
        <v>1.46566</v>
      </c>
      <c r="AF73" s="144">
        <f t="shared" si="7"/>
        <v>0.8229103634</v>
      </c>
      <c r="AG73" s="144">
        <f t="shared" si="8"/>
        <v>1.585491253</v>
      </c>
      <c r="AH73" s="144">
        <f t="shared" si="9"/>
        <v>-0.1913899843</v>
      </c>
      <c r="AI73" s="144">
        <f t="shared" si="10"/>
        <v>-0.9969898647</v>
      </c>
      <c r="AJ73" s="144">
        <f t="shared" si="11"/>
        <v>-0.9610254</v>
      </c>
      <c r="AK73" s="144">
        <f t="shared" si="12"/>
        <v>-0.6006850866</v>
      </c>
      <c r="AL73" s="144">
        <f t="shared" si="13"/>
        <v>-0.5136392575</v>
      </c>
      <c r="AM73" s="144">
        <f t="shared" si="14"/>
        <v>1.40064559</v>
      </c>
      <c r="AN73" s="144">
        <f t="shared" si="15"/>
        <v>0</v>
      </c>
      <c r="AO73" s="167">
        <f t="shared" si="16"/>
        <v>-0.9969898647</v>
      </c>
      <c r="AP73" s="167">
        <f t="shared" si="17"/>
        <v>-1.958015265</v>
      </c>
      <c r="AQ73" s="167">
        <f t="array" ref="AQ73">INDIRECT("Update"&amp;Projections!$AG$11&amp;"!S"&amp;ROW(B54))</f>
        <v>0.457836</v>
      </c>
      <c r="AR73" s="167">
        <f t="array" ref="AR73">INDIRECT("Update"&amp;Projections!$AG$11&amp;"!T"&amp;ROW(B54))</f>
        <v>0.886981</v>
      </c>
    </row>
    <row r="74">
      <c r="A74" s="50" t="str">
        <f>IF(UpdateHashtag!C72="",ROW(UpdateHashtag!C72),UpdateHashtag!C72)</f>
        <v>Mikal Bridges</v>
      </c>
      <c r="B74" s="53">
        <f>IF(TYPE($A74)=1,"",(UpdateHashtag!M72-B$1)/B$2)</f>
        <v>-0.2060763455</v>
      </c>
      <c r="C74" s="53">
        <f>IF(TYPE($A74)=1,"",(UpdateHashtag!L72-C$1)/C$2)</f>
        <v>0.608906155</v>
      </c>
      <c r="D74" s="53">
        <f>IF(TYPE($A74)=1,"",(UpdateHashtag!N72-D$1)/D$2)</f>
        <v>-0.8214473087</v>
      </c>
      <c r="E74" s="53">
        <f>IF(TYPE($A74)=1,"",(UpdateHashtag!O72-E$1)/E$2)</f>
        <v>-0.3111340744</v>
      </c>
      <c r="F74" s="53">
        <f>IF(TYPE($A74)=1,"",(UpdateHashtag!P72-F$1)/F$2)</f>
        <v>0.1670256406</v>
      </c>
      <c r="G74" s="53">
        <f>IF(TYPE($A74)=1,"",(UpdateHashtag!Q72-G$1)/G$2)</f>
        <v>-0.05494381853</v>
      </c>
      <c r="H74" s="53">
        <f>IF(TYPE($A74)=1,"",(UpdateHashtag!I72-H$1)/H$2*I74/$I$1)</f>
        <v>-14.84541007</v>
      </c>
      <c r="I74" s="53">
        <f>UpdateHashtag!S72</f>
        <v>12</v>
      </c>
      <c r="J74" s="58">
        <f>IF(TYPE($A74)=1,"",(UpdateHashtag!K72-J$1)/J$2*K74/$K$1)</f>
        <v>1.990254763</v>
      </c>
      <c r="K74" s="59">
        <f>UpdateHashtag!T72</f>
        <v>3.2</v>
      </c>
      <c r="L74" s="53">
        <f>IF(TYPE($A74)=1,"",-(UpdateHashtag!R72-L$1)/L$2)</f>
        <v>0.1474667095</v>
      </c>
      <c r="N74" s="106">
        <f t="shared" si="3"/>
        <v>2.170239002</v>
      </c>
      <c r="O74" s="106">
        <f t="shared" si="4"/>
        <v>70</v>
      </c>
      <c r="P74" s="163" t="str">
        <f t="array" ref="P74">INDIRECT("Update"&amp;Projections!$AG$11&amp;"!B"&amp;ROW(B55))</f>
        <v/>
      </c>
      <c r="Q74" s="164" t="str">
        <f t="array" ref="Q74">INDIRECT("Update"&amp;Projections!$AG$11&amp;"!C"&amp;ROW(B55))</f>
        <v>Franz Wagner</v>
      </c>
      <c r="R74" s="163">
        <f>UpdateBBM!F55</f>
        <v>73</v>
      </c>
      <c r="S74" s="165" t="str">
        <f t="array" ref="S74">INDIRECT("Update"&amp;Projections!$AG$11&amp;"!D"&amp;ROW(B55))</f>
        <v>F</v>
      </c>
      <c r="T74" s="144">
        <f t="shared" si="5"/>
        <v>1.443020977</v>
      </c>
      <c r="U74" s="144">
        <f>SUM(AF74:AN74)-IFERROR(IFS(Projections!$I$11,AO74,Projections!$J$11,AP74),"")</f>
        <v>1.456939801</v>
      </c>
      <c r="V74" s="144">
        <f t="shared" si="6"/>
        <v>0.01391882392</v>
      </c>
      <c r="W74" s="144">
        <f t="array" ref="W74">INDIRECT("Update"&amp;Projections!$AG$11&amp;"!M"&amp;ROW(B55))</f>
        <v>20.80904</v>
      </c>
      <c r="X74" s="144">
        <f t="array" ref="X74">INDIRECT("Update"&amp;Projections!$AG$11&amp;"!L"&amp;ROW(B55))</f>
        <v>1.599315</v>
      </c>
      <c r="Y74" s="144">
        <f t="array" ref="Y74">INDIRECT("Update"&amp;Projections!$AG$11&amp;"!N"&amp;ROW(B55))</f>
        <v>5.761644</v>
      </c>
      <c r="Z74" s="144">
        <f t="array" ref="Z74">INDIRECT("Update"&amp;Projections!$AG$11&amp;"!O"&amp;ROW(B55))</f>
        <v>3.817945</v>
      </c>
      <c r="AA74" s="144">
        <f t="array" ref="AA74">INDIRECT("Update"&amp;Projections!$AG$11&amp;"!P"&amp;ROW(B55))</f>
        <v>1.107397</v>
      </c>
      <c r="AB74" s="144">
        <f t="array" ref="AB74">INDIRECT("Update"&amp;Projections!$AG$11&amp;"!Q"&amp;ROW(B55))</f>
        <v>0.278219</v>
      </c>
      <c r="AC74" s="166">
        <f t="array" ref="AC74">INDIRECT("Update"&amp;Projections!$AG$11&amp;"!I"&amp;ROW(B55))</f>
        <v>0.485499</v>
      </c>
      <c r="AD74" s="166">
        <f t="array" ref="AD74">INDIRECT("Update"&amp;Projections!$AG$11&amp;"!K"&amp;ROW(B55))</f>
        <v>0.866993</v>
      </c>
      <c r="AE74" s="144">
        <f t="array" ref="AE74">INDIRECT("Update"&amp;Projections!$AG$11&amp;"!R"&amp;ROW(B55))</f>
        <v>1.804795</v>
      </c>
      <c r="AF74" s="144">
        <f t="shared" si="7"/>
        <v>0.637634193</v>
      </c>
      <c r="AG74" s="144">
        <f t="shared" si="8"/>
        <v>-0.1644221927</v>
      </c>
      <c r="AH74" s="144">
        <f t="shared" si="9"/>
        <v>-0.1478939209</v>
      </c>
      <c r="AI74" s="144">
        <f t="shared" si="10"/>
        <v>-0.009258983493</v>
      </c>
      <c r="AJ74" s="144">
        <f t="shared" si="11"/>
        <v>0.1895660012</v>
      </c>
      <c r="AK74" s="144">
        <f t="shared" si="12"/>
        <v>-0.8217383972</v>
      </c>
      <c r="AL74" s="144">
        <f t="shared" si="13"/>
        <v>-0.1412286118</v>
      </c>
      <c r="AM74" s="144">
        <f t="shared" si="14"/>
        <v>1.092543316</v>
      </c>
      <c r="AN74" s="144">
        <f t="shared" si="15"/>
        <v>0</v>
      </c>
      <c r="AO74" s="167">
        <f t="shared" si="16"/>
        <v>-0.8217383972</v>
      </c>
      <c r="AP74" s="167">
        <f t="shared" si="17"/>
        <v>-0.9861605899</v>
      </c>
      <c r="AQ74" s="167">
        <f t="array" ref="AQ74">INDIRECT("Update"&amp;Projections!$AG$11&amp;"!S"&amp;ROW(B55))</f>
        <v>0.485499</v>
      </c>
      <c r="AR74" s="167">
        <f t="array" ref="AR74">INDIRECT("Update"&amp;Projections!$AG$11&amp;"!T"&amp;ROW(B55))</f>
        <v>0.866993</v>
      </c>
    </row>
    <row r="75">
      <c r="A75" s="50" t="str">
        <f>IF(UpdateHashtag!C73="",ROW(UpdateHashtag!C73),UpdateHashtag!C73)</f>
        <v>Brandon Ingram</v>
      </c>
      <c r="B75" s="53">
        <f>IF(TYPE($A75)=1,"",(UpdateHashtag!M73-B$1)/B$2)</f>
        <v>0.5132383635</v>
      </c>
      <c r="C75" s="53">
        <f>IF(TYPE($A75)=1,"",(UpdateHashtag!L73-C$1)/C$2)</f>
        <v>-0.4535106288</v>
      </c>
      <c r="D75" s="53">
        <f>IF(TYPE($A75)=1,"",(UpdateHashtag!N73-D$1)/D$2)</f>
        <v>-0.5376997843</v>
      </c>
      <c r="E75" s="53">
        <f>IF(TYPE($A75)=1,"",(UpdateHashtag!O73-E$1)/E$2)</f>
        <v>0.3727862215</v>
      </c>
      <c r="F75" s="53">
        <f>IF(TYPE($A75)=1,"",(UpdateHashtag!P73-F$1)/F$2)</f>
        <v>-0.7471433709</v>
      </c>
      <c r="G75" s="53">
        <f>IF(TYPE($A75)=1,"",(UpdateHashtag!Q73-G$1)/G$2)</f>
        <v>-0.236743041</v>
      </c>
      <c r="H75" s="53">
        <f>IF(TYPE($A75)=1,"",(UpdateHashtag!I73-H$1)/H$2*I75/$I$1)</f>
        <v>-1.462755862</v>
      </c>
      <c r="I75" s="53">
        <f>UpdateHashtag!S73</f>
        <v>15.3</v>
      </c>
      <c r="J75" s="58">
        <f>IF(TYPE($A75)=1,"",(UpdateHashtag!K73-J$1)/J$2*K75/$K$1)</f>
        <v>1.798166193</v>
      </c>
      <c r="K75" s="59">
        <f>UpdateHashtag!T73</f>
        <v>4.7</v>
      </c>
      <c r="L75" s="53">
        <f>IF(TYPE($A75)=1,"",-(UpdateHashtag!R73-L$1)/L$2)</f>
        <v>-0.5468832679</v>
      </c>
      <c r="N75" s="106">
        <f t="shared" si="3"/>
        <v>2.11759293</v>
      </c>
      <c r="O75" s="106">
        <f t="shared" si="4"/>
        <v>30</v>
      </c>
      <c r="P75" s="163" t="str">
        <f t="array" ref="P75">INDIRECT("Update"&amp;Projections!$AG$11&amp;"!B"&amp;ROW(B56))</f>
        <v/>
      </c>
      <c r="Q75" s="164" t="str">
        <f t="array" ref="Q75">INDIRECT("Update"&amp;Projections!$AG$11&amp;"!C"&amp;ROW(B56))</f>
        <v>Ja Morant</v>
      </c>
      <c r="R75" s="163">
        <f>UpdateBBM!F56</f>
        <v>60</v>
      </c>
      <c r="S75" s="165" t="str">
        <f t="array" ref="S75">INDIRECT("Update"&amp;Projections!$AG$11&amp;"!D"&amp;ROW(B56))</f>
        <v>G</v>
      </c>
      <c r="T75" s="144">
        <f t="shared" si="5"/>
        <v>3.345178931</v>
      </c>
      <c r="U75" s="144">
        <f>SUM(AF75:AN75)-IFERROR(IFS(Projections!$I$11,AO75,Projections!$J$11,AP75),"")</f>
        <v>3.829901261</v>
      </c>
      <c r="V75" s="144">
        <f t="shared" si="6"/>
        <v>0.4847223301</v>
      </c>
      <c r="W75" s="144">
        <f t="array" ref="W75">INDIRECT("Update"&amp;Projections!$AG$11&amp;"!M"&amp;ROW(B56))</f>
        <v>27.12117</v>
      </c>
      <c r="X75" s="144">
        <f t="array" ref="X75">INDIRECT("Update"&amp;Projections!$AG$11&amp;"!L"&amp;ROW(B56))</f>
        <v>2.123333</v>
      </c>
      <c r="Y75" s="144">
        <f t="array" ref="Y75">INDIRECT("Update"&amp;Projections!$AG$11&amp;"!N"&amp;ROW(B56))</f>
        <v>5.148</v>
      </c>
      <c r="Z75" s="144">
        <f t="array" ref="Z75">INDIRECT("Update"&amp;Projections!$AG$11&amp;"!O"&amp;ROW(B56))</f>
        <v>7.7935</v>
      </c>
      <c r="AA75" s="144">
        <f t="array" ref="AA75">INDIRECT("Update"&amp;Projections!$AG$11&amp;"!P"&amp;ROW(B56))</f>
        <v>1.144</v>
      </c>
      <c r="AB75" s="144">
        <f t="array" ref="AB75">INDIRECT("Update"&amp;Projections!$AG$11&amp;"!Q"&amp;ROW(B56))</f>
        <v>0.284667</v>
      </c>
      <c r="AC75" s="166">
        <f t="array" ref="AC75">INDIRECT("Update"&amp;Projections!$AG$11&amp;"!I"&amp;ROW(B56))</f>
        <v>0.469307</v>
      </c>
      <c r="AD75" s="166">
        <f t="array" ref="AD75">INDIRECT("Update"&amp;Projections!$AG$11&amp;"!K"&amp;ROW(B56))</f>
        <v>0.808988</v>
      </c>
      <c r="AE75" s="144">
        <f t="array" ref="AE75">INDIRECT("Update"&amp;Projections!$AG$11&amp;"!R"&amp;ROW(B56))</f>
        <v>3.703333</v>
      </c>
      <c r="AF75" s="144">
        <f t="shared" si="7"/>
        <v>1.745050767</v>
      </c>
      <c r="AG75" s="144">
        <f t="shared" si="8"/>
        <v>0.3416919147</v>
      </c>
      <c r="AH75" s="144">
        <f t="shared" si="9"/>
        <v>-0.3966367293</v>
      </c>
      <c r="AI75" s="144">
        <f t="shared" si="10"/>
        <v>1.932857268</v>
      </c>
      <c r="AJ75" s="144">
        <f t="shared" si="11"/>
        <v>0.3011037623</v>
      </c>
      <c r="AK75" s="144">
        <f t="shared" si="12"/>
        <v>-0.8100159833</v>
      </c>
      <c r="AL75" s="144">
        <f t="shared" si="13"/>
        <v>-0.3647914993</v>
      </c>
      <c r="AM75" s="144">
        <f t="shared" si="14"/>
        <v>0.2706257776</v>
      </c>
      <c r="AN75" s="144">
        <f t="shared" si="15"/>
        <v>0</v>
      </c>
      <c r="AO75" s="167">
        <f t="shared" si="16"/>
        <v>-0.8100159833</v>
      </c>
      <c r="AP75" s="167">
        <f t="shared" si="17"/>
        <v>-1.206652713</v>
      </c>
      <c r="AQ75" s="167">
        <f t="array" ref="AQ75">INDIRECT("Update"&amp;Projections!$AG$11&amp;"!S"&amp;ROW(B56))</f>
        <v>0.469307</v>
      </c>
      <c r="AR75" s="167">
        <f t="array" ref="AR75">INDIRECT("Update"&amp;Projections!$AG$11&amp;"!T"&amp;ROW(B56))</f>
        <v>0.808988</v>
      </c>
    </row>
    <row r="76">
      <c r="A76" s="50" t="str">
        <f>IF(UpdateHashtag!C74="",ROW(UpdateHashtag!C74),UpdateHashtag!C74)</f>
        <v>Devin Vassell</v>
      </c>
      <c r="B76" s="53">
        <f>IF(TYPE($A76)=1,"",(UpdateHashtag!M74-B$1)/B$2)</f>
        <v>0.3904285351</v>
      </c>
      <c r="C76" s="53">
        <f>IF(TYPE($A76)=1,"",(UpdateHashtag!L74-C$1)/C$2)</f>
        <v>0.802072843</v>
      </c>
      <c r="D76" s="53">
        <f>IF(TYPE($A76)=1,"",(UpdateHashtag!N74-D$1)/D$2)</f>
        <v>-0.9025180299</v>
      </c>
      <c r="E76" s="53">
        <f>IF(TYPE($A76)=1,"",(UpdateHashtag!O74-E$1)/E$2)</f>
        <v>0.07967752327</v>
      </c>
      <c r="F76" s="53">
        <f>IF(TYPE($A76)=1,"",(UpdateHashtag!P74-F$1)/F$2)</f>
        <v>0.1670256406</v>
      </c>
      <c r="G76" s="53">
        <f>IF(TYPE($A76)=1,"",(UpdateHashtag!Q74-G$1)/G$2)</f>
        <v>-0.600341486</v>
      </c>
      <c r="H76" s="53">
        <f>IF(TYPE($A76)=1,"",(UpdateHashtag!I74-H$1)/H$2*I76/$I$1)</f>
        <v>-16.69868318</v>
      </c>
      <c r="I76" s="53">
        <f>UpdateHashtag!S74</f>
        <v>15.8</v>
      </c>
      <c r="J76" s="58">
        <f>IF(TYPE($A76)=1,"",(UpdateHashtag!K74-J$1)/J$2*K76/$K$1)</f>
        <v>0.6004549757</v>
      </c>
      <c r="K76" s="59">
        <f>UpdateHashtag!T74</f>
        <v>2.9</v>
      </c>
      <c r="L76" s="53">
        <f>IF(TYPE($A76)=1,"",-(UpdateHashtag!R74-L$1)/L$2)</f>
        <v>0.1474667095</v>
      </c>
      <c r="N76" s="106">
        <f t="shared" si="3"/>
        <v>2.004798054</v>
      </c>
      <c r="O76" s="106">
        <f t="shared" si="4"/>
        <v>51</v>
      </c>
      <c r="P76" s="163" t="str">
        <f t="array" ref="P76">INDIRECT("Update"&amp;Projections!$AG$11&amp;"!B"&amp;ROW(B57))</f>
        <v/>
      </c>
      <c r="Q76" s="164" t="str">
        <f t="array" ref="Q76">INDIRECT("Update"&amp;Projections!$AG$11&amp;"!C"&amp;ROW(B57))</f>
        <v>Paul George</v>
      </c>
      <c r="R76" s="163">
        <f>UpdateBBM!F57</f>
        <v>53</v>
      </c>
      <c r="S76" s="165" t="str">
        <f t="array" ref="S76">INDIRECT("Update"&amp;Projections!$AG$11&amp;"!D"&amp;ROW(B57))</f>
        <v>F</v>
      </c>
      <c r="T76" s="144">
        <f t="shared" si="5"/>
        <v>2.224870341</v>
      </c>
      <c r="U76" s="144">
        <f>SUM(AF76:AN76)-IFERROR(IFS(Projections!$I$11,AO76,Projections!$J$11,AP76),"")</f>
        <v>2.366176596</v>
      </c>
      <c r="V76" s="144">
        <f t="shared" si="6"/>
        <v>0.1413062546</v>
      </c>
      <c r="W76" s="144">
        <f t="array" ref="W76">INDIRECT("Update"&amp;Projections!$AG$11&amp;"!M"&amp;ROW(B57))</f>
        <v>16.63868</v>
      </c>
      <c r="X76" s="144">
        <f t="array" ref="X76">INDIRECT("Update"&amp;Projections!$AG$11&amp;"!L"&amp;ROW(B57))</f>
        <v>2.455849</v>
      </c>
      <c r="Y76" s="144">
        <f t="array" ref="Y76">INDIRECT("Update"&amp;Projections!$AG$11&amp;"!N"&amp;ROW(B57))</f>
        <v>5.016038</v>
      </c>
      <c r="Z76" s="144">
        <f t="array" ref="Z76">INDIRECT("Update"&amp;Projections!$AG$11&amp;"!O"&amp;ROW(B57))</f>
        <v>3.901509</v>
      </c>
      <c r="AA76" s="144">
        <f t="array" ref="AA76">INDIRECT("Update"&amp;Projections!$AG$11&amp;"!P"&amp;ROW(B57))</f>
        <v>1.639623</v>
      </c>
      <c r="AB76" s="144">
        <f t="array" ref="AB76">INDIRECT("Update"&amp;Projections!$AG$11&amp;"!Q"&amp;ROW(B57))</f>
        <v>0.530189</v>
      </c>
      <c r="AC76" s="166">
        <f t="array" ref="AC76">INDIRECT("Update"&amp;Projections!$AG$11&amp;"!I"&amp;ROW(B57))</f>
        <v>0.448288</v>
      </c>
      <c r="AD76" s="166">
        <f t="array" ref="AD76">INDIRECT("Update"&amp;Projections!$AG$11&amp;"!K"&amp;ROW(B57))</f>
        <v>0.844995</v>
      </c>
      <c r="AE76" s="144">
        <f t="array" ref="AE76">INDIRECT("Update"&amp;Projections!$AG$11&amp;"!R"&amp;ROW(B57))</f>
        <v>2.318491</v>
      </c>
      <c r="AF76" s="144">
        <f t="shared" si="7"/>
        <v>-0.09402465809</v>
      </c>
      <c r="AG76" s="144">
        <f t="shared" si="8"/>
        <v>0.6628469868</v>
      </c>
      <c r="AH76" s="144">
        <f t="shared" si="9"/>
        <v>-0.4501280019</v>
      </c>
      <c r="AI76" s="144">
        <f t="shared" si="10"/>
        <v>0.03156324194</v>
      </c>
      <c r="AJ76" s="144">
        <f t="shared" si="11"/>
        <v>1.811381056</v>
      </c>
      <c r="AK76" s="144">
        <f t="shared" si="12"/>
        <v>-0.3636588962</v>
      </c>
      <c r="AL76" s="144">
        <f t="shared" si="13"/>
        <v>-0.6315054866</v>
      </c>
      <c r="AM76" s="144">
        <f t="shared" si="14"/>
        <v>0.7681968679</v>
      </c>
      <c r="AN76" s="144">
        <f t="shared" si="15"/>
        <v>0</v>
      </c>
      <c r="AO76" s="167">
        <f t="shared" si="16"/>
        <v>-0.6315054866</v>
      </c>
      <c r="AP76" s="167">
        <f t="shared" si="17"/>
        <v>-1.081633489</v>
      </c>
      <c r="AQ76" s="167">
        <f t="array" ref="AQ76">INDIRECT("Update"&amp;Projections!$AG$11&amp;"!S"&amp;ROW(B57))</f>
        <v>0.448288</v>
      </c>
      <c r="AR76" s="167">
        <f t="array" ref="AR76">INDIRECT("Update"&amp;Projections!$AG$11&amp;"!T"&amp;ROW(B57))</f>
        <v>0.844995</v>
      </c>
    </row>
    <row r="77">
      <c r="A77" s="50" t="str">
        <f>IF(UpdateHashtag!C75="",ROW(UpdateHashtag!C75),UpdateHashtag!C75)</f>
        <v>Anfernee Simons</v>
      </c>
      <c r="B77" s="53">
        <f>IF(TYPE($A77)=1,"",(UpdateHashtag!M75-B$1)/B$2)</f>
        <v>0.741313759</v>
      </c>
      <c r="C77" s="53">
        <f>IF(TYPE($A77)=1,"",(UpdateHashtag!L75-C$1)/C$2)</f>
        <v>1.574739595</v>
      </c>
      <c r="D77" s="53">
        <f>IF(TYPE($A77)=1,"",(UpdateHashtag!N75-D$1)/D$2)</f>
        <v>-1.267336276</v>
      </c>
      <c r="E77" s="53">
        <f>IF(TYPE($A77)=1,"",(UpdateHashtag!O75-E$1)/E$2)</f>
        <v>0.5193405706</v>
      </c>
      <c r="F77" s="53">
        <f>IF(TYPE($A77)=1,"",(UpdateHashtag!P75-F$1)/F$2)</f>
        <v>-1.356589379</v>
      </c>
      <c r="G77" s="53">
        <f>IF(TYPE($A77)=1,"",(UpdateHashtag!Q75-G$1)/G$2)</f>
        <v>-0.963939931</v>
      </c>
      <c r="H77" s="53">
        <f>IF(TYPE($A77)=1,"",(UpdateHashtag!I75-H$1)/H$2*I77/$I$1)</f>
        <v>-28.51200587</v>
      </c>
      <c r="I77" s="53">
        <f>UpdateHashtag!S75</f>
        <v>17.2</v>
      </c>
      <c r="J77" s="58">
        <f>IF(TYPE($A77)=1,"",(UpdateHashtag!K75-J$1)/J$2*K77/$K$1)</f>
        <v>6.159971843</v>
      </c>
      <c r="K77" s="59">
        <f>UpdateHashtag!T75</f>
        <v>3.3</v>
      </c>
      <c r="L77" s="53">
        <f>IF(TYPE($A77)=1,"",-(UpdateHashtag!R75-L$1)/L$2)</f>
        <v>-0.5468832679</v>
      </c>
      <c r="N77" s="106">
        <f t="shared" si="3"/>
        <v>1.994626325</v>
      </c>
      <c r="O77" s="106">
        <f t="shared" si="4"/>
        <v>59</v>
      </c>
      <c r="P77" s="163" t="str">
        <f t="array" ref="P77">INDIRECT("Update"&amp;Projections!$AG$11&amp;"!B"&amp;ROW(B58))</f>
        <v/>
      </c>
      <c r="Q77" s="164" t="str">
        <f t="array" ref="Q77">INDIRECT("Update"&amp;Projections!$AG$11&amp;"!C"&amp;ROW(B58))</f>
        <v>Immanuel Quickley</v>
      </c>
      <c r="R77" s="163">
        <f>UpdateBBM!F58</f>
        <v>73</v>
      </c>
      <c r="S77" s="165" t="str">
        <f t="array" ref="S77">INDIRECT("Update"&amp;Projections!$AG$11&amp;"!D"&amp;ROW(B58))</f>
        <v>G</v>
      </c>
      <c r="T77" s="144">
        <f t="shared" si="5"/>
        <v>1.911678504</v>
      </c>
      <c r="U77" s="144">
        <f>SUM(AF77:AN77)-IFERROR(IFS(Projections!$I$11,AO77,Projections!$J$11,AP77),"")</f>
        <v>1.903754317</v>
      </c>
      <c r="V77" s="144">
        <f t="shared" si="6"/>
        <v>-0.007924186456</v>
      </c>
      <c r="W77" s="144">
        <f t="array" ref="W77">INDIRECT("Update"&amp;Projections!$AG$11&amp;"!M"&amp;ROW(B58))</f>
        <v>17.72644</v>
      </c>
      <c r="X77" s="144">
        <f t="array" ref="X77">INDIRECT("Update"&amp;Projections!$AG$11&amp;"!L"&amp;ROW(B58))</f>
        <v>2.901644</v>
      </c>
      <c r="Y77" s="144">
        <f t="array" ref="Y77">INDIRECT("Update"&amp;Projections!$AG$11&amp;"!N"&amp;ROW(B58))</f>
        <v>4.463288</v>
      </c>
      <c r="Z77" s="144">
        <f t="array" ref="Z77">INDIRECT("Update"&amp;Projections!$AG$11&amp;"!O"&amp;ROW(B58))</f>
        <v>6.24863</v>
      </c>
      <c r="AA77" s="144">
        <f t="array" ref="AA77">INDIRECT("Update"&amp;Projections!$AG$11&amp;"!P"&amp;ROW(B58))</f>
        <v>0.96137</v>
      </c>
      <c r="AB77" s="144">
        <f t="array" ref="AB77">INDIRECT("Update"&amp;Projections!$AG$11&amp;"!Q"&amp;ROW(B58))</f>
        <v>0.13589</v>
      </c>
      <c r="AC77" s="166">
        <f t="array" ref="AC77">INDIRECT("Update"&amp;Projections!$AG$11&amp;"!I"&amp;ROW(B58))</f>
        <v>0.436883</v>
      </c>
      <c r="AD77" s="166">
        <f t="array" ref="AD77">INDIRECT("Update"&amp;Projections!$AG$11&amp;"!K"&amp;ROW(B58))</f>
        <v>0.876018</v>
      </c>
      <c r="AE77" s="144">
        <f t="array" ref="AE77">INDIRECT("Update"&amp;Projections!$AG$11&amp;"!R"&amp;ROW(B58))</f>
        <v>1.716712</v>
      </c>
      <c r="AF77" s="144">
        <f t="shared" si="7"/>
        <v>0.09681479747</v>
      </c>
      <c r="AG77" s="144">
        <f t="shared" si="8"/>
        <v>1.093410705</v>
      </c>
      <c r="AH77" s="144">
        <f t="shared" si="9"/>
        <v>-0.6741872077</v>
      </c>
      <c r="AI77" s="144">
        <f t="shared" si="10"/>
        <v>1.178165877</v>
      </c>
      <c r="AJ77" s="144">
        <f t="shared" si="11"/>
        <v>-0.2554118596</v>
      </c>
      <c r="AK77" s="144">
        <f t="shared" si="12"/>
        <v>-1.080491413</v>
      </c>
      <c r="AL77" s="144">
        <f t="shared" si="13"/>
        <v>-0.7651170549</v>
      </c>
      <c r="AM77" s="144">
        <f t="shared" si="14"/>
        <v>1.23007906</v>
      </c>
      <c r="AN77" s="144">
        <f t="shared" si="15"/>
        <v>0</v>
      </c>
      <c r="AO77" s="167">
        <f t="shared" si="16"/>
        <v>-1.080491413</v>
      </c>
      <c r="AP77" s="167">
        <f t="shared" si="17"/>
        <v>-1.845608467</v>
      </c>
      <c r="AQ77" s="167">
        <f t="array" ref="AQ77">INDIRECT("Update"&amp;Projections!$AG$11&amp;"!S"&amp;ROW(B58))</f>
        <v>0.436883</v>
      </c>
      <c r="AR77" s="167">
        <f t="array" ref="AR77">INDIRECT("Update"&amp;Projections!$AG$11&amp;"!T"&amp;ROW(B58))</f>
        <v>0.876018</v>
      </c>
    </row>
    <row r="78">
      <c r="A78" s="50" t="str">
        <f>IF(UpdateHashtag!C76="",ROW(UpdateHashtag!C76),UpdateHashtag!C76)</f>
        <v>Dereck Lively II</v>
      </c>
      <c r="B78" s="53">
        <f>IF(TYPE($A78)=1,"",(UpdateHashtag!M76-B$1)/B$2)</f>
        <v>-1.241187756</v>
      </c>
      <c r="C78" s="53">
        <f>IF(TYPE($A78)=1,"",(UpdateHashtag!L76-C$1)/C$2)</f>
        <v>-1.709094101</v>
      </c>
      <c r="D78" s="53">
        <f>IF(TYPE($A78)=1,"",(UpdateHashtag!N76-D$1)/D$2)</f>
        <v>0.7188963951</v>
      </c>
      <c r="E78" s="53">
        <f>IF(TYPE($A78)=1,"",(UpdateHashtag!O76-E$1)/E$2)</f>
        <v>-1.141608719</v>
      </c>
      <c r="F78" s="53">
        <f>IF(TYPE($A78)=1,"",(UpdateHashtag!P76-F$1)/F$2)</f>
        <v>-0.7471433709</v>
      </c>
      <c r="G78" s="53">
        <f>IF(TYPE($A78)=1,"",(UpdateHashtag!Q76-G$1)/G$2)</f>
        <v>1.581249184</v>
      </c>
      <c r="H78" s="53">
        <f>IF(TYPE($A78)=1,"",(UpdateHashtag!I76-H$1)/H$2*I78/$I$1)</f>
        <v>45.95337681</v>
      </c>
      <c r="I78" s="53">
        <f>UpdateHashtag!S76</f>
        <v>6.3</v>
      </c>
      <c r="J78" s="58">
        <f>IF(TYPE($A78)=1,"",(UpdateHashtag!K76-J$1)/J$2*K78/$K$1)</f>
        <v>-6.460327553</v>
      </c>
      <c r="K78" s="59">
        <f>UpdateHashtag!T76</f>
        <v>1.6</v>
      </c>
      <c r="L78" s="53">
        <f>IF(TYPE($A78)=1,"",-(UpdateHashtag!R76-L$1)/L$2)</f>
        <v>0.7426238329</v>
      </c>
      <c r="N78" s="106">
        <f t="shared" si="3"/>
        <v>1.920973517</v>
      </c>
      <c r="O78" s="106">
        <f t="shared" si="4"/>
        <v>86</v>
      </c>
      <c r="P78" s="163" t="str">
        <f t="array" ref="P78">INDIRECT("Update"&amp;Projections!$AG$11&amp;"!B"&amp;ROW(B59))</f>
        <v/>
      </c>
      <c r="Q78" s="164" t="str">
        <f t="array" ref="Q78">INDIRECT("Update"&amp;Projections!$AG$11&amp;"!C"&amp;ROW(B59))</f>
        <v>Tari Eason</v>
      </c>
      <c r="R78" s="163">
        <f>UpdateBBM!F59</f>
        <v>64</v>
      </c>
      <c r="S78" s="165" t="str">
        <f t="array" ref="S78">INDIRECT("Update"&amp;Projections!$AG$11&amp;"!D"&amp;ROW(B59))</f>
        <v>F</v>
      </c>
      <c r="T78" s="144">
        <f t="shared" si="5"/>
        <v>0.5966892509</v>
      </c>
      <c r="U78" s="144">
        <f>SUM(AF78:AN78)-IFERROR(IFS(Projections!$I$11,AO78,Projections!$J$11,AP78),"")</f>
        <v>0.4736100965</v>
      </c>
      <c r="V78" s="144">
        <f t="shared" si="6"/>
        <v>-0.1230791544</v>
      </c>
      <c r="W78" s="144">
        <f t="array" ref="W78">INDIRECT("Update"&amp;Projections!$AG$11&amp;"!M"&amp;ROW(B59))</f>
        <v>13.505</v>
      </c>
      <c r="X78" s="144">
        <f t="array" ref="X78">INDIRECT("Update"&amp;Projections!$AG$11&amp;"!L"&amp;ROW(B59))</f>
        <v>1.240781</v>
      </c>
      <c r="Y78" s="144">
        <f t="array" ref="Y78">INDIRECT("Update"&amp;Projections!$AG$11&amp;"!N"&amp;ROW(B59))</f>
        <v>7.044688</v>
      </c>
      <c r="Z78" s="144">
        <f t="array" ref="Z78">INDIRECT("Update"&amp;Projections!$AG$11&amp;"!O"&amp;ROW(B59))</f>
        <v>1.57625</v>
      </c>
      <c r="AA78" s="144">
        <f t="array" ref="AA78">INDIRECT("Update"&amp;Projections!$AG$11&amp;"!P"&amp;ROW(B59))</f>
        <v>1.533906</v>
      </c>
      <c r="AB78" s="144">
        <f t="array" ref="AB78">INDIRECT("Update"&amp;Projections!$AG$11&amp;"!Q"&amp;ROW(B59))</f>
        <v>0.854219</v>
      </c>
      <c r="AC78" s="166">
        <f t="array" ref="AC78">INDIRECT("Update"&amp;Projections!$AG$11&amp;"!I"&amp;ROW(B59))</f>
        <v>0.493378</v>
      </c>
      <c r="AD78" s="166">
        <f t="array" ref="AD78">INDIRECT("Update"&amp;Projections!$AG$11&amp;"!K"&amp;ROW(B59))</f>
        <v>0.752028</v>
      </c>
      <c r="AE78" s="144">
        <f t="array" ref="AE78">INDIRECT("Update"&amp;Projections!$AG$11&amp;"!R"&amp;ROW(B59))</f>
        <v>1.252344</v>
      </c>
      <c r="AF78" s="144">
        <f t="shared" si="7"/>
        <v>-0.6438056623</v>
      </c>
      <c r="AG78" s="144">
        <f t="shared" si="8"/>
        <v>-0.5107063193</v>
      </c>
      <c r="AH78" s="144">
        <f t="shared" si="9"/>
        <v>0.3721925915</v>
      </c>
      <c r="AI78" s="144">
        <f t="shared" si="10"/>
        <v>-1.104359489</v>
      </c>
      <c r="AJ78" s="144">
        <f t="shared" si="11"/>
        <v>1.489237038</v>
      </c>
      <c r="AK78" s="144">
        <f t="shared" si="12"/>
        <v>0.2254251244</v>
      </c>
      <c r="AL78" s="144">
        <f t="shared" si="13"/>
        <v>-0.02674607495</v>
      </c>
      <c r="AM78" s="144">
        <f t="shared" si="14"/>
        <v>-0.4319866004</v>
      </c>
      <c r="AN78" s="144">
        <f t="shared" si="15"/>
        <v>0</v>
      </c>
      <c r="AO78" s="167">
        <f t="shared" si="16"/>
        <v>-1.104359489</v>
      </c>
      <c r="AP78" s="167">
        <f t="shared" si="17"/>
        <v>-1.748165151</v>
      </c>
      <c r="AQ78" s="167">
        <f t="array" ref="AQ78">INDIRECT("Update"&amp;Projections!$AG$11&amp;"!S"&amp;ROW(B59))</f>
        <v>0.493378</v>
      </c>
      <c r="AR78" s="167">
        <f t="array" ref="AR78">INDIRECT("Update"&amp;Projections!$AG$11&amp;"!T"&amp;ROW(B59))</f>
        <v>0.752028</v>
      </c>
    </row>
    <row r="79">
      <c r="A79" s="50" t="str">
        <f>IF(UpdateHashtag!C77="",ROW(UpdateHashtag!C77),UpdateHashtag!C77)</f>
        <v>Collin Sexton</v>
      </c>
      <c r="B79" s="53">
        <f>IF(TYPE($A79)=1,"",(UpdateHashtag!M77-B$1)/B$2)</f>
        <v>0.4956941023</v>
      </c>
      <c r="C79" s="53">
        <f>IF(TYPE($A79)=1,"",(UpdateHashtag!L77-C$1)/C$2)</f>
        <v>-0.06717725286</v>
      </c>
      <c r="D79" s="53">
        <f>IF(TYPE($A79)=1,"",(UpdateHashtag!N77-D$1)/D$2)</f>
        <v>-1.307871636</v>
      </c>
      <c r="E79" s="53">
        <f>IF(TYPE($A79)=1,"",(UpdateHashtag!O77-E$1)/E$2)</f>
        <v>0.5193405706</v>
      </c>
      <c r="F79" s="53">
        <f>IF(TYPE($A79)=1,"",(UpdateHashtag!P77-F$1)/F$2)</f>
        <v>-0.7471433709</v>
      </c>
      <c r="G79" s="53">
        <f>IF(TYPE($A79)=1,"",(UpdateHashtag!Q77-G$1)/G$2)</f>
        <v>-0.963939931</v>
      </c>
      <c r="H79" s="53">
        <f>IF(TYPE($A79)=1,"",(UpdateHashtag!I77-H$1)/H$2*I79/$I$1)</f>
        <v>-3.490416483</v>
      </c>
      <c r="I79" s="53">
        <f>UpdateHashtag!S77</f>
        <v>14.2</v>
      </c>
      <c r="J79" s="58">
        <f>IF(TYPE($A79)=1,"",(UpdateHashtag!K77-J$1)/J$2*K79/$K$1)</f>
        <v>4.737303428</v>
      </c>
      <c r="K79" s="59">
        <f>UpdateHashtag!T77</f>
        <v>5.4</v>
      </c>
      <c r="L79" s="53">
        <f>IF(TYPE($A79)=1,"",-(UpdateHashtag!R77-L$1)/L$2)</f>
        <v>-0.6460761218</v>
      </c>
      <c r="N79" s="106">
        <f t="shared" si="3"/>
        <v>1.911678504</v>
      </c>
      <c r="O79" s="106">
        <f t="shared" si="4"/>
        <v>20</v>
      </c>
      <c r="P79" s="163" t="str">
        <f t="array" ref="P79">INDIRECT("Update"&amp;Projections!$AG$11&amp;"!B"&amp;ROW(B60))</f>
        <v/>
      </c>
      <c r="Q79" s="164" t="str">
        <f t="array" ref="Q79">INDIRECT("Update"&amp;Projections!$AG$11&amp;"!C"&amp;ROW(B60))</f>
        <v>Zion Williamson</v>
      </c>
      <c r="R79" s="163">
        <f>UpdateBBM!F60</f>
        <v>58</v>
      </c>
      <c r="S79" s="165" t="str">
        <f t="array" ref="S79">INDIRECT("Update"&amp;Projections!$AG$11&amp;"!D"&amp;ROW(B60))</f>
        <v>F</v>
      </c>
      <c r="T79" s="144">
        <f t="shared" si="5"/>
        <v>3.943388389</v>
      </c>
      <c r="U79" s="144">
        <f>SUM(AF79:AN79)-IFERROR(IFS(Projections!$I$11,AO79,Projections!$J$11,AP79),"")</f>
        <v>4.288285993</v>
      </c>
      <c r="V79" s="144">
        <f t="shared" si="6"/>
        <v>0.3448976034</v>
      </c>
      <c r="W79" s="144">
        <f t="array" ref="W79">INDIRECT("Update"&amp;Projections!$AG$11&amp;"!M"&amp;ROW(B60))</f>
        <v>27.48466</v>
      </c>
      <c r="X79" s="144">
        <f t="array" ref="X79">INDIRECT("Update"&amp;Projections!$AG$11&amp;"!L"&amp;ROW(B60))</f>
        <v>0.157241</v>
      </c>
      <c r="Y79" s="144">
        <f t="array" ref="Y79">INDIRECT("Update"&amp;Projections!$AG$11&amp;"!N"&amp;ROW(B60))</f>
        <v>7.07</v>
      </c>
      <c r="Z79" s="144">
        <f t="array" ref="Z79">INDIRECT("Update"&amp;Projections!$AG$11&amp;"!O"&amp;ROW(B60))</f>
        <v>5.992586</v>
      </c>
      <c r="AA79" s="144">
        <f t="array" ref="AA79">INDIRECT("Update"&amp;Projections!$AG$11&amp;"!P"&amp;ROW(B60))</f>
        <v>1.212069</v>
      </c>
      <c r="AB79" s="144">
        <f t="array" ref="AB79">INDIRECT("Update"&amp;Projections!$AG$11&amp;"!Q"&amp;ROW(B60))</f>
        <v>0.875345</v>
      </c>
      <c r="AC79" s="166">
        <f t="array" ref="AC79">INDIRECT("Update"&amp;Projections!$AG$11&amp;"!I"&amp;ROW(B60))</f>
        <v>0.578747</v>
      </c>
      <c r="AD79" s="166">
        <f t="array" ref="AD79">INDIRECT("Update"&amp;Projections!$AG$11&amp;"!K"&amp;ROW(B60))</f>
        <v>0.679009</v>
      </c>
      <c r="AE79" s="144">
        <f t="array" ref="AE79">INDIRECT("Update"&amp;Projections!$AG$11&amp;"!R"&amp;ROW(B60))</f>
        <v>3.139483</v>
      </c>
      <c r="AF79" s="144">
        <f t="shared" si="7"/>
        <v>1.808822402</v>
      </c>
      <c r="AG79" s="144">
        <f t="shared" si="8"/>
        <v>-1.557225485</v>
      </c>
      <c r="AH79" s="144">
        <f t="shared" si="9"/>
        <v>0.3824529019</v>
      </c>
      <c r="AI79" s="144">
        <f t="shared" si="10"/>
        <v>1.053084671</v>
      </c>
      <c r="AJ79" s="144">
        <f t="shared" si="11"/>
        <v>0.5085256638</v>
      </c>
      <c r="AK79" s="144">
        <f t="shared" si="12"/>
        <v>0.2638320282</v>
      </c>
      <c r="AL79" s="144">
        <f t="shared" si="13"/>
        <v>1.452804234</v>
      </c>
      <c r="AM79" s="144">
        <f t="shared" si="14"/>
        <v>-1.181235908</v>
      </c>
      <c r="AN79" s="144">
        <f t="shared" si="15"/>
        <v>0</v>
      </c>
      <c r="AO79" s="167">
        <f t="shared" si="16"/>
        <v>-1.557225485</v>
      </c>
      <c r="AP79" s="167">
        <f t="shared" si="17"/>
        <v>-2.738461392</v>
      </c>
      <c r="AQ79" s="167">
        <f t="array" ref="AQ79">INDIRECT("Update"&amp;Projections!$AG$11&amp;"!S"&amp;ROW(B60))</f>
        <v>0.578747</v>
      </c>
      <c r="AR79" s="167">
        <f t="array" ref="AR79">INDIRECT("Update"&amp;Projections!$AG$11&amp;"!T"&amp;ROW(B60))</f>
        <v>0.679009</v>
      </c>
    </row>
    <row r="80">
      <c r="A80" s="50" t="str">
        <f>IF(UpdateHashtag!C78="",ROW(UpdateHashtag!C78),UpdateHashtag!C78)</f>
        <v>Josh Giddey</v>
      </c>
      <c r="B80" s="53">
        <f>IF(TYPE($A80)=1,"",(UpdateHashtag!M78-B$1)/B$2)</f>
        <v>-0.1885320843</v>
      </c>
      <c r="C80" s="53">
        <f>IF(TYPE($A80)=1,"",(UpdateHashtag!L78-C$1)/C$2)</f>
        <v>-0.6466773167</v>
      </c>
      <c r="D80" s="53">
        <f>IF(TYPE($A80)=1,"",(UpdateHashtag!N78-D$1)/D$2)</f>
        <v>0.516219592</v>
      </c>
      <c r="E80" s="53">
        <f>IF(TYPE($A80)=1,"",(UpdateHashtag!O78-E$1)/E$2)</f>
        <v>1.105557967</v>
      </c>
      <c r="F80" s="53">
        <f>IF(TYPE($A80)=1,"",(UpdateHashtag!P78-F$1)/F$2)</f>
        <v>-0.7471433709</v>
      </c>
      <c r="G80" s="53">
        <f>IF(TYPE($A80)=1,"",(UpdateHashtag!Q78-G$1)/G$2)</f>
        <v>-0.4185422635</v>
      </c>
      <c r="H80" s="53">
        <f>IF(TYPE($A80)=1,"",(UpdateHashtag!I78-H$1)/H$2*I80/$I$1)</f>
        <v>-6.854325962</v>
      </c>
      <c r="I80" s="53">
        <f>UpdateHashtag!S78</f>
        <v>14.1</v>
      </c>
      <c r="J80" s="58">
        <f>IF(TYPE($A80)=1,"",(UpdateHashtag!K78-J$1)/J$2*K80/$K$1)</f>
        <v>0.211483329</v>
      </c>
      <c r="K80" s="59">
        <f>UpdateHashtag!T78</f>
        <v>1.9</v>
      </c>
      <c r="L80" s="53">
        <f>IF(TYPE($A80)=1,"",-(UpdateHashtag!R78-L$1)/L$2)</f>
        <v>-0.9436546835</v>
      </c>
      <c r="N80" s="106">
        <f t="shared" si="3"/>
        <v>1.889488635</v>
      </c>
      <c r="O80" s="106">
        <f t="shared" si="4"/>
        <v>67</v>
      </c>
      <c r="P80" s="163" t="str">
        <f t="array" ref="P80">INDIRECT("Update"&amp;Projections!$AG$11&amp;"!B"&amp;ROW(B61))</f>
        <v/>
      </c>
      <c r="Q80" s="164" t="str">
        <f t="array" ref="Q80">INDIRECT("Update"&amp;Projections!$AG$11&amp;"!C"&amp;ROW(B61))</f>
        <v>Coby White</v>
      </c>
      <c r="R80" s="163">
        <f>UpdateBBM!F61</f>
        <v>73</v>
      </c>
      <c r="S80" s="165" t="str">
        <f t="array" ref="S80">INDIRECT("Update"&amp;Projections!$AG$11&amp;"!D"&amp;ROW(B61))</f>
        <v>G</v>
      </c>
      <c r="T80" s="144">
        <f t="shared" si="5"/>
        <v>1.509385936</v>
      </c>
      <c r="U80" s="144">
        <f>SUM(AF80:AN80)-IFERROR(IFS(Projections!$I$11,AO80,Projections!$J$11,AP80),"")</f>
        <v>1.678582246</v>
      </c>
      <c r="V80" s="144">
        <f t="shared" si="6"/>
        <v>0.1691963094</v>
      </c>
      <c r="W80" s="144">
        <f t="array" ref="W80">INDIRECT("Update"&amp;Projections!$AG$11&amp;"!M"&amp;ROW(B61))</f>
        <v>22.47932</v>
      </c>
      <c r="X80" s="144">
        <f t="array" ref="X80">INDIRECT("Update"&amp;Projections!$AG$11&amp;"!L"&amp;ROW(B61))</f>
        <v>2.823836</v>
      </c>
      <c r="Y80" s="144">
        <f t="array" ref="Y80">INDIRECT("Update"&amp;Projections!$AG$11&amp;"!N"&amp;ROW(B61))</f>
        <v>4.29</v>
      </c>
      <c r="Z80" s="144">
        <f t="array" ref="Z80">INDIRECT("Update"&amp;Projections!$AG$11&amp;"!O"&amp;ROW(B61))</f>
        <v>4.256575</v>
      </c>
      <c r="AA80" s="144">
        <f t="array" ref="AA80">INDIRECT("Update"&amp;Projections!$AG$11&amp;"!P"&amp;ROW(B61))</f>
        <v>0.855205</v>
      </c>
      <c r="AB80" s="144">
        <f t="array" ref="AB80">INDIRECT("Update"&amp;Projections!$AG$11&amp;"!Q"&amp;ROW(B61))</f>
        <v>0.214932</v>
      </c>
      <c r="AC80" s="166">
        <f t="array" ref="AC80">INDIRECT("Update"&amp;Projections!$AG$11&amp;"!I"&amp;ROW(B61))</f>
        <v>0.463321</v>
      </c>
      <c r="AD80" s="166">
        <f t="array" ref="AD80">INDIRECT("Update"&amp;Projections!$AG$11&amp;"!K"&amp;ROW(B61))</f>
        <v>0.87999</v>
      </c>
      <c r="AE80" s="144">
        <f t="array" ref="AE80">INDIRECT("Update"&amp;Projections!$AG$11&amp;"!R"&amp;ROW(B61))</f>
        <v>2.430959</v>
      </c>
      <c r="AF80" s="144">
        <f t="shared" si="7"/>
        <v>0.9306724789</v>
      </c>
      <c r="AG80" s="144">
        <f t="shared" si="8"/>
        <v>1.018261137</v>
      </c>
      <c r="AH80" s="144">
        <f t="shared" si="9"/>
        <v>-0.7444301235</v>
      </c>
      <c r="AI80" s="144">
        <f t="shared" si="10"/>
        <v>0.2050181304</v>
      </c>
      <c r="AJ80" s="144">
        <f t="shared" si="11"/>
        <v>-0.5789210366</v>
      </c>
      <c r="AK80" s="144">
        <f t="shared" si="12"/>
        <v>-0.9367936711</v>
      </c>
      <c r="AL80" s="144">
        <f t="shared" si="13"/>
        <v>-0.4434521709</v>
      </c>
      <c r="AM80" s="144">
        <f t="shared" si="14"/>
        <v>1.291433831</v>
      </c>
      <c r="AN80" s="144">
        <f t="shared" si="15"/>
        <v>0</v>
      </c>
      <c r="AO80" s="167">
        <f t="shared" si="16"/>
        <v>-0.9367936711</v>
      </c>
      <c r="AP80" s="167">
        <f t="shared" si="17"/>
        <v>-1.681223795</v>
      </c>
      <c r="AQ80" s="167">
        <f t="array" ref="AQ80">INDIRECT("Update"&amp;Projections!$AG$11&amp;"!S"&amp;ROW(B61))</f>
        <v>0.463321</v>
      </c>
      <c r="AR80" s="167">
        <f t="array" ref="AR80">INDIRECT("Update"&amp;Projections!$AG$11&amp;"!T"&amp;ROW(B61))</f>
        <v>0.87999</v>
      </c>
    </row>
    <row r="81">
      <c r="A81" s="50" t="str">
        <f>IF(UpdateHashtag!C79="",ROW(UpdateHashtag!C79),UpdateHashtag!C79)</f>
        <v>Mark Williams</v>
      </c>
      <c r="B81" s="53">
        <f>IF(TYPE($A81)=1,"",(UpdateHashtag!M79-B$1)/B$2)</f>
        <v>-0.8025812261</v>
      </c>
      <c r="C81" s="53">
        <f>IF(TYPE($A81)=1,"",(UpdateHashtag!L79-C$1)/C$2)</f>
        <v>-1.709094101</v>
      </c>
      <c r="D81" s="53">
        <f>IF(TYPE($A81)=1,"",(UpdateHashtag!N79-D$1)/D$2)</f>
        <v>1.448532886</v>
      </c>
      <c r="E81" s="53">
        <f>IF(TYPE($A81)=1,"",(UpdateHashtag!O79-E$1)/E$2)</f>
        <v>-1.483568867</v>
      </c>
      <c r="F81" s="53">
        <f>IF(TYPE($A81)=1,"",(UpdateHashtag!P79-F$1)/F$2)</f>
        <v>-0.442420367</v>
      </c>
      <c r="G81" s="53">
        <f>IF(TYPE($A81)=1,"",(UpdateHashtag!Q79-G$1)/G$2)</f>
        <v>0.854052294</v>
      </c>
      <c r="H81" s="53">
        <f>IF(TYPE($A81)=1,"",(UpdateHashtag!I79-H$1)/H$2*I81/$I$1)</f>
        <v>35.04260655</v>
      </c>
      <c r="I81" s="53">
        <f>UpdateHashtag!S79</f>
        <v>8</v>
      </c>
      <c r="J81" s="58">
        <f>IF(TYPE($A81)=1,"",(UpdateHashtag!K79-J$1)/J$2*K81/$K$1)</f>
        <v>-4.290710695</v>
      </c>
      <c r="K81" s="59">
        <f>UpdateHashtag!T79</f>
        <v>3.2</v>
      </c>
      <c r="L81" s="53">
        <f>IF(TYPE($A81)=1,"",-(UpdateHashtag!R79-L$1)/L$2)</f>
        <v>0.643430979</v>
      </c>
      <c r="N81" s="106">
        <f t="shared" si="3"/>
        <v>1.875886597</v>
      </c>
      <c r="O81" s="106">
        <f t="shared" si="4"/>
        <v>73</v>
      </c>
      <c r="P81" s="163" t="str">
        <f t="array" ref="P81">INDIRECT("Update"&amp;Projections!$AG$11&amp;"!B"&amp;ROW(B62))</f>
        <v/>
      </c>
      <c r="Q81" s="164" t="str">
        <f t="array" ref="Q81">INDIRECT("Update"&amp;Projections!$AG$11&amp;"!C"&amp;ROW(B62))</f>
        <v>Deandre Ayton</v>
      </c>
      <c r="R81" s="163">
        <f>UpdateBBM!F62</f>
        <v>68</v>
      </c>
      <c r="S81" s="165" t="str">
        <f t="array" ref="S81">INDIRECT("Update"&amp;Projections!$AG$11&amp;"!D"&amp;ROW(B62))</f>
        <v>C</v>
      </c>
      <c r="T81" s="144">
        <f t="shared" si="5"/>
        <v>1.094037325</v>
      </c>
      <c r="U81" s="144">
        <f>SUM(AF81:AN81)-IFERROR(IFS(Projections!$I$11,AO81,Projections!$J$11,AP81),"")</f>
        <v>1.049220589</v>
      </c>
      <c r="V81" s="144">
        <f t="shared" si="6"/>
        <v>-0.04481673663</v>
      </c>
      <c r="W81" s="144">
        <f t="array" ref="W81">INDIRECT("Update"&amp;Projections!$AG$11&amp;"!M"&amp;ROW(B62))</f>
        <v>14.84897</v>
      </c>
      <c r="X81" s="144">
        <f t="array" ref="X81">INDIRECT("Update"&amp;Projections!$AG$11&amp;"!L"&amp;ROW(B62))</f>
        <v>0.093088</v>
      </c>
      <c r="Y81" s="144">
        <f t="array" ref="Y81">INDIRECT("Update"&amp;Projections!$AG$11&amp;"!N"&amp;ROW(B62))</f>
        <v>10.64926</v>
      </c>
      <c r="Z81" s="144">
        <f t="array" ref="Z81">INDIRECT("Update"&amp;Projections!$AG$11&amp;"!O"&amp;ROW(B62))</f>
        <v>1.567941</v>
      </c>
      <c r="AA81" s="144">
        <f t="array" ref="AA81">INDIRECT("Update"&amp;Projections!$AG$11&amp;"!P"&amp;ROW(B62))</f>
        <v>0.856765</v>
      </c>
      <c r="AB81" s="144">
        <f t="array" ref="AB81">INDIRECT("Update"&amp;Projections!$AG$11&amp;"!Q"&amp;ROW(B62))</f>
        <v>0.974265</v>
      </c>
      <c r="AC81" s="166">
        <f t="array" ref="AC81">INDIRECT("Update"&amp;Projections!$AG$11&amp;"!I"&amp;ROW(B62))</f>
        <v>0.574801</v>
      </c>
      <c r="AD81" s="166">
        <f t="array" ref="AD81">INDIRECT("Update"&amp;Projections!$AG$11&amp;"!K"&amp;ROW(B62))</f>
        <v>0.744962</v>
      </c>
      <c r="AE81" s="144">
        <f t="array" ref="AE81">INDIRECT("Update"&amp;Projections!$AG$11&amp;"!R"&amp;ROW(B62))</f>
        <v>1.567941</v>
      </c>
      <c r="AF81" s="144">
        <f t="shared" si="7"/>
        <v>-0.4080160551</v>
      </c>
      <c r="AG81" s="144">
        <f t="shared" si="8"/>
        <v>-1.619186597</v>
      </c>
      <c r="AH81" s="144">
        <f t="shared" si="9"/>
        <v>1.833318851</v>
      </c>
      <c r="AI81" s="144">
        <f t="shared" si="10"/>
        <v>-1.108418556</v>
      </c>
      <c r="AJ81" s="144">
        <f t="shared" si="11"/>
        <v>-0.5741673577</v>
      </c>
      <c r="AK81" s="144">
        <f t="shared" si="12"/>
        <v>0.4436678191</v>
      </c>
      <c r="AL81" s="144">
        <f t="shared" si="13"/>
        <v>1.374763532</v>
      </c>
      <c r="AM81" s="144">
        <f t="shared" si="14"/>
        <v>-0.5119276439</v>
      </c>
      <c r="AN81" s="144">
        <f t="shared" si="15"/>
        <v>0</v>
      </c>
      <c r="AO81" s="167">
        <f t="shared" si="16"/>
        <v>-1.619186597</v>
      </c>
      <c r="AP81" s="167">
        <f t="shared" si="17"/>
        <v>-2.727605153</v>
      </c>
      <c r="AQ81" s="167">
        <f t="array" ref="AQ81">INDIRECT("Update"&amp;Projections!$AG$11&amp;"!S"&amp;ROW(B62))</f>
        <v>0.574801</v>
      </c>
      <c r="AR81" s="167">
        <f t="array" ref="AR81">INDIRECT("Update"&amp;Projections!$AG$11&amp;"!T"&amp;ROW(B62))</f>
        <v>0.744962</v>
      </c>
    </row>
    <row r="82">
      <c r="A82" s="50" t="str">
        <f>IF(UpdateHashtag!C80="",ROW(UpdateHashtag!C80),UpdateHashtag!C80)</f>
        <v>Jalen Suggs</v>
      </c>
      <c r="B82" s="53">
        <f>IF(TYPE($A82)=1,"",(UpdateHashtag!M80-B$1)/B$2)</f>
        <v>-0.5569615694</v>
      </c>
      <c r="C82" s="53">
        <f>IF(TYPE($A82)=1,"",(UpdateHashtag!L80-C$1)/C$2)</f>
        <v>0.415739467</v>
      </c>
      <c r="D82" s="53">
        <f>IF(TYPE($A82)=1,"",(UpdateHashtag!N80-D$1)/D$2)</f>
        <v>-1.064659472</v>
      </c>
      <c r="E82" s="53">
        <f>IF(TYPE($A82)=1,"",(UpdateHashtag!O80-E$1)/E$2)</f>
        <v>-0.1157282756</v>
      </c>
      <c r="F82" s="53">
        <f>IF(TYPE($A82)=1,"",(UpdateHashtag!P80-F$1)/F$2)</f>
        <v>1.69064066</v>
      </c>
      <c r="G82" s="53">
        <f>IF(TYPE($A82)=1,"",(UpdateHashtag!Q80-G$1)/G$2)</f>
        <v>-0.05494381853</v>
      </c>
      <c r="H82" s="53">
        <f>IF(TYPE($A82)=1,"",(UpdateHashtag!I80-H$1)/H$2*I82/$I$1)</f>
        <v>-9.701472393</v>
      </c>
      <c r="I82" s="53">
        <f>UpdateHashtag!S80</f>
        <v>10.7</v>
      </c>
      <c r="J82" s="58">
        <f>IF(TYPE($A82)=1,"",(UpdateHashtag!K80-J$1)/J$2*K82/$K$1)</f>
        <v>-1.149910249</v>
      </c>
      <c r="K82" s="59">
        <f>UpdateHashtag!T80</f>
        <v>2.4</v>
      </c>
      <c r="L82" s="53">
        <f>IF(TYPE($A82)=1,"",-(UpdateHashtag!R80-L$1)/L$2)</f>
        <v>-0.2493047061</v>
      </c>
      <c r="N82" s="106">
        <f t="shared" si="3"/>
        <v>1.718882394</v>
      </c>
      <c r="O82" s="106">
        <f t="shared" si="4"/>
        <v>65</v>
      </c>
      <c r="P82" s="163" t="str">
        <f t="array" ref="P82">INDIRECT("Update"&amp;Projections!$AG$11&amp;"!B"&amp;ROW(B63))</f>
        <v/>
      </c>
      <c r="Q82" s="164" t="str">
        <f t="array" ref="Q82">INDIRECT("Update"&amp;Projections!$AG$11&amp;"!C"&amp;ROW(B63))</f>
        <v>Desmond Bane</v>
      </c>
      <c r="R82" s="163">
        <f>UpdateBBM!F63</f>
        <v>68</v>
      </c>
      <c r="S82" s="165" t="str">
        <f t="array" ref="S82">INDIRECT("Update"&amp;Projections!$AG$11&amp;"!D"&amp;ROW(B63))</f>
        <v>G,F</v>
      </c>
      <c r="T82" s="144">
        <f t="shared" si="5"/>
        <v>1.561231713</v>
      </c>
      <c r="U82" s="144">
        <f>SUM(AF82:AN82)-IFERROR(IFS(Projections!$I$11,AO82,Projections!$J$11,AP82),"")</f>
        <v>1.609590543</v>
      </c>
      <c r="V82" s="144">
        <f t="shared" si="6"/>
        <v>0.04835883078</v>
      </c>
      <c r="W82" s="144">
        <f t="array" ref="W82">INDIRECT("Update"&amp;Projections!$AG$11&amp;"!M"&amp;ROW(B63))</f>
        <v>18.04632</v>
      </c>
      <c r="X82" s="144">
        <f t="array" ref="X82">INDIRECT("Update"&amp;Projections!$AG$11&amp;"!L"&amp;ROW(B63))</f>
        <v>2.480147</v>
      </c>
      <c r="Y82" s="144">
        <f t="array" ref="Y82">INDIRECT("Update"&amp;Projections!$AG$11&amp;"!N"&amp;ROW(B63))</f>
        <v>4.512059</v>
      </c>
      <c r="Z82" s="144">
        <f t="array" ref="Z82">INDIRECT("Update"&amp;Projections!$AG$11&amp;"!O"&amp;ROW(B63))</f>
        <v>4.165</v>
      </c>
      <c r="AA82" s="144">
        <f t="array" ref="AA82">INDIRECT("Update"&amp;Projections!$AG$11&amp;"!P"&amp;ROW(B63))</f>
        <v>1.043235</v>
      </c>
      <c r="AB82" s="144">
        <f t="array" ref="AB82">INDIRECT("Update"&amp;Projections!$AG$11&amp;"!Q"&amp;ROW(B63))</f>
        <v>0.346618</v>
      </c>
      <c r="AC82" s="166">
        <f t="array" ref="AC82">INDIRECT("Update"&amp;Projections!$AG$11&amp;"!I"&amp;ROW(B63))</f>
        <v>0.485113</v>
      </c>
      <c r="AD82" s="166">
        <f t="array" ref="AD82">INDIRECT("Update"&amp;Projections!$AG$11&amp;"!K"&amp;ROW(B63))</f>
        <v>0.88803</v>
      </c>
      <c r="AE82" s="144">
        <f t="array" ref="AE82">INDIRECT("Update"&amp;Projections!$AG$11&amp;"!R"&amp;ROW(B63))</f>
        <v>1.943676</v>
      </c>
      <c r="AF82" s="144">
        <f t="shared" si="7"/>
        <v>0.1529353802</v>
      </c>
      <c r="AG82" s="144">
        <f t="shared" si="8"/>
        <v>0.6863148077</v>
      </c>
      <c r="AH82" s="144">
        <f t="shared" si="9"/>
        <v>-0.654417707</v>
      </c>
      <c r="AI82" s="144">
        <f t="shared" si="10"/>
        <v>0.1602824153</v>
      </c>
      <c r="AJ82" s="144">
        <f t="shared" si="11"/>
        <v>-0.00595037251</v>
      </c>
      <c r="AK82" s="144">
        <f t="shared" si="12"/>
        <v>-0.697389547</v>
      </c>
      <c r="AL82" s="144">
        <f t="shared" si="13"/>
        <v>-0.1467413888</v>
      </c>
      <c r="AM82" s="144">
        <f t="shared" si="14"/>
        <v>1.417167408</v>
      </c>
      <c r="AN82" s="144">
        <f t="shared" si="15"/>
        <v>0</v>
      </c>
      <c r="AO82" s="167">
        <f t="shared" si="16"/>
        <v>-0.697389547</v>
      </c>
      <c r="AP82" s="167">
        <f t="shared" si="17"/>
        <v>-1.351807254</v>
      </c>
      <c r="AQ82" s="167">
        <f t="array" ref="AQ82">INDIRECT("Update"&amp;Projections!$AG$11&amp;"!S"&amp;ROW(B63))</f>
        <v>0.485113</v>
      </c>
      <c r="AR82" s="167">
        <f t="array" ref="AR82">INDIRECT("Update"&amp;Projections!$AG$11&amp;"!T"&amp;ROW(B63))</f>
        <v>0.88803</v>
      </c>
    </row>
    <row r="83">
      <c r="A83" s="50" t="str">
        <f>IF(UpdateHashtag!C81="",ROW(UpdateHashtag!C81),UpdateHashtag!C81)</f>
        <v>Jabari Smith Jr.</v>
      </c>
      <c r="B83" s="53">
        <f>IF(TYPE($A83)=1,"",(UpdateHashtag!M81-B$1)/B$2)</f>
        <v>-0.5569615694</v>
      </c>
      <c r="C83" s="53">
        <f>IF(TYPE($A83)=1,"",(UpdateHashtag!L81-C$1)/C$2)</f>
        <v>0.1259894351</v>
      </c>
      <c r="D83" s="53">
        <f>IF(TYPE($A83)=1,"",(UpdateHashtag!N81-D$1)/D$2)</f>
        <v>0.9215731983</v>
      </c>
      <c r="E83" s="53">
        <f>IF(TYPE($A83)=1,"",(UpdateHashtag!O81-E$1)/E$2)</f>
        <v>-1.141608719</v>
      </c>
      <c r="F83" s="53">
        <f>IF(TYPE($A83)=1,"",(UpdateHashtag!P81-F$1)/F$2)</f>
        <v>-0.7471433709</v>
      </c>
      <c r="G83" s="53">
        <f>IF(TYPE($A83)=1,"",(UpdateHashtag!Q81-G$1)/G$2)</f>
        <v>0.3086546265</v>
      </c>
      <c r="H83" s="53">
        <f>IF(TYPE($A83)=1,"",(UpdateHashtag!I81-H$1)/H$2*I83/$I$1)</f>
        <v>-10.44100012</v>
      </c>
      <c r="I83" s="53">
        <f>UpdateHashtag!S81</f>
        <v>10.8</v>
      </c>
      <c r="J83" s="58">
        <f>IF(TYPE($A83)=1,"",(UpdateHashtag!K81-J$1)/J$2*K83/$K$1)</f>
        <v>1.492611643</v>
      </c>
      <c r="K83" s="59">
        <f>UpdateHashtag!T81</f>
        <v>2.6</v>
      </c>
      <c r="L83" s="53">
        <f>IF(TYPE($A83)=1,"",-(UpdateHashtag!R81-L$1)/L$2)</f>
        <v>0.4450452712</v>
      </c>
      <c r="N83" s="106">
        <f t="shared" si="3"/>
        <v>1.659799969</v>
      </c>
      <c r="O83" s="106">
        <f t="shared" si="4"/>
        <v>61</v>
      </c>
      <c r="P83" s="163" t="str">
        <f t="array" ref="P83">INDIRECT("Update"&amp;Projections!$AG$11&amp;"!B"&amp;ROW(B64))</f>
        <v/>
      </c>
      <c r="Q83" s="164" t="str">
        <f t="array" ref="Q83">INDIRECT("Update"&amp;Projections!$AG$11&amp;"!C"&amp;ROW(B64))</f>
        <v>Jalen Brunson</v>
      </c>
      <c r="R83" s="163">
        <f>UpdateBBM!F64</f>
        <v>68</v>
      </c>
      <c r="S83" s="165" t="str">
        <f t="array" ref="S83">INDIRECT("Update"&amp;Projections!$AG$11&amp;"!D"&amp;ROW(B64))</f>
        <v>G</v>
      </c>
      <c r="T83" s="144">
        <f t="shared" si="5"/>
        <v>1.875886597</v>
      </c>
      <c r="U83" s="144">
        <f>SUM(AF83:AN83)-IFERROR(IFS(Projections!$I$11,AO83,Projections!$J$11,AP83),"")</f>
        <v>2.088679654</v>
      </c>
      <c r="V83" s="144">
        <f t="shared" si="6"/>
        <v>0.2127930565</v>
      </c>
      <c r="W83" s="144">
        <f t="array" ref="W83">INDIRECT("Update"&amp;Projections!$AG$11&amp;"!M"&amp;ROW(B64))</f>
        <v>24.84897</v>
      </c>
      <c r="X83" s="144">
        <f t="array" ref="X83">INDIRECT("Update"&amp;Projections!$AG$11&amp;"!L"&amp;ROW(B64))</f>
        <v>2.247647</v>
      </c>
      <c r="Y83" s="144">
        <f t="array" ref="Y83">INDIRECT("Update"&amp;Projections!$AG$11&amp;"!N"&amp;ROW(B64))</f>
        <v>2.815294</v>
      </c>
      <c r="Z83" s="144">
        <f t="array" ref="Z83">INDIRECT("Update"&amp;Projections!$AG$11&amp;"!O"&amp;ROW(B64))</f>
        <v>6.713382</v>
      </c>
      <c r="AA83" s="144">
        <f t="array" ref="AA83">INDIRECT("Update"&amp;Projections!$AG$11&amp;"!P"&amp;ROW(B64))</f>
        <v>0.933676</v>
      </c>
      <c r="AB83" s="144">
        <f t="array" ref="AB83">INDIRECT("Update"&amp;Projections!$AG$11&amp;"!Q"&amp;ROW(B64))</f>
        <v>0.144853</v>
      </c>
      <c r="AC83" s="166">
        <f t="array" ref="AC83">INDIRECT("Update"&amp;Projections!$AG$11&amp;"!I"&amp;ROW(B64))</f>
        <v>0.482759</v>
      </c>
      <c r="AD83" s="166">
        <f t="array" ref="AD83">INDIRECT("Update"&amp;Projections!$AG$11&amp;"!K"&amp;ROW(B64))</f>
        <v>0.82301</v>
      </c>
      <c r="AE83" s="144">
        <f t="array" ref="AE83">INDIRECT("Update"&amp;Projections!$AG$11&amp;"!R"&amp;ROW(B64))</f>
        <v>2.606765</v>
      </c>
      <c r="AF83" s="144">
        <f t="shared" si="7"/>
        <v>1.346410064</v>
      </c>
      <c r="AG83" s="144">
        <f t="shared" si="8"/>
        <v>0.4617585329</v>
      </c>
      <c r="AH83" s="144">
        <f t="shared" si="9"/>
        <v>-1.342207519</v>
      </c>
      <c r="AI83" s="144">
        <f t="shared" si="10"/>
        <v>1.405203966</v>
      </c>
      <c r="AJ83" s="144">
        <f t="shared" si="11"/>
        <v>-0.3398018483</v>
      </c>
      <c r="AK83" s="144">
        <f t="shared" si="12"/>
        <v>-1.064196748</v>
      </c>
      <c r="AL83" s="144">
        <f t="shared" si="13"/>
        <v>-0.1801670037</v>
      </c>
      <c r="AM83" s="144">
        <f t="shared" si="14"/>
        <v>0.4594726902</v>
      </c>
      <c r="AN83" s="144">
        <f t="shared" si="15"/>
        <v>0</v>
      </c>
      <c r="AO83" s="167">
        <f t="shared" si="16"/>
        <v>-1.342207519</v>
      </c>
      <c r="AP83" s="167">
        <f t="shared" si="17"/>
        <v>-2.406404267</v>
      </c>
      <c r="AQ83" s="167">
        <f t="array" ref="AQ83">INDIRECT("Update"&amp;Projections!$AG$11&amp;"!S"&amp;ROW(B64))</f>
        <v>0.482759</v>
      </c>
      <c r="AR83" s="167">
        <f t="array" ref="AR83">INDIRECT("Update"&amp;Projections!$AG$11&amp;"!T"&amp;ROW(B64))</f>
        <v>0.82301</v>
      </c>
    </row>
    <row r="84">
      <c r="A84" s="50" t="str">
        <f>IF(UpdateHashtag!C82="",ROW(UpdateHashtag!C82),UpdateHashtag!C82)</f>
        <v>Taylor Hendricks</v>
      </c>
      <c r="B84" s="53">
        <f>IF(TYPE($A84)=1,"",(UpdateHashtag!M82-B$1)/B$2)</f>
        <v>-1.01311236</v>
      </c>
      <c r="C84" s="53">
        <f>IF(TYPE($A84)=1,"",(UpdateHashtag!L82-C$1)/C$2)</f>
        <v>0.2225727791</v>
      </c>
      <c r="D84" s="53">
        <f>IF(TYPE($A84)=1,"",(UpdateHashtag!N82-D$1)/D$2)</f>
        <v>0.3540781495</v>
      </c>
      <c r="E84" s="53">
        <f>IF(TYPE($A84)=1,"",(UpdateHashtag!O82-E$1)/E$2)</f>
        <v>-1.288163069</v>
      </c>
      <c r="F84" s="53">
        <f>IF(TYPE($A84)=1,"",(UpdateHashtag!P82-F$1)/F$2)</f>
        <v>0.1670256406</v>
      </c>
      <c r="G84" s="53">
        <f>IF(TYPE($A84)=1,"",(UpdateHashtag!Q82-G$1)/G$2)</f>
        <v>0.6722530715</v>
      </c>
      <c r="H84" s="53">
        <f>IF(TYPE($A84)=1,"",(UpdateHashtag!I82-H$1)/H$2*I84/$I$1)</f>
        <v>-6.537967557</v>
      </c>
      <c r="I84" s="53">
        <f>UpdateHashtag!S82</f>
        <v>9</v>
      </c>
      <c r="J84" s="58">
        <f>IF(TYPE($A84)=1,"",(UpdateHashtag!K82-J$1)/J$2*K84/$K$1)</f>
        <v>0.1750982503</v>
      </c>
      <c r="K84" s="59">
        <f>UpdateHashtag!T82</f>
        <v>1.1</v>
      </c>
      <c r="L84" s="53">
        <f>IF(TYPE($A84)=1,"",-(UpdateHashtag!R82-L$1)/L$2)</f>
        <v>0.7426238329</v>
      </c>
      <c r="N84" s="106">
        <f t="shared" si="3"/>
        <v>1.612488075</v>
      </c>
      <c r="O84" s="106">
        <f t="shared" si="4"/>
        <v>72</v>
      </c>
      <c r="P84" s="163" t="str">
        <f t="array" ref="P84">INDIRECT("Update"&amp;Projections!$AG$11&amp;"!B"&amp;ROW(B65))</f>
        <v/>
      </c>
      <c r="Q84" s="164" t="str">
        <f t="array" ref="Q84">INDIRECT("Update"&amp;Projections!$AG$11&amp;"!C"&amp;ROW(B65))</f>
        <v>Isaiah Hartenstein</v>
      </c>
      <c r="R84" s="163">
        <f>UpdateBBM!F65</f>
        <v>68</v>
      </c>
      <c r="S84" s="165" t="str">
        <f t="array" ref="S84">INDIRECT("Update"&amp;Projections!$AG$11&amp;"!D"&amp;ROW(B65))</f>
        <v>C</v>
      </c>
      <c r="T84" s="144">
        <f t="shared" si="5"/>
        <v>1.233262632</v>
      </c>
      <c r="U84" s="144">
        <f>SUM(AF84:AN84)-IFERROR(IFS(Projections!$I$11,AO84,Projections!$J$11,AP84),"")</f>
        <v>1.183778128</v>
      </c>
      <c r="V84" s="144">
        <f t="shared" si="6"/>
        <v>-0.04948450435</v>
      </c>
      <c r="W84" s="144">
        <f t="array" ref="W84">INDIRECT("Update"&amp;Projections!$AG$11&amp;"!M"&amp;ROW(B65))</f>
        <v>10.70441</v>
      </c>
      <c r="X84" s="144">
        <f t="array" ref="X84">INDIRECT("Update"&amp;Projections!$AG$11&amp;"!L"&amp;ROW(B65))</f>
        <v>0.062941</v>
      </c>
      <c r="Y84" s="144">
        <f t="array" ref="Y84">INDIRECT("Update"&amp;Projections!$AG$11&amp;"!N"&amp;ROW(B65))</f>
        <v>9.466912</v>
      </c>
      <c r="Z84" s="144">
        <f t="array" ref="Z84">INDIRECT("Update"&amp;Projections!$AG$11&amp;"!O"&amp;ROW(B65))</f>
        <v>3.4425</v>
      </c>
      <c r="AA84" s="144">
        <f t="array" ref="AA84">INDIRECT("Update"&amp;Projections!$AG$11&amp;"!P"&amp;ROW(B65))</f>
        <v>0.911618</v>
      </c>
      <c r="AB84" s="144">
        <f t="array" ref="AB84">INDIRECT("Update"&amp;Projections!$AG$11&amp;"!Q"&amp;ROW(B65))</f>
        <v>1.095</v>
      </c>
      <c r="AC84" s="166">
        <f t="array" ref="AC84">INDIRECT("Update"&amp;Projections!$AG$11&amp;"!I"&amp;ROW(B65))</f>
        <v>0.599334</v>
      </c>
      <c r="AD84" s="166">
        <f t="array" ref="AD84">INDIRECT("Update"&amp;Projections!$AG$11&amp;"!K"&amp;ROW(B65))</f>
        <v>0.700976</v>
      </c>
      <c r="AE84" s="144">
        <f t="array" ref="AE84">INDIRECT("Update"&amp;Projections!$AG$11&amp;"!R"&amp;ROW(B65))</f>
        <v>1.549118</v>
      </c>
      <c r="AF84" s="144">
        <f t="shared" si="7"/>
        <v>-1.135148487</v>
      </c>
      <c r="AG84" s="144">
        <f t="shared" si="8"/>
        <v>-1.648303578</v>
      </c>
      <c r="AH84" s="144">
        <f t="shared" si="9"/>
        <v>1.354049825</v>
      </c>
      <c r="AI84" s="144">
        <f t="shared" si="10"/>
        <v>-0.1926693089</v>
      </c>
      <c r="AJ84" s="144">
        <f t="shared" si="11"/>
        <v>-0.4070176485</v>
      </c>
      <c r="AK84" s="144">
        <f t="shared" si="12"/>
        <v>0.6631631103</v>
      </c>
      <c r="AL84" s="144">
        <f t="shared" si="13"/>
        <v>1.875128705</v>
      </c>
      <c r="AM84" s="144">
        <f t="shared" si="14"/>
        <v>-0.973728068</v>
      </c>
      <c r="AN84" s="144">
        <f t="shared" si="15"/>
        <v>0</v>
      </c>
      <c r="AO84" s="167">
        <f t="shared" si="16"/>
        <v>-1.648303578</v>
      </c>
      <c r="AP84" s="167">
        <f t="shared" si="17"/>
        <v>-2.783452065</v>
      </c>
      <c r="AQ84" s="167">
        <f t="array" ref="AQ84">INDIRECT("Update"&amp;Projections!$AG$11&amp;"!S"&amp;ROW(B65))</f>
        <v>0.599334</v>
      </c>
      <c r="AR84" s="167">
        <f t="array" ref="AR84">INDIRECT("Update"&amp;Projections!$AG$11&amp;"!T"&amp;ROW(B65))</f>
        <v>0.700976</v>
      </c>
    </row>
    <row r="85">
      <c r="A85" s="50" t="str">
        <f>IF(UpdateHashtag!C83="",ROW(UpdateHashtag!C83),UpdateHashtag!C83)</f>
        <v>Bogdan Bogdanovic</v>
      </c>
      <c r="B85" s="53">
        <f>IF(TYPE($A85)=1,"",(UpdateHashtag!M83-B$1)/B$2)</f>
        <v>-0.01308947235</v>
      </c>
      <c r="C85" s="53">
        <f>IF(TYPE($A85)=1,"",(UpdateHashtag!L83-C$1)/C$2)</f>
        <v>1.284989563</v>
      </c>
      <c r="D85" s="53">
        <f>IF(TYPE($A85)=1,"",(UpdateHashtag!N83-D$1)/D$2)</f>
        <v>-1.064659472</v>
      </c>
      <c r="E85" s="53">
        <f>IF(TYPE($A85)=1,"",(UpdateHashtag!O83-E$1)/E$2)</f>
        <v>-0.3111340744</v>
      </c>
      <c r="F85" s="53">
        <f>IF(TYPE($A85)=1,"",(UpdateHashtag!P83-F$1)/F$2)</f>
        <v>0.1670256406</v>
      </c>
      <c r="G85" s="53">
        <f>IF(TYPE($A85)=1,"",(UpdateHashtag!Q83-G$1)/G$2)</f>
        <v>-0.600341486</v>
      </c>
      <c r="H85" s="53">
        <f>IF(TYPE($A85)=1,"",(UpdateHashtag!I83-H$1)/H$2*I85/$I$1)</f>
        <v>-25.17941609</v>
      </c>
      <c r="I85" s="53">
        <f>UpdateHashtag!S83</f>
        <v>13.7</v>
      </c>
      <c r="J85" s="58">
        <f>IF(TYPE($A85)=1,"",(UpdateHashtag!K83-J$1)/J$2*K85/$K$1)</f>
        <v>3.706068971</v>
      </c>
      <c r="K85" s="59">
        <f>UpdateHashtag!T83</f>
        <v>2.3</v>
      </c>
      <c r="L85" s="53">
        <f>IF(TYPE($A85)=1,"",-(UpdateHashtag!R83-L$1)/L$2)</f>
        <v>0.3458524173</v>
      </c>
      <c r="N85" s="106">
        <f t="shared" si="3"/>
        <v>1.561231713</v>
      </c>
      <c r="O85" s="106">
        <f t="shared" si="4"/>
        <v>50</v>
      </c>
      <c r="P85" s="163" t="str">
        <f t="array" ref="P85">INDIRECT("Update"&amp;Projections!$AG$11&amp;"!B"&amp;ROW(B66))</f>
        <v/>
      </c>
      <c r="Q85" s="164" t="str">
        <f t="array" ref="Q85">INDIRECT("Update"&amp;Projections!$AG$11&amp;"!C"&amp;ROW(B66))</f>
        <v>Jarrett Allen</v>
      </c>
      <c r="R85" s="163">
        <f>UpdateBBM!F66</f>
        <v>77</v>
      </c>
      <c r="S85" s="165" t="str">
        <f t="array" ref="S85">INDIRECT("Update"&amp;Projections!$AG$11&amp;"!D"&amp;ROW(B66))</f>
        <v>C</v>
      </c>
      <c r="T85" s="144">
        <f t="shared" si="5"/>
        <v>2.2981056</v>
      </c>
      <c r="U85" s="144">
        <f>SUM(AF85:AN85)-IFERROR(IFS(Projections!$I$11,AO85,Projections!$J$11,AP85),"")</f>
        <v>2.171385572</v>
      </c>
      <c r="V85" s="144">
        <f t="shared" si="6"/>
        <v>-0.1267200281</v>
      </c>
      <c r="W85" s="144">
        <f t="array" ref="W85">INDIRECT("Update"&amp;Projections!$AG$11&amp;"!M"&amp;ROW(B66))</f>
        <v>13.5139</v>
      </c>
      <c r="X85" s="144">
        <f t="array" ref="X85">INDIRECT("Update"&amp;Projections!$AG$11&amp;"!L"&amp;ROW(B66))</f>
        <v>0</v>
      </c>
      <c r="Y85" s="144">
        <f t="array" ref="Y85">INDIRECT("Update"&amp;Projections!$AG$11&amp;"!N"&amp;ROW(B66))</f>
        <v>9.24987</v>
      </c>
      <c r="Z85" s="144">
        <f t="array" ref="Z85">INDIRECT("Update"&amp;Projections!$AG$11&amp;"!O"&amp;ROW(B66))</f>
        <v>1.941688</v>
      </c>
      <c r="AA85" s="144">
        <f t="array" ref="AA85">INDIRECT("Update"&amp;Projections!$AG$11&amp;"!P"&amp;ROW(B66))</f>
        <v>0.824805</v>
      </c>
      <c r="AB85" s="144">
        <f t="array" ref="AB85">INDIRECT("Update"&amp;Projections!$AG$11&amp;"!Q"&amp;ROW(B66))</f>
        <v>0.825065</v>
      </c>
      <c r="AC85" s="166">
        <f t="array" ref="AC85">INDIRECT("Update"&amp;Projections!$AG$11&amp;"!I"&amp;ROW(B66))</f>
        <v>0.683118</v>
      </c>
      <c r="AD85" s="166">
        <f t="array" ref="AD85">INDIRECT("Update"&amp;Projections!$AG$11&amp;"!K"&amp;ROW(B66))</f>
        <v>0.709998</v>
      </c>
      <c r="AE85" s="144">
        <f t="array" ref="AE85">INDIRECT("Update"&amp;Projections!$AG$11&amp;"!R"&amp;ROW(B66))</f>
        <v>1.237662</v>
      </c>
      <c r="AF85" s="144">
        <f t="shared" si="7"/>
        <v>-0.642244223</v>
      </c>
      <c r="AG85" s="144">
        <f t="shared" si="8"/>
        <v>-1.709094101</v>
      </c>
      <c r="AH85" s="144">
        <f t="shared" si="9"/>
        <v>1.266071068</v>
      </c>
      <c r="AI85" s="144">
        <f t="shared" si="10"/>
        <v>-0.9258377282</v>
      </c>
      <c r="AJ85" s="144">
        <f t="shared" si="11"/>
        <v>-0.6715568298</v>
      </c>
      <c r="AK85" s="144">
        <f t="shared" si="12"/>
        <v>0.1724233791</v>
      </c>
      <c r="AL85" s="144">
        <f t="shared" si="13"/>
        <v>3.85657155</v>
      </c>
      <c r="AM85" s="144">
        <f t="shared" si="14"/>
        <v>-0.8840416437</v>
      </c>
      <c r="AN85" s="144">
        <f t="shared" si="15"/>
        <v>0</v>
      </c>
      <c r="AO85" s="167">
        <f t="shared" si="16"/>
        <v>-1.709094101</v>
      </c>
      <c r="AP85" s="167">
        <f t="shared" si="17"/>
        <v>-2.634931829</v>
      </c>
      <c r="AQ85" s="167">
        <f t="array" ref="AQ85">INDIRECT("Update"&amp;Projections!$AG$11&amp;"!S"&amp;ROW(B66))</f>
        <v>0.683118</v>
      </c>
      <c r="AR85" s="167">
        <f t="array" ref="AR85">INDIRECT("Update"&amp;Projections!$AG$11&amp;"!T"&amp;ROW(B66))</f>
        <v>0.709998</v>
      </c>
    </row>
    <row r="86">
      <c r="A86" s="50" t="str">
        <f>IF(UpdateHashtag!C84="",ROW(UpdateHashtag!C84),UpdateHashtag!C84)</f>
        <v>Paolo Banchero</v>
      </c>
      <c r="B86" s="53">
        <f>IF(TYPE($A86)=1,"",(UpdateHashtag!M84-B$1)/B$2)</f>
        <v>1.039566199</v>
      </c>
      <c r="C86" s="53">
        <f>IF(TYPE($A86)=1,"",(UpdateHashtag!L84-C$1)/C$2)</f>
        <v>-0.1637605968</v>
      </c>
      <c r="D86" s="53">
        <f>IF(TYPE($A86)=1,"",(UpdateHashtag!N84-D$1)/D$2)</f>
        <v>0.516219592</v>
      </c>
      <c r="E86" s="53">
        <f>IF(TYPE($A86)=1,"",(UpdateHashtag!O84-E$1)/E$2)</f>
        <v>0.9101521683</v>
      </c>
      <c r="F86" s="53">
        <f>IF(TYPE($A86)=1,"",(UpdateHashtag!P84-F$1)/F$2)</f>
        <v>-0.1376973632</v>
      </c>
      <c r="G86" s="53">
        <f>IF(TYPE($A86)=1,"",(UpdateHashtag!Q84-G$1)/G$2)</f>
        <v>-0.05494381853</v>
      </c>
      <c r="H86" s="53">
        <f>IF(TYPE($A86)=1,"",(UpdateHashtag!I84-H$1)/H$2*I86/$I$1)</f>
        <v>-17.3443039</v>
      </c>
      <c r="I86" s="53">
        <f>UpdateHashtag!S84</f>
        <v>17.4</v>
      </c>
      <c r="J86" s="58">
        <f>IF(TYPE($A86)=1,"",(UpdateHashtag!K84-J$1)/J$2*K86/$K$1)</f>
        <v>-6.733912541</v>
      </c>
      <c r="K86" s="59">
        <f>UpdateHashtag!T84</f>
        <v>7.4</v>
      </c>
      <c r="L86" s="53">
        <f>IF(TYPE($A86)=1,"",-(UpdateHashtag!R84-L$1)/L$2)</f>
        <v>-1.241233245</v>
      </c>
      <c r="N86" s="106">
        <f t="shared" si="3"/>
        <v>1.520291587</v>
      </c>
      <c r="O86" s="106">
        <f t="shared" si="4"/>
        <v>92</v>
      </c>
      <c r="P86" s="163" t="str">
        <f t="array" ref="P86">INDIRECT("Update"&amp;Projections!$AG$11&amp;"!B"&amp;ROW(B67))</f>
        <v/>
      </c>
      <c r="Q86" s="164" t="str">
        <f t="array" ref="Q86">INDIRECT("Update"&amp;Projections!$AG$11&amp;"!C"&amp;ROW(B67))</f>
        <v>Keegan Murray</v>
      </c>
      <c r="R86" s="163">
        <f>UpdateBBM!F67</f>
        <v>77</v>
      </c>
      <c r="S86" s="165" t="str">
        <f t="array" ref="S86">INDIRECT("Update"&amp;Projections!$AG$11&amp;"!D"&amp;ROW(B67))</f>
        <v>F</v>
      </c>
      <c r="T86" s="144">
        <f t="shared" si="5"/>
        <v>0.3241306954</v>
      </c>
      <c r="U86" s="144">
        <f>SUM(AF86:AN86)-IFERROR(IFS(Projections!$I$11,AO86,Projections!$J$11,AP86),"")</f>
        <v>0.06056966165</v>
      </c>
      <c r="V86" s="144">
        <f t="shared" si="6"/>
        <v>-0.2635610338</v>
      </c>
      <c r="W86" s="144">
        <f t="array" ref="W86">INDIRECT("Update"&amp;Projections!$AG$11&amp;"!M"&amp;ROW(B67))</f>
        <v>12.73091</v>
      </c>
      <c r="X86" s="144">
        <f t="array" ref="X86">INDIRECT("Update"&amp;Projections!$AG$11&amp;"!L"&amp;ROW(B67))</f>
        <v>2.393766</v>
      </c>
      <c r="Y86" s="144">
        <f t="array" ref="Y86">INDIRECT("Update"&amp;Projections!$AG$11&amp;"!N"&amp;ROW(B67))</f>
        <v>6.183766</v>
      </c>
      <c r="Z86" s="144">
        <f t="array" ref="Z86">INDIRECT("Update"&amp;Projections!$AG$11&amp;"!O"&amp;ROW(B67))</f>
        <v>1.453247</v>
      </c>
      <c r="AA86" s="144">
        <f t="array" ref="AA86">INDIRECT("Update"&amp;Projections!$AG$11&amp;"!P"&amp;ROW(B67))</f>
        <v>0.827013</v>
      </c>
      <c r="AB86" s="144">
        <f t="array" ref="AB86">INDIRECT("Update"&amp;Projections!$AG$11&amp;"!Q"&amp;ROW(B67))</f>
        <v>0.95987</v>
      </c>
      <c r="AC86" s="166">
        <f t="array" ref="AC86">INDIRECT("Update"&amp;Projections!$AG$11&amp;"!I"&amp;ROW(B67))</f>
        <v>0.469411</v>
      </c>
      <c r="AD86" s="166">
        <f t="array" ref="AD86">INDIRECT("Update"&amp;Projections!$AG$11&amp;"!K"&amp;ROW(B67))</f>
        <v>0.848912</v>
      </c>
      <c r="AE86" s="144">
        <f t="array" ref="AE86">INDIRECT("Update"&amp;Projections!$AG$11&amp;"!R"&amp;ROW(B67))</f>
        <v>0.685844</v>
      </c>
      <c r="AF86" s="144">
        <f t="shared" si="7"/>
        <v>-0.7796140338</v>
      </c>
      <c r="AG86" s="144">
        <f t="shared" si="8"/>
        <v>0.6028851493</v>
      </c>
      <c r="AH86" s="144">
        <f t="shared" si="9"/>
        <v>0.02321475404</v>
      </c>
      <c r="AI86" s="144">
        <f t="shared" si="10"/>
        <v>-1.164448238</v>
      </c>
      <c r="AJ86" s="144">
        <f t="shared" si="11"/>
        <v>-0.6648285458</v>
      </c>
      <c r="AK86" s="144">
        <f t="shared" si="12"/>
        <v>0.417497821</v>
      </c>
      <c r="AL86" s="144">
        <f t="shared" si="13"/>
        <v>-0.3634058328</v>
      </c>
      <c r="AM86" s="144">
        <f t="shared" si="14"/>
        <v>0.8248203497</v>
      </c>
      <c r="AN86" s="144">
        <f t="shared" si="15"/>
        <v>0</v>
      </c>
      <c r="AO86" s="167">
        <f t="shared" si="16"/>
        <v>-1.164448238</v>
      </c>
      <c r="AP86" s="167">
        <f t="shared" si="17"/>
        <v>-1.944062271</v>
      </c>
      <c r="AQ86" s="167">
        <f t="array" ref="AQ86">INDIRECT("Update"&amp;Projections!$AG$11&amp;"!S"&amp;ROW(B67))</f>
        <v>0.469411</v>
      </c>
      <c r="AR86" s="167">
        <f t="array" ref="AR86">INDIRECT("Update"&amp;Projections!$AG$11&amp;"!T"&amp;ROW(B67))</f>
        <v>0.848912</v>
      </c>
    </row>
    <row r="87">
      <c r="A87" s="50" t="str">
        <f>IF(UpdateHashtag!C85="",ROW(UpdateHashtag!C85),UpdateHashtag!C85)</f>
        <v>Austin Reaves</v>
      </c>
      <c r="B87" s="53">
        <f>IF(TYPE($A87)=1,"",(UpdateHashtag!M85-B$1)/B$2)</f>
        <v>-0.2587091291</v>
      </c>
      <c r="C87" s="53">
        <f>IF(TYPE($A87)=1,"",(UpdateHashtag!L85-C$1)/C$2)</f>
        <v>0.2225727791</v>
      </c>
      <c r="D87" s="53">
        <f>IF(TYPE($A87)=1,"",(UpdateHashtag!N85-D$1)/D$2)</f>
        <v>-0.8619826693</v>
      </c>
      <c r="E87" s="53">
        <f>IF(TYPE($A87)=1,"",(UpdateHashtag!O85-E$1)/E$2)</f>
        <v>0.6170434701</v>
      </c>
      <c r="F87" s="53">
        <f>IF(TYPE($A87)=1,"",(UpdateHashtag!P85-F$1)/F$2)</f>
        <v>-0.7471433709</v>
      </c>
      <c r="G87" s="53">
        <f>IF(TYPE($A87)=1,"",(UpdateHashtag!Q85-G$1)/G$2)</f>
        <v>-0.7821407085</v>
      </c>
      <c r="H87" s="53">
        <f>IF(TYPE($A87)=1,"",(UpdateHashtag!I85-H$1)/H$2*I87/$I$1)</f>
        <v>-4.276832368</v>
      </c>
      <c r="I87" s="53">
        <f>UpdateHashtag!S85</f>
        <v>10.8</v>
      </c>
      <c r="J87" s="58">
        <f>IF(TYPE($A87)=1,"",(UpdateHashtag!K85-J$1)/J$2*K87/$K$1)</f>
        <v>4.417148626</v>
      </c>
      <c r="K87" s="59">
        <f>UpdateHashtag!T85</f>
        <v>3.9</v>
      </c>
      <c r="L87" s="53">
        <f>IF(TYPE($A87)=1,"",-(UpdateHashtag!R85-L$1)/L$2)</f>
        <v>-0.2493047061</v>
      </c>
      <c r="N87" s="106">
        <f t="shared" si="3"/>
        <v>1.509385936</v>
      </c>
      <c r="O87" s="106">
        <f t="shared" si="4"/>
        <v>63</v>
      </c>
      <c r="P87" s="163" t="str">
        <f t="array" ref="P87">INDIRECT("Update"&amp;Projections!$AG$11&amp;"!B"&amp;ROW(B68))</f>
        <v/>
      </c>
      <c r="Q87" s="164" t="str">
        <f t="array" ref="Q87">INDIRECT("Update"&amp;Projections!$AG$11&amp;"!C"&amp;ROW(B68))</f>
        <v>De'Aaron Fox</v>
      </c>
      <c r="R87" s="163">
        <f>UpdateBBM!F68</f>
        <v>68</v>
      </c>
      <c r="S87" s="165" t="str">
        <f t="array" ref="S87">INDIRECT("Update"&amp;Projections!$AG$11&amp;"!D"&amp;ROW(B68))</f>
        <v>G</v>
      </c>
      <c r="T87" s="144">
        <f t="shared" si="5"/>
        <v>1.659799969</v>
      </c>
      <c r="U87" s="144">
        <f>SUM(AF87:AN87)-IFERROR(IFS(Projections!$I$11,AO87,Projections!$J$11,AP87),"")</f>
        <v>1.85326505</v>
      </c>
      <c r="V87" s="144">
        <f t="shared" si="6"/>
        <v>0.193465081</v>
      </c>
      <c r="W87" s="144">
        <f t="array" ref="W87">INDIRECT("Update"&amp;Projections!$AG$11&amp;"!M"&amp;ROW(B68))</f>
        <v>19.96029</v>
      </c>
      <c r="X87" s="144">
        <f t="array" ref="X87">INDIRECT("Update"&amp;Projections!$AG$11&amp;"!L"&amp;ROW(B68))</f>
        <v>1.665441</v>
      </c>
      <c r="Y87" s="144">
        <f t="array" ref="Y87">INDIRECT("Update"&amp;Projections!$AG$11&amp;"!N"&amp;ROW(B68))</f>
        <v>4.118235</v>
      </c>
      <c r="Z87" s="144">
        <f t="array" ref="Z87">INDIRECT("Update"&amp;Projections!$AG$11&amp;"!O"&amp;ROW(B68))</f>
        <v>6.5025</v>
      </c>
      <c r="AA87" s="144">
        <f t="array" ref="AA87">INDIRECT("Update"&amp;Projections!$AG$11&amp;"!P"&amp;ROW(B68))</f>
        <v>1.228235</v>
      </c>
      <c r="AB87" s="144">
        <f t="array" ref="AB87">INDIRECT("Update"&amp;Projections!$AG$11&amp;"!Q"&amp;ROW(B68))</f>
        <v>0.435294</v>
      </c>
      <c r="AC87" s="166">
        <f t="array" ref="AC87">INDIRECT("Update"&amp;Projections!$AG$11&amp;"!I"&amp;ROW(B68))</f>
        <v>0.454485</v>
      </c>
      <c r="AD87" s="166">
        <f t="array" ref="AD87">INDIRECT("Update"&amp;Projections!$AG$11&amp;"!K"&amp;ROW(B68))</f>
        <v>0.840016</v>
      </c>
      <c r="AE87" s="144">
        <f t="array" ref="AE87">INDIRECT("Update"&amp;Projections!$AG$11&amp;"!R"&amp;ROW(B68))</f>
        <v>2.528824</v>
      </c>
      <c r="AF87" s="144">
        <f t="shared" si="7"/>
        <v>0.4887272762</v>
      </c>
      <c r="AG87" s="144">
        <f t="shared" si="8"/>
        <v>-0.1005554907</v>
      </c>
      <c r="AH87" s="144">
        <f t="shared" si="9"/>
        <v>-0.8140556856</v>
      </c>
      <c r="AI87" s="144">
        <f t="shared" si="10"/>
        <v>1.302185052</v>
      </c>
      <c r="AJ87" s="144">
        <f t="shared" si="11"/>
        <v>0.5577871846</v>
      </c>
      <c r="AK87" s="144">
        <f t="shared" si="12"/>
        <v>-0.5361772684</v>
      </c>
      <c r="AL87" s="144">
        <f t="shared" si="13"/>
        <v>-0.555629819</v>
      </c>
      <c r="AM87" s="144">
        <f t="shared" si="14"/>
        <v>0.6969281148</v>
      </c>
      <c r="AN87" s="144">
        <f t="shared" si="15"/>
        <v>0</v>
      </c>
      <c r="AO87" s="167">
        <f t="shared" si="16"/>
        <v>-0.8140556856</v>
      </c>
      <c r="AP87" s="167">
        <f t="shared" si="17"/>
        <v>-1.369685505</v>
      </c>
      <c r="AQ87" s="167">
        <f t="array" ref="AQ87">INDIRECT("Update"&amp;Projections!$AG$11&amp;"!S"&amp;ROW(B68))</f>
        <v>0.454485</v>
      </c>
      <c r="AR87" s="167">
        <f t="array" ref="AR87">INDIRECT("Update"&amp;Projections!$AG$11&amp;"!T"&amp;ROW(B68))</f>
        <v>0.840016</v>
      </c>
    </row>
    <row r="88">
      <c r="A88" s="50" t="str">
        <f>IF(UpdateHashtag!C86="",ROW(UpdateHashtag!C86),UpdateHashtag!C86)</f>
        <v>Keegan Murray</v>
      </c>
      <c r="B88" s="53">
        <f>IF(TYPE($A88)=1,"",(UpdateHashtag!M86-B$1)/B$2)</f>
        <v>-0.4516960022</v>
      </c>
      <c r="C88" s="53">
        <f>IF(TYPE($A88)=1,"",(UpdateHashtag!L86-C$1)/C$2)</f>
        <v>0.8986561869</v>
      </c>
      <c r="D88" s="53">
        <f>IF(TYPE($A88)=1,"",(UpdateHashtag!N86-D$1)/D$2)</f>
        <v>-0.2944876205</v>
      </c>
      <c r="E88" s="53">
        <f>IF(TYPE($A88)=1,"",(UpdateHashtag!O86-E$1)/E$2)</f>
        <v>-1.09275727</v>
      </c>
      <c r="F88" s="53">
        <f>IF(TYPE($A88)=1,"",(UpdateHashtag!P86-F$1)/F$2)</f>
        <v>-0.1376973632</v>
      </c>
      <c r="G88" s="53">
        <f>IF(TYPE($A88)=1,"",(UpdateHashtag!Q86-G$1)/G$2)</f>
        <v>0.126855404</v>
      </c>
      <c r="H88" s="53">
        <f>IF(TYPE($A88)=1,"",(UpdateHashtag!I86-H$1)/H$2*I88/$I$1)</f>
        <v>-14.84541007</v>
      </c>
      <c r="I88" s="53">
        <f>UpdateHashtag!S86</f>
        <v>12</v>
      </c>
      <c r="J88" s="58">
        <f>IF(TYPE($A88)=1,"",(UpdateHashtag!K86-J$1)/J$2*K88/$K$1)</f>
        <v>0.9952465256</v>
      </c>
      <c r="K88" s="59">
        <f>UpdateHashtag!T86</f>
        <v>1.3</v>
      </c>
      <c r="L88" s="53">
        <f>IF(TYPE($A88)=1,"",-(UpdateHashtag!R86-L$1)/L$2)</f>
        <v>0.9410095407</v>
      </c>
      <c r="N88" s="106">
        <f t="shared" si="3"/>
        <v>1.474962006</v>
      </c>
      <c r="O88" s="106">
        <f t="shared" si="4"/>
        <v>68</v>
      </c>
      <c r="P88" s="163" t="str">
        <f t="array" ref="P88">INDIRECT("Update"&amp;Projections!$AG$11&amp;"!B"&amp;ROW(B69))</f>
        <v/>
      </c>
      <c r="Q88" s="164" t="str">
        <f t="array" ref="Q88">INDIRECT("Update"&amp;Projections!$AG$11&amp;"!C"&amp;ROW(B69))</f>
        <v>Miles Bridges</v>
      </c>
      <c r="R88" s="163">
        <f>UpdateBBM!F69</f>
        <v>66</v>
      </c>
      <c r="S88" s="165" t="str">
        <f t="array" ref="S88">INDIRECT("Update"&amp;Projections!$AG$11&amp;"!D"&amp;ROW(B69))</f>
        <v>F</v>
      </c>
      <c r="T88" s="144">
        <f t="shared" si="5"/>
        <v>1.474962006</v>
      </c>
      <c r="U88" s="144">
        <f>SUM(AF88:AN88)-IFERROR(IFS(Projections!$I$11,AO88,Projections!$J$11,AP88),"")</f>
        <v>1.518689523</v>
      </c>
      <c r="V88" s="144">
        <f t="shared" si="6"/>
        <v>0.04372751643</v>
      </c>
      <c r="W88" s="144">
        <f t="array" ref="W88">INDIRECT("Update"&amp;Projections!$AG$11&amp;"!M"&amp;ROW(B69))</f>
        <v>19.04182</v>
      </c>
      <c r="X88" s="144">
        <f t="array" ref="X88">INDIRECT("Update"&amp;Projections!$AG$11&amp;"!L"&amp;ROW(B69))</f>
        <v>2.304394</v>
      </c>
      <c r="Y88" s="144">
        <f t="array" ref="Y88">INDIRECT("Update"&amp;Projections!$AG$11&amp;"!N"&amp;ROW(B69))</f>
        <v>7.287576</v>
      </c>
      <c r="Z88" s="144">
        <f t="array" ref="Z88">INDIRECT("Update"&amp;Projections!$AG$11&amp;"!O"&amp;ROW(B69))</f>
        <v>3.712576</v>
      </c>
      <c r="AA88" s="144">
        <f t="array" ref="AA88">INDIRECT("Update"&amp;Projections!$AG$11&amp;"!P"&amp;ROW(B69))</f>
        <v>0.693333</v>
      </c>
      <c r="AB88" s="144">
        <f t="array" ref="AB88">INDIRECT("Update"&amp;Projections!$AG$11&amp;"!Q"&amp;ROW(B69))</f>
        <v>0.75197</v>
      </c>
      <c r="AC88" s="166">
        <f t="array" ref="AC88">INDIRECT("Update"&amp;Projections!$AG$11&amp;"!I"&amp;ROW(B69))</f>
        <v>0.443477</v>
      </c>
      <c r="AD88" s="166">
        <f t="array" ref="AD88">INDIRECT("Update"&amp;Projections!$AG$11&amp;"!K"&amp;ROW(B69))</f>
        <v>0.855007</v>
      </c>
      <c r="AE88" s="144">
        <f t="array" ref="AE88">INDIRECT("Update"&amp;Projections!$AG$11&amp;"!R"&amp;ROW(B69))</f>
        <v>1.925</v>
      </c>
      <c r="AF88" s="144">
        <f t="shared" si="7"/>
        <v>0.3275885004</v>
      </c>
      <c r="AG88" s="144">
        <f t="shared" si="8"/>
        <v>0.5165666831</v>
      </c>
      <c r="AH88" s="144">
        <f t="shared" si="9"/>
        <v>0.4706481182</v>
      </c>
      <c r="AI88" s="144">
        <f t="shared" si="10"/>
        <v>-0.06073326754</v>
      </c>
      <c r="AJ88" s="144">
        <f t="shared" si="11"/>
        <v>-1.072182257</v>
      </c>
      <c r="AK88" s="144">
        <f t="shared" si="12"/>
        <v>0.0395372374</v>
      </c>
      <c r="AL88" s="144">
        <f t="shared" si="13"/>
        <v>-0.6888201672</v>
      </c>
      <c r="AM88" s="144">
        <f t="shared" si="14"/>
        <v>0.9139024182</v>
      </c>
      <c r="AN88" s="144">
        <f t="shared" si="15"/>
        <v>0</v>
      </c>
      <c r="AO88" s="167">
        <f t="shared" si="16"/>
        <v>-1.072182257</v>
      </c>
      <c r="AP88" s="167">
        <f t="shared" si="17"/>
        <v>-1.761002425</v>
      </c>
      <c r="AQ88" s="167">
        <f t="array" ref="AQ88">INDIRECT("Update"&amp;Projections!$AG$11&amp;"!S"&amp;ROW(B69))</f>
        <v>0.443477</v>
      </c>
      <c r="AR88" s="167">
        <f t="array" ref="AR88">INDIRECT("Update"&amp;Projections!$AG$11&amp;"!T"&amp;ROW(B69))</f>
        <v>0.855007</v>
      </c>
    </row>
    <row r="89">
      <c r="A89" s="50" t="str">
        <f>IF(UpdateHashtag!C87="",ROW(UpdateHashtag!C87),UpdateHashtag!C87)</f>
        <v>Onyeka Okongwu</v>
      </c>
      <c r="B89" s="53">
        <f>IF(TYPE($A89)=1,"",(UpdateHashtag!M87-B$1)/B$2)</f>
        <v>-1.15346645</v>
      </c>
      <c r="C89" s="53">
        <f>IF(TYPE($A89)=1,"",(UpdateHashtag!L87-C$1)/C$2)</f>
        <v>-1.226177381</v>
      </c>
      <c r="D89" s="53">
        <f>IF(TYPE($A89)=1,"",(UpdateHashtag!N87-D$1)/D$2)</f>
        <v>0.5972903133</v>
      </c>
      <c r="E89" s="53">
        <f>IF(TYPE($A89)=1,"",(UpdateHashtag!O87-E$1)/E$2)</f>
        <v>-1.239311619</v>
      </c>
      <c r="F89" s="53">
        <f>IF(TYPE($A89)=1,"",(UpdateHashtag!P87-F$1)/F$2)</f>
        <v>-1.051866375</v>
      </c>
      <c r="G89" s="53">
        <f>IF(TYPE($A89)=1,"",(UpdateHashtag!Q87-G$1)/G$2)</f>
        <v>1.035851516</v>
      </c>
      <c r="H89" s="53">
        <f>IF(TYPE($A89)=1,"",(UpdateHashtag!I87-H$1)/H$2*I89/$I$1)</f>
        <v>24.15184547</v>
      </c>
      <c r="I89" s="53">
        <f>UpdateHashtag!S87</f>
        <v>6.6</v>
      </c>
      <c r="J89" s="58">
        <f>IF(TYPE($A89)=1,"",(UpdateHashtag!K87-J$1)/J$2*K89/$K$1)</f>
        <v>-0.1255029339</v>
      </c>
      <c r="K89" s="59">
        <f>UpdateHashtag!T87</f>
        <v>2.6</v>
      </c>
      <c r="L89" s="53">
        <f>IF(TYPE($A89)=1,"",-(UpdateHashtag!R87-L$1)/L$2)</f>
        <v>0.643430979</v>
      </c>
      <c r="N89" s="106">
        <f t="shared" si="3"/>
        <v>1.443103544</v>
      </c>
      <c r="O89" s="106">
        <f t="shared" si="4"/>
        <v>37</v>
      </c>
      <c r="P89" s="163" t="str">
        <f t="array" ref="P89">INDIRECT("Update"&amp;Projections!$AG$11&amp;"!B"&amp;ROW(B70))</f>
        <v/>
      </c>
      <c r="Q89" s="164" t="str">
        <f t="array" ref="Q89">INDIRECT("Update"&amp;Projections!$AG$11&amp;"!C"&amp;ROW(B70))</f>
        <v>Jalen Duren</v>
      </c>
      <c r="R89" s="163">
        <f>UpdateBBM!F70</f>
        <v>73</v>
      </c>
      <c r="S89" s="165" t="str">
        <f t="array" ref="S89">INDIRECT("Update"&amp;Projections!$AG$11&amp;"!D"&amp;ROW(B70))</f>
        <v>C</v>
      </c>
      <c r="T89" s="144">
        <f t="shared" si="5"/>
        <v>3.077946497</v>
      </c>
      <c r="U89" s="144">
        <f>SUM(AF89:AN89)-IFERROR(IFS(Projections!$I$11,AO89,Projections!$J$11,AP89),"")</f>
        <v>3.080621067</v>
      </c>
      <c r="V89" s="144">
        <f t="shared" si="6"/>
        <v>0.002674569984</v>
      </c>
      <c r="W89" s="144">
        <f t="array" ref="W89">INDIRECT("Update"&amp;Projections!$AG$11&amp;"!M"&amp;ROW(B70))</f>
        <v>12.57548</v>
      </c>
      <c r="X89" s="144">
        <f t="array" ref="X89">INDIRECT("Update"&amp;Projections!$AG$11&amp;"!L"&amp;ROW(B70))</f>
        <v>0.006712</v>
      </c>
      <c r="Y89" s="144">
        <f t="array" ref="Y89">INDIRECT("Update"&amp;Projections!$AG$11&amp;"!N"&amp;ROW(B70))</f>
        <v>10.73753</v>
      </c>
      <c r="Z89" s="144">
        <f t="array" ref="Z89">INDIRECT("Update"&amp;Projections!$AG$11&amp;"!O"&amp;ROW(B70))</f>
        <v>2.853699</v>
      </c>
      <c r="AA89" s="144">
        <f t="array" ref="AA89">INDIRECT("Update"&amp;Projections!$AG$11&amp;"!P"&amp;ROW(B70))</f>
        <v>0.796849</v>
      </c>
      <c r="AB89" s="144">
        <f t="array" ref="AB89">INDIRECT("Update"&amp;Projections!$AG$11&amp;"!Q"&amp;ROW(B70))</f>
        <v>1.078219</v>
      </c>
      <c r="AC89" s="166">
        <f t="array" ref="AC89">INDIRECT("Update"&amp;Projections!$AG$11&amp;"!I"&amp;ROW(B70))</f>
        <v>0.681451</v>
      </c>
      <c r="AD89" s="166">
        <f t="array" ref="AD89">INDIRECT("Update"&amp;Projections!$AG$11&amp;"!K"&amp;ROW(B70))</f>
        <v>0.678018</v>
      </c>
      <c r="AE89" s="144">
        <f t="array" ref="AE89">INDIRECT("Update"&amp;Projections!$AG$11&amp;"!R"&amp;ROW(B70))</f>
        <v>1.759452</v>
      </c>
      <c r="AF89" s="144">
        <f t="shared" si="7"/>
        <v>-0.8068830789</v>
      </c>
      <c r="AG89" s="144">
        <f t="shared" si="8"/>
        <v>-1.702611426</v>
      </c>
      <c r="AH89" s="144">
        <f t="shared" si="9"/>
        <v>1.869099414</v>
      </c>
      <c r="AI89" s="144">
        <f t="shared" si="10"/>
        <v>-0.4803071332</v>
      </c>
      <c r="AJ89" s="144">
        <f t="shared" si="11"/>
        <v>-0.7567451927</v>
      </c>
      <c r="AK89" s="144">
        <f t="shared" si="12"/>
        <v>0.6326553828</v>
      </c>
      <c r="AL89" s="144">
        <f t="shared" si="13"/>
        <v>3.81303585</v>
      </c>
      <c r="AM89" s="144">
        <f t="shared" si="14"/>
        <v>-1.190234174</v>
      </c>
      <c r="AN89" s="144">
        <f t="shared" si="15"/>
        <v>0</v>
      </c>
      <c r="AO89" s="167">
        <f t="shared" si="16"/>
        <v>-1.702611426</v>
      </c>
      <c r="AP89" s="167">
        <f t="shared" si="17"/>
        <v>-2.892845601</v>
      </c>
      <c r="AQ89" s="167">
        <f t="array" ref="AQ89">INDIRECT("Update"&amp;Projections!$AG$11&amp;"!S"&amp;ROW(B70))</f>
        <v>0.681451</v>
      </c>
      <c r="AR89" s="167">
        <f t="array" ref="AR89">INDIRECT("Update"&amp;Projections!$AG$11&amp;"!T"&amp;ROW(B70))</f>
        <v>0.678018</v>
      </c>
    </row>
    <row r="90">
      <c r="A90" s="50" t="str">
        <f>IF(UpdateHashtag!C88="",ROW(UpdateHashtag!C88),UpdateHashtag!C88)</f>
        <v>OG Anunoby</v>
      </c>
      <c r="B90" s="53">
        <f>IF(TYPE($A90)=1,"",(UpdateHashtag!M88-B$1)/B$2)</f>
        <v>-0.4166074798</v>
      </c>
      <c r="C90" s="53">
        <f>IF(TYPE($A90)=1,"",(UpdateHashtag!L88-C$1)/C$2)</f>
        <v>0.2225727791</v>
      </c>
      <c r="D90" s="53">
        <f>IF(TYPE($A90)=1,"",(UpdateHashtag!N88-D$1)/D$2)</f>
        <v>-0.8214473087</v>
      </c>
      <c r="E90" s="53">
        <f>IF(TYPE($A90)=1,"",(UpdateHashtag!O88-E$1)/E$2)</f>
        <v>-0.8973514709</v>
      </c>
      <c r="F90" s="53">
        <f>IF(TYPE($A90)=1,"",(UpdateHashtag!P88-F$1)/F$2)</f>
        <v>1.385917656</v>
      </c>
      <c r="G90" s="53">
        <f>IF(TYPE($A90)=1,"",(UpdateHashtag!Q88-G$1)/G$2)</f>
        <v>-0.05494381853</v>
      </c>
      <c r="H90" s="53">
        <f>IF(TYPE($A90)=1,"",(UpdateHashtag!I88-H$1)/H$2*I90/$I$1)</f>
        <v>-5.472991258</v>
      </c>
      <c r="I90" s="53">
        <f>UpdateHashtag!S88</f>
        <v>12</v>
      </c>
      <c r="J90" s="58">
        <f>IF(TYPE($A90)=1,"",(UpdateHashtag!K88-J$1)/J$2*K90/$K$1)</f>
        <v>-0.4889819155</v>
      </c>
      <c r="K90" s="59">
        <f>UpdateHashtag!T88</f>
        <v>1.7</v>
      </c>
      <c r="L90" s="53">
        <f>IF(TYPE($A90)=1,"",-(UpdateHashtag!R88-L$1)/L$2)</f>
        <v>-0.05091899834</v>
      </c>
      <c r="N90" s="106">
        <f t="shared" si="3"/>
        <v>1.443020977</v>
      </c>
      <c r="O90" s="106">
        <f t="shared" si="4"/>
        <v>47</v>
      </c>
      <c r="P90" s="163" t="str">
        <f t="array" ref="P90">INDIRECT("Update"&amp;Projections!$AG$11&amp;"!B"&amp;ROW(B71))</f>
        <v/>
      </c>
      <c r="Q90" s="164" t="str">
        <f t="array" ref="Q90">INDIRECT("Update"&amp;Projections!$AG$11&amp;"!C"&amp;ROW(B71))</f>
        <v>Darius Garland</v>
      </c>
      <c r="R90" s="163">
        <f>UpdateBBM!F71</f>
        <v>56</v>
      </c>
      <c r="S90" s="165" t="str">
        <f t="array" ref="S90">INDIRECT("Update"&amp;Projections!$AG$11&amp;"!D"&amp;ROW(B71))</f>
        <v>G</v>
      </c>
      <c r="T90" s="144">
        <f t="shared" si="5"/>
        <v>2.306728831</v>
      </c>
      <c r="U90" s="144">
        <f>SUM(AF90:AN90)-IFERROR(IFS(Projections!$I$11,AO90,Projections!$J$11,AP90),"")</f>
        <v>2.501946898</v>
      </c>
      <c r="V90" s="144">
        <f t="shared" si="6"/>
        <v>0.1952180667</v>
      </c>
      <c r="W90" s="144">
        <f t="array" ref="W90">INDIRECT("Update"&amp;Projections!$AG$11&amp;"!M"&amp;ROW(B71))</f>
        <v>19.45268</v>
      </c>
      <c r="X90" s="144">
        <f t="array" ref="X90">INDIRECT("Update"&amp;Projections!$AG$11&amp;"!L"&amp;ROW(B71))</f>
        <v>2.715357</v>
      </c>
      <c r="Y90" s="144">
        <f t="array" ref="Y90">INDIRECT("Update"&amp;Projections!$AG$11&amp;"!N"&amp;ROW(B71))</f>
        <v>2.588036</v>
      </c>
      <c r="Z90" s="144">
        <f t="array" ref="Z90">INDIRECT("Update"&amp;Projections!$AG$11&amp;"!O"&amp;ROW(B71))</f>
        <v>6.3125</v>
      </c>
      <c r="AA90" s="144">
        <f t="array" ref="AA90">INDIRECT("Update"&amp;Projections!$AG$11&amp;"!P"&amp;ROW(B71))</f>
        <v>1.252857</v>
      </c>
      <c r="AB90" s="144">
        <f t="array" ref="AB90">INDIRECT("Update"&amp;Projections!$AG$11&amp;"!Q"&amp;ROW(B71))</f>
        <v>0.126964</v>
      </c>
      <c r="AC90" s="166">
        <f t="array" ref="AC90">INDIRECT("Update"&amp;Projections!$AG$11&amp;"!I"&amp;ROW(B71))</f>
        <v>0.458946</v>
      </c>
      <c r="AD90" s="166">
        <f t="array" ref="AD90">INDIRECT("Update"&amp;Projections!$AG$11&amp;"!K"&amp;ROW(B71))</f>
        <v>0.856974</v>
      </c>
      <c r="AE90" s="144">
        <f t="array" ref="AE90">INDIRECT("Update"&amp;Projections!$AG$11&amp;"!R"&amp;ROW(B71))</f>
        <v>2.535893</v>
      </c>
      <c r="AF90" s="144">
        <f t="shared" si="7"/>
        <v>0.3996708519</v>
      </c>
      <c r="AG90" s="144">
        <f t="shared" si="8"/>
        <v>0.9134884911</v>
      </c>
      <c r="AH90" s="144">
        <f t="shared" si="9"/>
        <v>-1.434327369</v>
      </c>
      <c r="AI90" s="144">
        <f t="shared" si="10"/>
        <v>1.209367298</v>
      </c>
      <c r="AJ90" s="144">
        <f t="shared" si="11"/>
        <v>0.6328160826</v>
      </c>
      <c r="AK90" s="144">
        <f t="shared" si="12"/>
        <v>-1.096718811</v>
      </c>
      <c r="AL90" s="144">
        <f t="shared" si="13"/>
        <v>-0.4995813705</v>
      </c>
      <c r="AM90" s="144">
        <f t="shared" si="14"/>
        <v>0.9429043561</v>
      </c>
      <c r="AN90" s="144">
        <f t="shared" si="15"/>
        <v>0</v>
      </c>
      <c r="AO90" s="167">
        <f t="shared" si="16"/>
        <v>-1.434327369</v>
      </c>
      <c r="AP90" s="167">
        <f t="shared" si="17"/>
        <v>-2.53104618</v>
      </c>
      <c r="AQ90" s="167">
        <f t="array" ref="AQ90">INDIRECT("Update"&amp;Projections!$AG$11&amp;"!S"&amp;ROW(B71))</f>
        <v>0.458946</v>
      </c>
      <c r="AR90" s="167">
        <f t="array" ref="AR90">INDIRECT("Update"&amp;Projections!$AG$11&amp;"!T"&amp;ROW(B71))</f>
        <v>0.856974</v>
      </c>
    </row>
    <row r="91">
      <c r="A91" s="50" t="str">
        <f>IF(UpdateHashtag!C89="",ROW(UpdateHashtag!C89),UpdateHashtag!C89)</f>
        <v>Coby White</v>
      </c>
      <c r="B91" s="53">
        <f>IF(TYPE($A91)=1,"",(UpdateHashtag!M89-B$1)/B$2)</f>
        <v>0.1448088784</v>
      </c>
      <c r="C91" s="53">
        <f>IF(TYPE($A91)=1,"",(UpdateHashtag!L89-C$1)/C$2)</f>
        <v>0.8986561869</v>
      </c>
      <c r="D91" s="53">
        <f>IF(TYPE($A91)=1,"",(UpdateHashtag!N89-D$1)/D$2)</f>
        <v>-0.6187705055</v>
      </c>
      <c r="E91" s="53">
        <f>IF(TYPE($A91)=1,"",(UpdateHashtag!O89-E$1)/E$2)</f>
        <v>0.5193405706</v>
      </c>
      <c r="F91" s="53">
        <f>IF(TYPE($A91)=1,"",(UpdateHashtag!P89-F$1)/F$2)</f>
        <v>-0.442420367</v>
      </c>
      <c r="G91" s="53">
        <f>IF(TYPE($A91)=1,"",(UpdateHashtag!Q89-G$1)/G$2)</f>
        <v>-0.963939931</v>
      </c>
      <c r="H91" s="53">
        <f>IF(TYPE($A91)=1,"",(UpdateHashtag!I89-H$1)/H$2*I91/$I$1)</f>
        <v>-21.57056467</v>
      </c>
      <c r="I91" s="53">
        <f>UpdateHashtag!S89</f>
        <v>14.6</v>
      </c>
      <c r="J91" s="58">
        <f>IF(TYPE($A91)=1,"",(UpdateHashtag!K89-J$1)/J$2*K91/$K$1)</f>
        <v>2.368651714</v>
      </c>
      <c r="K91" s="59">
        <f>UpdateHashtag!T89</f>
        <v>2.7</v>
      </c>
      <c r="L91" s="53">
        <f>IF(TYPE($A91)=1,"",-(UpdateHashtag!R89-L$1)/L$2)</f>
        <v>-0.2493047061</v>
      </c>
      <c r="N91" s="106">
        <f t="shared" si="3"/>
        <v>1.397292744</v>
      </c>
      <c r="O91" s="106">
        <f t="shared" si="4"/>
        <v>58</v>
      </c>
      <c r="P91" s="163" t="str">
        <f t="array" ref="P91">INDIRECT("Update"&amp;Projections!$AG$11&amp;"!B"&amp;ROW(B72))</f>
        <v/>
      </c>
      <c r="Q91" s="164" t="str">
        <f t="array" ref="Q91">INDIRECT("Update"&amp;Projections!$AG$11&amp;"!C"&amp;ROW(B72))</f>
        <v>Deni Avdija</v>
      </c>
      <c r="R91" s="163">
        <f>UpdateBBM!F72</f>
        <v>73</v>
      </c>
      <c r="S91" s="165" t="str">
        <f t="array" ref="S91">INDIRECT("Update"&amp;Projections!$AG$11&amp;"!D"&amp;ROW(B72))</f>
        <v>G,F</v>
      </c>
      <c r="T91" s="144">
        <f t="shared" si="5"/>
        <v>1.920973517</v>
      </c>
      <c r="U91" s="144">
        <f>SUM(AF91:AN91)-IFERROR(IFS(Projections!$I$11,AO91,Projections!$J$11,AP91),"")</f>
        <v>2.304657263</v>
      </c>
      <c r="V91" s="144">
        <f t="shared" si="6"/>
        <v>0.3836837452</v>
      </c>
      <c r="W91" s="144">
        <f t="array" ref="W91">INDIRECT("Update"&amp;Projections!$AG$11&amp;"!M"&amp;ROW(B72))</f>
        <v>22.23795</v>
      </c>
      <c r="X91" s="144">
        <f t="array" ref="X91">INDIRECT("Update"&amp;Projections!$AG$11&amp;"!L"&amp;ROW(B72))</f>
        <v>2.328904</v>
      </c>
      <c r="Y91" s="144">
        <f t="array" ref="Y91">INDIRECT("Update"&amp;Projections!$AG$11&amp;"!N"&amp;ROW(B72))</f>
        <v>8.344932</v>
      </c>
      <c r="Z91" s="144">
        <f t="array" ref="Z91">INDIRECT("Update"&amp;Projections!$AG$11&amp;"!O"&amp;ROW(B72))</f>
        <v>4.658767</v>
      </c>
      <c r="AA91" s="144">
        <f t="array" ref="AA91">INDIRECT("Update"&amp;Projections!$AG$11&amp;"!P"&amp;ROW(B72))</f>
        <v>1.054795</v>
      </c>
      <c r="AB91" s="144">
        <f t="array" ref="AB91">INDIRECT("Update"&amp;Projections!$AG$11&amp;"!Q"&amp;ROW(B72))</f>
        <v>0.42</v>
      </c>
      <c r="AC91" s="166">
        <f t="array" ref="AC91">INDIRECT("Update"&amp;Projections!$AG$11&amp;"!I"&amp;ROW(B72))</f>
        <v>0.477298</v>
      </c>
      <c r="AD91" s="166">
        <f t="array" ref="AD91">INDIRECT("Update"&amp;Projections!$AG$11&amp;"!K"&amp;ROW(B72))</f>
        <v>0.771993</v>
      </c>
      <c r="AE91" s="144">
        <f t="array" ref="AE91">INDIRECT("Update"&amp;Projections!$AG$11&amp;"!R"&amp;ROW(B72))</f>
        <v>3.29589</v>
      </c>
      <c r="AF91" s="144">
        <f t="shared" si="7"/>
        <v>0.8883258957</v>
      </c>
      <c r="AG91" s="144">
        <f t="shared" si="8"/>
        <v>0.5402392608</v>
      </c>
      <c r="AH91" s="144">
        <f t="shared" si="9"/>
        <v>0.8992511859</v>
      </c>
      <c r="AI91" s="144">
        <f t="shared" si="10"/>
        <v>0.401494753</v>
      </c>
      <c r="AJ91" s="144">
        <f t="shared" si="11"/>
        <v>0.02927560673</v>
      </c>
      <c r="AK91" s="144">
        <f t="shared" si="12"/>
        <v>-0.5639816415</v>
      </c>
      <c r="AL91" s="144">
        <f t="shared" si="13"/>
        <v>-0.2564284244</v>
      </c>
      <c r="AM91" s="144">
        <f t="shared" si="14"/>
        <v>-0.1975010151</v>
      </c>
      <c r="AN91" s="144">
        <f t="shared" si="15"/>
        <v>0</v>
      </c>
      <c r="AO91" s="167">
        <f t="shared" si="16"/>
        <v>-0.5639816415</v>
      </c>
      <c r="AP91" s="167">
        <f t="shared" si="17"/>
        <v>-0.8204100659</v>
      </c>
      <c r="AQ91" s="167">
        <f t="array" ref="AQ91">INDIRECT("Update"&amp;Projections!$AG$11&amp;"!S"&amp;ROW(B72))</f>
        <v>0.477298</v>
      </c>
      <c r="AR91" s="167">
        <f t="array" ref="AR91">INDIRECT("Update"&amp;Projections!$AG$11&amp;"!T"&amp;ROW(B72))</f>
        <v>0.771993</v>
      </c>
    </row>
    <row r="92">
      <c r="A92" s="50" t="str">
        <f>IF(UpdateHashtag!C90="",ROW(UpdateHashtag!C90),UpdateHashtag!C90)</f>
        <v>Michael Porter Jr.</v>
      </c>
      <c r="B92" s="53">
        <f>IF(TYPE($A92)=1,"",(UpdateHashtag!M90-B$1)/B$2)</f>
        <v>0.05708757242</v>
      </c>
      <c r="C92" s="53">
        <f>IF(TYPE($A92)=1,"",(UpdateHashtag!L90-C$1)/C$2)</f>
        <v>1.091822875</v>
      </c>
      <c r="D92" s="53">
        <f>IF(TYPE($A92)=1,"",(UpdateHashtag!N90-D$1)/D$2)</f>
        <v>0.1514013464</v>
      </c>
      <c r="E92" s="53">
        <f>IF(TYPE($A92)=1,"",(UpdateHashtag!O90-E$1)/E$2)</f>
        <v>-1.190460169</v>
      </c>
      <c r="F92" s="53">
        <f>IF(TYPE($A92)=1,"",(UpdateHashtag!P90-F$1)/F$2)</f>
        <v>-1.356589379</v>
      </c>
      <c r="G92" s="53">
        <f>IF(TYPE($A92)=1,"",(UpdateHashtag!Q90-G$1)/G$2)</f>
        <v>-0.236743041</v>
      </c>
      <c r="H92" s="53">
        <f>IF(TYPE($A92)=1,"",(UpdateHashtag!I90-H$1)/H$2*I92/$I$1)</f>
        <v>-4.160016762</v>
      </c>
      <c r="I92" s="53">
        <f>UpdateHashtag!S90</f>
        <v>13.6</v>
      </c>
      <c r="J92" s="58">
        <f>IF(TYPE($A92)=1,"",(UpdateHashtag!K90-J$1)/J$2*K92/$K$1)</f>
        <v>0.81316946</v>
      </c>
      <c r="K92" s="59">
        <f>UpdateHashtag!T90</f>
        <v>1.7</v>
      </c>
      <c r="L92" s="53">
        <f>IF(TYPE($A92)=1,"",-(UpdateHashtag!R90-L$1)/L$2)</f>
        <v>0.5442381251</v>
      </c>
      <c r="N92" s="106">
        <f t="shared" si="3"/>
        <v>1.233262632</v>
      </c>
      <c r="O92" s="106">
        <f t="shared" si="4"/>
        <v>87</v>
      </c>
      <c r="P92" s="163" t="str">
        <f t="array" ref="P92">INDIRECT("Update"&amp;Projections!$AG$11&amp;"!B"&amp;ROW(B73))</f>
        <v/>
      </c>
      <c r="Q92" s="164" t="str">
        <f t="array" ref="Q92">INDIRECT("Update"&amp;Projections!$AG$11&amp;"!C"&amp;ROW(B73))</f>
        <v>Matas Buzelis</v>
      </c>
      <c r="R92" s="163">
        <f>UpdateBBM!F73</f>
        <v>73</v>
      </c>
      <c r="S92" s="165" t="str">
        <f t="array" ref="S92">INDIRECT("Update"&amp;Projections!$AG$11&amp;"!D"&amp;ROW(B73))</f>
        <v>F</v>
      </c>
      <c r="T92" s="144">
        <f t="shared" si="5"/>
        <v>0.5837237411</v>
      </c>
      <c r="U92" s="144">
        <f>SUM(AF92:AN92)-IFERROR(IFS(Projections!$I$11,AO92,Projections!$J$11,AP92),"")</f>
        <v>0.6175488349</v>
      </c>
      <c r="V92" s="144">
        <f t="shared" si="6"/>
        <v>0.03382509382</v>
      </c>
      <c r="W92" s="144">
        <f t="array" ref="W92">INDIRECT("Update"&amp;Projections!$AG$11&amp;"!M"&amp;ROW(B73))</f>
        <v>15.55767</v>
      </c>
      <c r="X92" s="144">
        <f t="array" ref="X92">INDIRECT("Update"&amp;Projections!$AG$11&amp;"!L"&amp;ROW(B73))</f>
        <v>2.104795</v>
      </c>
      <c r="Y92" s="144">
        <f t="array" ref="Y92">INDIRECT("Update"&amp;Projections!$AG$11&amp;"!N"&amp;ROW(B73))</f>
        <v>5.72</v>
      </c>
      <c r="Z92" s="144">
        <f t="array" ref="Z92">INDIRECT("Update"&amp;Projections!$AG$11&amp;"!O"&amp;ROW(B73))</f>
        <v>2.08</v>
      </c>
      <c r="AA92" s="144">
        <f t="array" ref="AA92">INDIRECT("Update"&amp;Projections!$AG$11&amp;"!P"&amp;ROW(B73))</f>
        <v>0.78</v>
      </c>
      <c r="AB92" s="144">
        <f t="array" ref="AB92">INDIRECT("Update"&amp;Projections!$AG$11&amp;"!Q"&amp;ROW(B73))</f>
        <v>1.494932</v>
      </c>
      <c r="AC92" s="166">
        <f t="array" ref="AC92">INDIRECT("Update"&amp;Projections!$AG$11&amp;"!I"&amp;ROW(B73))</f>
        <v>0.479121</v>
      </c>
      <c r="AD92" s="166">
        <f t="array" ref="AD92">INDIRECT("Update"&amp;Projections!$AG$11&amp;"!K"&amp;ROW(B73))</f>
        <v>0.817997</v>
      </c>
      <c r="AE92" s="144">
        <f t="array" ref="AE92">INDIRECT("Update"&amp;Projections!$AG$11&amp;"!R"&amp;ROW(B73))</f>
        <v>1.885068</v>
      </c>
      <c r="AF92" s="144">
        <f t="shared" si="7"/>
        <v>-0.283679876</v>
      </c>
      <c r="AG92" s="144">
        <f t="shared" si="8"/>
        <v>0.3237872944</v>
      </c>
      <c r="AH92" s="144">
        <f t="shared" si="9"/>
        <v>-0.1647744665</v>
      </c>
      <c r="AI92" s="144">
        <f t="shared" si="10"/>
        <v>-0.8582703111</v>
      </c>
      <c r="AJ92" s="144">
        <f t="shared" si="11"/>
        <v>-0.8080879716</v>
      </c>
      <c r="AK92" s="144">
        <f t="shared" si="12"/>
        <v>1.390236377</v>
      </c>
      <c r="AL92" s="144">
        <f t="shared" si="13"/>
        <v>-0.2311699378</v>
      </c>
      <c r="AM92" s="144">
        <f t="shared" si="14"/>
        <v>0.3912374156</v>
      </c>
      <c r="AN92" s="144">
        <f t="shared" si="15"/>
        <v>0</v>
      </c>
      <c r="AO92" s="167">
        <f t="shared" si="16"/>
        <v>-0.8582703111</v>
      </c>
      <c r="AP92" s="167">
        <f t="shared" si="17"/>
        <v>-1.666358283</v>
      </c>
      <c r="AQ92" s="167">
        <f t="array" ref="AQ92">INDIRECT("Update"&amp;Projections!$AG$11&amp;"!S"&amp;ROW(B73))</f>
        <v>0.479121</v>
      </c>
      <c r="AR92" s="167">
        <f t="array" ref="AR92">INDIRECT("Update"&amp;Projections!$AG$11&amp;"!T"&amp;ROW(B73))</f>
        <v>0.817997</v>
      </c>
    </row>
    <row r="93">
      <c r="A93" s="50" t="str">
        <f>IF(UpdateHashtag!C91="",ROW(UpdateHashtag!C91),UpdateHashtag!C91)</f>
        <v>Alex Caruso</v>
      </c>
      <c r="B93" s="53">
        <f>IF(TYPE($A93)=1,"",(UpdateHashtag!M91-B$1)/B$2)</f>
        <v>-1.486807413</v>
      </c>
      <c r="C93" s="53">
        <f>IF(TYPE($A93)=1,"",(UpdateHashtag!L91-C$1)/C$2)</f>
        <v>-0.2603439408</v>
      </c>
      <c r="D93" s="53">
        <f>IF(TYPE($A93)=1,"",(UpdateHashtag!N91-D$1)/D$2)</f>
        <v>-0.9430533905</v>
      </c>
      <c r="E93" s="53">
        <f>IF(TYPE($A93)=1,"",(UpdateHashtag!O91-E$1)/E$2)</f>
        <v>-0.1645797253</v>
      </c>
      <c r="F93" s="53">
        <f>IF(TYPE($A93)=1,"",(UpdateHashtag!P91-F$1)/F$2)</f>
        <v>1.69064066</v>
      </c>
      <c r="G93" s="53">
        <f>IF(TYPE($A93)=1,"",(UpdateHashtag!Q91-G$1)/G$2)</f>
        <v>0.3086546265</v>
      </c>
      <c r="H93" s="53">
        <f>IF(TYPE($A93)=1,"",(UpdateHashtag!I91-H$1)/H$2*I93/$I$1)</f>
        <v>-6.380611186</v>
      </c>
      <c r="I93" s="53">
        <f>UpdateHashtag!S91</f>
        <v>6.6</v>
      </c>
      <c r="J93" s="58">
        <f>IF(TYPE($A93)=1,"",(UpdateHashtag!K91-J$1)/J$2*K93/$K$1)</f>
        <v>-0.06757850288</v>
      </c>
      <c r="K93" s="59">
        <f>UpdateHashtag!T91</f>
        <v>1.4</v>
      </c>
      <c r="L93" s="53">
        <f>IF(TYPE($A93)=1,"",-(UpdateHashtag!R91-L$1)/L$2)</f>
        <v>0.3458524173</v>
      </c>
      <c r="N93" s="106">
        <f t="shared" si="3"/>
        <v>1.094037325</v>
      </c>
      <c r="O93" s="106">
        <f t="shared" si="4"/>
        <v>88</v>
      </c>
      <c r="P93" s="163" t="str">
        <f t="array" ref="P93">INDIRECT("Update"&amp;Projections!$AG$11&amp;"!B"&amp;ROW(B74))</f>
        <v/>
      </c>
      <c r="Q93" s="164" t="str">
        <f t="array" ref="Q93">INDIRECT("Update"&amp;Projections!$AG$11&amp;"!C"&amp;ROW(B74))</f>
        <v>Cam Johnson</v>
      </c>
      <c r="R93" s="163">
        <f>UpdateBBM!F74</f>
        <v>68</v>
      </c>
      <c r="S93" s="165" t="str">
        <f t="array" ref="S93">INDIRECT("Update"&amp;Projections!$AG$11&amp;"!D"&amp;ROW(B74))</f>
        <v>F</v>
      </c>
      <c r="T93" s="144">
        <f t="shared" si="5"/>
        <v>0.4441421352</v>
      </c>
      <c r="U93" s="144">
        <f>SUM(AF93:AN93)-IFERROR(IFS(Projections!$I$11,AO93,Projections!$J$11,AP93),"")</f>
        <v>0.37784593</v>
      </c>
      <c r="V93" s="144">
        <f t="shared" si="6"/>
        <v>-0.06629620519</v>
      </c>
      <c r="W93" s="144">
        <f t="array" ref="W93">INDIRECT("Update"&amp;Projections!$AG$11&amp;"!M"&amp;ROW(B74))</f>
        <v>15.83882</v>
      </c>
      <c r="X93" s="144">
        <f t="array" ref="X93">INDIRECT("Update"&amp;Projections!$AG$11&amp;"!L"&amp;ROW(B74))</f>
        <v>2.806765</v>
      </c>
      <c r="Y93" s="144">
        <f t="array" ref="Y93">INDIRECT("Update"&amp;Projections!$AG$11&amp;"!N"&amp;ROW(B74))</f>
        <v>4.578676</v>
      </c>
      <c r="Z93" s="144">
        <f t="array" ref="Z93">INDIRECT("Update"&amp;Projections!$AG$11&amp;"!O"&amp;ROW(B74))</f>
        <v>2.558676</v>
      </c>
      <c r="AA93" s="144">
        <f t="array" ref="AA93">INDIRECT("Update"&amp;Projections!$AG$11&amp;"!P"&amp;ROW(B74))</f>
        <v>1.015441</v>
      </c>
      <c r="AB93" s="144">
        <f t="array" ref="AB93">INDIRECT("Update"&amp;Projections!$AG$11&amp;"!Q"&amp;ROW(B74))</f>
        <v>0.469559</v>
      </c>
      <c r="AC93" s="166">
        <f t="array" ref="AC93">INDIRECT("Update"&amp;Projections!$AG$11&amp;"!I"&amp;ROW(B74))</f>
        <v>0.465492</v>
      </c>
      <c r="AD93" s="166">
        <f t="array" ref="AD93">INDIRECT("Update"&amp;Projections!$AG$11&amp;"!K"&amp;ROW(B74))</f>
        <v>0.875008</v>
      </c>
      <c r="AE93" s="144">
        <f t="array" ref="AE93">INDIRECT("Update"&amp;Projections!$AG$11&amp;"!R"&amp;ROW(B74))</f>
        <v>1.481324</v>
      </c>
      <c r="AF93" s="144">
        <f t="shared" si="7"/>
        <v>-0.2343541857</v>
      </c>
      <c r="AG93" s="144">
        <f t="shared" si="8"/>
        <v>1.001773394</v>
      </c>
      <c r="AH93" s="144">
        <f t="shared" si="9"/>
        <v>-0.6274142658</v>
      </c>
      <c r="AI93" s="144">
        <f t="shared" si="10"/>
        <v>-0.6244301457</v>
      </c>
      <c r="AJ93" s="144">
        <f t="shared" si="11"/>
        <v>-0.09064508419</v>
      </c>
      <c r="AK93" s="144">
        <f t="shared" si="12"/>
        <v>-0.4738837648</v>
      </c>
      <c r="AL93" s="144">
        <f t="shared" si="13"/>
        <v>-0.4151723518</v>
      </c>
      <c r="AM93" s="144">
        <f t="shared" si="14"/>
        <v>1.214558068</v>
      </c>
      <c r="AN93" s="144">
        <f t="shared" si="15"/>
        <v>0</v>
      </c>
      <c r="AO93" s="167">
        <f t="shared" si="16"/>
        <v>-0.6274142658</v>
      </c>
      <c r="AP93" s="167">
        <f t="shared" si="17"/>
        <v>-1.251844412</v>
      </c>
      <c r="AQ93" s="167">
        <f t="array" ref="AQ93">INDIRECT("Update"&amp;Projections!$AG$11&amp;"!S"&amp;ROW(B74))</f>
        <v>0.465492</v>
      </c>
      <c r="AR93" s="167">
        <f t="array" ref="AR93">INDIRECT("Update"&amp;Projections!$AG$11&amp;"!T"&amp;ROW(B74))</f>
        <v>0.875008</v>
      </c>
    </row>
    <row r="94">
      <c r="A94" s="50" t="str">
        <f>IF(UpdateHashtag!C92="",ROW(UpdateHashtag!C92),UpdateHashtag!C92)</f>
        <v>Herbert Jones</v>
      </c>
      <c r="B94" s="53">
        <f>IF(TYPE($A94)=1,"",(UpdateHashtag!M92-B$1)/B$2)</f>
        <v>-1.171010711</v>
      </c>
      <c r="C94" s="53">
        <f>IF(TYPE($A94)=1,"",(UpdateHashtag!L92-C$1)/C$2)</f>
        <v>-0.5500939728</v>
      </c>
      <c r="D94" s="53">
        <f>IF(TYPE($A94)=1,"",(UpdateHashtag!N92-D$1)/D$2)</f>
        <v>-0.780911948</v>
      </c>
      <c r="E94" s="53">
        <f>IF(TYPE($A94)=1,"",(UpdateHashtag!O92-E$1)/E$2)</f>
        <v>-0.6042427726</v>
      </c>
      <c r="F94" s="53">
        <f>IF(TYPE($A94)=1,"",(UpdateHashtag!P92-F$1)/F$2)</f>
        <v>1.081194652</v>
      </c>
      <c r="G94" s="53">
        <f>IF(TYPE($A94)=1,"",(UpdateHashtag!Q92-G$1)/G$2)</f>
        <v>0.3086546265</v>
      </c>
      <c r="H94" s="53">
        <f>IF(TYPE($A94)=1,"",(UpdateHashtag!I92-H$1)/H$2*I94/$I$1)</f>
        <v>-2.586610098</v>
      </c>
      <c r="I94" s="53">
        <f>UpdateHashtag!S92</f>
        <v>7.7</v>
      </c>
      <c r="J94" s="58">
        <f>IF(TYPE($A94)=1,"",(UpdateHashtag!K92-J$1)/J$2*K94/$K$1)</f>
        <v>2.245975709</v>
      </c>
      <c r="K94" s="59">
        <f>UpdateHashtag!T92</f>
        <v>2.2</v>
      </c>
      <c r="L94" s="53">
        <f>IF(TYPE($A94)=1,"",-(UpdateHashtag!R92-L$1)/L$2)</f>
        <v>0.4450452712</v>
      </c>
      <c r="N94" s="106">
        <f t="shared" si="3"/>
        <v>1.056075551</v>
      </c>
      <c r="O94" s="106">
        <f t="shared" si="4"/>
        <v>76</v>
      </c>
      <c r="P94" s="163" t="str">
        <f t="array" ref="P94">INDIRECT("Update"&amp;Projections!$AG$11&amp;"!B"&amp;ROW(B75))</f>
        <v/>
      </c>
      <c r="Q94" s="164" t="str">
        <f t="array" ref="Q94">INDIRECT("Update"&amp;Projections!$AG$11&amp;"!C"&amp;ROW(B75))</f>
        <v>Michael Porter Jr.</v>
      </c>
      <c r="R94" s="163">
        <f>UpdateBBM!F75</f>
        <v>57</v>
      </c>
      <c r="S94" s="165" t="str">
        <f t="array" ref="S94">INDIRECT("Update"&amp;Projections!$AG$11&amp;"!D"&amp;ROW(B75))</f>
        <v>F</v>
      </c>
      <c r="T94" s="144">
        <f t="shared" si="5"/>
        <v>0.8155165921</v>
      </c>
      <c r="U94" s="144">
        <f>SUM(AF94:AN94)-IFERROR(IFS(Projections!$I$11,AO94,Projections!$J$11,AP94),"")</f>
        <v>0.7621176897</v>
      </c>
      <c r="V94" s="144">
        <f t="shared" si="6"/>
        <v>-0.05339890235</v>
      </c>
      <c r="W94" s="144">
        <f t="array" ref="W94">INDIRECT("Update"&amp;Projections!$AG$11&amp;"!M"&amp;ROW(B75))</f>
        <v>19.69175</v>
      </c>
      <c r="X94" s="144">
        <f t="array" ref="X94">INDIRECT("Update"&amp;Projections!$AG$11&amp;"!L"&amp;ROW(B75))</f>
        <v>2.973684</v>
      </c>
      <c r="Y94" s="144">
        <f t="array" ref="Y94">INDIRECT("Update"&amp;Projections!$AG$11&amp;"!N"&amp;ROW(B75))</f>
        <v>7</v>
      </c>
      <c r="Z94" s="144">
        <f t="array" ref="Z94">INDIRECT("Update"&amp;Projections!$AG$11&amp;"!O"&amp;ROW(B75))</f>
        <v>1.887193</v>
      </c>
      <c r="AA94" s="144">
        <f t="array" ref="AA94">INDIRECT("Update"&amp;Projections!$AG$11&amp;"!P"&amp;ROW(B75))</f>
        <v>0.59386</v>
      </c>
      <c r="AB94" s="144">
        <f t="array" ref="AB94">INDIRECT("Update"&amp;Projections!$AG$11&amp;"!Q"&amp;ROW(B75))</f>
        <v>0.537018</v>
      </c>
      <c r="AC94" s="166">
        <f t="array" ref="AC94">INDIRECT("Update"&amp;Projections!$AG$11&amp;"!I"&amp;ROW(B75))</f>
        <v>0.468182</v>
      </c>
      <c r="AD94" s="166">
        <f t="array" ref="AD94">INDIRECT("Update"&amp;Projections!$AG$11&amp;"!K"&amp;ROW(B75))</f>
        <v>0.825007</v>
      </c>
      <c r="AE94" s="144">
        <f t="array" ref="AE94">INDIRECT("Update"&amp;Projections!$AG$11&amp;"!R"&amp;ROW(B75))</f>
        <v>1.533333</v>
      </c>
      <c r="AF94" s="144">
        <f t="shared" si="7"/>
        <v>0.4416139171</v>
      </c>
      <c r="AG94" s="144">
        <f t="shared" si="8"/>
        <v>1.162989346</v>
      </c>
      <c r="AH94" s="144">
        <f t="shared" si="9"/>
        <v>0.3540781495</v>
      </c>
      <c r="AI94" s="144">
        <f t="shared" si="10"/>
        <v>-0.9524593258</v>
      </c>
      <c r="AJ94" s="144">
        <f t="shared" si="11"/>
        <v>-1.375299371</v>
      </c>
      <c r="AK94" s="144">
        <f t="shared" si="12"/>
        <v>-0.3512438273</v>
      </c>
      <c r="AL94" s="144">
        <f t="shared" si="13"/>
        <v>-0.3797391462</v>
      </c>
      <c r="AM94" s="144">
        <f t="shared" si="14"/>
        <v>0.4868785763</v>
      </c>
      <c r="AN94" s="144">
        <f t="shared" si="15"/>
        <v>0</v>
      </c>
      <c r="AO94" s="167">
        <f t="shared" si="16"/>
        <v>-1.375299371</v>
      </c>
      <c r="AP94" s="167">
        <f t="shared" si="17"/>
        <v>-2.327758697</v>
      </c>
      <c r="AQ94" s="167">
        <f t="array" ref="AQ94">INDIRECT("Update"&amp;Projections!$AG$11&amp;"!S"&amp;ROW(B75))</f>
        <v>0.468182</v>
      </c>
      <c r="AR94" s="167">
        <f t="array" ref="AR94">INDIRECT("Update"&amp;Projections!$AG$11&amp;"!T"&amp;ROW(B75))</f>
        <v>0.825007</v>
      </c>
    </row>
    <row r="95">
      <c r="A95" s="50" t="str">
        <f>IF(UpdateHashtag!C93="",ROW(UpdateHashtag!C93),UpdateHashtag!C93)</f>
        <v>Daniel Gafford</v>
      </c>
      <c r="B95" s="53">
        <f>IF(TYPE($A95)=1,"",(UpdateHashtag!M93-B$1)/B$2)</f>
        <v>-1.206099234</v>
      </c>
      <c r="C95" s="53">
        <f>IF(TYPE($A95)=1,"",(UpdateHashtag!L93-C$1)/C$2)</f>
        <v>-1.709094101</v>
      </c>
      <c r="D95" s="53">
        <f>IF(TYPE($A95)=1,"",(UpdateHashtag!N93-D$1)/D$2)</f>
        <v>0.2730074282</v>
      </c>
      <c r="E95" s="53">
        <f>IF(TYPE($A95)=1,"",(UpdateHashtag!O93-E$1)/E$2)</f>
        <v>-1.190460169</v>
      </c>
      <c r="F95" s="53">
        <f>IF(TYPE($A95)=1,"",(UpdateHashtag!P93-F$1)/F$2)</f>
        <v>-1.051866375</v>
      </c>
      <c r="G95" s="53">
        <f>IF(TYPE($A95)=1,"",(UpdateHashtag!Q93-G$1)/G$2)</f>
        <v>1.763048406</v>
      </c>
      <c r="H95" s="53">
        <f>IF(TYPE($A95)=1,"",(UpdateHashtag!I93-H$1)/H$2*I95/$I$1)</f>
        <v>41.4405885</v>
      </c>
      <c r="I95" s="53">
        <f>UpdateHashtag!S93</f>
        <v>5.9</v>
      </c>
      <c r="J95" s="58">
        <f>IF(TYPE($A95)=1,"",(UpdateHashtag!K93-J$1)/J$2*K95/$K$1)</f>
        <v>-4.509053695</v>
      </c>
      <c r="K95" s="59">
        <f>UpdateHashtag!T93</f>
        <v>2.5</v>
      </c>
      <c r="L95" s="53">
        <f>IF(TYPE($A95)=1,"",-(UpdateHashtag!R93-L$1)/L$2)</f>
        <v>0.643430979</v>
      </c>
      <c r="N95" s="106">
        <f t="shared" si="3"/>
        <v>0.9432082952</v>
      </c>
      <c r="O95" s="106">
        <f t="shared" si="4"/>
        <v>104</v>
      </c>
      <c r="P95" s="163" t="str">
        <f t="array" ref="P95">INDIRECT("Update"&amp;Projections!$AG$11&amp;"!B"&amp;ROW(B76))</f>
        <v/>
      </c>
      <c r="Q95" s="164" t="str">
        <f t="array" ref="Q95">INDIRECT("Update"&amp;Projections!$AG$11&amp;"!C"&amp;ROW(B76))</f>
        <v>Tobias Harris</v>
      </c>
      <c r="R95" s="163">
        <f>UpdateBBM!F76</f>
        <v>73</v>
      </c>
      <c r="S95" s="165" t="str">
        <f t="array" ref="S95">INDIRECT("Update"&amp;Projections!$AG$11&amp;"!D"&amp;ROW(B76))</f>
        <v>F</v>
      </c>
      <c r="T95" s="144">
        <f t="shared" si="5"/>
        <v>-0.1390075742</v>
      </c>
      <c r="U95" s="144">
        <f>SUM(AF95:AN95)-IFERROR(IFS(Projections!$I$11,AO95,Projections!$J$11,AP95),"")</f>
        <v>-0.297657286</v>
      </c>
      <c r="V95" s="144">
        <f t="shared" si="6"/>
        <v>-0.1586497118</v>
      </c>
      <c r="W95" s="144">
        <f t="array" ref="W95">INDIRECT("Update"&amp;Projections!$AG$11&amp;"!M"&amp;ROW(B76))</f>
        <v>13.54205</v>
      </c>
      <c r="X95" s="144">
        <f t="array" ref="X95">INDIRECT("Update"&amp;Projections!$AG$11&amp;"!L"&amp;ROW(B76))</f>
        <v>1.189726</v>
      </c>
      <c r="Y95" s="144">
        <f t="array" ref="Y95">INDIRECT("Update"&amp;Projections!$AG$11&amp;"!N"&amp;ROW(B76))</f>
        <v>5.544521</v>
      </c>
      <c r="Z95" s="144">
        <f t="array" ref="Z95">INDIRECT("Update"&amp;Projections!$AG$11&amp;"!O"&amp;ROW(B76))</f>
        <v>2.021918</v>
      </c>
      <c r="AA95" s="144">
        <f t="array" ref="AA95">INDIRECT("Update"&amp;Projections!$AG$11&amp;"!P"&amp;ROW(B76))</f>
        <v>1.108904</v>
      </c>
      <c r="AB95" s="144">
        <f t="array" ref="AB95">INDIRECT("Update"&amp;Projections!$AG$11&amp;"!Q"&amp;ROW(B76))</f>
        <v>0.717534</v>
      </c>
      <c r="AC95" s="166">
        <f t="array" ref="AC95">INDIRECT("Update"&amp;Projections!$AG$11&amp;"!I"&amp;ROW(B76))</f>
        <v>0.502441</v>
      </c>
      <c r="AD95" s="166">
        <f t="array" ref="AD95">INDIRECT("Update"&amp;Projections!$AG$11&amp;"!K"&amp;ROW(B76))</f>
        <v>0.850981</v>
      </c>
      <c r="AE95" s="144">
        <f t="array" ref="AE95">INDIRECT("Update"&amp;Projections!$AG$11&amp;"!R"&amp;ROW(B76))</f>
        <v>1.108904</v>
      </c>
      <c r="AF95" s="144">
        <f t="shared" si="7"/>
        <v>-0.6373055135</v>
      </c>
      <c r="AG95" s="144">
        <f t="shared" si="8"/>
        <v>-0.5600169455</v>
      </c>
      <c r="AH95" s="144">
        <f t="shared" si="9"/>
        <v>-0.235905512</v>
      </c>
      <c r="AI95" s="144">
        <f t="shared" si="10"/>
        <v>-0.8866442101</v>
      </c>
      <c r="AJ95" s="144">
        <f t="shared" si="11"/>
        <v>0.1941581769</v>
      </c>
      <c r="AK95" s="144">
        <f t="shared" si="12"/>
        <v>-0.02306714286</v>
      </c>
      <c r="AL95" s="144">
        <f t="shared" si="13"/>
        <v>0.1095525541</v>
      </c>
      <c r="AM95" s="144">
        <f t="shared" si="14"/>
        <v>0.8549270969</v>
      </c>
      <c r="AN95" s="144">
        <f t="shared" si="15"/>
        <v>0</v>
      </c>
      <c r="AO95" s="167">
        <f t="shared" si="16"/>
        <v>-0.8866442101</v>
      </c>
      <c r="AP95" s="167">
        <f t="shared" si="17"/>
        <v>-1.523949724</v>
      </c>
      <c r="AQ95" s="167">
        <f t="array" ref="AQ95">INDIRECT("Update"&amp;Projections!$AG$11&amp;"!S"&amp;ROW(B76))</f>
        <v>0.502441</v>
      </c>
      <c r="AR95" s="167">
        <f t="array" ref="AR95">INDIRECT("Update"&amp;Projections!$AG$11&amp;"!T"&amp;ROW(B76))</f>
        <v>0.850981</v>
      </c>
    </row>
    <row r="96">
      <c r="A96" s="50" t="str">
        <f>IF(UpdateHashtag!C94="",ROW(UpdateHashtag!C94),UpdateHashtag!C94)</f>
        <v>Draymond Green</v>
      </c>
      <c r="B96" s="53">
        <f>IF(TYPE($A96)=1,"",(UpdateHashtag!M94-B$1)/B$2)</f>
        <v>-1.574528719</v>
      </c>
      <c r="C96" s="53">
        <f>IF(TYPE($A96)=1,"",(UpdateHashtag!L94-C$1)/C$2)</f>
        <v>-1.033010693</v>
      </c>
      <c r="D96" s="53">
        <f>IF(TYPE($A96)=1,"",(UpdateHashtag!N94-D$1)/D$2)</f>
        <v>0.3135427889</v>
      </c>
      <c r="E96" s="53">
        <f>IF(TYPE($A96)=1,"",(UpdateHashtag!O94-E$1)/E$2)</f>
        <v>1.154409417</v>
      </c>
      <c r="F96" s="53">
        <f>IF(TYPE($A96)=1,"",(UpdateHashtag!P94-F$1)/F$2)</f>
        <v>0.1670256406</v>
      </c>
      <c r="G96" s="53">
        <f>IF(TYPE($A96)=1,"",(UpdateHashtag!Q94-G$1)/G$2)</f>
        <v>0.126855404</v>
      </c>
      <c r="H96" s="53">
        <f>IF(TYPE($A96)=1,"",(UpdateHashtag!I94-H$1)/H$2*I96/$I$1)</f>
        <v>3.561205579</v>
      </c>
      <c r="I96" s="53">
        <f>UpdateHashtag!S94</f>
        <v>6.3</v>
      </c>
      <c r="J96" s="58">
        <f>IF(TYPE($A96)=1,"",(UpdateHashtag!K94-J$1)/J$2*K96/$K$1)</f>
        <v>-1.676118437</v>
      </c>
      <c r="K96" s="59">
        <f>UpdateHashtag!T94</f>
        <v>1.4</v>
      </c>
      <c r="L96" s="53">
        <f>IF(TYPE($A96)=1,"",-(UpdateHashtag!R94-L$1)/L$2)</f>
        <v>-0.7452689757</v>
      </c>
      <c r="N96" s="106">
        <f t="shared" si="3"/>
        <v>0.8155165921</v>
      </c>
      <c r="O96" s="106">
        <f t="shared" si="4"/>
        <v>91</v>
      </c>
      <c r="P96" s="163" t="str">
        <f t="array" ref="P96">INDIRECT("Update"&amp;Projections!$AG$11&amp;"!B"&amp;ROW(B77))</f>
        <v/>
      </c>
      <c r="Q96" s="164" t="str">
        <f t="array" ref="Q96">INDIRECT("Update"&amp;Projections!$AG$11&amp;"!C"&amp;ROW(B77))</f>
        <v>Bradley Beal</v>
      </c>
      <c r="R96" s="163">
        <f>UpdateBBM!F77</f>
        <v>63</v>
      </c>
      <c r="S96" s="165" t="str">
        <f t="array" ref="S96">INDIRECT("Update"&amp;Projections!$AG$11&amp;"!D"&amp;ROW(B77))</f>
        <v>G</v>
      </c>
      <c r="T96" s="144">
        <f t="shared" si="5"/>
        <v>0.3610334897</v>
      </c>
      <c r="U96" s="144">
        <f>SUM(AF96:AN96)-IFERROR(IFS(Projections!$I$11,AO96,Projections!$J$11,AP96),"")</f>
        <v>0.3282999305</v>
      </c>
      <c r="V96" s="144">
        <f t="shared" si="6"/>
        <v>-0.03273355913</v>
      </c>
      <c r="W96" s="144">
        <f t="array" ref="W96">INDIRECT("Update"&amp;Projections!$AG$11&amp;"!M"&amp;ROW(B77))</f>
        <v>17.70365</v>
      </c>
      <c r="X96" s="144">
        <f t="array" ref="X96">INDIRECT("Update"&amp;Projections!$AG$11&amp;"!L"&amp;ROW(B77))</f>
        <v>2.102222</v>
      </c>
      <c r="Y96" s="144">
        <f t="array" ref="Y96">INDIRECT("Update"&amp;Projections!$AG$11&amp;"!N"&amp;ROW(B77))</f>
        <v>3.362698</v>
      </c>
      <c r="Z96" s="144">
        <f t="array" ref="Z96">INDIRECT("Update"&amp;Projections!$AG$11&amp;"!O"&amp;ROW(B77))</f>
        <v>3.492063</v>
      </c>
      <c r="AA96" s="144">
        <f t="array" ref="AA96">INDIRECT("Update"&amp;Projections!$AG$11&amp;"!P"&amp;ROW(B77))</f>
        <v>1.036508</v>
      </c>
      <c r="AB96" s="144">
        <f t="array" ref="AB96">INDIRECT("Update"&amp;Projections!$AG$11&amp;"!Q"&amp;ROW(B77))</f>
        <v>0.516667</v>
      </c>
      <c r="AC96" s="166">
        <f t="array" ref="AC96">INDIRECT("Update"&amp;Projections!$AG$11&amp;"!I"&amp;ROW(B77))</f>
        <v>0.491198</v>
      </c>
      <c r="AD96" s="166">
        <f t="array" ref="AD96">INDIRECT("Update"&amp;Projections!$AG$11&amp;"!K"&amp;ROW(B77))</f>
        <v>0.830012</v>
      </c>
      <c r="AE96" s="144">
        <f t="array" ref="AE96">INDIRECT("Update"&amp;Projections!$AG$11&amp;"!R"&amp;ROW(B77))</f>
        <v>1.616667</v>
      </c>
      <c r="AF96" s="144">
        <f t="shared" si="7"/>
        <v>0.09281646035</v>
      </c>
      <c r="AG96" s="144">
        <f t="shared" si="8"/>
        <v>0.321302205</v>
      </c>
      <c r="AH96" s="144">
        <f t="shared" si="9"/>
        <v>-1.120315333</v>
      </c>
      <c r="AI96" s="144">
        <f t="shared" si="10"/>
        <v>-0.1684570648</v>
      </c>
      <c r="AJ96" s="144">
        <f t="shared" si="11"/>
        <v>-0.02644908898</v>
      </c>
      <c r="AK96" s="144">
        <f t="shared" si="12"/>
        <v>-0.3882417871</v>
      </c>
      <c r="AL96" s="144">
        <f t="shared" si="13"/>
        <v>-0.05879486857</v>
      </c>
      <c r="AM96" s="144">
        <f t="shared" si="14"/>
        <v>0.5561240747</v>
      </c>
      <c r="AN96" s="144">
        <f t="shared" si="15"/>
        <v>0</v>
      </c>
      <c r="AO96" s="167">
        <f t="shared" si="16"/>
        <v>-1.120315333</v>
      </c>
      <c r="AP96" s="167">
        <f t="shared" si="17"/>
        <v>-1.50855712</v>
      </c>
      <c r="AQ96" s="167">
        <f t="array" ref="AQ96">INDIRECT("Update"&amp;Projections!$AG$11&amp;"!S"&amp;ROW(B77))</f>
        <v>0.491198</v>
      </c>
      <c r="AR96" s="167">
        <f t="array" ref="AR96">INDIRECT("Update"&amp;Projections!$AG$11&amp;"!T"&amp;ROW(B77))</f>
        <v>0.830012</v>
      </c>
    </row>
    <row r="97">
      <c r="A97" s="50" t="str">
        <f>IF(UpdateHashtag!C95="",ROW(UpdateHashtag!C95),UpdateHashtag!C95)</f>
        <v>Jakob Poeltl</v>
      </c>
      <c r="B97" s="53">
        <f>IF(TYPE($A97)=1,"",(UpdateHashtag!M95-B$1)/B$2)</f>
        <v>-0.8727582709</v>
      </c>
      <c r="C97" s="53">
        <f>IF(TYPE($A97)=1,"",(UpdateHashtag!L95-C$1)/C$2)</f>
        <v>-1.709094101</v>
      </c>
      <c r="D97" s="53">
        <f>IF(TYPE($A97)=1,"",(UpdateHashtag!N95-D$1)/D$2)</f>
        <v>1.205320723</v>
      </c>
      <c r="E97" s="53">
        <f>IF(TYPE($A97)=1,"",(UpdateHashtag!O95-E$1)/E$2)</f>
        <v>-0.5553913229</v>
      </c>
      <c r="F97" s="53">
        <f>IF(TYPE($A97)=1,"",(UpdateHashtag!P95-F$1)/F$2)</f>
        <v>-0.442420367</v>
      </c>
      <c r="G97" s="53">
        <f>IF(TYPE($A97)=1,"",(UpdateHashtag!Q95-G$1)/G$2)</f>
        <v>1.217650739</v>
      </c>
      <c r="H97" s="53">
        <f>IF(TYPE($A97)=1,"",(UpdateHashtag!I95-H$1)/H$2*I97/$I$1)</f>
        <v>36.54240253</v>
      </c>
      <c r="I97" s="53">
        <f>UpdateHashtag!S95</f>
        <v>8.4</v>
      </c>
      <c r="J97" s="58">
        <f>IF(TYPE($A97)=1,"",(UpdateHashtag!K95-J$1)/J$2*K97/$K$1)</f>
        <v>-8.838427579</v>
      </c>
      <c r="K97" s="59">
        <f>UpdateHashtag!T95</f>
        <v>2.6</v>
      </c>
      <c r="L97" s="53">
        <f>IF(TYPE($A97)=1,"",-(UpdateHashtag!R95-L$1)/L$2)</f>
        <v>0.04827385557</v>
      </c>
      <c r="N97" s="106">
        <f t="shared" si="3"/>
        <v>0.8120745123</v>
      </c>
      <c r="O97" s="106">
        <f t="shared" si="4"/>
        <v>75</v>
      </c>
      <c r="P97" s="163" t="str">
        <f t="array" ref="P97">INDIRECT("Update"&amp;Projections!$AG$11&amp;"!B"&amp;ROW(B78))</f>
        <v/>
      </c>
      <c r="Q97" s="164" t="str">
        <f t="array" ref="Q97">INDIRECT("Update"&amp;Projections!$AG$11&amp;"!C"&amp;ROW(B78))</f>
        <v>Alexandre Sarr</v>
      </c>
      <c r="R97" s="163">
        <f>UpdateBBM!F78</f>
        <v>73</v>
      </c>
      <c r="S97" s="165" t="str">
        <f t="array" ref="S97">INDIRECT("Update"&amp;Projections!$AG$11&amp;"!D"&amp;ROW(B78))</f>
        <v>F,C</v>
      </c>
      <c r="T97" s="144">
        <f t="shared" si="5"/>
        <v>0.9432082952</v>
      </c>
      <c r="U97" s="144">
        <f>SUM(AF97:AN97)-IFERROR(IFS(Projections!$I$11,AO97,Projections!$J$11,AP97),"")</f>
        <v>1.014502498</v>
      </c>
      <c r="V97" s="144">
        <f t="shared" si="6"/>
        <v>0.07129420246</v>
      </c>
      <c r="W97" s="144">
        <f t="array" ref="W97">INDIRECT("Update"&amp;Projections!$AG$11&amp;"!M"&amp;ROW(B78))</f>
        <v>17.26192</v>
      </c>
      <c r="X97" s="144">
        <f t="array" ref="X97">INDIRECT("Update"&amp;Projections!$AG$11&amp;"!L"&amp;ROW(B78))</f>
        <v>1.937534</v>
      </c>
      <c r="Y97" s="144">
        <f t="array" ref="Y97">INDIRECT("Update"&amp;Projections!$AG$11&amp;"!N"&amp;ROW(B78))</f>
        <v>7.916027</v>
      </c>
      <c r="Z97" s="144">
        <f t="array" ref="Z97">INDIRECT("Update"&amp;Projections!$AG$11&amp;"!O"&amp;ROW(B78))</f>
        <v>3.259589</v>
      </c>
      <c r="AA97" s="144">
        <f t="array" ref="AA97">INDIRECT("Update"&amp;Projections!$AG$11&amp;"!P"&amp;ROW(B78))</f>
        <v>0.748493</v>
      </c>
      <c r="AB97" s="144">
        <f t="array" ref="AB97">INDIRECT("Update"&amp;Projections!$AG$11&amp;"!Q"&amp;ROW(B78))</f>
        <v>1.796027</v>
      </c>
      <c r="AC97" s="166">
        <f t="array" ref="AC97">INDIRECT("Update"&amp;Projections!$AG$11&amp;"!I"&amp;ROW(B78))</f>
        <v>0.427608</v>
      </c>
      <c r="AD97" s="166">
        <f t="array" ref="AD97">INDIRECT("Update"&amp;Projections!$AG$11&amp;"!K"&amp;ROW(B78))</f>
        <v>0.729991</v>
      </c>
      <c r="AE97" s="144">
        <f t="array" ref="AE97">INDIRECT("Update"&amp;Projections!$AG$11&amp;"!R"&amp;ROW(B78))</f>
        <v>2.036164</v>
      </c>
      <c r="AF97" s="144">
        <f t="shared" si="7"/>
        <v>0.01531819537</v>
      </c>
      <c r="AG97" s="144">
        <f t="shared" si="8"/>
        <v>0.1622410274</v>
      </c>
      <c r="AH97" s="144">
        <f t="shared" si="9"/>
        <v>0.7253929974</v>
      </c>
      <c r="AI97" s="144">
        <f t="shared" si="10"/>
        <v>-0.282023984</v>
      </c>
      <c r="AJ97" s="144">
        <f t="shared" si="11"/>
        <v>-0.9040970484</v>
      </c>
      <c r="AK97" s="144">
        <f t="shared" si="12"/>
        <v>1.937624746</v>
      </c>
      <c r="AL97" s="144">
        <f t="shared" si="13"/>
        <v>-0.8680134562</v>
      </c>
      <c r="AM97" s="144">
        <f t="shared" si="14"/>
        <v>-0.6760370281</v>
      </c>
      <c r="AN97" s="144">
        <f t="shared" si="15"/>
        <v>0</v>
      </c>
      <c r="AO97" s="167">
        <f t="shared" si="16"/>
        <v>-0.9040970484</v>
      </c>
      <c r="AP97" s="167">
        <f t="shared" si="17"/>
        <v>-1.772110505</v>
      </c>
      <c r="AQ97" s="167">
        <f t="array" ref="AQ97">INDIRECT("Update"&amp;Projections!$AG$11&amp;"!S"&amp;ROW(B78))</f>
        <v>0.427608</v>
      </c>
      <c r="AR97" s="167">
        <f t="array" ref="AR97">INDIRECT("Update"&amp;Projections!$AG$11&amp;"!T"&amp;ROW(B78))</f>
        <v>0.729991</v>
      </c>
    </row>
    <row r="98">
      <c r="A98" s="50" t="str">
        <f>IF(UpdateHashtag!C96="",ROW(UpdateHashtag!C96),UpdateHashtag!C96)</f>
        <v>Amen Thompson</v>
      </c>
      <c r="B98" s="53">
        <f>IF(TYPE($A98)=1,"",(UpdateHashtag!M96-B$1)/B$2)</f>
        <v>-0.9078467933</v>
      </c>
      <c r="C98" s="53">
        <f>IF(TYPE($A98)=1,"",(UpdateHashtag!L96-C$1)/C$2)</f>
        <v>-1.419344069</v>
      </c>
      <c r="D98" s="53">
        <f>IF(TYPE($A98)=1,"",(UpdateHashtag!N96-D$1)/D$2)</f>
        <v>0.4351488707</v>
      </c>
      <c r="E98" s="53">
        <f>IF(TYPE($A98)=1,"",(UpdateHashtag!O96-E$1)/E$2)</f>
        <v>-0.3111340744</v>
      </c>
      <c r="F98" s="53">
        <f>IF(TYPE($A98)=1,"",(UpdateHashtag!P96-F$1)/F$2)</f>
        <v>1.385917656</v>
      </c>
      <c r="G98" s="53">
        <f>IF(TYPE($A98)=1,"",(UpdateHashtag!Q96-G$1)/G$2)</f>
        <v>0.126855404</v>
      </c>
      <c r="H98" s="53">
        <f>IF(TYPE($A98)=1,"",(UpdateHashtag!I96-H$1)/H$2*I98/$I$1)</f>
        <v>9.142810065</v>
      </c>
      <c r="I98" s="53">
        <f>UpdateHashtag!S96</f>
        <v>9</v>
      </c>
      <c r="J98" s="58">
        <f>IF(TYPE($A98)=1,"",(UpdateHashtag!K96-J$1)/J$2*K98/$K$1)</f>
        <v>-3.365122209</v>
      </c>
      <c r="K98" s="59">
        <f>UpdateHashtag!T96</f>
        <v>3.1</v>
      </c>
      <c r="L98" s="53">
        <f>IF(TYPE($A98)=1,"",-(UpdateHashtag!R96-L$1)/L$2)</f>
        <v>-0.05091899834</v>
      </c>
      <c r="N98" s="106">
        <f t="shared" si="3"/>
        <v>0.7914324372</v>
      </c>
      <c r="O98" s="106">
        <f t="shared" si="4"/>
        <v>101</v>
      </c>
      <c r="P98" s="163" t="str">
        <f t="array" ref="P98">INDIRECT("Update"&amp;Projections!$AG$11&amp;"!B"&amp;ROW(B79))</f>
        <v/>
      </c>
      <c r="Q98" s="164" t="str">
        <f t="array" ref="Q98">INDIRECT("Update"&amp;Projections!$AG$11&amp;"!C"&amp;ROW(B79))</f>
        <v>Cason Wallace</v>
      </c>
      <c r="R98" s="163">
        <f>UpdateBBM!F79</f>
        <v>73</v>
      </c>
      <c r="S98" s="165" t="str">
        <f t="array" ref="S98">INDIRECT("Update"&amp;Projections!$AG$11&amp;"!D"&amp;ROW(B79))</f>
        <v>G,F</v>
      </c>
      <c r="T98" s="144">
        <f t="shared" si="5"/>
        <v>-0.05151677083</v>
      </c>
      <c r="U98" s="144">
        <f>SUM(AF98:AN98)-IFERROR(IFS(Projections!$I$11,AO98,Projections!$J$11,AP98),"")</f>
        <v>-0.2335038334</v>
      </c>
      <c r="V98" s="144">
        <f t="shared" si="6"/>
        <v>-0.1819870625</v>
      </c>
      <c r="W98" s="144">
        <f t="array" ref="W98">INDIRECT("Update"&amp;Projections!$AG$11&amp;"!M"&amp;ROW(B79))</f>
        <v>9.631644</v>
      </c>
      <c r="X98" s="144">
        <f t="array" ref="X98">INDIRECT("Update"&amp;Projections!$AG$11&amp;"!L"&amp;ROW(B79))</f>
        <v>1.197397</v>
      </c>
      <c r="Y98" s="144">
        <f t="array" ref="Y98">INDIRECT("Update"&amp;Projections!$AG$11&amp;"!N"&amp;ROW(B79))</f>
        <v>3.093973</v>
      </c>
      <c r="Z98" s="144">
        <f t="array" ref="Z98">INDIRECT("Update"&amp;Projections!$AG$11&amp;"!O"&amp;ROW(B79))</f>
        <v>2.677534</v>
      </c>
      <c r="AA98" s="144">
        <f t="array" ref="AA98">INDIRECT("Update"&amp;Projections!$AG$11&amp;"!P"&amp;ROW(B79))</f>
        <v>1.833562</v>
      </c>
      <c r="AB98" s="144">
        <f t="array" ref="AB98">INDIRECT("Update"&amp;Projections!$AG$11&amp;"!Q"&amp;ROW(B79))</f>
        <v>0.418082</v>
      </c>
      <c r="AC98" s="166">
        <f t="array" ref="AC98">INDIRECT("Update"&amp;Projections!$AG$11&amp;"!I"&amp;ROW(B79))</f>
        <v>0.505295</v>
      </c>
      <c r="AD98" s="166">
        <f t="array" ref="AD98">INDIRECT("Update"&amp;Projections!$AG$11&amp;"!K"&amp;ROW(B79))</f>
        <v>0.797946</v>
      </c>
      <c r="AE98" s="144">
        <f t="array" ref="AE98">INDIRECT("Update"&amp;Projections!$AG$11&amp;"!R"&amp;ROW(B79))</f>
        <v>1.014795</v>
      </c>
      <c r="AF98" s="144">
        <f t="shared" si="7"/>
        <v>-1.323357356</v>
      </c>
      <c r="AG98" s="144">
        <f t="shared" si="8"/>
        <v>-0.5526080372</v>
      </c>
      <c r="AH98" s="144">
        <f t="shared" si="9"/>
        <v>-1.229243981</v>
      </c>
      <c r="AI98" s="144">
        <f t="shared" si="10"/>
        <v>-0.5663662896</v>
      </c>
      <c r="AJ98" s="144">
        <f t="shared" si="11"/>
        <v>2.402357802</v>
      </c>
      <c r="AK98" s="144">
        <f t="shared" si="12"/>
        <v>-0.5674685506</v>
      </c>
      <c r="AL98" s="144">
        <f t="shared" si="13"/>
        <v>0.1534956017</v>
      </c>
      <c r="AM98" s="144">
        <f t="shared" si="14"/>
        <v>0.1263296216</v>
      </c>
      <c r="AN98" s="144">
        <f t="shared" si="15"/>
        <v>0</v>
      </c>
      <c r="AO98" s="167">
        <f t="shared" si="16"/>
        <v>-1.323357356</v>
      </c>
      <c r="AP98" s="167">
        <f t="shared" si="17"/>
        <v>-2.552601337</v>
      </c>
      <c r="AQ98" s="167">
        <f t="array" ref="AQ98">INDIRECT("Update"&amp;Projections!$AG$11&amp;"!S"&amp;ROW(B79))</f>
        <v>0.505295</v>
      </c>
      <c r="AR98" s="167">
        <f t="array" ref="AR98">INDIRECT("Update"&amp;Projections!$AG$11&amp;"!T"&amp;ROW(B79))</f>
        <v>0.797946</v>
      </c>
    </row>
    <row r="99">
      <c r="A99" s="50" t="str">
        <f>IF(UpdateHashtag!C97="",ROW(UpdateHashtag!C97),UpdateHashtag!C97)</f>
        <v>CJ McCollum</v>
      </c>
      <c r="B99" s="53">
        <f>IF(TYPE($A99)=1,"",(UpdateHashtag!M97-B$1)/B$2)</f>
        <v>0.197441662</v>
      </c>
      <c r="C99" s="53">
        <f>IF(TYPE($A99)=1,"",(UpdateHashtag!L97-C$1)/C$2)</f>
        <v>0.9952395309</v>
      </c>
      <c r="D99" s="53">
        <f>IF(TYPE($A99)=1,"",(UpdateHashtag!N97-D$1)/D$2)</f>
        <v>-0.9025180299</v>
      </c>
      <c r="E99" s="53">
        <f>IF(TYPE($A99)=1,"",(UpdateHashtag!O97-E$1)/E$2)</f>
        <v>0.128528973</v>
      </c>
      <c r="F99" s="53">
        <f>IF(TYPE($A99)=1,"",(UpdateHashtag!P97-F$1)/F$2)</f>
        <v>-0.7471433709</v>
      </c>
      <c r="G99" s="53">
        <f>IF(TYPE($A99)=1,"",(UpdateHashtag!Q97-G$1)/G$2)</f>
        <v>-0.4185422635</v>
      </c>
      <c r="H99" s="53">
        <f>IF(TYPE($A99)=1,"",(UpdateHashtag!I97-H$1)/H$2*I99/$I$1)</f>
        <v>-19.90855376</v>
      </c>
      <c r="I99" s="53">
        <f>UpdateHashtag!S97</f>
        <v>15</v>
      </c>
      <c r="J99" s="58">
        <f>IF(TYPE($A99)=1,"",(UpdateHashtag!K97-J$1)/J$2*K99/$K$1)</f>
        <v>0.9533592614</v>
      </c>
      <c r="K99" s="59">
        <f>UpdateHashtag!T97</f>
        <v>2.3</v>
      </c>
      <c r="L99" s="53">
        <f>IF(TYPE($A99)=1,"",-(UpdateHashtag!R97-L$1)/L$2)</f>
        <v>-0.1501118522</v>
      </c>
      <c r="N99" s="106">
        <f t="shared" si="3"/>
        <v>0.7865551623</v>
      </c>
      <c r="O99" s="106">
        <f t="shared" si="4"/>
        <v>69</v>
      </c>
      <c r="P99" s="163" t="str">
        <f t="array" ref="P99">INDIRECT("Update"&amp;Projections!$AG$11&amp;"!B"&amp;ROW(B80))</f>
        <v/>
      </c>
      <c r="Q99" s="164" t="str">
        <f t="array" ref="Q99">INDIRECT("Update"&amp;Projections!$AG$11&amp;"!C"&amp;ROW(B80))</f>
        <v>Jaylen Brown</v>
      </c>
      <c r="R99" s="163">
        <f>UpdateBBM!F80</f>
        <v>54</v>
      </c>
      <c r="S99" s="165" t="str">
        <f t="array" ref="S99">INDIRECT("Update"&amp;Projections!$AG$11&amp;"!D"&amp;ROW(B80))</f>
        <v>G,F</v>
      </c>
      <c r="T99" s="144">
        <f t="shared" si="5"/>
        <v>1.443103544</v>
      </c>
      <c r="U99" s="144">
        <f>SUM(AF99:AN99)-IFERROR(IFS(Projections!$I$11,AO99,Projections!$J$11,AP99),"")</f>
        <v>1.711897911</v>
      </c>
      <c r="V99" s="144">
        <f t="shared" si="6"/>
        <v>0.2687943661</v>
      </c>
      <c r="W99" s="144">
        <f t="array" ref="W99">INDIRECT("Update"&amp;Projections!$AG$11&amp;"!M"&amp;ROW(B80))</f>
        <v>24.59241</v>
      </c>
      <c r="X99" s="144">
        <f t="array" ref="X99">INDIRECT("Update"&amp;Projections!$AG$11&amp;"!L"&amp;ROW(B80))</f>
        <v>1.963148</v>
      </c>
      <c r="Y99" s="144">
        <f t="array" ref="Y99">INDIRECT("Update"&amp;Projections!$AG$11&amp;"!N"&amp;ROW(B80))</f>
        <v>6.514815</v>
      </c>
      <c r="Z99" s="144">
        <f t="array" ref="Z99">INDIRECT("Update"&amp;Projections!$AG$11&amp;"!O"&amp;ROW(B80))</f>
        <v>5.240185</v>
      </c>
      <c r="AA99" s="144">
        <f t="array" ref="AA99">INDIRECT("Update"&amp;Projections!$AG$11&amp;"!P"&amp;ROW(B80))</f>
        <v>1.062222</v>
      </c>
      <c r="AB99" s="144">
        <f t="array" ref="AB99">INDIRECT("Update"&amp;Projections!$AG$11&amp;"!Q"&amp;ROW(B80))</f>
        <v>0.353889</v>
      </c>
      <c r="AC99" s="166">
        <f t="array" ref="AC99">INDIRECT("Update"&amp;Projections!$AG$11&amp;"!I"&amp;ROW(B80))</f>
        <v>0.471803</v>
      </c>
      <c r="AD99" s="166">
        <f t="array" ref="AD99">INDIRECT("Update"&amp;Projections!$AG$11&amp;"!K"&amp;ROW(B80))</f>
        <v>0.759993</v>
      </c>
      <c r="AE99" s="144">
        <f t="array" ref="AE99">INDIRECT("Update"&amp;Projections!$AG$11&amp;"!R"&amp;ROW(B80))</f>
        <v>2.832593</v>
      </c>
      <c r="AF99" s="144">
        <f t="shared" si="7"/>
        <v>1.301398508</v>
      </c>
      <c r="AG99" s="144">
        <f t="shared" si="8"/>
        <v>0.1869798852</v>
      </c>
      <c r="AH99" s="144">
        <f t="shared" si="9"/>
        <v>0.15740666</v>
      </c>
      <c r="AI99" s="144">
        <f t="shared" si="10"/>
        <v>0.6855258748</v>
      </c>
      <c r="AJ99" s="144">
        <f t="shared" si="11"/>
        <v>0.05190738423</v>
      </c>
      <c r="AK99" s="144">
        <f t="shared" si="12"/>
        <v>-0.6841709255</v>
      </c>
      <c r="AL99" s="144">
        <f t="shared" si="13"/>
        <v>-0.3313561532</v>
      </c>
      <c r="AM99" s="144">
        <f t="shared" si="14"/>
        <v>-0.3399642483</v>
      </c>
      <c r="AN99" s="144">
        <f t="shared" si="15"/>
        <v>0</v>
      </c>
      <c r="AO99" s="167">
        <f t="shared" si="16"/>
        <v>-0.6841709255</v>
      </c>
      <c r="AP99" s="167">
        <f t="shared" si="17"/>
        <v>-1.024135174</v>
      </c>
      <c r="AQ99" s="167">
        <f t="array" ref="AQ99">INDIRECT("Update"&amp;Projections!$AG$11&amp;"!S"&amp;ROW(B80))</f>
        <v>0.471803</v>
      </c>
      <c r="AR99" s="167">
        <f t="array" ref="AR99">INDIRECT("Update"&amp;Projections!$AG$11&amp;"!T"&amp;ROW(B80))</f>
        <v>0.759993</v>
      </c>
    </row>
    <row r="100">
      <c r="A100" s="50" t="str">
        <f>IF(UpdateHashtag!C98="",ROW(UpdateHashtag!C98),UpdateHashtag!C98)</f>
        <v>Cam Thomas</v>
      </c>
      <c r="B100" s="53">
        <f>IF(TYPE($A100)=1,"",(UpdateHashtag!M98-B$1)/B$2)</f>
        <v>1.478172729</v>
      </c>
      <c r="C100" s="53">
        <f>IF(TYPE($A100)=1,"",(UpdateHashtag!L98-C$1)/C$2)</f>
        <v>0.802072843</v>
      </c>
      <c r="D100" s="53">
        <f>IF(TYPE($A100)=1,"",(UpdateHashtag!N98-D$1)/D$2)</f>
        <v>-1.145730194</v>
      </c>
      <c r="E100" s="53">
        <f>IF(TYPE($A100)=1,"",(UpdateHashtag!O98-E$1)/E$2)</f>
        <v>-0.4576884235</v>
      </c>
      <c r="F100" s="53">
        <f>IF(TYPE($A100)=1,"",(UpdateHashtag!P98-F$1)/F$2)</f>
        <v>-1.051866375</v>
      </c>
      <c r="G100" s="53">
        <f>IF(TYPE($A100)=1,"",(UpdateHashtag!Q98-G$1)/G$2)</f>
        <v>-0.7821407085</v>
      </c>
      <c r="H100" s="53">
        <f>IF(TYPE($A100)=1,"",(UpdateHashtag!I98-H$1)/H$2*I100/$I$1)</f>
        <v>-34.31386753</v>
      </c>
      <c r="I100" s="53">
        <f>UpdateHashtag!S98</f>
        <v>20.7</v>
      </c>
      <c r="J100" s="58">
        <f>IF(TYPE($A100)=1,"",(UpdateHashtag!K98-J$1)/J$2*K100/$K$1)</f>
        <v>6.404847276</v>
      </c>
      <c r="K100" s="59">
        <f>UpdateHashtag!T98</f>
        <v>5.5</v>
      </c>
      <c r="L100" s="53">
        <f>IF(TYPE($A100)=1,"",-(UpdateHashtag!R98-L$1)/L$2)</f>
        <v>-0.2493047061</v>
      </c>
      <c r="N100" s="106">
        <f t="shared" si="3"/>
        <v>0.6943480105</v>
      </c>
      <c r="O100" s="106">
        <f t="shared" si="4"/>
        <v>124</v>
      </c>
      <c r="P100" s="163" t="str">
        <f t="array" ref="P100">INDIRECT("Update"&amp;Projections!$AG$11&amp;"!B"&amp;ROW(B81))</f>
        <v/>
      </c>
      <c r="Q100" s="164" t="str">
        <f t="array" ref="Q100">INDIRECT("Update"&amp;Projections!$AG$11&amp;"!C"&amp;ROW(B81))</f>
        <v>Kel'el Ware</v>
      </c>
      <c r="R100" s="163">
        <f>UpdateBBM!F81</f>
        <v>68</v>
      </c>
      <c r="S100" s="165" t="str">
        <f t="array" ref="S100">INDIRECT("Update"&amp;Projections!$AG$11&amp;"!D"&amp;ROW(B81))</f>
        <v>C</v>
      </c>
      <c r="T100" s="144">
        <f t="shared" si="5"/>
        <v>-0.8298693778</v>
      </c>
      <c r="U100" s="144">
        <f>SUM(AF100:AN100)-IFERROR(IFS(Projections!$I$11,AO100,Projections!$J$11,AP100),"")</f>
        <v>-1.001740505</v>
      </c>
      <c r="V100" s="144">
        <f t="shared" si="6"/>
        <v>-0.1718711273</v>
      </c>
      <c r="W100" s="144">
        <f t="array" ref="W100">INDIRECT("Update"&amp;Projections!$AG$11&amp;"!M"&amp;ROW(B81))</f>
        <v>11.08691</v>
      </c>
      <c r="X100" s="144">
        <f t="array" ref="X100">INDIRECT("Update"&amp;Projections!$AG$11&amp;"!L"&amp;ROW(B81))</f>
        <v>0.616765</v>
      </c>
      <c r="Y100" s="144">
        <f t="array" ref="Y100">INDIRECT("Update"&amp;Projections!$AG$11&amp;"!N"&amp;ROW(B81))</f>
        <v>9.555</v>
      </c>
      <c r="Z100" s="144">
        <f t="array" ref="Z100">INDIRECT("Update"&amp;Projections!$AG$11&amp;"!O"&amp;ROW(B81))</f>
        <v>1.327059</v>
      </c>
      <c r="AA100" s="144">
        <f t="array" ref="AA100">INDIRECT("Update"&amp;Projections!$AG$11&amp;"!P"&amp;ROW(B81))</f>
        <v>0.6975</v>
      </c>
      <c r="AB100" s="144">
        <f t="array" ref="AB100">INDIRECT("Update"&amp;Projections!$AG$11&amp;"!Q"&amp;ROW(B81))</f>
        <v>1.212647</v>
      </c>
      <c r="AC100" s="166">
        <f t="array" ref="AC100">INDIRECT("Update"&amp;Projections!$AG$11&amp;"!I"&amp;ROW(B81))</f>
        <v>0.562368</v>
      </c>
      <c r="AD100" s="166">
        <f t="array" ref="AD100">INDIRECT("Update"&amp;Projections!$AG$11&amp;"!K"&amp;ROW(B81))</f>
        <v>0.68105</v>
      </c>
      <c r="AE100" s="144">
        <f t="array" ref="AE100">INDIRECT("Update"&amp;Projections!$AG$11&amp;"!R"&amp;ROW(B81))</f>
        <v>1.055588</v>
      </c>
      <c r="AF100" s="144">
        <f t="shared" si="7"/>
        <v>-1.068041688</v>
      </c>
      <c r="AG100" s="144">
        <f t="shared" si="8"/>
        <v>-1.113401839</v>
      </c>
      <c r="AH100" s="144">
        <f t="shared" si="9"/>
        <v>1.389756613</v>
      </c>
      <c r="AI100" s="144">
        <f t="shared" si="10"/>
        <v>-1.226092905</v>
      </c>
      <c r="AJ100" s="144">
        <f t="shared" si="11"/>
        <v>-1.05948445</v>
      </c>
      <c r="AK100" s="144">
        <f t="shared" si="12"/>
        <v>0.8770444416</v>
      </c>
      <c r="AL100" s="144">
        <f t="shared" si="13"/>
        <v>1.134991321</v>
      </c>
      <c r="AM100" s="144">
        <f t="shared" si="14"/>
        <v>-1.162604904</v>
      </c>
      <c r="AN100" s="144">
        <f t="shared" si="15"/>
        <v>0</v>
      </c>
      <c r="AO100" s="167">
        <f t="shared" si="16"/>
        <v>-1.226092905</v>
      </c>
      <c r="AP100" s="167">
        <f t="shared" si="17"/>
        <v>-2.388697809</v>
      </c>
      <c r="AQ100" s="167">
        <f t="array" ref="AQ100">INDIRECT("Update"&amp;Projections!$AG$11&amp;"!S"&amp;ROW(B81))</f>
        <v>0.562368</v>
      </c>
      <c r="AR100" s="167">
        <f t="array" ref="AR100">INDIRECT("Update"&amp;Projections!$AG$11&amp;"!T"&amp;ROW(B81))</f>
        <v>0.68105</v>
      </c>
    </row>
    <row r="101">
      <c r="A101" s="50" t="str">
        <f>IF(UpdateHashtag!C99="",ROW(UpdateHashtag!C99),UpdateHashtag!C99)</f>
        <v>Al Horford</v>
      </c>
      <c r="B101" s="53">
        <f>IF(TYPE($A101)=1,"",(UpdateHashtag!M99-B$1)/B$2)</f>
        <v>-1.29382054</v>
      </c>
      <c r="C101" s="53">
        <f>IF(TYPE($A101)=1,"",(UpdateHashtag!L99-C$1)/C$2)</f>
        <v>0.3191561231</v>
      </c>
      <c r="D101" s="53">
        <f>IF(TYPE($A101)=1,"",(UpdateHashtag!N99-D$1)/D$2)</f>
        <v>0.2324720676</v>
      </c>
      <c r="E101" s="53">
        <f>IF(TYPE($A101)=1,"",(UpdateHashtag!O99-E$1)/E$2)</f>
        <v>-0.4088369738</v>
      </c>
      <c r="F101" s="53">
        <f>IF(TYPE($A101)=1,"",(UpdateHashtag!P99-F$1)/F$2)</f>
        <v>-1.356589379</v>
      </c>
      <c r="G101" s="53">
        <f>IF(TYPE($A101)=1,"",(UpdateHashtag!Q99-G$1)/G$2)</f>
        <v>0.490453849</v>
      </c>
      <c r="H101" s="53">
        <f>IF(TYPE($A101)=1,"",(UpdateHashtag!I99-H$1)/H$2*I101/$I$1)</f>
        <v>-0.4851821429</v>
      </c>
      <c r="I101" s="53">
        <f>UpdateHashtag!S99</f>
        <v>7.4</v>
      </c>
      <c r="J101" s="58">
        <f>IF(TYPE($A101)=1,"",(UpdateHashtag!K99-J$1)/J$2*K101/$K$1)</f>
        <v>0.01899042619</v>
      </c>
      <c r="K101" s="59">
        <f>UpdateHashtag!T99</f>
        <v>0.4</v>
      </c>
      <c r="L101" s="53">
        <f>IF(TYPE($A101)=1,"",-(UpdateHashtag!R99-L$1)/L$2)</f>
        <v>1.040202395</v>
      </c>
      <c r="N101" s="106">
        <f t="shared" si="3"/>
        <v>0.6707148555</v>
      </c>
      <c r="O101" s="106">
        <f t="shared" si="4"/>
        <v>82</v>
      </c>
      <c r="P101" s="163" t="str">
        <f t="array" ref="P101">INDIRECT("Update"&amp;Projections!$AG$11&amp;"!B"&amp;ROW(B82))</f>
        <v/>
      </c>
      <c r="Q101" s="164" t="str">
        <f t="array" ref="Q101">INDIRECT("Update"&amp;Projections!$AG$11&amp;"!C"&amp;ROW(B82))</f>
        <v>Pascal Siakam</v>
      </c>
      <c r="R101" s="163">
        <f>UpdateBBM!F82</f>
        <v>73</v>
      </c>
      <c r="S101" s="165" t="str">
        <f t="array" ref="S101">INDIRECT("Update"&amp;Projections!$AG$11&amp;"!D"&amp;ROW(B82))</f>
        <v>F</v>
      </c>
      <c r="T101" s="144">
        <f t="shared" si="5"/>
        <v>0.6376641261</v>
      </c>
      <c r="U101" s="144">
        <f>SUM(AF101:AN101)-IFERROR(IFS(Projections!$I$11,AO101,Projections!$J$11,AP101),"")</f>
        <v>0.7550559756</v>
      </c>
      <c r="V101" s="144">
        <f t="shared" si="6"/>
        <v>0.1173918495</v>
      </c>
      <c r="W101" s="144">
        <f t="array" ref="W101">INDIRECT("Update"&amp;Projections!$AG$11&amp;"!M"&amp;ROW(B82))</f>
        <v>22.26479</v>
      </c>
      <c r="X101" s="144">
        <f t="array" ref="X101">INDIRECT("Update"&amp;Projections!$AG$11&amp;"!L"&amp;ROW(B82))</f>
        <v>1.548082</v>
      </c>
      <c r="Y101" s="144">
        <f t="array" ref="Y101">INDIRECT("Update"&amp;Projections!$AG$11&amp;"!N"&amp;ROW(B82))</f>
        <v>6.943699</v>
      </c>
      <c r="Z101" s="144">
        <f t="array" ref="Z101">INDIRECT("Update"&amp;Projections!$AG$11&amp;"!O"&amp;ROW(B82))</f>
        <v>5.138356</v>
      </c>
      <c r="AA101" s="144">
        <f t="array" ref="AA101">INDIRECT("Update"&amp;Projections!$AG$11&amp;"!P"&amp;ROW(B82))</f>
        <v>0.908082</v>
      </c>
      <c r="AB101" s="144">
        <f t="array" ref="AB101">INDIRECT("Update"&amp;Projections!$AG$11&amp;"!Q"&amp;ROW(B82))</f>
        <v>0.486027</v>
      </c>
      <c r="AC101" s="166">
        <f t="array" ref="AC101">INDIRECT("Update"&amp;Projections!$AG$11&amp;"!I"&amp;ROW(B82))</f>
        <v>0.4932</v>
      </c>
      <c r="AD101" s="166">
        <f t="array" ref="AD101">INDIRECT("Update"&amp;Projections!$AG$11&amp;"!K"&amp;ROW(B82))</f>
        <v>0.722999</v>
      </c>
      <c r="AE101" s="144">
        <f t="array" ref="AE101">INDIRECT("Update"&amp;Projections!$AG$11&amp;"!R"&amp;ROW(B82))</f>
        <v>2.222055</v>
      </c>
      <c r="AF101" s="144">
        <f t="shared" si="7"/>
        <v>0.8930347754</v>
      </c>
      <c r="AG101" s="144">
        <f t="shared" si="8"/>
        <v>-0.2139047374</v>
      </c>
      <c r="AH101" s="144">
        <f t="shared" si="9"/>
        <v>0.3312563361</v>
      </c>
      <c r="AI101" s="144">
        <f t="shared" si="10"/>
        <v>0.6357809321</v>
      </c>
      <c r="AJ101" s="144">
        <f t="shared" si="11"/>
        <v>-0.4177926539</v>
      </c>
      <c r="AK101" s="144">
        <f t="shared" si="12"/>
        <v>-0.4439450689</v>
      </c>
      <c r="AL101" s="144">
        <f t="shared" si="13"/>
        <v>-0.02937360792</v>
      </c>
      <c r="AM101" s="144">
        <f t="shared" si="14"/>
        <v>-0.7502315082</v>
      </c>
      <c r="AN101" s="144">
        <f t="shared" si="15"/>
        <v>0</v>
      </c>
      <c r="AO101" s="167">
        <f t="shared" si="16"/>
        <v>-0.7502315082</v>
      </c>
      <c r="AP101" s="167">
        <f t="shared" si="17"/>
        <v>-1.194176577</v>
      </c>
      <c r="AQ101" s="167">
        <f t="array" ref="AQ101">INDIRECT("Update"&amp;Projections!$AG$11&amp;"!S"&amp;ROW(B82))</f>
        <v>0.4932</v>
      </c>
      <c r="AR101" s="167">
        <f t="array" ref="AR101">INDIRECT("Update"&amp;Projections!$AG$11&amp;"!T"&amp;ROW(B82))</f>
        <v>0.722999</v>
      </c>
    </row>
    <row r="102">
      <c r="A102" s="50" t="str">
        <f>IF(UpdateHashtag!C100="",ROW(UpdateHashtag!C100),UpdateHashtag!C100)</f>
        <v>Ivica Zubac</v>
      </c>
      <c r="B102" s="53">
        <f>IF(TYPE($A102)=1,"",(UpdateHashtag!M100-B$1)/B$2)</f>
        <v>-0.8552140097</v>
      </c>
      <c r="C102" s="53">
        <f>IF(TYPE($A102)=1,"",(UpdateHashtag!L100-C$1)/C$2)</f>
        <v>-1.709094101</v>
      </c>
      <c r="D102" s="53">
        <f>IF(TYPE($A102)=1,"",(UpdateHashtag!N100-D$1)/D$2)</f>
        <v>1.610674329</v>
      </c>
      <c r="E102" s="53">
        <f>IF(TYPE($A102)=1,"",(UpdateHashtag!O100-E$1)/E$2)</f>
        <v>-1.239311619</v>
      </c>
      <c r="F102" s="53">
        <f>IF(TYPE($A102)=1,"",(UpdateHashtag!P100-F$1)/F$2)</f>
        <v>-1.966035386</v>
      </c>
      <c r="G102" s="53">
        <f>IF(TYPE($A102)=1,"",(UpdateHashtag!Q100-G$1)/G$2)</f>
        <v>1.217650739</v>
      </c>
      <c r="H102" s="53">
        <f>IF(TYPE($A102)=1,"",(UpdateHashtag!I100-H$1)/H$2*I102/$I$1)</f>
        <v>34.84188842</v>
      </c>
      <c r="I102" s="53">
        <f>UpdateHashtag!S100</f>
        <v>7.9</v>
      </c>
      <c r="J102" s="58">
        <f>IF(TYPE($A102)=1,"",(UpdateHashtag!K100-J$1)/J$2*K102/$K$1)</f>
        <v>-3.909281055</v>
      </c>
      <c r="K102" s="59">
        <f>UpdateHashtag!T100</f>
        <v>3.1</v>
      </c>
      <c r="L102" s="53">
        <f>IF(TYPE($A102)=1,"",-(UpdateHashtag!R100-L$1)/L$2)</f>
        <v>0.2466595634</v>
      </c>
      <c r="N102" s="106">
        <f t="shared" si="3"/>
        <v>0.6376641261</v>
      </c>
      <c r="O102" s="106">
        <f t="shared" si="4"/>
        <v>121</v>
      </c>
      <c r="P102" s="163" t="str">
        <f t="array" ref="P102">INDIRECT("Update"&amp;Projections!$AG$11&amp;"!B"&amp;ROW(B83))</f>
        <v/>
      </c>
      <c r="Q102" s="164" t="str">
        <f t="array" ref="Q102">INDIRECT("Update"&amp;Projections!$AG$11&amp;"!C"&amp;ROW(B83))</f>
        <v>Christian Braun</v>
      </c>
      <c r="R102" s="163">
        <f>UpdateBBM!F83</f>
        <v>73</v>
      </c>
      <c r="S102" s="165" t="str">
        <f t="array" ref="S102">INDIRECT("Update"&amp;Projections!$AG$11&amp;"!D"&amp;ROW(B83))</f>
        <v>G,F</v>
      </c>
      <c r="T102" s="144">
        <f t="shared" si="5"/>
        <v>-0.7527649282</v>
      </c>
      <c r="U102" s="144">
        <f>SUM(AF102:AN102)-IFERROR(IFS(Projections!$I$11,AO102,Projections!$J$11,AP102),"")</f>
        <v>-0.9502424428</v>
      </c>
      <c r="V102" s="144">
        <f t="shared" si="6"/>
        <v>-0.1974775146</v>
      </c>
      <c r="W102" s="144">
        <f t="array" ref="W102">INDIRECT("Update"&amp;Projections!$AG$11&amp;"!M"&amp;ROW(B83))</f>
        <v>14.0874</v>
      </c>
      <c r="X102" s="144">
        <f t="array" ref="X102">INDIRECT("Update"&amp;Projections!$AG$11&amp;"!L"&amp;ROW(B83))</f>
        <v>1.074247</v>
      </c>
      <c r="Y102" s="144">
        <f t="array" ref="Y102">INDIRECT("Update"&amp;Projections!$AG$11&amp;"!N"&amp;ROW(B83))</f>
        <v>5.05</v>
      </c>
      <c r="Z102" s="144">
        <f t="array" ref="Z102">INDIRECT("Update"&amp;Projections!$AG$11&amp;"!O"&amp;ROW(B83))</f>
        <v>3.164658</v>
      </c>
      <c r="AA102" s="144">
        <f t="array" ref="AA102">INDIRECT("Update"&amp;Projections!$AG$11&amp;"!P"&amp;ROW(B83))</f>
        <v>0.875342</v>
      </c>
      <c r="AB102" s="144">
        <f t="array" ref="AB102">INDIRECT("Update"&amp;Projections!$AG$11&amp;"!Q"&amp;ROW(B83))</f>
        <v>0.340685</v>
      </c>
      <c r="AC102" s="166">
        <f t="array" ref="AC102">INDIRECT("Update"&amp;Projections!$AG$11&amp;"!I"&amp;ROW(B83))</f>
        <v>0.551526</v>
      </c>
      <c r="AD102" s="166">
        <f t="array" ref="AD102">INDIRECT("Update"&amp;Projections!$AG$11&amp;"!K"&amp;ROW(B83))</f>
        <v>0.833993</v>
      </c>
      <c r="AE102" s="144">
        <f t="array" ref="AE102">INDIRECT("Update"&amp;Projections!$AG$11&amp;"!R"&amp;ROW(B83))</f>
        <v>0.952329</v>
      </c>
      <c r="AF102" s="144">
        <f t="shared" si="7"/>
        <v>-0.5416278851</v>
      </c>
      <c r="AG102" s="144">
        <f t="shared" si="8"/>
        <v>-0.6715504253</v>
      </c>
      <c r="AH102" s="144">
        <f t="shared" si="9"/>
        <v>-0.4363613827</v>
      </c>
      <c r="AI102" s="144">
        <f t="shared" si="10"/>
        <v>-0.3283991537</v>
      </c>
      <c r="AJ102" s="144">
        <f t="shared" si="11"/>
        <v>-0.5175589653</v>
      </c>
      <c r="AK102" s="144">
        <f t="shared" si="12"/>
        <v>-0.7081756948</v>
      </c>
      <c r="AL102" s="144">
        <f t="shared" si="13"/>
        <v>0.9334822466</v>
      </c>
      <c r="AM102" s="144">
        <f t="shared" si="14"/>
        <v>0.6117731227</v>
      </c>
      <c r="AN102" s="144">
        <f t="shared" si="15"/>
        <v>0</v>
      </c>
      <c r="AO102" s="167">
        <f t="shared" si="16"/>
        <v>-0.7081756948</v>
      </c>
      <c r="AP102" s="167">
        <f t="shared" si="17"/>
        <v>-1.37972612</v>
      </c>
      <c r="AQ102" s="167">
        <f t="array" ref="AQ102">INDIRECT("Update"&amp;Projections!$AG$11&amp;"!S"&amp;ROW(B83))</f>
        <v>0.551526</v>
      </c>
      <c r="AR102" s="167">
        <f t="array" ref="AR102">INDIRECT("Update"&amp;Projections!$AG$11&amp;"!T"&amp;ROW(B83))</f>
        <v>0.833993</v>
      </c>
    </row>
    <row r="103">
      <c r="A103" s="50" t="str">
        <f>IF(UpdateHashtag!C101="",ROW(UpdateHashtag!C101),UpdateHashtag!C101)</f>
        <v>Khris Middleton</v>
      </c>
      <c r="B103" s="53">
        <f>IF(TYPE($A103)=1,"",(UpdateHashtag!M101-B$1)/B$2)</f>
        <v>-0.1358993007</v>
      </c>
      <c r="C103" s="53">
        <f>IF(TYPE($A103)=1,"",(UpdateHashtag!L101-C$1)/C$2)</f>
        <v>-0.06717725286</v>
      </c>
      <c r="D103" s="53">
        <f>IF(TYPE($A103)=1,"",(UpdateHashtag!N101-D$1)/D$2)</f>
        <v>-0.6998412268</v>
      </c>
      <c r="E103" s="53">
        <f>IF(TYPE($A103)=1,"",(UpdateHashtag!O101-E$1)/E$2)</f>
        <v>0.4216376712</v>
      </c>
      <c r="F103" s="53">
        <f>IF(TYPE($A103)=1,"",(UpdateHashtag!P101-F$1)/F$2)</f>
        <v>-0.7471433709</v>
      </c>
      <c r="G103" s="53">
        <f>IF(TYPE($A103)=1,"",(UpdateHashtag!Q101-G$1)/G$2)</f>
        <v>-0.963939931</v>
      </c>
      <c r="H103" s="53">
        <f>IF(TYPE($A103)=1,"",(UpdateHashtag!I101-H$1)/H$2*I103/$I$1)</f>
        <v>-5.108438662</v>
      </c>
      <c r="I103" s="53">
        <f>UpdateHashtag!S101</f>
        <v>12.9</v>
      </c>
      <c r="J103" s="58">
        <f>IF(TYPE($A103)=1,"",(UpdateHashtag!K101-J$1)/J$2*K103/$K$1)</f>
        <v>3.276686689</v>
      </c>
      <c r="K103" s="59">
        <f>UpdateHashtag!T101</f>
        <v>2.6</v>
      </c>
      <c r="L103" s="53">
        <f>IF(TYPE($A103)=1,"",-(UpdateHashtag!R101-L$1)/L$2)</f>
        <v>-0.6460761218</v>
      </c>
      <c r="N103" s="106">
        <f t="shared" si="3"/>
        <v>0.6281207083</v>
      </c>
      <c r="O103" s="106">
        <f t="shared" si="4"/>
        <v>109</v>
      </c>
      <c r="P103" s="163" t="str">
        <f t="array" ref="P103">INDIRECT("Update"&amp;Projections!$AG$11&amp;"!B"&amp;ROW(B84))</f>
        <v/>
      </c>
      <c r="Q103" s="164" t="str">
        <f t="array" ref="Q103">INDIRECT("Update"&amp;Projections!$AG$11&amp;"!C"&amp;ROW(B84))</f>
        <v>Devin Vassell</v>
      </c>
      <c r="R103" s="163">
        <f>UpdateBBM!F84</f>
        <v>68</v>
      </c>
      <c r="S103" s="165" t="str">
        <f t="array" ref="S103">INDIRECT("Update"&amp;Projections!$AG$11&amp;"!D"&amp;ROW(B84))</f>
        <v>G,F</v>
      </c>
      <c r="T103" s="144">
        <f t="shared" si="5"/>
        <v>-0.3302400082</v>
      </c>
      <c r="U103" s="144">
        <f>SUM(AF103:AN103)-IFERROR(IFS(Projections!$I$11,AO103,Projections!$J$11,AP103),"")</f>
        <v>-0.4704205065</v>
      </c>
      <c r="V103" s="144">
        <f t="shared" si="6"/>
        <v>-0.1401804984</v>
      </c>
      <c r="W103" s="144">
        <f t="array" ref="W103">INDIRECT("Update"&amp;Projections!$AG$11&amp;"!M"&amp;ROW(B84))</f>
        <v>14.57382</v>
      </c>
      <c r="X103" s="144">
        <f t="array" ref="X103">INDIRECT("Update"&amp;Projections!$AG$11&amp;"!L"&amp;ROW(B84))</f>
        <v>2.610735</v>
      </c>
      <c r="Y103" s="144">
        <f t="array" ref="Y103">INDIRECT("Update"&amp;Projections!$AG$11&amp;"!N"&amp;ROW(B84))</f>
        <v>4.005588</v>
      </c>
      <c r="Z103" s="144">
        <f t="array" ref="Z103">INDIRECT("Update"&amp;Projections!$AG$11&amp;"!O"&amp;ROW(B84))</f>
        <v>2.280147</v>
      </c>
      <c r="AA103" s="144">
        <f t="array" ref="AA103">INDIRECT("Update"&amp;Projections!$AG$11&amp;"!P"&amp;ROW(B84))</f>
        <v>1.270147</v>
      </c>
      <c r="AB103" s="144">
        <f t="array" ref="AB103">INDIRECT("Update"&amp;Projections!$AG$11&amp;"!Q"&amp;ROW(B84))</f>
        <v>0.436912</v>
      </c>
      <c r="AC103" s="166">
        <f t="array" ref="AC103">INDIRECT("Update"&amp;Projections!$AG$11&amp;"!I"&amp;ROW(B84))</f>
        <v>0.454526</v>
      </c>
      <c r="AD103" s="166">
        <f t="array" ref="AD103">INDIRECT("Update"&amp;Projections!$AG$11&amp;"!K"&amp;ROW(B84))</f>
        <v>0.813953</v>
      </c>
      <c r="AE103" s="144">
        <f t="array" ref="AE103">INDIRECT("Update"&amp;Projections!$AG$11&amp;"!R"&amp;ROW(B84))</f>
        <v>1.183382</v>
      </c>
      <c r="AF103" s="144">
        <f t="shared" si="7"/>
        <v>-0.4562890898</v>
      </c>
      <c r="AG103" s="144">
        <f t="shared" si="8"/>
        <v>0.8124410649</v>
      </c>
      <c r="AH103" s="144">
        <f t="shared" si="9"/>
        <v>-0.8597175533</v>
      </c>
      <c r="AI103" s="144">
        <f t="shared" si="10"/>
        <v>-0.7604956001</v>
      </c>
      <c r="AJ103" s="144">
        <f t="shared" si="11"/>
        <v>0.6855026899</v>
      </c>
      <c r="AK103" s="144">
        <f t="shared" si="12"/>
        <v>-0.533235757</v>
      </c>
      <c r="AL103" s="144">
        <f t="shared" si="13"/>
        <v>-0.5551201347</v>
      </c>
      <c r="AM103" s="144">
        <f t="shared" si="14"/>
        <v>0.3367763202</v>
      </c>
      <c r="AN103" s="144">
        <f t="shared" si="15"/>
        <v>0</v>
      </c>
      <c r="AO103" s="167">
        <f t="shared" si="16"/>
        <v>-0.8597175533</v>
      </c>
      <c r="AP103" s="167">
        <f t="shared" si="17"/>
        <v>-1.620213153</v>
      </c>
      <c r="AQ103" s="167">
        <f t="array" ref="AQ103">INDIRECT("Update"&amp;Projections!$AG$11&amp;"!S"&amp;ROW(B84))</f>
        <v>0.454526</v>
      </c>
      <c r="AR103" s="167">
        <f t="array" ref="AR103">INDIRECT("Update"&amp;Projections!$AG$11&amp;"!T"&amp;ROW(B84))</f>
        <v>0.813953</v>
      </c>
    </row>
    <row r="104">
      <c r="A104" s="50" t="str">
        <f>IF(UpdateHashtag!C102="",ROW(UpdateHashtag!C102),UpdateHashtag!C102)</f>
        <v>Mike Conley</v>
      </c>
      <c r="B104" s="53">
        <f>IF(TYPE($A104)=1,"",(UpdateHashtag!M102-B$1)/B$2)</f>
        <v>-0.978023838</v>
      </c>
      <c r="C104" s="53">
        <f>IF(TYPE($A104)=1,"",(UpdateHashtag!L102-C$1)/C$2)</f>
        <v>0.415739467</v>
      </c>
      <c r="D104" s="53">
        <f>IF(TYPE($A104)=1,"",(UpdateHashtag!N102-D$1)/D$2)</f>
        <v>-1.348406997</v>
      </c>
      <c r="E104" s="53">
        <f>IF(TYPE($A104)=1,"",(UpdateHashtag!O102-E$1)/E$2)</f>
        <v>1.056706517</v>
      </c>
      <c r="F104" s="53">
        <f>IF(TYPE($A104)=1,"",(UpdateHashtag!P102-F$1)/F$2)</f>
        <v>0.1670256406</v>
      </c>
      <c r="G104" s="53">
        <f>IF(TYPE($A104)=1,"",(UpdateHashtag!Q102-G$1)/G$2)</f>
        <v>-0.963939931</v>
      </c>
      <c r="H104" s="53">
        <f>IF(TYPE($A104)=1,"",(UpdateHashtag!I102-H$1)/H$2*I104/$I$1)</f>
        <v>-13.89907782</v>
      </c>
      <c r="I104" s="53">
        <f>UpdateHashtag!S102</f>
        <v>8.7</v>
      </c>
      <c r="J104" s="58">
        <f>IF(TYPE($A104)=1,"",(UpdateHashtag!K102-J$1)/J$2*K104/$K$1)</f>
        <v>2.940256432</v>
      </c>
      <c r="K104" s="59">
        <f>UpdateHashtag!T102</f>
        <v>1.9</v>
      </c>
      <c r="L104" s="53">
        <f>IF(TYPE($A104)=1,"",-(UpdateHashtag!R102-L$1)/L$2)</f>
        <v>0.3458524173</v>
      </c>
      <c r="N104" s="106">
        <f t="shared" si="3"/>
        <v>0.6235022804</v>
      </c>
      <c r="O104" s="106">
        <f t="shared" si="4"/>
        <v>78</v>
      </c>
      <c r="P104" s="163" t="str">
        <f t="array" ref="P104">INDIRECT("Update"&amp;Projections!$AG$11&amp;"!B"&amp;ROW(B85))</f>
        <v/>
      </c>
      <c r="Q104" s="164" t="str">
        <f t="array" ref="Q104">INDIRECT("Update"&amp;Projections!$AG$11&amp;"!C"&amp;ROW(B85))</f>
        <v>Jrue Holiday</v>
      </c>
      <c r="R104" s="163">
        <f>UpdateBBM!F85</f>
        <v>61</v>
      </c>
      <c r="S104" s="165" t="str">
        <f t="array" ref="S104">INDIRECT("Update"&amp;Projections!$AG$11&amp;"!D"&amp;ROW(B85))</f>
        <v>G</v>
      </c>
      <c r="T104" s="144">
        <f t="shared" si="5"/>
        <v>0.7914324372</v>
      </c>
      <c r="U104" s="144">
        <f>SUM(AF104:AN104)-IFERROR(IFS(Projections!$I$11,AO104,Projections!$J$11,AP104),"")</f>
        <v>0.7825349208</v>
      </c>
      <c r="V104" s="144">
        <f t="shared" si="6"/>
        <v>-0.008897516334</v>
      </c>
      <c r="W104" s="144">
        <f t="array" ref="W104">INDIRECT("Update"&amp;Projections!$AG$11&amp;"!M"&amp;ROW(B85))</f>
        <v>12.25689</v>
      </c>
      <c r="X104" s="144">
        <f t="array" ref="X104">INDIRECT("Update"&amp;Projections!$AG$11&amp;"!L"&amp;ROW(B85))</f>
        <v>2.04459</v>
      </c>
      <c r="Y104" s="144">
        <f t="array" ref="Y104">INDIRECT("Update"&amp;Projections!$AG$11&amp;"!N"&amp;ROW(B85))</f>
        <v>4.611311</v>
      </c>
      <c r="Z104" s="144">
        <f t="array" ref="Z104">INDIRECT("Update"&amp;Projections!$AG$11&amp;"!O"&amp;ROW(B85))</f>
        <v>5.27</v>
      </c>
      <c r="AA104" s="144">
        <f t="array" ref="AA104">INDIRECT("Update"&amp;Projections!$AG$11&amp;"!P"&amp;ROW(B85))</f>
        <v>1.187541</v>
      </c>
      <c r="AB104" s="144">
        <f t="array" ref="AB104">INDIRECT("Update"&amp;Projections!$AG$11&amp;"!Q"&amp;ROW(B85))</f>
        <v>0.526557</v>
      </c>
      <c r="AC104" s="166">
        <f t="array" ref="AC104">INDIRECT("Update"&amp;Projections!$AG$11&amp;"!I"&amp;ROW(B85))</f>
        <v>0.436481</v>
      </c>
      <c r="AD104" s="166">
        <f t="array" ref="AD104">INDIRECT("Update"&amp;Projections!$AG$11&amp;"!K"&amp;ROW(B85))</f>
        <v>0.869939</v>
      </c>
      <c r="AE104" s="144">
        <f t="array" ref="AE104">INDIRECT("Update"&amp;Projections!$AG$11&amp;"!R"&amp;ROW(B85))</f>
        <v>1.712787</v>
      </c>
      <c r="AF104" s="144">
        <f t="shared" si="7"/>
        <v>-0.8627773407</v>
      </c>
      <c r="AG104" s="144">
        <f t="shared" si="8"/>
        <v>0.2656392922</v>
      </c>
      <c r="AH104" s="144">
        <f t="shared" si="9"/>
        <v>-0.6141855509</v>
      </c>
      <c r="AI104" s="144">
        <f t="shared" si="10"/>
        <v>0.7000909346</v>
      </c>
      <c r="AJ104" s="144">
        <f t="shared" si="11"/>
        <v>0.4337832054</v>
      </c>
      <c r="AK104" s="144">
        <f t="shared" si="12"/>
        <v>-0.370261844</v>
      </c>
      <c r="AL104" s="144">
        <f t="shared" si="13"/>
        <v>-0.7696839738</v>
      </c>
      <c r="AM104" s="144">
        <f t="shared" si="14"/>
        <v>1.137152857</v>
      </c>
      <c r="AN104" s="144">
        <f t="shared" si="15"/>
        <v>0</v>
      </c>
      <c r="AO104" s="167">
        <f t="shared" si="16"/>
        <v>-0.8627773407</v>
      </c>
      <c r="AP104" s="167">
        <f t="shared" si="17"/>
        <v>-1.632461314</v>
      </c>
      <c r="AQ104" s="167">
        <f t="array" ref="AQ104">INDIRECT("Update"&amp;Projections!$AG$11&amp;"!S"&amp;ROW(B85))</f>
        <v>0.436481</v>
      </c>
      <c r="AR104" s="167">
        <f t="array" ref="AR104">INDIRECT("Update"&amp;Projections!$AG$11&amp;"!T"&amp;ROW(B85))</f>
        <v>0.869939</v>
      </c>
    </row>
    <row r="105">
      <c r="A105" s="50" t="str">
        <f>IF(UpdateHashtag!C103="",ROW(UpdateHashtag!C103),UpdateHashtag!C103)</f>
        <v>Jonas Valanciunas</v>
      </c>
      <c r="B105" s="53">
        <f>IF(TYPE($A105)=1,"",(UpdateHashtag!M103-B$1)/B$2)</f>
        <v>-0.521873047</v>
      </c>
      <c r="C105" s="53">
        <f>IF(TYPE($A105)=1,"",(UpdateHashtag!L103-C$1)/C$2)</f>
        <v>-1.226177381</v>
      </c>
      <c r="D105" s="53">
        <f>IF(TYPE($A105)=1,"",(UpdateHashtag!N103-D$1)/D$2)</f>
        <v>1.69174505</v>
      </c>
      <c r="E105" s="53">
        <f>IF(TYPE($A105)=1,"",(UpdateHashtag!O103-E$1)/E$2)</f>
        <v>-0.8485000212</v>
      </c>
      <c r="F105" s="53">
        <f>IF(TYPE($A105)=1,"",(UpdateHashtag!P103-F$1)/F$2)</f>
        <v>-1.966035386</v>
      </c>
      <c r="G105" s="53">
        <f>IF(TYPE($A105)=1,"",(UpdateHashtag!Q103-G$1)/G$2)</f>
        <v>0.126855404</v>
      </c>
      <c r="H105" s="53">
        <f>IF(TYPE($A105)=1,"",(UpdateHashtag!I103-H$1)/H$2*I105/$I$1)</f>
        <v>16.50089021</v>
      </c>
      <c r="I105" s="53">
        <f>UpdateHashtag!S103</f>
        <v>10.4</v>
      </c>
      <c r="J105" s="58">
        <f>IF(TYPE($A105)=1,"",(UpdateHashtag!K103-J$1)/J$2*K105/$K$1)</f>
        <v>0.3690677828</v>
      </c>
      <c r="K105" s="59">
        <f>UpdateHashtag!T103</f>
        <v>2.9</v>
      </c>
      <c r="L105" s="53">
        <f>IF(TYPE($A105)=1,"",-(UpdateHashtag!R103-L$1)/L$2)</f>
        <v>-0.05091899834</v>
      </c>
      <c r="N105" s="106">
        <f t="shared" si="3"/>
        <v>0.6046238204</v>
      </c>
      <c r="O105" s="106">
        <f t="shared" si="4"/>
        <v>53</v>
      </c>
      <c r="P105" s="163" t="str">
        <f t="array" ref="P105">INDIRECT("Update"&amp;Projections!$AG$11&amp;"!B"&amp;ROW(B86))</f>
        <v/>
      </c>
      <c r="Q105" s="164" t="str">
        <f t="array" ref="Q105">INDIRECT("Update"&amp;Projections!$AG$11&amp;"!C"&amp;ROW(B86))</f>
        <v>Alperen Sengun</v>
      </c>
      <c r="R105" s="163">
        <f>UpdateBBM!F86</f>
        <v>73</v>
      </c>
      <c r="S105" s="165" t="str">
        <f t="array" ref="S105">INDIRECT("Update"&amp;Projections!$AG$11&amp;"!D"&amp;ROW(B86))</f>
        <v>C</v>
      </c>
      <c r="T105" s="144">
        <f t="shared" si="5"/>
        <v>2.172212771</v>
      </c>
      <c r="U105" s="144">
        <f>SUM(AF105:AN105)-IFERROR(IFS(Projections!$I$11,AO105,Projections!$J$11,AP105),"")</f>
        <v>2.392092413</v>
      </c>
      <c r="V105" s="144">
        <f t="shared" si="6"/>
        <v>0.219879642</v>
      </c>
      <c r="W105" s="144">
        <f t="array" ref="W105">INDIRECT("Update"&amp;Projections!$AG$11&amp;"!M"&amp;ROW(B86))</f>
        <v>21.69712</v>
      </c>
      <c r="X105" s="144">
        <f t="array" ref="X105">INDIRECT("Update"&amp;Projections!$AG$11&amp;"!L"&amp;ROW(B86))</f>
        <v>0.259589</v>
      </c>
      <c r="Y105" s="144">
        <f t="array" ref="Y105">INDIRECT("Update"&amp;Projections!$AG$11&amp;"!N"&amp;ROW(B86))</f>
        <v>9.897945</v>
      </c>
      <c r="Z105" s="144">
        <f t="array" ref="Z105">INDIRECT("Update"&amp;Projections!$AG$11&amp;"!O"&amp;ROW(B86))</f>
        <v>5.252055</v>
      </c>
      <c r="AA105" s="144">
        <f t="array" ref="AA105">INDIRECT("Update"&amp;Projections!$AG$11&amp;"!P"&amp;ROW(B86))</f>
        <v>1.01</v>
      </c>
      <c r="AB105" s="144">
        <f t="array" ref="AB105">INDIRECT("Update"&amp;Projections!$AG$11&amp;"!Q"&amp;ROW(B86))</f>
        <v>0.81137</v>
      </c>
      <c r="AC105" s="166">
        <f t="array" ref="AC105">INDIRECT("Update"&amp;Projections!$AG$11&amp;"!I"&amp;ROW(B86))</f>
        <v>0.525203</v>
      </c>
      <c r="AD105" s="166">
        <f t="array" ref="AD105">INDIRECT("Update"&amp;Projections!$AG$11&amp;"!K"&amp;ROW(B86))</f>
        <v>0.684007</v>
      </c>
      <c r="AE105" s="144">
        <f t="array" ref="AE105">INDIRECT("Update"&amp;Projections!$AG$11&amp;"!R"&amp;ROW(B86))</f>
        <v>2.635342</v>
      </c>
      <c r="AF105" s="144">
        <f t="shared" si="7"/>
        <v>0.7934412679</v>
      </c>
      <c r="AG105" s="144">
        <f t="shared" si="8"/>
        <v>-1.458374364</v>
      </c>
      <c r="AH105" s="144">
        <f t="shared" si="9"/>
        <v>1.528770606</v>
      </c>
      <c r="AI105" s="144">
        <f t="shared" si="10"/>
        <v>0.6913245419</v>
      </c>
      <c r="AJ105" s="144">
        <f t="shared" si="11"/>
        <v>-0.1072250628</v>
      </c>
      <c r="AK105" s="144">
        <f t="shared" si="12"/>
        <v>0.1475259756</v>
      </c>
      <c r="AL105" s="144">
        <f t="shared" si="13"/>
        <v>0.4736315578</v>
      </c>
      <c r="AM105" s="144">
        <f t="shared" si="14"/>
        <v>-1.135376473</v>
      </c>
      <c r="AN105" s="144">
        <f t="shared" si="15"/>
        <v>0</v>
      </c>
      <c r="AO105" s="167">
        <f t="shared" si="16"/>
        <v>-1.458374364</v>
      </c>
      <c r="AP105" s="167">
        <f t="shared" si="17"/>
        <v>-2.593750837</v>
      </c>
      <c r="AQ105" s="167">
        <f t="array" ref="AQ105">INDIRECT("Update"&amp;Projections!$AG$11&amp;"!S"&amp;ROW(B86))</f>
        <v>0.525203</v>
      </c>
      <c r="AR105" s="167">
        <f t="array" ref="AR105">INDIRECT("Update"&amp;Projections!$AG$11&amp;"!T"&amp;ROW(B86))</f>
        <v>0.684007</v>
      </c>
    </row>
    <row r="106">
      <c r="A106" s="50" t="str">
        <f>IF(UpdateHashtag!C104="",ROW(UpdateHashtag!C104),UpdateHashtag!C104)</f>
        <v>Brandon Miller</v>
      </c>
      <c r="B106" s="53">
        <f>IF(TYPE($A106)=1,"",(UpdateHashtag!M104-B$1)/B$2)</f>
        <v>0.1623531396</v>
      </c>
      <c r="C106" s="53">
        <f>IF(TYPE($A106)=1,"",(UpdateHashtag!L104-C$1)/C$2)</f>
        <v>0.802072843</v>
      </c>
      <c r="D106" s="53">
        <f>IF(TYPE($A106)=1,"",(UpdateHashtag!N104-D$1)/D$2)</f>
        <v>-0.6998412268</v>
      </c>
      <c r="E106" s="53">
        <f>IF(TYPE($A106)=1,"",(UpdateHashtag!O104-E$1)/E$2)</f>
        <v>-0.6530942224</v>
      </c>
      <c r="F106" s="53">
        <f>IF(TYPE($A106)=1,"",(UpdateHashtag!P104-F$1)/F$2)</f>
        <v>-0.1376973632</v>
      </c>
      <c r="G106" s="53">
        <f>IF(TYPE($A106)=1,"",(UpdateHashtag!Q104-G$1)/G$2)</f>
        <v>-0.236743041</v>
      </c>
      <c r="H106" s="53">
        <f>IF(TYPE($A106)=1,"",(UpdateHashtag!I104-H$1)/H$2*I106/$I$1)</f>
        <v>-22.76288368</v>
      </c>
      <c r="I106" s="53">
        <f>UpdateHashtag!S104</f>
        <v>15.1</v>
      </c>
      <c r="J106" s="58">
        <f>IF(TYPE($A106)=1,"",(UpdateHashtag!K104-J$1)/J$2*K106/$K$1)</f>
        <v>1.95382997</v>
      </c>
      <c r="K106" s="59">
        <f>UpdateHashtag!T104</f>
        <v>2.5</v>
      </c>
      <c r="L106" s="53">
        <f>IF(TYPE($A106)=1,"",-(UpdateHashtag!R104-L$1)/L$2)</f>
        <v>-0.1501118522</v>
      </c>
      <c r="N106" s="106">
        <f t="shared" si="3"/>
        <v>0.5966892509</v>
      </c>
      <c r="O106" s="106">
        <f t="shared" si="4"/>
        <v>66</v>
      </c>
      <c r="P106" s="163" t="str">
        <f t="array" ref="P106">INDIRECT("Update"&amp;Projections!$AG$11&amp;"!B"&amp;ROW(B87))</f>
        <v/>
      </c>
      <c r="Q106" s="164" t="str">
        <f t="array" ref="Q106">INDIRECT("Update"&amp;Projections!$AG$11&amp;"!C"&amp;ROW(B87))</f>
        <v>Paolo Banchero</v>
      </c>
      <c r="R106" s="163">
        <f>UpdateBBM!F87</f>
        <v>73</v>
      </c>
      <c r="S106" s="165" t="str">
        <f t="array" ref="S106">INDIRECT("Update"&amp;Projections!$AG$11&amp;"!D"&amp;ROW(B87))</f>
        <v>F</v>
      </c>
      <c r="T106" s="144">
        <f t="shared" si="5"/>
        <v>1.520291587</v>
      </c>
      <c r="U106" s="144">
        <f>SUM(AF106:AN106)-IFERROR(IFS(Projections!$I$11,AO106,Projections!$J$11,AP106),"")</f>
        <v>1.760043774</v>
      </c>
      <c r="V106" s="144">
        <f t="shared" si="6"/>
        <v>0.2397521863</v>
      </c>
      <c r="W106" s="144">
        <f t="array" ref="W106">INDIRECT("Update"&amp;Projections!$AG$11&amp;"!M"&amp;ROW(B87))</f>
        <v>26.10795</v>
      </c>
      <c r="X106" s="144">
        <f t="array" ref="X106">INDIRECT("Update"&amp;Projections!$AG$11&amp;"!L"&amp;ROW(B87))</f>
        <v>1.899589</v>
      </c>
      <c r="Y106" s="144">
        <f t="array" ref="Y106">INDIRECT("Update"&amp;Projections!$AG$11&amp;"!N"&amp;ROW(B87))</f>
        <v>7.860411</v>
      </c>
      <c r="Z106" s="144">
        <f t="array" ref="Z106">INDIRECT("Update"&amp;Projections!$AG$11&amp;"!O"&amp;ROW(B87))</f>
        <v>4.716301</v>
      </c>
      <c r="AA106" s="144">
        <f t="array" ref="AA106">INDIRECT("Update"&amp;Projections!$AG$11&amp;"!P"&amp;ROW(B87))</f>
        <v>0.785205</v>
      </c>
      <c r="AB106" s="144">
        <f t="array" ref="AB106">INDIRECT("Update"&amp;Projections!$AG$11&amp;"!Q"&amp;ROW(B87))</f>
        <v>0.571644</v>
      </c>
      <c r="AC106" s="166">
        <f t="array" ref="AC106">INDIRECT("Update"&amp;Projections!$AG$11&amp;"!I"&amp;ROW(B87))</f>
        <v>0.468228</v>
      </c>
      <c r="AD106" s="166">
        <f t="array" ref="AD106">INDIRECT("Update"&amp;Projections!$AG$11&amp;"!K"&amp;ROW(B87))</f>
        <v>0.755002</v>
      </c>
      <c r="AE106" s="144">
        <f t="array" ref="AE106">INDIRECT("Update"&amp;Projections!$AG$11&amp;"!R"&amp;ROW(B87))</f>
        <v>2.715479</v>
      </c>
      <c r="AF106" s="144">
        <f t="shared" si="7"/>
        <v>1.567288804</v>
      </c>
      <c r="AG106" s="144">
        <f t="shared" si="8"/>
        <v>0.1255924776</v>
      </c>
      <c r="AH106" s="144">
        <f t="shared" si="9"/>
        <v>0.7028488512</v>
      </c>
      <c r="AI106" s="144">
        <f t="shared" si="10"/>
        <v>0.429600946</v>
      </c>
      <c r="AJ106" s="144">
        <f t="shared" si="11"/>
        <v>-0.7922271393</v>
      </c>
      <c r="AK106" s="144">
        <f t="shared" si="12"/>
        <v>-0.2882940286</v>
      </c>
      <c r="AL106" s="144">
        <f t="shared" si="13"/>
        <v>-0.3791294445</v>
      </c>
      <c r="AM106" s="144">
        <f t="shared" si="14"/>
        <v>-0.3978638321</v>
      </c>
      <c r="AN106" s="144">
        <f t="shared" si="15"/>
        <v>0</v>
      </c>
      <c r="AO106" s="167">
        <f t="shared" si="16"/>
        <v>-0.7922271393</v>
      </c>
      <c r="AP106" s="167">
        <f t="shared" si="17"/>
        <v>-1.190090971</v>
      </c>
      <c r="AQ106" s="167">
        <f t="array" ref="AQ106">INDIRECT("Update"&amp;Projections!$AG$11&amp;"!S"&amp;ROW(B87))</f>
        <v>0.468228</v>
      </c>
      <c r="AR106" s="167">
        <f t="array" ref="AR106">INDIRECT("Update"&amp;Projections!$AG$11&amp;"!T"&amp;ROW(B87))</f>
        <v>0.755002</v>
      </c>
    </row>
    <row r="107">
      <c r="A107" s="50" t="str">
        <f>IF(UpdateHashtag!C105="",ROW(UpdateHashtag!C105),UpdateHashtag!C105)</f>
        <v>Tyus Jones</v>
      </c>
      <c r="B107" s="53">
        <f>IF(TYPE($A107)=1,"",(UpdateHashtag!M105-B$1)/B$2)</f>
        <v>-0.8727582709</v>
      </c>
      <c r="C107" s="53">
        <f>IF(TYPE($A107)=1,"",(UpdateHashtag!L105-C$1)/C$2)</f>
        <v>-0.06717725286</v>
      </c>
      <c r="D107" s="53">
        <f>IF(TYPE($A107)=1,"",(UpdateHashtag!N105-D$1)/D$2)</f>
        <v>-1.307871636</v>
      </c>
      <c r="E107" s="53">
        <f>IF(TYPE($A107)=1,"",(UpdateHashtag!O105-E$1)/E$2)</f>
        <v>1.447518115</v>
      </c>
      <c r="F107" s="53">
        <f>IF(TYPE($A107)=1,"",(UpdateHashtag!P105-F$1)/F$2)</f>
        <v>0.4717486444</v>
      </c>
      <c r="G107" s="53">
        <f>IF(TYPE($A107)=1,"",(UpdateHashtag!Q105-G$1)/G$2)</f>
        <v>-0.963939931</v>
      </c>
      <c r="H107" s="53">
        <f>IF(TYPE($A107)=1,"",(UpdateHashtag!I105-H$1)/H$2*I107/$I$1)</f>
        <v>-5.820042385</v>
      </c>
      <c r="I107" s="53">
        <f>UpdateHashtag!S105</f>
        <v>10.1</v>
      </c>
      <c r="J107" s="58">
        <f>IF(TYPE($A107)=1,"",(UpdateHashtag!K105-J$1)/J$2*K107/$K$1)</f>
        <v>0.2453122951</v>
      </c>
      <c r="K107" s="59">
        <f>UpdateHashtag!T105</f>
        <v>1.1</v>
      </c>
      <c r="L107" s="53">
        <f>IF(TYPE($A107)=1,"",-(UpdateHashtag!R105-L$1)/L$2)</f>
        <v>0.643430979</v>
      </c>
      <c r="N107" s="106">
        <f t="shared" si="3"/>
        <v>0.5837237411</v>
      </c>
      <c r="O107" s="106">
        <f t="shared" si="4"/>
        <v>103</v>
      </c>
      <c r="P107" s="163" t="str">
        <f t="array" ref="P107">INDIRECT("Update"&amp;Projections!$AG$11&amp;"!B"&amp;ROW(B88))</f>
        <v/>
      </c>
      <c r="Q107" s="164" t="str">
        <f t="array" ref="Q107">INDIRECT("Update"&amp;Projections!$AG$11&amp;"!C"&amp;ROW(B88))</f>
        <v>Norman Powell</v>
      </c>
      <c r="R107" s="163">
        <f>UpdateBBM!F88</f>
        <v>68</v>
      </c>
      <c r="S107" s="165" t="str">
        <f t="array" ref="S107">INDIRECT("Update"&amp;Projections!$AG$11&amp;"!D"&amp;ROW(B88))</f>
        <v>G,F</v>
      </c>
      <c r="T107" s="144">
        <f t="shared" si="5"/>
        <v>-0.07593745725</v>
      </c>
      <c r="U107" s="144">
        <f>SUM(AF107:AN107)-IFERROR(IFS(Projections!$I$11,AO107,Projections!$J$11,AP107),"")</f>
        <v>-0.1161955383</v>
      </c>
      <c r="V107" s="144">
        <f t="shared" si="6"/>
        <v>-0.04025808104</v>
      </c>
      <c r="W107" s="144">
        <f t="array" ref="W107">INDIRECT("Update"&amp;Projections!$AG$11&amp;"!M"&amp;ROW(B88))</f>
        <v>20.04441</v>
      </c>
      <c r="X107" s="144">
        <f t="array" ref="X107">INDIRECT("Update"&amp;Projections!$AG$11&amp;"!L"&amp;ROW(B88))</f>
        <v>2.721324</v>
      </c>
      <c r="Y107" s="144">
        <f t="array" ref="Y107">INDIRECT("Update"&amp;Projections!$AG$11&amp;"!N"&amp;ROW(B88))</f>
        <v>3.470882</v>
      </c>
      <c r="Z107" s="144">
        <f t="array" ref="Z107">INDIRECT("Update"&amp;Projections!$AG$11&amp;"!O"&amp;ROW(B88))</f>
        <v>1.995</v>
      </c>
      <c r="AA107" s="144">
        <f t="array" ref="AA107">INDIRECT("Update"&amp;Projections!$AG$11&amp;"!P"&amp;ROW(B88))</f>
        <v>1.193235</v>
      </c>
      <c r="AB107" s="144">
        <f t="array" ref="AB107">INDIRECT("Update"&amp;Projections!$AG$11&amp;"!Q"&amp;ROW(B88))</f>
        <v>0.137794</v>
      </c>
      <c r="AC107" s="166">
        <f t="array" ref="AC107">INDIRECT("Update"&amp;Projections!$AG$11&amp;"!I"&amp;ROW(B88))</f>
        <v>0.48002</v>
      </c>
      <c r="AD107" s="166">
        <f t="array" ref="AD107">INDIRECT("Update"&amp;Projections!$AG$11&amp;"!K"&amp;ROW(B88))</f>
        <v>0.80399</v>
      </c>
      <c r="AE107" s="144">
        <f t="array" ref="AE107">INDIRECT("Update"&amp;Projections!$AG$11&amp;"!R"&amp;ROW(B88))</f>
        <v>1.586324</v>
      </c>
      <c r="AF107" s="144">
        <f t="shared" si="7"/>
        <v>0.5034855087</v>
      </c>
      <c r="AG107" s="144">
        <f t="shared" si="8"/>
        <v>0.9192516192</v>
      </c>
      <c r="AH107" s="144">
        <f t="shared" si="9"/>
        <v>-1.076462559</v>
      </c>
      <c r="AI107" s="144">
        <f t="shared" si="10"/>
        <v>-0.8997940434</v>
      </c>
      <c r="AJ107" s="144">
        <f t="shared" si="11"/>
        <v>0.4511341332</v>
      </c>
      <c r="AK107" s="144">
        <f t="shared" si="12"/>
        <v>-1.077029955</v>
      </c>
      <c r="AL107" s="144">
        <f t="shared" si="13"/>
        <v>-0.2186403778</v>
      </c>
      <c r="AM107" s="144">
        <f t="shared" si="14"/>
        <v>0.2048301805</v>
      </c>
      <c r="AN107" s="144">
        <f t="shared" si="15"/>
        <v>0</v>
      </c>
      <c r="AO107" s="167">
        <f t="shared" si="16"/>
        <v>-1.077029955</v>
      </c>
      <c r="AP107" s="167">
        <f t="shared" si="17"/>
        <v>-2.153492514</v>
      </c>
      <c r="AQ107" s="167">
        <f t="array" ref="AQ107">INDIRECT("Update"&amp;Projections!$AG$11&amp;"!S"&amp;ROW(B88))</f>
        <v>0.48002</v>
      </c>
      <c r="AR107" s="167">
        <f t="array" ref="AR107">INDIRECT("Update"&amp;Projections!$AG$11&amp;"!T"&amp;ROW(B88))</f>
        <v>0.80399</v>
      </c>
    </row>
    <row r="108">
      <c r="A108" s="50" t="str">
        <f>IF(UpdateHashtag!C106="",ROW(UpdateHashtag!C106),UpdateHashtag!C106)</f>
        <v>Brook Lopez</v>
      </c>
      <c r="B108" s="53">
        <f>IF(TYPE($A108)=1,"",(UpdateHashtag!M106-B$1)/B$2)</f>
        <v>-0.9604795768</v>
      </c>
      <c r="C108" s="53">
        <f>IF(TYPE($A108)=1,"",(UpdateHashtag!L106-C$1)/C$2)</f>
        <v>-0.06717725286</v>
      </c>
      <c r="D108" s="53">
        <f>IF(TYPE($A108)=1,"",(UpdateHashtag!N106-D$1)/D$2)</f>
        <v>-0.4971644236</v>
      </c>
      <c r="E108" s="53">
        <f>IF(TYPE($A108)=1,"",(UpdateHashtag!O106-E$1)/E$2)</f>
        <v>-1.239311619</v>
      </c>
      <c r="F108" s="53">
        <f>IF(TYPE($A108)=1,"",(UpdateHashtag!P106-F$1)/F$2)</f>
        <v>-1.661312382</v>
      </c>
      <c r="G108" s="53">
        <f>IF(TYPE($A108)=1,"",(UpdateHashtag!Q106-G$1)/G$2)</f>
        <v>2.308446074</v>
      </c>
      <c r="H108" s="53">
        <f>IF(TYPE($A108)=1,"",(UpdateHashtag!I106-H$1)/H$2*I108/$I$1)</f>
        <v>-6.537967557</v>
      </c>
      <c r="I108" s="53">
        <f>UpdateHashtag!S106</f>
        <v>9</v>
      </c>
      <c r="J108" s="58">
        <f>IF(TYPE($A108)=1,"",(UpdateHashtag!K106-J$1)/J$2*K108/$K$1)</f>
        <v>0.4301440466</v>
      </c>
      <c r="K108" s="59">
        <f>UpdateHashtag!T106</f>
        <v>1.8</v>
      </c>
      <c r="L108" s="53">
        <f>IF(TYPE($A108)=1,"",-(UpdateHashtag!R106-L$1)/L$2)</f>
        <v>0.7426238329</v>
      </c>
      <c r="N108" s="106">
        <f t="shared" si="3"/>
        <v>0.4441421352</v>
      </c>
      <c r="O108" s="106">
        <f t="shared" si="4"/>
        <v>79</v>
      </c>
      <c r="P108" s="163" t="str">
        <f t="array" ref="P108">INDIRECT("Update"&amp;Projections!$AG$11&amp;"!B"&amp;ROW(B89))</f>
        <v/>
      </c>
      <c r="Q108" s="164" t="str">
        <f t="array" ref="Q108">INDIRECT("Update"&amp;Projections!$AG$11&amp;"!C"&amp;ROW(B89))</f>
        <v>Kyrie Irving</v>
      </c>
      <c r="R108" s="163">
        <f>UpdateBBM!F89</f>
        <v>10</v>
      </c>
      <c r="S108" s="165" t="str">
        <f t="array" ref="S108">INDIRECT("Update"&amp;Projections!$AG$11&amp;"!D"&amp;ROW(B89))</f>
        <v>G</v>
      </c>
      <c r="T108" s="144">
        <f t="shared" si="5"/>
        <v>0.7865551623</v>
      </c>
      <c r="U108" s="144">
        <f>SUM(AF108:AN108)-IFERROR(IFS(Projections!$I$11,AO108,Projections!$J$11,AP108),"")</f>
        <v>0.7861418587</v>
      </c>
      <c r="V108" s="144">
        <f t="shared" si="6"/>
        <v>-0.0004133035579</v>
      </c>
      <c r="W108" s="144">
        <f t="array" ref="W108">INDIRECT("Update"&amp;Projections!$AG$11&amp;"!M"&amp;ROW(B89))</f>
        <v>18.409</v>
      </c>
      <c r="X108" s="144">
        <f t="array" ref="X108">INDIRECT("Update"&amp;Projections!$AG$11&amp;"!L"&amp;ROW(B89))</f>
        <v>2.257</v>
      </c>
      <c r="Y108" s="144">
        <f t="array" ref="Y108">INDIRECT("Update"&amp;Projections!$AG$11&amp;"!N"&amp;ROW(B89))</f>
        <v>3.653</v>
      </c>
      <c r="Z108" s="144">
        <f t="array" ref="Z108">INDIRECT("Update"&amp;Projections!$AG$11&amp;"!O"&amp;ROW(B89))</f>
        <v>3.067</v>
      </c>
      <c r="AA108" s="144">
        <f t="array" ref="AA108">INDIRECT("Update"&amp;Projections!$AG$11&amp;"!P"&amp;ROW(B89))</f>
        <v>1.021</v>
      </c>
      <c r="AB108" s="144">
        <f t="array" ref="AB108">INDIRECT("Update"&amp;Projections!$AG$11&amp;"!Q"&amp;ROW(B89))</f>
        <v>0.424</v>
      </c>
      <c r="AC108" s="166">
        <f t="array" ref="AC108">INDIRECT("Update"&amp;Projections!$AG$11&amp;"!I"&amp;ROW(B89))</f>
        <v>0.453499</v>
      </c>
      <c r="AD108" s="166">
        <f t="array" ref="AD108">INDIRECT("Update"&amp;Projections!$AG$11&amp;"!K"&amp;ROW(B89))</f>
        <v>0.904008</v>
      </c>
      <c r="AE108" s="144">
        <f t="array" ref="AE108">INDIRECT("Update"&amp;Projections!$AG$11&amp;"!R"&amp;ROW(B89))</f>
        <v>1.747</v>
      </c>
      <c r="AF108" s="144">
        <f t="shared" si="7"/>
        <v>0.2165649067</v>
      </c>
      <c r="AG108" s="144">
        <f t="shared" si="8"/>
        <v>0.4707919731</v>
      </c>
      <c r="AH108" s="144">
        <f t="shared" si="9"/>
        <v>-1.002640371</v>
      </c>
      <c r="AI108" s="144">
        <f t="shared" si="10"/>
        <v>-0.3761065025</v>
      </c>
      <c r="AJ108" s="144">
        <f t="shared" si="11"/>
        <v>-0.07370553241</v>
      </c>
      <c r="AK108" s="144">
        <f t="shared" si="12"/>
        <v>-0.5567096726</v>
      </c>
      <c r="AL108" s="144">
        <f t="shared" si="13"/>
        <v>-0.5678566852</v>
      </c>
      <c r="AM108" s="144">
        <f t="shared" si="14"/>
        <v>1.673163372</v>
      </c>
      <c r="AN108" s="144">
        <f t="shared" si="15"/>
        <v>0</v>
      </c>
      <c r="AO108" s="167">
        <f t="shared" si="16"/>
        <v>-1.002640371</v>
      </c>
      <c r="AP108" s="167">
        <f t="shared" si="17"/>
        <v>-1.570497056</v>
      </c>
      <c r="AQ108" s="167">
        <f t="array" ref="AQ108">INDIRECT("Update"&amp;Projections!$AG$11&amp;"!S"&amp;ROW(B89))</f>
        <v>0.453499</v>
      </c>
      <c r="AR108" s="167">
        <f t="array" ref="AR108">INDIRECT("Update"&amp;Projections!$AG$11&amp;"!T"&amp;ROW(B89))</f>
        <v>0.904008</v>
      </c>
    </row>
    <row r="109">
      <c r="A109" s="50" t="str">
        <f>IF(UpdateHashtag!C107="",ROW(UpdateHashtag!C107),UpdateHashtag!C107)</f>
        <v>Jerami Grant</v>
      </c>
      <c r="B109" s="53">
        <f>IF(TYPE($A109)=1,"",(UpdateHashtag!M107-B$1)/B$2)</f>
        <v>0.4430613187</v>
      </c>
      <c r="C109" s="53">
        <f>IF(TYPE($A109)=1,"",(UpdateHashtag!L107-C$1)/C$2)</f>
        <v>0.3191561231</v>
      </c>
      <c r="D109" s="53">
        <f>IF(TYPE($A109)=1,"",(UpdateHashtag!N107-D$1)/D$2)</f>
        <v>-0.9025180299</v>
      </c>
      <c r="E109" s="53">
        <f>IF(TYPE($A109)=1,"",(UpdateHashtag!O107-E$1)/E$2)</f>
        <v>-0.6530942224</v>
      </c>
      <c r="F109" s="53">
        <f>IF(TYPE($A109)=1,"",(UpdateHashtag!P107-F$1)/F$2)</f>
        <v>-0.7471433709</v>
      </c>
      <c r="G109" s="53">
        <f>IF(TYPE($A109)=1,"",(UpdateHashtag!Q107-G$1)/G$2)</f>
        <v>-0.05494381853</v>
      </c>
      <c r="H109" s="53">
        <f>IF(TYPE($A109)=1,"",(UpdateHashtag!I107-H$1)/H$2*I109/$I$1)</f>
        <v>-13.82465757</v>
      </c>
      <c r="I109" s="53">
        <f>UpdateHashtag!S107</f>
        <v>14.3</v>
      </c>
      <c r="J109" s="58">
        <f>IF(TYPE($A109)=1,"",(UpdateHashtag!K107-J$1)/J$2*K109/$K$1)</f>
        <v>2.196871341</v>
      </c>
      <c r="K109" s="59">
        <f>UpdateHashtag!T107</f>
        <v>5.3</v>
      </c>
      <c r="L109" s="53">
        <f>IF(TYPE($A109)=1,"",-(UpdateHashtag!R107-L$1)/L$2)</f>
        <v>-0.1501118522</v>
      </c>
      <c r="N109" s="106">
        <f t="shared" si="3"/>
        <v>0.4236409788</v>
      </c>
      <c r="O109" s="106">
        <f t="shared" si="4"/>
        <v>83</v>
      </c>
      <c r="P109" s="163" t="str">
        <f t="array" ref="P109">INDIRECT("Update"&amp;Projections!$AG$11&amp;"!B"&amp;ROW(B90))</f>
        <v/>
      </c>
      <c r="Q109" s="164" t="str">
        <f t="array" ref="Q109">INDIRECT("Update"&amp;Projections!$AG$11&amp;"!C"&amp;ROW(B90))</f>
        <v>Shaedon Sharpe</v>
      </c>
      <c r="R109" s="163">
        <f>UpdateBBM!F90</f>
        <v>68</v>
      </c>
      <c r="S109" s="165" t="str">
        <f t="array" ref="S109">INDIRECT("Update"&amp;Projections!$AG$11&amp;"!D"&amp;ROW(B90))</f>
        <v>G,F</v>
      </c>
      <c r="T109" s="144">
        <f t="shared" si="5"/>
        <v>0.6281207083</v>
      </c>
      <c r="U109" s="144">
        <f>SUM(AF109:AN109)-IFERROR(IFS(Projections!$I$11,AO109,Projections!$J$11,AP109),"")</f>
        <v>0.7499990505</v>
      </c>
      <c r="V109" s="144">
        <f t="shared" si="6"/>
        <v>0.1218783423</v>
      </c>
      <c r="W109" s="144">
        <f t="array" ref="W109">INDIRECT("Update"&amp;Projections!$AG$11&amp;"!M"&amp;ROW(B90))</f>
        <v>23.31574</v>
      </c>
      <c r="X109" s="144">
        <f t="array" ref="X109">INDIRECT("Update"&amp;Projections!$AG$11&amp;"!L"&amp;ROW(B90))</f>
        <v>2.597206</v>
      </c>
      <c r="Y109" s="144">
        <f t="array" ref="Y109">INDIRECT("Update"&amp;Projections!$AG$11&amp;"!N"&amp;ROW(B90))</f>
        <v>5.329559</v>
      </c>
      <c r="Z109" s="144">
        <f t="array" ref="Z109">INDIRECT("Update"&amp;Projections!$AG$11&amp;"!O"&amp;ROW(B90))</f>
        <v>3.366029</v>
      </c>
      <c r="AA109" s="144">
        <f t="array" ref="AA109">INDIRECT("Update"&amp;Projections!$AG$11&amp;"!P"&amp;ROW(B90))</f>
        <v>0.984559</v>
      </c>
      <c r="AB109" s="144">
        <f t="array" ref="AB109">INDIRECT("Update"&amp;Projections!$AG$11&amp;"!Q"&amp;ROW(B90))</f>
        <v>0.21</v>
      </c>
      <c r="AC109" s="166">
        <f t="array" ref="AC109">INDIRECT("Update"&amp;Projections!$AG$11&amp;"!I"&amp;ROW(B90))</f>
        <v>0.467503</v>
      </c>
      <c r="AD109" s="166">
        <f t="array" ref="AD109">INDIRECT("Update"&amp;Projections!$AG$11&amp;"!K"&amp;ROW(B90))</f>
        <v>0.788005</v>
      </c>
      <c r="AE109" s="144">
        <f t="array" ref="AE109">INDIRECT("Update"&amp;Projections!$AG$11&amp;"!R"&amp;ROW(B90))</f>
        <v>2.240147</v>
      </c>
      <c r="AF109" s="144">
        <f t="shared" si="7"/>
        <v>1.077416188</v>
      </c>
      <c r="AG109" s="144">
        <f t="shared" si="8"/>
        <v>0.7993743043</v>
      </c>
      <c r="AH109" s="144">
        <f t="shared" si="9"/>
        <v>-0.3230411339</v>
      </c>
      <c r="AI109" s="144">
        <f t="shared" si="10"/>
        <v>-0.230026501</v>
      </c>
      <c r="AJ109" s="144">
        <f t="shared" si="11"/>
        <v>-0.1847496422</v>
      </c>
      <c r="AK109" s="144">
        <f t="shared" si="12"/>
        <v>-0.9457600088</v>
      </c>
      <c r="AL109" s="144">
        <f t="shared" si="13"/>
        <v>-0.3887240853</v>
      </c>
      <c r="AM109" s="144">
        <f t="shared" si="14"/>
        <v>-0.0002500798345</v>
      </c>
      <c r="AN109" s="144">
        <f t="shared" si="15"/>
        <v>0</v>
      </c>
      <c r="AO109" s="167">
        <f t="shared" si="16"/>
        <v>-0.9457600088</v>
      </c>
      <c r="AP109" s="167">
        <f t="shared" si="17"/>
        <v>-1.334484094</v>
      </c>
      <c r="AQ109" s="167">
        <f t="array" ref="AQ109">INDIRECT("Update"&amp;Projections!$AG$11&amp;"!S"&amp;ROW(B90))</f>
        <v>0.467503</v>
      </c>
      <c r="AR109" s="167">
        <f t="array" ref="AR109">INDIRECT("Update"&amp;Projections!$AG$11&amp;"!T"&amp;ROW(B90))</f>
        <v>0.788005</v>
      </c>
    </row>
    <row r="110">
      <c r="A110" s="50" t="str">
        <f>IF(UpdateHashtag!C108="",ROW(UpdateHashtag!C108),UpdateHashtag!C108)</f>
        <v>Kyle Kuzma</v>
      </c>
      <c r="B110" s="53">
        <f>IF(TYPE($A110)=1,"",(UpdateHashtag!M108-B$1)/B$2)</f>
        <v>0.7764022814</v>
      </c>
      <c r="C110" s="53">
        <f>IF(TYPE($A110)=1,"",(UpdateHashtag!L108-C$1)/C$2)</f>
        <v>0.512322811</v>
      </c>
      <c r="D110" s="53">
        <f>IF(TYPE($A110)=1,"",(UpdateHashtag!N108-D$1)/D$2)</f>
        <v>0.3135427889</v>
      </c>
      <c r="E110" s="53">
        <f>IF(TYPE($A110)=1,"",(UpdateHashtag!O108-E$1)/E$2)</f>
        <v>0.07967752327</v>
      </c>
      <c r="F110" s="53">
        <f>IF(TYPE($A110)=1,"",(UpdateHashtag!P108-F$1)/F$2)</f>
        <v>-1.661312382</v>
      </c>
      <c r="G110" s="53">
        <f>IF(TYPE($A110)=1,"",(UpdateHashtag!Q108-G$1)/G$2)</f>
        <v>-0.236743041</v>
      </c>
      <c r="H110" s="53">
        <f>IF(TYPE($A110)=1,"",(UpdateHashtag!I108-H$1)/H$2*I110/$I$1)</f>
        <v>-21.30438595</v>
      </c>
      <c r="I110" s="53">
        <f>UpdateHashtag!S108</f>
        <v>18.1</v>
      </c>
      <c r="J110" s="58">
        <f>IF(TYPE($A110)=1,"",(UpdateHashtag!K108-J$1)/J$2*K110/$K$1)</f>
        <v>-0.8631475507</v>
      </c>
      <c r="K110" s="59">
        <f>UpdateHashtag!T108</f>
        <v>3.6</v>
      </c>
      <c r="L110" s="53">
        <f>IF(TYPE($A110)=1,"",-(UpdateHashtag!R108-L$1)/L$2)</f>
        <v>-1.042847537</v>
      </c>
      <c r="N110" s="106">
        <f t="shared" si="3"/>
        <v>0.4085566328</v>
      </c>
      <c r="O110" s="106">
        <f t="shared" si="4"/>
        <v>62</v>
      </c>
      <c r="P110" s="163" t="str">
        <f t="array" ref="P110">INDIRECT("Update"&amp;Projections!$AG$11&amp;"!B"&amp;ROW(B91))</f>
        <v/>
      </c>
      <c r="Q110" s="164" t="str">
        <f t="array" ref="Q110">INDIRECT("Update"&amp;Projections!$AG$11&amp;"!C"&amp;ROW(B91))</f>
        <v>Cooper Flagg</v>
      </c>
      <c r="R110" s="163">
        <f>UpdateBBM!F91</f>
        <v>73</v>
      </c>
      <c r="S110" s="165" t="str">
        <f t="array" ref="S110">INDIRECT("Update"&amp;Projections!$AG$11&amp;"!D"&amp;ROW(B91))</f>
        <v>G,F</v>
      </c>
      <c r="T110" s="144">
        <f t="shared" si="5"/>
        <v>1.718882394</v>
      </c>
      <c r="U110" s="144">
        <f>SUM(AF110:AN110)-IFERROR(IFS(Projections!$I$11,AO110,Projections!$J$11,AP110),"")</f>
        <v>2.065844449</v>
      </c>
      <c r="V110" s="144">
        <f t="shared" si="6"/>
        <v>0.3469620547</v>
      </c>
      <c r="W110" s="144">
        <f t="array" ref="W110">INDIRECT("Update"&amp;Projections!$AG$11&amp;"!M"&amp;ROW(B91))</f>
        <v>18.4174</v>
      </c>
      <c r="X110" s="144">
        <f t="array" ref="X110">INDIRECT("Update"&amp;Projections!$AG$11&amp;"!L"&amp;ROW(B91))</f>
        <v>1.85</v>
      </c>
      <c r="Y110" s="144">
        <f t="array" ref="Y110">INDIRECT("Update"&amp;Projections!$AG$11&amp;"!N"&amp;ROW(B91))</f>
        <v>5.937945</v>
      </c>
      <c r="Z110" s="144">
        <f t="array" ref="Z110">INDIRECT("Update"&amp;Projections!$AG$11&amp;"!O"&amp;ROW(B91))</f>
        <v>4.292466</v>
      </c>
      <c r="AA110" s="144">
        <f t="array" ref="AA110">INDIRECT("Update"&amp;Projections!$AG$11&amp;"!P"&amp;ROW(B91))</f>
        <v>1.287808</v>
      </c>
      <c r="AB110" s="144">
        <f t="array" ref="AB110">INDIRECT("Update"&amp;Projections!$AG$11&amp;"!Q"&amp;ROW(B91))</f>
        <v>1.001644</v>
      </c>
      <c r="AC110" s="166">
        <f t="array" ref="AC110">INDIRECT("Update"&amp;Projections!$AG$11&amp;"!I"&amp;ROW(B91))</f>
        <v>0.429869</v>
      </c>
      <c r="AD110" s="166">
        <f t="array" ref="AD110">INDIRECT("Update"&amp;Projections!$AG$11&amp;"!K"&amp;ROW(B91))</f>
        <v>0.817996</v>
      </c>
      <c r="AE110" s="144">
        <f t="array" ref="AE110">INDIRECT("Update"&amp;Projections!$AG$11&amp;"!R"&amp;ROW(B91))</f>
        <v>3.147808</v>
      </c>
      <c r="AF110" s="144">
        <f t="shared" si="7"/>
        <v>0.2180386246</v>
      </c>
      <c r="AG110" s="144">
        <f t="shared" si="8"/>
        <v>0.07769776311</v>
      </c>
      <c r="AH110" s="144">
        <f t="shared" si="9"/>
        <v>-0.0764296748</v>
      </c>
      <c r="AI110" s="144">
        <f t="shared" si="10"/>
        <v>0.2225514042</v>
      </c>
      <c r="AJ110" s="144">
        <f t="shared" si="11"/>
        <v>0.7393198196</v>
      </c>
      <c r="AK110" s="144">
        <f t="shared" si="12"/>
        <v>0.4934426282</v>
      </c>
      <c r="AL110" s="144">
        <f t="shared" si="13"/>
        <v>-0.8434064224</v>
      </c>
      <c r="AM110" s="144">
        <f t="shared" si="14"/>
        <v>0.391223884</v>
      </c>
      <c r="AN110" s="144">
        <f t="shared" si="15"/>
        <v>0</v>
      </c>
      <c r="AO110" s="167">
        <f t="shared" si="16"/>
        <v>-0.8434064224</v>
      </c>
      <c r="AP110" s="167">
        <f t="shared" si="17"/>
        <v>-0.9198360972</v>
      </c>
      <c r="AQ110" s="167">
        <f t="array" ref="AQ110">INDIRECT("Update"&amp;Projections!$AG$11&amp;"!S"&amp;ROW(B91))</f>
        <v>0.429869</v>
      </c>
      <c r="AR110" s="167">
        <f t="array" ref="AR110">INDIRECT("Update"&amp;Projections!$AG$11&amp;"!T"&amp;ROW(B91))</f>
        <v>0.817996</v>
      </c>
    </row>
    <row r="111">
      <c r="A111" s="50" t="str">
        <f>IF(UpdateHashtag!C109="",ROW(UpdateHashtag!C109),UpdateHashtag!C109)</f>
        <v>Norman Powell</v>
      </c>
      <c r="B111" s="53">
        <f>IF(TYPE($A111)=1,"",(UpdateHashtag!M109-B$1)/B$2)</f>
        <v>0.285162968</v>
      </c>
      <c r="C111" s="53">
        <f>IF(TYPE($A111)=1,"",(UpdateHashtag!L109-C$1)/C$2)</f>
        <v>0.802072843</v>
      </c>
      <c r="D111" s="53">
        <f>IF(TYPE($A111)=1,"",(UpdateHashtag!N109-D$1)/D$2)</f>
        <v>-1.105194833</v>
      </c>
      <c r="E111" s="53">
        <f>IF(TYPE($A111)=1,"",(UpdateHashtag!O109-E$1)/E$2)</f>
        <v>-1.04390582</v>
      </c>
      <c r="F111" s="53">
        <f>IF(TYPE($A111)=1,"",(UpdateHashtag!P109-F$1)/F$2)</f>
        <v>-0.7471433709</v>
      </c>
      <c r="G111" s="53">
        <f>IF(TYPE($A111)=1,"",(UpdateHashtag!Q109-G$1)/G$2)</f>
        <v>-0.600341486</v>
      </c>
      <c r="H111" s="53">
        <f>IF(TYPE($A111)=1,"",(UpdateHashtag!I109-H$1)/H$2*I111/$I$1)</f>
        <v>-5.30644016</v>
      </c>
      <c r="I111" s="53">
        <f>UpdateHashtag!S109</f>
        <v>13.4</v>
      </c>
      <c r="J111" s="58">
        <f>IF(TYPE($A111)=1,"",(UpdateHashtag!K109-J$1)/J$2*K111/$K$1)</f>
        <v>2.157453574</v>
      </c>
      <c r="K111" s="59">
        <f>UpdateHashtag!T109</f>
        <v>4.1</v>
      </c>
      <c r="L111" s="53">
        <f>IF(TYPE($A111)=1,"",-(UpdateHashtag!R109-L$1)/L$2)</f>
        <v>0.2466595634</v>
      </c>
      <c r="N111" s="106">
        <f t="shared" si="3"/>
        <v>0.3610334897</v>
      </c>
      <c r="O111" s="106">
        <f t="shared" si="4"/>
        <v>48</v>
      </c>
      <c r="P111" s="163" t="str">
        <f t="array" ref="P111">INDIRECT("Update"&amp;Projections!$AG$11&amp;"!B"&amp;ROW(B92))</f>
        <v/>
      </c>
      <c r="Q111" s="164" t="str">
        <f t="array" ref="Q111">INDIRECT("Update"&amp;Projections!$AG$11&amp;"!C"&amp;ROW(B92))</f>
        <v>Dereck Lively II</v>
      </c>
      <c r="R111" s="163">
        <f>UpdateBBM!F92</f>
        <v>61</v>
      </c>
      <c r="S111" s="165" t="str">
        <f t="array" ref="S111">INDIRECT("Update"&amp;Projections!$AG$11&amp;"!D"&amp;ROW(B92))</f>
        <v>C</v>
      </c>
      <c r="T111" s="144">
        <f t="shared" si="5"/>
        <v>2.303840732</v>
      </c>
      <c r="U111" s="144">
        <f>SUM(AF111:AN111)-IFERROR(IFS(Projections!$I$11,AO111,Projections!$J$11,AP111),"")</f>
        <v>2.13216923</v>
      </c>
      <c r="V111" s="144">
        <f t="shared" si="6"/>
        <v>-0.1716715017</v>
      </c>
      <c r="W111" s="144">
        <f t="array" ref="W111">INDIRECT("Update"&amp;Projections!$AG$11&amp;"!M"&amp;ROW(B92))</f>
        <v>9.158197</v>
      </c>
      <c r="X111" s="144">
        <f t="array" ref="X111">INDIRECT("Update"&amp;Projections!$AG$11&amp;"!L"&amp;ROW(B92))</f>
        <v>0</v>
      </c>
      <c r="Y111" s="144">
        <f t="array" ref="Y111">INDIRECT("Update"&amp;Projections!$AG$11&amp;"!N"&amp;ROW(B92))</f>
        <v>7.827541</v>
      </c>
      <c r="Z111" s="144">
        <f t="array" ref="Z111">INDIRECT("Update"&amp;Projections!$AG$11&amp;"!O"&amp;ROW(B92))</f>
        <v>1.90377</v>
      </c>
      <c r="AA111" s="144">
        <f t="array" ref="AA111">INDIRECT("Update"&amp;Projections!$AG$11&amp;"!P"&amp;ROW(B92))</f>
        <v>0.610492</v>
      </c>
      <c r="AB111" s="144">
        <f t="array" ref="AB111">INDIRECT("Update"&amp;Projections!$AG$11&amp;"!Q"&amp;ROW(B92))</f>
        <v>1.508197</v>
      </c>
      <c r="AC111" s="166">
        <f t="array" ref="AC111">INDIRECT("Update"&amp;Projections!$AG$11&amp;"!I"&amp;ROW(B92))</f>
        <v>0.72299</v>
      </c>
      <c r="AD111" s="166">
        <f t="array" ref="AD111">INDIRECT("Update"&amp;Projections!$AG$11&amp;"!K"&amp;ROW(B92))</f>
        <v>0.67203</v>
      </c>
      <c r="AE111" s="144">
        <f t="array" ref="AE111">INDIRECT("Update"&amp;Projections!$AG$11&amp;"!R"&amp;ROW(B92))</f>
        <v>1.056393</v>
      </c>
      <c r="AF111" s="144">
        <f t="shared" si="7"/>
        <v>-1.406420134</v>
      </c>
      <c r="AG111" s="144">
        <f t="shared" si="8"/>
        <v>-1.709094101</v>
      </c>
      <c r="AH111" s="144">
        <f t="shared" si="9"/>
        <v>0.6895248782</v>
      </c>
      <c r="AI111" s="144">
        <f t="shared" si="10"/>
        <v>-0.9443612209</v>
      </c>
      <c r="AJ111" s="144">
        <f t="shared" si="11"/>
        <v>-1.324617841</v>
      </c>
      <c r="AK111" s="144">
        <f t="shared" si="12"/>
        <v>1.414352044</v>
      </c>
      <c r="AL111" s="144">
        <f t="shared" si="13"/>
        <v>4.947629759</v>
      </c>
      <c r="AM111" s="144">
        <f t="shared" si="14"/>
        <v>-1.243938254</v>
      </c>
      <c r="AN111" s="144">
        <f t="shared" si="15"/>
        <v>0</v>
      </c>
      <c r="AO111" s="167">
        <f t="shared" si="16"/>
        <v>-1.709094101</v>
      </c>
      <c r="AP111" s="167">
        <f t="shared" si="17"/>
        <v>-3.115514235</v>
      </c>
      <c r="AQ111" s="167">
        <f t="array" ref="AQ111">INDIRECT("Update"&amp;Projections!$AG$11&amp;"!S"&amp;ROW(B92))</f>
        <v>0.72299</v>
      </c>
      <c r="AR111" s="167">
        <f t="array" ref="AR111">INDIRECT("Update"&amp;Projections!$AG$11&amp;"!T"&amp;ROW(B92))</f>
        <v>0.67203</v>
      </c>
    </row>
    <row r="112">
      <c r="A112" s="50" t="str">
        <f>IF(UpdateHashtag!C110="",ROW(UpdateHashtag!C110),UpdateHashtag!C110)</f>
        <v>Clint Capela</v>
      </c>
      <c r="B112" s="53">
        <f>IF(TYPE($A112)=1,"",(UpdateHashtag!M110-B$1)/B$2)</f>
        <v>-0.9955680992</v>
      </c>
      <c r="C112" s="53">
        <f>IF(TYPE($A112)=1,"",(UpdateHashtag!L110-C$1)/C$2)</f>
        <v>-1.709094101</v>
      </c>
      <c r="D112" s="53">
        <f>IF(TYPE($A112)=1,"",(UpdateHashtag!N110-D$1)/D$2)</f>
        <v>1.853886493</v>
      </c>
      <c r="E112" s="53">
        <f>IF(TYPE($A112)=1,"",(UpdateHashtag!O110-E$1)/E$2)</f>
        <v>-1.337014518</v>
      </c>
      <c r="F112" s="53">
        <f>IF(TYPE($A112)=1,"",(UpdateHashtag!P110-F$1)/F$2)</f>
        <v>-1.356589379</v>
      </c>
      <c r="G112" s="53">
        <f>IF(TYPE($A112)=1,"",(UpdateHashtag!Q110-G$1)/G$2)</f>
        <v>1.035851516</v>
      </c>
      <c r="H112" s="53">
        <f>IF(TYPE($A112)=1,"",(UpdateHashtag!I110-H$1)/H$2*I112/$I$1)</f>
        <v>25.69202537</v>
      </c>
      <c r="I112" s="53">
        <f>UpdateHashtag!S110</f>
        <v>8.4</v>
      </c>
      <c r="J112" s="58">
        <f>IF(TYPE($A112)=1,"",(UpdateHashtag!K110-J$1)/J$2*K112/$K$1)</f>
        <v>-6.013828622</v>
      </c>
      <c r="K112" s="59">
        <f>UpdateHashtag!T110</f>
        <v>2.4</v>
      </c>
      <c r="L112" s="53">
        <f>IF(TYPE($A112)=1,"",-(UpdateHashtag!R110-L$1)/L$2)</f>
        <v>0.8418166868</v>
      </c>
      <c r="N112" s="106">
        <f t="shared" si="3"/>
        <v>0.3241306954</v>
      </c>
      <c r="O112" s="106">
        <f t="shared" si="4"/>
        <v>116</v>
      </c>
      <c r="P112" s="163" t="str">
        <f t="array" ref="P112">INDIRECT("Update"&amp;Projections!$AG$11&amp;"!B"&amp;ROW(B93))</f>
        <v/>
      </c>
      <c r="Q112" s="164" t="str">
        <f t="array" ref="Q112">INDIRECT("Update"&amp;Projections!$AG$11&amp;"!C"&amp;ROW(B93))</f>
        <v>Josh Hart</v>
      </c>
      <c r="R112" s="163">
        <f>UpdateBBM!F93</f>
        <v>73</v>
      </c>
      <c r="S112" s="165" t="str">
        <f t="array" ref="S112">INDIRECT("Update"&amp;Projections!$AG$11&amp;"!D"&amp;ROW(B93))</f>
        <v>G,F</v>
      </c>
      <c r="T112" s="144">
        <f t="shared" si="5"/>
        <v>-0.6256307036</v>
      </c>
      <c r="U112" s="144">
        <f>SUM(AF112:AN112)-IFERROR(IFS(Projections!$I$11,AO112,Projections!$J$11,AP112),"")</f>
        <v>-0.6710579723</v>
      </c>
      <c r="V112" s="144">
        <f t="shared" si="6"/>
        <v>-0.04542726864</v>
      </c>
      <c r="W112" s="144">
        <f t="array" ref="W112">INDIRECT("Update"&amp;Projections!$AG$11&amp;"!M"&amp;ROW(B93))</f>
        <v>11.72712</v>
      </c>
      <c r="X112" s="144">
        <f t="array" ref="X112">INDIRECT("Update"&amp;Projections!$AG$11&amp;"!L"&amp;ROW(B93))</f>
        <v>0.923288</v>
      </c>
      <c r="Y112" s="144">
        <f t="array" ref="Y112">INDIRECT("Update"&amp;Projections!$AG$11&amp;"!N"&amp;ROW(B93))</f>
        <v>7.486849</v>
      </c>
      <c r="Z112" s="144">
        <f t="array" ref="Z112">INDIRECT("Update"&amp;Projections!$AG$11&amp;"!O"&amp;ROW(B93))</f>
        <v>4.696301</v>
      </c>
      <c r="AA112" s="144">
        <f t="array" ref="AA112">INDIRECT("Update"&amp;Projections!$AG$11&amp;"!P"&amp;ROW(B93))</f>
        <v>1.225068</v>
      </c>
      <c r="AB112" s="144">
        <f t="array" ref="AB112">INDIRECT("Update"&amp;Projections!$AG$11&amp;"!Q"&amp;ROW(B93))</f>
        <v>0.276027</v>
      </c>
      <c r="AC112" s="166">
        <f t="array" ref="AC112">INDIRECT("Update"&amp;Projections!$AG$11&amp;"!I"&amp;ROW(B93))</f>
        <v>0.49429</v>
      </c>
      <c r="AD112" s="166">
        <f t="array" ref="AD112">INDIRECT("Update"&amp;Projections!$AG$11&amp;"!K"&amp;ROW(B93))</f>
        <v>0.742975</v>
      </c>
      <c r="AE112" s="144">
        <f t="array" ref="AE112">INDIRECT("Update"&amp;Projections!$AG$11&amp;"!R"&amp;ROW(B93))</f>
        <v>1.565479</v>
      </c>
      <c r="AF112" s="144">
        <f t="shared" si="7"/>
        <v>-0.9557215732</v>
      </c>
      <c r="AG112" s="144">
        <f t="shared" si="8"/>
        <v>-0.8173516756</v>
      </c>
      <c r="AH112" s="144">
        <f t="shared" si="9"/>
        <v>0.5514241474</v>
      </c>
      <c r="AI112" s="144">
        <f t="shared" si="10"/>
        <v>0.4198306561</v>
      </c>
      <c r="AJ112" s="144">
        <f t="shared" si="11"/>
        <v>0.548136607</v>
      </c>
      <c r="AK112" s="144">
        <f t="shared" si="12"/>
        <v>-0.8257234361</v>
      </c>
      <c r="AL112" s="144">
        <f t="shared" si="13"/>
        <v>-0.01325379689</v>
      </c>
      <c r="AM112" s="144">
        <f t="shared" si="14"/>
        <v>-0.5341204742</v>
      </c>
      <c r="AN112" s="144">
        <f t="shared" si="15"/>
        <v>0</v>
      </c>
      <c r="AO112" s="167">
        <f t="shared" si="16"/>
        <v>-0.9557215732</v>
      </c>
      <c r="AP112" s="167">
        <f t="shared" si="17"/>
        <v>-1.781445009</v>
      </c>
      <c r="AQ112" s="167">
        <f t="array" ref="AQ112">INDIRECT("Update"&amp;Projections!$AG$11&amp;"!S"&amp;ROW(B93))</f>
        <v>0.49429</v>
      </c>
      <c r="AR112" s="167">
        <f t="array" ref="AR112">INDIRECT("Update"&amp;Projections!$AG$11&amp;"!T"&amp;ROW(B93))</f>
        <v>0.742975</v>
      </c>
    </row>
    <row r="113">
      <c r="A113" s="50" t="str">
        <f>IF(UpdateHashtag!C111="",ROW(UpdateHashtag!C111),UpdateHashtag!C111)</f>
        <v>Trayce Jackson-Davis</v>
      </c>
      <c r="B113" s="53">
        <f>IF(TYPE($A113)=1,"",(UpdateHashtag!M111-B$1)/B$2)</f>
        <v>-0.8903025321</v>
      </c>
      <c r="C113" s="53">
        <f>IF(TYPE($A113)=1,"",(UpdateHashtag!L111-C$1)/C$2)</f>
        <v>-1.709094101</v>
      </c>
      <c r="D113" s="53">
        <f>IF(TYPE($A113)=1,"",(UpdateHashtag!N111-D$1)/D$2)</f>
        <v>0.5972903133</v>
      </c>
      <c r="E113" s="53">
        <f>IF(TYPE($A113)=1,"",(UpdateHashtag!O111-E$1)/E$2)</f>
        <v>-0.9950543703</v>
      </c>
      <c r="F113" s="53">
        <f>IF(TYPE($A113)=1,"",(UpdateHashtag!P111-F$1)/F$2)</f>
        <v>-1.356589379</v>
      </c>
      <c r="G113" s="53">
        <f>IF(TYPE($A113)=1,"",(UpdateHashtag!Q111-G$1)/G$2)</f>
        <v>1.581249184</v>
      </c>
      <c r="H113" s="53">
        <f>IF(TYPE($A113)=1,"",(UpdateHashtag!I111-H$1)/H$2*I113/$I$1)</f>
        <v>46.19667308</v>
      </c>
      <c r="I113" s="53">
        <f>UpdateHashtag!S111</f>
        <v>7.4</v>
      </c>
      <c r="J113" s="58">
        <f>IF(TYPE($A113)=1,"",(UpdateHashtag!K111-J$1)/J$2*K113/$K$1)</f>
        <v>-10.77266422</v>
      </c>
      <c r="K113" s="59">
        <f>UpdateHashtag!T111</f>
        <v>3</v>
      </c>
      <c r="L113" s="53">
        <f>IF(TYPE($A113)=1,"",-(UpdateHashtag!R111-L$1)/L$2)</f>
        <v>0.643430979</v>
      </c>
      <c r="N113" s="106">
        <f t="shared" si="3"/>
        <v>0.2650008858</v>
      </c>
      <c r="O113" s="106">
        <f t="shared" si="4"/>
        <v>52</v>
      </c>
      <c r="P113" s="163" t="str">
        <f t="array" ref="P113">INDIRECT("Update"&amp;Projections!$AG$11&amp;"!B"&amp;ROW(B94))</f>
        <v/>
      </c>
      <c r="Q113" s="164" t="str">
        <f t="array" ref="Q113">INDIRECT("Update"&amp;Projections!$AG$11&amp;"!C"&amp;ROW(B94))</f>
        <v>Jordan Poole</v>
      </c>
      <c r="R113" s="163">
        <f>UpdateBBM!F94</f>
        <v>68</v>
      </c>
      <c r="S113" s="165" t="str">
        <f t="array" ref="S113">INDIRECT("Update"&amp;Projections!$AG$11&amp;"!D"&amp;ROW(B94))</f>
        <v>G</v>
      </c>
      <c r="T113" s="144">
        <f t="shared" si="5"/>
        <v>2.180901961</v>
      </c>
      <c r="U113" s="144">
        <f>SUM(AF113:AN113)-IFERROR(IFS(Projections!$I$11,AO113,Projections!$J$11,AP113),"")</f>
        <v>2.426625557</v>
      </c>
      <c r="V113" s="144">
        <f t="shared" si="6"/>
        <v>0.2457235961</v>
      </c>
      <c r="W113" s="144">
        <f t="array" ref="W113">INDIRECT("Update"&amp;Projections!$AG$11&amp;"!M"&amp;ROW(B94))</f>
        <v>18.92559</v>
      </c>
      <c r="X113" s="144">
        <f t="array" ref="X113">INDIRECT("Update"&amp;Projections!$AG$11&amp;"!L"&amp;ROW(B94))</f>
        <v>3.177794</v>
      </c>
      <c r="Y113" s="144">
        <f t="array" ref="Y113">INDIRECT("Update"&amp;Projections!$AG$11&amp;"!N"&amp;ROW(B94))</f>
        <v>2.935294</v>
      </c>
      <c r="Z113" s="144">
        <f t="array" ref="Z113">INDIRECT("Update"&amp;Projections!$AG$11&amp;"!O"&amp;ROW(B94))</f>
        <v>4.305147</v>
      </c>
      <c r="AA113" s="144">
        <f t="array" ref="AA113">INDIRECT("Update"&amp;Projections!$AG$11&amp;"!P"&amp;ROW(B94))</f>
        <v>1.196324</v>
      </c>
      <c r="AB113" s="144">
        <f t="array" ref="AB113">INDIRECT("Update"&amp;Projections!$AG$11&amp;"!Q"&amp;ROW(B94))</f>
        <v>0.326176</v>
      </c>
      <c r="AC113" s="166">
        <f t="array" ref="AC113">INDIRECT("Update"&amp;Projections!$AG$11&amp;"!I"&amp;ROW(B94))</f>
        <v>0.43492</v>
      </c>
      <c r="AD113" s="166">
        <f t="array" ref="AD113">INDIRECT("Update"&amp;Projections!$AG$11&amp;"!K"&amp;ROW(B94))</f>
        <v>0.89899</v>
      </c>
      <c r="AE113" s="144">
        <f t="array" ref="AE113">INDIRECT("Update"&amp;Projections!$AG$11&amp;"!R"&amp;ROW(B94))</f>
        <v>2.739559</v>
      </c>
      <c r="AF113" s="144">
        <f t="shared" si="7"/>
        <v>0.3071968056</v>
      </c>
      <c r="AG113" s="144">
        <f t="shared" si="8"/>
        <v>1.360125609</v>
      </c>
      <c r="AH113" s="144">
        <f t="shared" si="9"/>
        <v>-1.293565086</v>
      </c>
      <c r="AI113" s="144">
        <f t="shared" si="10"/>
        <v>0.2287462565</v>
      </c>
      <c r="AJ113" s="144">
        <f t="shared" si="11"/>
        <v>0.4605470268</v>
      </c>
      <c r="AK113" s="144">
        <f t="shared" si="12"/>
        <v>-0.734552944</v>
      </c>
      <c r="AL113" s="144">
        <f t="shared" si="13"/>
        <v>-0.7873256569</v>
      </c>
      <c r="AM113" s="144">
        <f t="shared" si="14"/>
        <v>1.591888459</v>
      </c>
      <c r="AN113" s="144">
        <f t="shared" si="15"/>
        <v>0</v>
      </c>
      <c r="AO113" s="167">
        <f t="shared" si="16"/>
        <v>-1.293565086</v>
      </c>
      <c r="AP113" s="167">
        <f t="shared" si="17"/>
        <v>-2.080890743</v>
      </c>
      <c r="AQ113" s="167">
        <f t="array" ref="AQ113">INDIRECT("Update"&amp;Projections!$AG$11&amp;"!S"&amp;ROW(B94))</f>
        <v>0.43492</v>
      </c>
      <c r="AR113" s="167">
        <f t="array" ref="AR113">INDIRECT("Update"&amp;Projections!$AG$11&amp;"!T"&amp;ROW(B94))</f>
        <v>0.89899</v>
      </c>
    </row>
    <row r="114">
      <c r="A114" s="50" t="str">
        <f>IF(UpdateHashtag!C112="",ROW(UpdateHashtag!C112),UpdateHashtag!C112)</f>
        <v>Jalen Green</v>
      </c>
      <c r="B114" s="53">
        <f>IF(TYPE($A114)=1,"",(UpdateHashtag!M112-B$1)/B$2)</f>
        <v>0.5834154083</v>
      </c>
      <c r="C114" s="53">
        <f>IF(TYPE($A114)=1,"",(UpdateHashtag!L112-C$1)/C$2)</f>
        <v>0.608906155</v>
      </c>
      <c r="D114" s="53">
        <f>IF(TYPE($A114)=1,"",(UpdateHashtag!N112-D$1)/D$2)</f>
        <v>-0.4971644236</v>
      </c>
      <c r="E114" s="53">
        <f>IF(TYPE($A114)=1,"",(UpdateHashtag!O112-E$1)/E$2)</f>
        <v>-0.06687682585</v>
      </c>
      <c r="F114" s="53">
        <f>IF(TYPE($A114)=1,"",(UpdateHashtag!P112-F$1)/F$2)</f>
        <v>-0.442420367</v>
      </c>
      <c r="G114" s="53">
        <f>IF(TYPE($A114)=1,"",(UpdateHashtag!Q112-G$1)/G$2)</f>
        <v>-0.7821407085</v>
      </c>
      <c r="H114" s="53">
        <f>IF(TYPE($A114)=1,"",(UpdateHashtag!I112-H$1)/H$2*I114/$I$1)</f>
        <v>-32.60504668</v>
      </c>
      <c r="I114" s="53">
        <f>UpdateHashtag!S112</f>
        <v>16.4</v>
      </c>
      <c r="J114" s="58">
        <f>IF(TYPE($A114)=1,"",(UpdateHashtag!K112-J$1)/J$2*K114/$K$1)</f>
        <v>1.513999323</v>
      </c>
      <c r="K114" s="59">
        <f>UpdateHashtag!T112</f>
        <v>5</v>
      </c>
      <c r="L114" s="53">
        <f>IF(TYPE($A114)=1,"",-(UpdateHashtag!R112-L$1)/L$2)</f>
        <v>-0.6460761218</v>
      </c>
      <c r="N114" s="106">
        <f t="shared" si="3"/>
        <v>0.2605892293</v>
      </c>
      <c r="O114" s="106">
        <f t="shared" si="4"/>
        <v>113</v>
      </c>
      <c r="P114" s="163" t="str">
        <f t="array" ref="P114">INDIRECT("Update"&amp;Projections!$AG$11&amp;"!B"&amp;ROW(B95))</f>
        <v/>
      </c>
      <c r="Q114" s="164" t="str">
        <f t="array" ref="Q114">INDIRECT("Update"&amp;Projections!$AG$11&amp;"!C"&amp;ROW(B95))</f>
        <v>Aaron Nesmith</v>
      </c>
      <c r="R114" s="163">
        <f>UpdateBBM!F95</f>
        <v>68</v>
      </c>
      <c r="S114" s="165" t="str">
        <f t="array" ref="S114">INDIRECT("Update"&amp;Projections!$AG$11&amp;"!D"&amp;ROW(B95))</f>
        <v>F</v>
      </c>
      <c r="T114" s="144">
        <f t="shared" si="5"/>
        <v>-0.5495090323</v>
      </c>
      <c r="U114" s="144">
        <f>SUM(AF114:AN114)-IFERROR(IFS(Projections!$I$11,AO114,Projections!$J$11,AP114),"")</f>
        <v>-0.6804995608</v>
      </c>
      <c r="V114" s="144">
        <f t="shared" si="6"/>
        <v>-0.1309905285</v>
      </c>
      <c r="W114" s="144">
        <f t="array" ref="W114">INDIRECT("Update"&amp;Projections!$AG$11&amp;"!M"&amp;ROW(B95))</f>
        <v>14.89471</v>
      </c>
      <c r="X114" s="144">
        <f t="array" ref="X114">INDIRECT("Update"&amp;Projections!$AG$11&amp;"!L"&amp;ROW(B95))</f>
        <v>2.294412</v>
      </c>
      <c r="Y114" s="144">
        <f t="array" ref="Y114">INDIRECT("Update"&amp;Projections!$AG$11&amp;"!N"&amp;ROW(B95))</f>
        <v>4.454559</v>
      </c>
      <c r="Z114" s="144">
        <f t="array" ref="Z114">INDIRECT("Update"&amp;Projections!$AG$11&amp;"!O"&amp;ROW(B95))</f>
        <v>2.013676</v>
      </c>
      <c r="AA114" s="144">
        <f t="array" ref="AA114">INDIRECT("Update"&amp;Projections!$AG$11&amp;"!P"&amp;ROW(B95))</f>
        <v>0.976324</v>
      </c>
      <c r="AB114" s="144">
        <f t="array" ref="AB114">INDIRECT("Update"&amp;Projections!$AG$11&amp;"!Q"&amp;ROW(B95))</f>
        <v>0.483088</v>
      </c>
      <c r="AC114" s="166">
        <f t="array" ref="AC114">INDIRECT("Update"&amp;Projections!$AG$11&amp;"!I"&amp;ROW(B95))</f>
        <v>0.47477</v>
      </c>
      <c r="AD114" s="166">
        <f t="array" ref="AD114">INDIRECT("Update"&amp;Projections!$AG$11&amp;"!K"&amp;ROW(B95))</f>
        <v>0.849994</v>
      </c>
      <c r="AE114" s="144">
        <f t="array" ref="AE114">INDIRECT("Update"&amp;Projections!$AG$11&amp;"!R"&amp;ROW(B95))</f>
        <v>1.220441</v>
      </c>
      <c r="AF114" s="144">
        <f t="shared" si="7"/>
        <v>-0.39999131</v>
      </c>
      <c r="AG114" s="144">
        <f t="shared" si="8"/>
        <v>0.5069257338</v>
      </c>
      <c r="AH114" s="144">
        <f t="shared" si="9"/>
        <v>-0.6777255394</v>
      </c>
      <c r="AI114" s="144">
        <f t="shared" si="10"/>
        <v>-0.8906705466</v>
      </c>
      <c r="AJ114" s="144">
        <f t="shared" si="11"/>
        <v>-0.2098435816</v>
      </c>
      <c r="AK114" s="144">
        <f t="shared" si="12"/>
        <v>-0.449288148</v>
      </c>
      <c r="AL114" s="144">
        <f t="shared" si="13"/>
        <v>-0.2911245862</v>
      </c>
      <c r="AM114" s="144">
        <f t="shared" si="14"/>
        <v>0.8405478707</v>
      </c>
      <c r="AN114" s="144">
        <f t="shared" si="15"/>
        <v>0</v>
      </c>
      <c r="AO114" s="167">
        <f t="shared" si="16"/>
        <v>-0.8906705466</v>
      </c>
      <c r="AP114" s="167">
        <f t="shared" si="17"/>
        <v>-1.568396086</v>
      </c>
      <c r="AQ114" s="167">
        <f t="array" ref="AQ114">INDIRECT("Update"&amp;Projections!$AG$11&amp;"!S"&amp;ROW(B95))</f>
        <v>0.47477</v>
      </c>
      <c r="AR114" s="167">
        <f t="array" ref="AR114">INDIRECT("Update"&amp;Projections!$AG$11&amp;"!T"&amp;ROW(B95))</f>
        <v>0.849994</v>
      </c>
    </row>
    <row r="115">
      <c r="A115" s="50" t="str">
        <f>IF(UpdateHashtag!C113="",ROW(UpdateHashtag!C113),UpdateHashtag!C113)</f>
        <v>Naz Reid</v>
      </c>
      <c r="B115" s="53">
        <f>IF(TYPE($A115)=1,"",(UpdateHashtag!M113-B$1)/B$2)</f>
        <v>-0.434151741</v>
      </c>
      <c r="C115" s="53">
        <f>IF(TYPE($A115)=1,"",(UpdateHashtag!L113-C$1)/C$2)</f>
        <v>0.2225727791</v>
      </c>
      <c r="D115" s="53">
        <f>IF(TYPE($A115)=1,"",(UpdateHashtag!N113-D$1)/D$2)</f>
        <v>0.02979526449</v>
      </c>
      <c r="E115" s="53">
        <f>IF(TYPE($A115)=1,"",(UpdateHashtag!O113-E$1)/E$2)</f>
        <v>-1.141608719</v>
      </c>
      <c r="F115" s="53">
        <f>IF(TYPE($A115)=1,"",(UpdateHashtag!P113-F$1)/F$2)</f>
        <v>-0.442420367</v>
      </c>
      <c r="G115" s="53">
        <f>IF(TYPE($A115)=1,"",(UpdateHashtag!Q113-G$1)/G$2)</f>
        <v>0.490453849</v>
      </c>
      <c r="H115" s="53">
        <f>IF(TYPE($A115)=1,"",(UpdateHashtag!I113-H$1)/H$2*I115/$I$1)</f>
        <v>-8.147892119</v>
      </c>
      <c r="I115" s="53">
        <f>UpdateHashtag!S113</f>
        <v>11.7</v>
      </c>
      <c r="J115" s="58">
        <f>IF(TYPE($A115)=1,"",(UpdateHashtag!K113-J$1)/J$2*K115/$K$1)</f>
        <v>-1.861545909</v>
      </c>
      <c r="K115" s="59">
        <f>UpdateHashtag!T113</f>
        <v>2.2</v>
      </c>
      <c r="L115" s="53">
        <f>IF(TYPE($A115)=1,"",-(UpdateHashtag!R113-L$1)/L$2)</f>
        <v>0.04827385557</v>
      </c>
      <c r="N115" s="106">
        <f t="shared" si="3"/>
        <v>0.2432356083</v>
      </c>
      <c r="O115" s="106">
        <f t="shared" si="4"/>
        <v>119</v>
      </c>
      <c r="P115" s="163" t="str">
        <f t="array" ref="P115">INDIRECT("Update"&amp;Projections!$AG$11&amp;"!B"&amp;ROW(B96))</f>
        <v/>
      </c>
      <c r="Q115" s="164" t="str">
        <f t="array" ref="Q115">INDIRECT("Update"&amp;Projections!$AG$11&amp;"!C"&amp;ROW(B96))</f>
        <v>Brandin Podziemski</v>
      </c>
      <c r="R115" s="163">
        <f>UpdateBBM!F96</f>
        <v>68</v>
      </c>
      <c r="S115" s="165" t="str">
        <f t="array" ref="S115">INDIRECT("Update"&amp;Projections!$AG$11&amp;"!D"&amp;ROW(B96))</f>
        <v>G,F</v>
      </c>
      <c r="T115" s="144">
        <f t="shared" si="5"/>
        <v>-0.7085231883</v>
      </c>
      <c r="U115" s="144">
        <f>SUM(AF115:AN115)-IFERROR(IFS(Projections!$I$11,AO115,Projections!$J$11,AP115),"")</f>
        <v>-0.8317094709</v>
      </c>
      <c r="V115" s="144">
        <f t="shared" si="6"/>
        <v>-0.1231862827</v>
      </c>
      <c r="W115" s="144">
        <f t="array" ref="W115">INDIRECT("Update"&amp;Projections!$AG$11&amp;"!M"&amp;ROW(B96))</f>
        <v>14.70971</v>
      </c>
      <c r="X115" s="144">
        <f t="array" ref="X115">INDIRECT("Update"&amp;Projections!$AG$11&amp;"!L"&amp;ROW(B96))</f>
        <v>2.332647</v>
      </c>
      <c r="Y115" s="144">
        <f t="array" ref="Y115">INDIRECT("Update"&amp;Projections!$AG$11&amp;"!N"&amp;ROW(B96))</f>
        <v>5.502794</v>
      </c>
      <c r="Z115" s="144">
        <f t="array" ref="Z115">INDIRECT("Update"&amp;Projections!$AG$11&amp;"!O"&amp;ROW(B96))</f>
        <v>3.469118</v>
      </c>
      <c r="AA115" s="144">
        <f t="array" ref="AA115">INDIRECT("Update"&amp;Projections!$AG$11&amp;"!P"&amp;ROW(B96))</f>
        <v>1.143235</v>
      </c>
      <c r="AB115" s="144">
        <f t="array" ref="AB115">INDIRECT("Update"&amp;Projections!$AG$11&amp;"!Q"&amp;ROW(B96))</f>
        <v>0.178676</v>
      </c>
      <c r="AC115" s="166">
        <f t="array" ref="AC115">INDIRECT("Update"&amp;Projections!$AG$11&amp;"!I"&amp;ROW(B96))</f>
        <v>0.451894</v>
      </c>
      <c r="AD115" s="166">
        <f t="array" ref="AD115">INDIRECT("Update"&amp;Projections!$AG$11&amp;"!K"&amp;ROW(B96))</f>
        <v>0.769976</v>
      </c>
      <c r="AE115" s="144">
        <f t="array" ref="AE115">INDIRECT("Update"&amp;Projections!$AG$11&amp;"!R"&amp;ROW(B96))</f>
        <v>1.251912</v>
      </c>
      <c r="AF115" s="144">
        <f t="shared" si="7"/>
        <v>-0.4324481933</v>
      </c>
      <c r="AG115" s="144">
        <f t="shared" si="8"/>
        <v>0.5438543753</v>
      </c>
      <c r="AH115" s="144">
        <f t="shared" si="9"/>
        <v>-0.2528197019</v>
      </c>
      <c r="AI115" s="144">
        <f t="shared" si="10"/>
        <v>-0.17966603</v>
      </c>
      <c r="AJ115" s="144">
        <f t="shared" si="11"/>
        <v>0.2987726313</v>
      </c>
      <c r="AK115" s="144">
        <f t="shared" si="12"/>
        <v>-1.002706797</v>
      </c>
      <c r="AL115" s="144">
        <f t="shared" si="13"/>
        <v>-0.5876345218</v>
      </c>
      <c r="AM115" s="144">
        <f t="shared" si="14"/>
        <v>-0.2217680306</v>
      </c>
      <c r="AN115" s="144">
        <f t="shared" si="15"/>
        <v>0</v>
      </c>
      <c r="AO115" s="167">
        <f t="shared" si="16"/>
        <v>-1.002706797</v>
      </c>
      <c r="AP115" s="167">
        <f t="shared" si="17"/>
        <v>-1.590341319</v>
      </c>
      <c r="AQ115" s="167">
        <f t="array" ref="AQ115">INDIRECT("Update"&amp;Projections!$AG$11&amp;"!S"&amp;ROW(B96))</f>
        <v>0.451894</v>
      </c>
      <c r="AR115" s="167">
        <f t="array" ref="AR115">INDIRECT("Update"&amp;Projections!$AG$11&amp;"!T"&amp;ROW(B96))</f>
        <v>0.769976</v>
      </c>
    </row>
    <row r="116">
      <c r="A116" s="50" t="str">
        <f>IF(UpdateHashtag!C114="",ROW(UpdateHashtag!C114),UpdateHashtag!C114)</f>
        <v>Julius Randle</v>
      </c>
      <c r="B116" s="53">
        <f>IF(TYPE($A116)=1,"",(UpdateHashtag!M114-B$1)/B$2)</f>
        <v>0.5483268859</v>
      </c>
      <c r="C116" s="53">
        <f>IF(TYPE($A116)=1,"",(UpdateHashtag!L114-C$1)/C$2)</f>
        <v>-0.3569272848</v>
      </c>
      <c r="D116" s="53">
        <f>IF(TYPE($A116)=1,"",(UpdateHashtag!N114-D$1)/D$2)</f>
        <v>0.9621085589</v>
      </c>
      <c r="E116" s="53">
        <f>IF(TYPE($A116)=1,"",(UpdateHashtag!O114-E$1)/E$2)</f>
        <v>0.03082607356</v>
      </c>
      <c r="F116" s="53">
        <f>IF(TYPE($A116)=1,"",(UpdateHashtag!P114-F$1)/F$2)</f>
        <v>-1.661312382</v>
      </c>
      <c r="G116" s="53">
        <f>IF(TYPE($A116)=1,"",(UpdateHashtag!Q114-G$1)/G$2)</f>
        <v>-0.963939931</v>
      </c>
      <c r="H116" s="53">
        <f>IF(TYPE($A116)=1,"",(UpdateHashtag!I114-H$1)/H$2*I116/$I$1)</f>
        <v>-8.356890851</v>
      </c>
      <c r="I116" s="53">
        <f>UpdateHashtag!S114</f>
        <v>15.3</v>
      </c>
      <c r="J116" s="58">
        <f>IF(TYPE($A116)=1,"",(UpdateHashtag!K114-J$1)/J$2*K116/$K$1)</f>
        <v>-0.6915188507</v>
      </c>
      <c r="K116" s="59">
        <f>UpdateHashtag!T114</f>
        <v>5.4</v>
      </c>
      <c r="L116" s="53">
        <f>IF(TYPE($A116)=1,"",-(UpdateHashtag!R114-L$1)/L$2)</f>
        <v>-0.8444618296</v>
      </c>
      <c r="N116" s="106">
        <f t="shared" si="3"/>
        <v>0.2362058193</v>
      </c>
      <c r="O116" s="106">
        <f t="shared" si="4"/>
        <v>105</v>
      </c>
      <c r="P116" s="163" t="str">
        <f t="array" ref="P116">INDIRECT("Update"&amp;Projections!$AG$11&amp;"!B"&amp;ROW(B97))</f>
        <v/>
      </c>
      <c r="Q116" s="164" t="str">
        <f t="array" ref="Q116">INDIRECT("Update"&amp;Projections!$AG$11&amp;"!C"&amp;ROW(B97))</f>
        <v>Donte DiVincenzo</v>
      </c>
      <c r="R116" s="163">
        <f>UpdateBBM!F97</f>
        <v>68</v>
      </c>
      <c r="S116" s="165" t="str">
        <f t="array" ref="S116">INDIRECT("Update"&amp;Projections!$AG$11&amp;"!D"&amp;ROW(B97))</f>
        <v>G</v>
      </c>
      <c r="T116" s="144">
        <f t="shared" si="5"/>
        <v>-0.1611887679</v>
      </c>
      <c r="U116" s="144">
        <f>SUM(AF116:AN116)-IFERROR(IFS(Projections!$I$11,AO116,Projections!$J$11,AP116),"")</f>
        <v>-0.1508659329</v>
      </c>
      <c r="V116" s="144">
        <f t="shared" si="6"/>
        <v>0.01032283498</v>
      </c>
      <c r="W116" s="144">
        <f t="array" ref="W116">INDIRECT("Update"&amp;Projections!$AG$11&amp;"!M"&amp;ROW(B97))</f>
        <v>13.41471</v>
      </c>
      <c r="X116" s="144">
        <f t="array" ref="X116">INDIRECT("Update"&amp;Projections!$AG$11&amp;"!L"&amp;ROW(B97))</f>
        <v>3.161471</v>
      </c>
      <c r="Y116" s="144">
        <f t="array" ref="Y116">INDIRECT("Update"&amp;Projections!$AG$11&amp;"!N"&amp;ROW(B97))</f>
        <v>4.0425</v>
      </c>
      <c r="Z116" s="144">
        <f t="array" ref="Z116">INDIRECT("Update"&amp;Projections!$AG$11&amp;"!O"&amp;ROW(B97))</f>
        <v>4.215735</v>
      </c>
      <c r="AA116" s="144">
        <f t="array" ref="AA116">INDIRECT("Update"&amp;Projections!$AG$11&amp;"!P"&amp;ROW(B97))</f>
        <v>1.226029</v>
      </c>
      <c r="AB116" s="144">
        <f t="array" ref="AB116">INDIRECT("Update"&amp;Projections!$AG$11&amp;"!Q"&amp;ROW(B97))</f>
        <v>0.344118</v>
      </c>
      <c r="AC116" s="166">
        <f t="array" ref="AC116">INDIRECT("Update"&amp;Projections!$AG$11&amp;"!I"&amp;ROW(B97))</f>
        <v>0.426993</v>
      </c>
      <c r="AD116" s="166">
        <f t="array" ref="AD116">INDIRECT("Update"&amp;Projections!$AG$11&amp;"!K"&amp;ROW(B97))</f>
        <v>0.78603</v>
      </c>
      <c r="AE116" s="144">
        <f t="array" ref="AE116">INDIRECT("Update"&amp;Projections!$AG$11&amp;"!R"&amp;ROW(B97))</f>
        <v>1.790294</v>
      </c>
      <c r="AF116" s="144">
        <f t="shared" si="7"/>
        <v>-0.6596463757</v>
      </c>
      <c r="AG116" s="144">
        <f t="shared" si="8"/>
        <v>1.34436031</v>
      </c>
      <c r="AH116" s="144">
        <f t="shared" si="9"/>
        <v>-0.844755141</v>
      </c>
      <c r="AI116" s="144">
        <f t="shared" si="10"/>
        <v>0.1850671983</v>
      </c>
      <c r="AJ116" s="144">
        <f t="shared" si="11"/>
        <v>0.5510649951</v>
      </c>
      <c r="AK116" s="144">
        <f t="shared" si="12"/>
        <v>-0.7019345275</v>
      </c>
      <c r="AL116" s="144">
        <f t="shared" si="13"/>
        <v>-0.8746535239</v>
      </c>
      <c r="AM116" s="144">
        <f t="shared" si="14"/>
        <v>-0.02502239227</v>
      </c>
      <c r="AN116" s="144">
        <f t="shared" si="15"/>
        <v>0</v>
      </c>
      <c r="AO116" s="167">
        <f t="shared" si="16"/>
        <v>-0.8746535239</v>
      </c>
      <c r="AP116" s="167">
        <f t="shared" si="17"/>
        <v>-1.719408665</v>
      </c>
      <c r="AQ116" s="167">
        <f t="array" ref="AQ116">INDIRECT("Update"&amp;Projections!$AG$11&amp;"!S"&amp;ROW(B97))</f>
        <v>0.426993</v>
      </c>
      <c r="AR116" s="167">
        <f t="array" ref="AR116">INDIRECT("Update"&amp;Projections!$AG$11&amp;"!T"&amp;ROW(B97))</f>
        <v>0.78603</v>
      </c>
    </row>
    <row r="117">
      <c r="A117" s="50" t="str">
        <f>IF(UpdateHashtag!C115="",ROW(UpdateHashtag!C115),UpdateHashtag!C115)</f>
        <v>Donte DiVincenzo</v>
      </c>
      <c r="B117" s="53">
        <f>IF(TYPE($A117)=1,"",(UpdateHashtag!M115-B$1)/B$2)</f>
        <v>-0.7850369649</v>
      </c>
      <c r="C117" s="53">
        <f>IF(TYPE($A117)=1,"",(UpdateHashtag!L115-C$1)/C$2)</f>
        <v>0.8986561869</v>
      </c>
      <c r="D117" s="53">
        <f>IF(TYPE($A117)=1,"",(UpdateHashtag!N115-D$1)/D$2)</f>
        <v>-0.9025180299</v>
      </c>
      <c r="E117" s="53">
        <f>IF(TYPE($A117)=1,"",(UpdateHashtag!O115-E$1)/E$2)</f>
        <v>-0.4088369738</v>
      </c>
      <c r="F117" s="53">
        <f>IF(TYPE($A117)=1,"",(UpdateHashtag!P115-F$1)/F$2)</f>
        <v>0.7764716483</v>
      </c>
      <c r="G117" s="53">
        <f>IF(TYPE($A117)=1,"",(UpdateHashtag!Q115-G$1)/G$2)</f>
        <v>-0.7821407085</v>
      </c>
      <c r="H117" s="53">
        <f>IF(TYPE($A117)=1,"",(UpdateHashtag!I115-H$1)/H$2*I117/$I$1)</f>
        <v>-15.528907</v>
      </c>
      <c r="I117" s="53">
        <f>UpdateHashtag!S115</f>
        <v>10.1</v>
      </c>
      <c r="J117" s="58">
        <f>IF(TYPE($A117)=1,"",(UpdateHashtag!K115-J$1)/J$2*K117/$K$1)</f>
        <v>-0.03877514611</v>
      </c>
      <c r="K117" s="59">
        <f>UpdateHashtag!T115</f>
        <v>1.2</v>
      </c>
      <c r="L117" s="53">
        <f>IF(TYPE($A117)=1,"",-(UpdateHashtag!R115-L$1)/L$2)</f>
        <v>0.3458524173</v>
      </c>
      <c r="N117" s="106">
        <f t="shared" si="3"/>
        <v>0.218489413</v>
      </c>
      <c r="O117" s="106">
        <f t="shared" si="4"/>
        <v>95</v>
      </c>
      <c r="P117" s="163" t="str">
        <f t="array" ref="P117">INDIRECT("Update"&amp;Projections!$AG$11&amp;"!B"&amp;ROW(B98))</f>
        <v/>
      </c>
      <c r="Q117" s="164" t="str">
        <f t="array" ref="Q117">INDIRECT("Update"&amp;Projections!$AG$11&amp;"!C"&amp;ROW(B98))</f>
        <v>Isaiah Jackson</v>
      </c>
      <c r="R117" s="163">
        <f>UpdateBBM!F98</f>
        <v>55</v>
      </c>
      <c r="S117" s="165" t="str">
        <f t="array" ref="S117">INDIRECT("Update"&amp;Projections!$AG$11&amp;"!D"&amp;ROW(B98))</f>
        <v>C</v>
      </c>
      <c r="T117" s="144">
        <f t="shared" si="5"/>
        <v>0.2432356083</v>
      </c>
      <c r="U117" s="144">
        <f>SUM(AF117:AN117)-IFERROR(IFS(Projections!$I$11,AO117,Projections!$J$11,AP117),"")</f>
        <v>0.1045611054</v>
      </c>
      <c r="V117" s="144">
        <f t="shared" si="6"/>
        <v>-0.1386745029</v>
      </c>
      <c r="W117" s="144">
        <f t="array" ref="W117">INDIRECT("Update"&amp;Projections!$AG$11&amp;"!M"&amp;ROW(B98))</f>
        <v>10.28545</v>
      </c>
      <c r="X117" s="144">
        <f t="array" ref="X117">INDIRECT("Update"&amp;Projections!$AG$11&amp;"!L"&amp;ROW(B98))</f>
        <v>0.050182</v>
      </c>
      <c r="Y117" s="144">
        <f t="array" ref="Y117">INDIRECT("Update"&amp;Projections!$AG$11&amp;"!N"&amp;ROW(B98))</f>
        <v>6.868</v>
      </c>
      <c r="Z117" s="144">
        <f t="array" ref="Z117">INDIRECT("Update"&amp;Projections!$AG$11&amp;"!O"&amp;ROW(B98))</f>
        <v>1.399455</v>
      </c>
      <c r="AA117" s="144">
        <f t="array" ref="AA117">INDIRECT("Update"&amp;Projections!$AG$11&amp;"!P"&amp;ROW(B98))</f>
        <v>0.943636</v>
      </c>
      <c r="AB117" s="144">
        <f t="array" ref="AB117">INDIRECT("Update"&amp;Projections!$AG$11&amp;"!Q"&amp;ROW(B98))</f>
        <v>1.926727</v>
      </c>
      <c r="AC117" s="166">
        <f t="array" ref="AC117">INDIRECT("Update"&amp;Projections!$AG$11&amp;"!I"&amp;ROW(B98))</f>
        <v>0.582506</v>
      </c>
      <c r="AD117" s="166">
        <f t="array" ref="AD117">INDIRECT("Update"&amp;Projections!$AG$11&amp;"!K"&amp;ROW(B98))</f>
        <v>0.677996</v>
      </c>
      <c r="AE117" s="144">
        <f t="array" ref="AE117">INDIRECT("Update"&amp;Projections!$AG$11&amp;"!R"&amp;ROW(B98))</f>
        <v>1.189455</v>
      </c>
      <c r="AF117" s="144">
        <f t="shared" si="7"/>
        <v>-1.208651924</v>
      </c>
      <c r="AG117" s="144">
        <f t="shared" si="8"/>
        <v>-1.660626647</v>
      </c>
      <c r="AH117" s="144">
        <f t="shared" si="9"/>
        <v>0.3005714735</v>
      </c>
      <c r="AI117" s="144">
        <f t="shared" si="10"/>
        <v>-1.19072641</v>
      </c>
      <c r="AJ117" s="144">
        <f t="shared" si="11"/>
        <v>-0.3094514371</v>
      </c>
      <c r="AK117" s="144">
        <f t="shared" si="12"/>
        <v>2.17523633</v>
      </c>
      <c r="AL117" s="144">
        <f t="shared" si="13"/>
        <v>1.528016651</v>
      </c>
      <c r="AM117" s="144">
        <f t="shared" si="14"/>
        <v>-1.190433578</v>
      </c>
      <c r="AN117" s="144">
        <f t="shared" si="15"/>
        <v>0</v>
      </c>
      <c r="AO117" s="167">
        <f t="shared" si="16"/>
        <v>-1.660626647</v>
      </c>
      <c r="AP117" s="167">
        <f t="shared" si="17"/>
        <v>-2.86927857</v>
      </c>
      <c r="AQ117" s="167">
        <f t="array" ref="AQ117">INDIRECT("Update"&amp;Projections!$AG$11&amp;"!S"&amp;ROW(B98))</f>
        <v>0.582506</v>
      </c>
      <c r="AR117" s="167">
        <f t="array" ref="AR117">INDIRECT("Update"&amp;Projections!$AG$11&amp;"!T"&amp;ROW(B98))</f>
        <v>0.677996</v>
      </c>
    </row>
    <row r="118">
      <c r="A118" s="50" t="str">
        <f>IF(UpdateHashtag!C116="",ROW(UpdateHashtag!C116),UpdateHashtag!C116)</f>
        <v>John Collins</v>
      </c>
      <c r="B118" s="53">
        <f>IF(TYPE($A118)=1,"",(UpdateHashtag!M116-B$1)/B$2)</f>
        <v>-0.609594353</v>
      </c>
      <c r="C118" s="53">
        <f>IF(TYPE($A118)=1,"",(UpdateHashtag!L116-C$1)/C$2)</f>
        <v>-0.6466773167</v>
      </c>
      <c r="D118" s="53">
        <f>IF(TYPE($A118)=1,"",(UpdateHashtag!N116-D$1)/D$2)</f>
        <v>0.4756842314</v>
      </c>
      <c r="E118" s="53">
        <f>IF(TYPE($A118)=1,"",(UpdateHashtag!O116-E$1)/E$2)</f>
        <v>-1.337014518</v>
      </c>
      <c r="F118" s="53">
        <f>IF(TYPE($A118)=1,"",(UpdateHashtag!P116-F$1)/F$2)</f>
        <v>-1.356589379</v>
      </c>
      <c r="G118" s="53">
        <f>IF(TYPE($A118)=1,"",(UpdateHashtag!Q116-G$1)/G$2)</f>
        <v>0.3086546265</v>
      </c>
      <c r="H118" s="53">
        <f>IF(TYPE($A118)=1,"",(UpdateHashtag!I116-H$1)/H$2*I118/$I$1)</f>
        <v>7.604197411</v>
      </c>
      <c r="I118" s="53">
        <f>UpdateHashtag!S116</f>
        <v>10.2</v>
      </c>
      <c r="J118" s="58">
        <f>IF(TYPE($A118)=1,"",(UpdateHashtag!K116-J$1)/J$2*K118/$K$1)</f>
        <v>0.330888357</v>
      </c>
      <c r="K118" s="59">
        <f>UpdateHashtag!T116</f>
        <v>2.6</v>
      </c>
      <c r="L118" s="53">
        <f>IF(TYPE($A118)=1,"",-(UpdateHashtag!R116-L$1)/L$2)</f>
        <v>0.5442381251</v>
      </c>
      <c r="N118" s="106">
        <f t="shared" si="3"/>
        <v>0.2099285764</v>
      </c>
      <c r="O118" s="106">
        <f t="shared" si="4"/>
        <v>128</v>
      </c>
      <c r="P118" s="163" t="str">
        <f t="array" ref="P118">INDIRECT("Update"&amp;Projections!$AG$11&amp;"!B"&amp;ROW(B99))</f>
        <v/>
      </c>
      <c r="Q118" s="164" t="str">
        <f t="array" ref="Q118">INDIRECT("Update"&amp;Projections!$AG$11&amp;"!C"&amp;ROW(B99))</f>
        <v>Jaden McDaniels</v>
      </c>
      <c r="R118" s="163">
        <f>UpdateBBM!F99</f>
        <v>73</v>
      </c>
      <c r="S118" s="165" t="str">
        <f t="array" ref="S118">INDIRECT("Update"&amp;Projections!$AG$11&amp;"!D"&amp;ROW(B99))</f>
        <v>F</v>
      </c>
      <c r="T118" s="144">
        <f t="shared" si="5"/>
        <v>-0.9506747382</v>
      </c>
      <c r="U118" s="144">
        <f>SUM(AF118:AN118)-IFERROR(IFS(Projections!$I$11,AO118,Projections!$J$11,AP118),"")</f>
        <v>-1.097876603</v>
      </c>
      <c r="V118" s="144">
        <f t="shared" si="6"/>
        <v>-0.1472018646</v>
      </c>
      <c r="W118" s="144">
        <f t="array" ref="W118">INDIRECT("Update"&amp;Projections!$AG$11&amp;"!M"&amp;ROW(B99))</f>
        <v>12.43301</v>
      </c>
      <c r="X118" s="144">
        <f t="array" ref="X118">INDIRECT("Update"&amp;Projections!$AG$11&amp;"!L"&amp;ROW(B99))</f>
        <v>1.046301</v>
      </c>
      <c r="Y118" s="144">
        <f t="array" ref="Y118">INDIRECT("Update"&amp;Projections!$AG$11&amp;"!N"&amp;ROW(B99))</f>
        <v>5.306849</v>
      </c>
      <c r="Z118" s="144">
        <f t="array" ref="Z118">INDIRECT("Update"&amp;Projections!$AG$11&amp;"!O"&amp;ROW(B99))</f>
        <v>1.854247</v>
      </c>
      <c r="AA118" s="144">
        <f t="array" ref="AA118">INDIRECT("Update"&amp;Projections!$AG$11&amp;"!P"&amp;ROW(B99))</f>
        <v>1.086986</v>
      </c>
      <c r="AB118" s="144">
        <f t="array" ref="AB118">INDIRECT("Update"&amp;Projections!$AG$11&amp;"!Q"&amp;ROW(B99))</f>
        <v>0.898904</v>
      </c>
      <c r="AC118" s="166">
        <f t="array" ref="AC118">INDIRECT("Update"&amp;Projections!$AG$11&amp;"!I"&amp;ROW(B99))</f>
        <v>0.495621</v>
      </c>
      <c r="AD118" s="166">
        <f t="array" ref="AD118">INDIRECT("Update"&amp;Projections!$AG$11&amp;"!K"&amp;ROW(B99))</f>
        <v>0.813016</v>
      </c>
      <c r="AE118" s="144">
        <f t="array" ref="AE118">INDIRECT("Update"&amp;Projections!$AG$11&amp;"!R"&amp;ROW(B99))</f>
        <v>1.155068</v>
      </c>
      <c r="AF118" s="144">
        <f t="shared" si="7"/>
        <v>-0.8318783879</v>
      </c>
      <c r="AG118" s="144">
        <f t="shared" si="8"/>
        <v>-0.6985416066</v>
      </c>
      <c r="AH118" s="144">
        <f t="shared" si="9"/>
        <v>-0.3322467143</v>
      </c>
      <c r="AI118" s="144">
        <f t="shared" si="10"/>
        <v>-0.9685539244</v>
      </c>
      <c r="AJ118" s="144">
        <f t="shared" si="11"/>
        <v>0.1273689889</v>
      </c>
      <c r="AK118" s="144">
        <f t="shared" si="12"/>
        <v>0.306662107</v>
      </c>
      <c r="AL118" s="144">
        <f t="shared" si="13"/>
        <v>0.00652691795</v>
      </c>
      <c r="AM118" s="144">
        <f t="shared" si="14"/>
        <v>0.3242320922</v>
      </c>
      <c r="AN118" s="144">
        <f t="shared" si="15"/>
        <v>0</v>
      </c>
      <c r="AO118" s="167">
        <f t="shared" si="16"/>
        <v>-0.9685539244</v>
      </c>
      <c r="AP118" s="167">
        <f t="shared" si="17"/>
        <v>-1.800432312</v>
      </c>
      <c r="AQ118" s="167">
        <f t="array" ref="AQ118">INDIRECT("Update"&amp;Projections!$AG$11&amp;"!S"&amp;ROW(B99))</f>
        <v>0.495621</v>
      </c>
      <c r="AR118" s="167">
        <f t="array" ref="AR118">INDIRECT("Update"&amp;Projections!$AG$11&amp;"!T"&amp;ROW(B99))</f>
        <v>0.813016</v>
      </c>
    </row>
    <row r="119">
      <c r="A119" s="50" t="str">
        <f>IF(UpdateHashtag!C117="",ROW(UpdateHashtag!C117),UpdateHashtag!C117)</f>
        <v>Chris Paul</v>
      </c>
      <c r="B119" s="53">
        <f>IF(TYPE($A119)=1,"",(UpdateHashtag!M117-B$1)/B$2)</f>
        <v>-1.223643495</v>
      </c>
      <c r="C119" s="53">
        <f>IF(TYPE($A119)=1,"",(UpdateHashtag!L117-C$1)/C$2)</f>
        <v>-0.4535106288</v>
      </c>
      <c r="D119" s="53">
        <f>IF(TYPE($A119)=1,"",(UpdateHashtag!N117-D$1)/D$2)</f>
        <v>-1.024124112</v>
      </c>
      <c r="E119" s="53">
        <f>IF(TYPE($A119)=1,"",(UpdateHashtag!O117-E$1)/E$2)</f>
        <v>1.496369565</v>
      </c>
      <c r="F119" s="53">
        <f>IF(TYPE($A119)=1,"",(UpdateHashtag!P117-F$1)/F$2)</f>
        <v>0.4717486444</v>
      </c>
      <c r="G119" s="53">
        <f>IF(TYPE($A119)=1,"",(UpdateHashtag!Q117-G$1)/G$2)</f>
        <v>-0.963939931</v>
      </c>
      <c r="H119" s="53">
        <f>IF(TYPE($A119)=1,"",(UpdateHashtag!I117-H$1)/H$2*I119/$I$1)</f>
        <v>-13.99766062</v>
      </c>
      <c r="I119" s="53">
        <f>UpdateHashtag!S117</f>
        <v>8.6</v>
      </c>
      <c r="J119" s="58">
        <f>IF(TYPE($A119)=1,"",(UpdateHashtag!K117-J$1)/J$2*K119/$K$1)</f>
        <v>1.097256901</v>
      </c>
      <c r="K119" s="59">
        <f>UpdateHashtag!T117</f>
        <v>1.6</v>
      </c>
      <c r="L119" s="53">
        <f>IF(TYPE($A119)=1,"",-(UpdateHashtag!R117-L$1)/L$2)</f>
        <v>0.3458524173</v>
      </c>
      <c r="N119" s="106">
        <f t="shared" si="3"/>
        <v>0.1042675016</v>
      </c>
      <c r="O119" s="106">
        <f t="shared" si="4"/>
        <v>98</v>
      </c>
      <c r="P119" s="163" t="str">
        <f t="array" ref="P119">INDIRECT("Update"&amp;Projections!$AG$11&amp;"!B"&amp;ROW(B100))</f>
        <v/>
      </c>
      <c r="Q119" s="164" t="str">
        <f t="array" ref="Q119">INDIRECT("Update"&amp;Projections!$AG$11&amp;"!C"&amp;ROW(B100))</f>
        <v>Donovan Clingan</v>
      </c>
      <c r="R119" s="163">
        <f>UpdateBBM!F100</f>
        <v>68</v>
      </c>
      <c r="S119" s="165" t="str">
        <f t="array" ref="S119">INDIRECT("Update"&amp;Projections!$AG$11&amp;"!D"&amp;ROW(B100))</f>
        <v>C</v>
      </c>
      <c r="T119" s="144">
        <f t="shared" si="5"/>
        <v>0.2099285764</v>
      </c>
      <c r="U119" s="144">
        <f>SUM(AF119:AN119)-IFERROR(IFS(Projections!$I$11,AO119,Projections!$J$11,AP119),"")</f>
        <v>0.1261640137</v>
      </c>
      <c r="V119" s="144">
        <f t="shared" si="6"/>
        <v>-0.08376456273</v>
      </c>
      <c r="W119" s="144">
        <f t="array" ref="W119">INDIRECT("Update"&amp;Projections!$AG$11&amp;"!M"&amp;ROW(B100))</f>
        <v>11.13206</v>
      </c>
      <c r="X119" s="144">
        <f t="array" ref="X119">INDIRECT("Update"&amp;Projections!$AG$11&amp;"!L"&amp;ROW(B100))</f>
        <v>0.3125</v>
      </c>
      <c r="Y119" s="144">
        <f t="array" ref="Y119">INDIRECT("Update"&amp;Projections!$AG$11&amp;"!N"&amp;ROW(B100))</f>
        <v>10.3275</v>
      </c>
      <c r="Z119" s="144">
        <f t="array" ref="Z119">INDIRECT("Update"&amp;Projections!$AG$11&amp;"!O"&amp;ROW(B100))</f>
        <v>1.861176</v>
      </c>
      <c r="AA119" s="144">
        <f t="array" ref="AA119">INDIRECT("Update"&amp;Projections!$AG$11&amp;"!P"&amp;ROW(B100))</f>
        <v>0.71</v>
      </c>
      <c r="AB119" s="144">
        <f t="array" ref="AB119">INDIRECT("Update"&amp;Projections!$AG$11&amp;"!Q"&amp;ROW(B100))</f>
        <v>1.721176</v>
      </c>
      <c r="AC119" s="166">
        <f t="array" ref="AC119">INDIRECT("Update"&amp;Projections!$AG$11&amp;"!I"&amp;ROW(B100))</f>
        <v>0.559216</v>
      </c>
      <c r="AD119" s="166">
        <f t="array" ref="AD119">INDIRECT("Update"&amp;Projections!$AG$11&amp;"!K"&amp;ROW(B100))</f>
        <v>0.579018</v>
      </c>
      <c r="AE119" s="144">
        <f t="array" ref="AE119">INDIRECT("Update"&amp;Projections!$AG$11&amp;"!R"&amp;ROW(B100))</f>
        <v>1.410882</v>
      </c>
      <c r="AF119" s="144">
        <f t="shared" si="7"/>
        <v>-1.060120454</v>
      </c>
      <c r="AG119" s="144">
        <f t="shared" si="8"/>
        <v>-1.407271151</v>
      </c>
      <c r="AH119" s="144">
        <f t="shared" si="9"/>
        <v>1.702892274</v>
      </c>
      <c r="AI119" s="144">
        <f t="shared" si="10"/>
        <v>-0.9651690074</v>
      </c>
      <c r="AJ119" s="144">
        <f t="shared" si="11"/>
        <v>-1.021394074</v>
      </c>
      <c r="AK119" s="144">
        <f t="shared" si="12"/>
        <v>1.80154621</v>
      </c>
      <c r="AL119" s="144">
        <f t="shared" si="13"/>
        <v>1.075680216</v>
      </c>
      <c r="AM119" s="144">
        <f t="shared" si="14"/>
        <v>-1.931185437</v>
      </c>
      <c r="AN119" s="144">
        <f t="shared" si="15"/>
        <v>0</v>
      </c>
      <c r="AO119" s="167">
        <f t="shared" si="16"/>
        <v>-1.931185437</v>
      </c>
      <c r="AP119" s="167">
        <f t="shared" si="17"/>
        <v>-3.338456588</v>
      </c>
      <c r="AQ119" s="167">
        <f t="array" ref="AQ119">INDIRECT("Update"&amp;Projections!$AG$11&amp;"!S"&amp;ROW(B100))</f>
        <v>0.559216</v>
      </c>
      <c r="AR119" s="167">
        <f t="array" ref="AR119">INDIRECT("Update"&amp;Projections!$AG$11&amp;"!T"&amp;ROW(B100))</f>
        <v>0.579018</v>
      </c>
    </row>
    <row r="120">
      <c r="A120" s="50" t="str">
        <f>IF(UpdateHashtag!C118="",ROW(UpdateHashtag!C118),UpdateHashtag!C118)</f>
        <v>Jusuf Nurkic</v>
      </c>
      <c r="B120" s="53">
        <f>IF(TYPE($A120)=1,"",(UpdateHashtag!M118-B$1)/B$2)</f>
        <v>-0.8727582709</v>
      </c>
      <c r="C120" s="53">
        <f>IF(TYPE($A120)=1,"",(UpdateHashtag!L118-C$1)/C$2)</f>
        <v>-1.226177381</v>
      </c>
      <c r="D120" s="53">
        <f>IF(TYPE($A120)=1,"",(UpdateHashtag!N118-D$1)/D$2)</f>
        <v>1.772815771</v>
      </c>
      <c r="E120" s="53">
        <f>IF(TYPE($A120)=1,"",(UpdateHashtag!O118-E$1)/E$2)</f>
        <v>-0.1157282756</v>
      </c>
      <c r="F120" s="53">
        <f>IF(TYPE($A120)=1,"",(UpdateHashtag!P118-F$1)/F$2)</f>
        <v>-0.1376973632</v>
      </c>
      <c r="G120" s="53">
        <f>IF(TYPE($A120)=1,"",(UpdateHashtag!Q118-G$1)/G$2)</f>
        <v>0.490453849</v>
      </c>
      <c r="H120" s="53">
        <f>IF(TYPE($A120)=1,"",(UpdateHashtag!I118-H$1)/H$2*I120/$I$1)</f>
        <v>5.143963615</v>
      </c>
      <c r="I120" s="53">
        <f>UpdateHashtag!S118</f>
        <v>9.1</v>
      </c>
      <c r="J120" s="58">
        <f>IF(TYPE($A120)=1,"",(UpdateHashtag!K118-J$1)/J$2*K120/$K$1)</f>
        <v>-8.101577256</v>
      </c>
      <c r="K120" s="59">
        <f>UpdateHashtag!T118</f>
        <v>3.6</v>
      </c>
      <c r="L120" s="53">
        <f>IF(TYPE($A120)=1,"",-(UpdateHashtag!R118-L$1)/L$2)</f>
        <v>-0.6460761218</v>
      </c>
      <c r="N120" s="106">
        <f t="shared" si="3"/>
        <v>0.0262286748</v>
      </c>
      <c r="O120" s="106">
        <f t="shared" si="4"/>
        <v>96</v>
      </c>
      <c r="P120" s="163" t="str">
        <f t="array" ref="P120">INDIRECT("Update"&amp;Projections!$AG$11&amp;"!B"&amp;ROW(B101))</f>
        <v/>
      </c>
      <c r="Q120" s="164" t="str">
        <f t="array" ref="Q120">INDIRECT("Update"&amp;Projections!$AG$11&amp;"!C"&amp;ROW(B101))</f>
        <v>Mikal Bridges</v>
      </c>
      <c r="R120" s="163">
        <f>UpdateBBM!F101</f>
        <v>80</v>
      </c>
      <c r="S120" s="165" t="str">
        <f t="array" ref="S120">INDIRECT("Update"&amp;Projections!$AG$11&amp;"!D"&amp;ROW(B101))</f>
        <v>G,F</v>
      </c>
      <c r="T120" s="144">
        <f t="shared" si="5"/>
        <v>0.2362058193</v>
      </c>
      <c r="U120" s="144">
        <f>SUM(AF120:AN120)-IFERROR(IFS(Projections!$I$11,AO120,Projections!$J$11,AP120),"")</f>
        <v>0.224726313</v>
      </c>
      <c r="V120" s="144">
        <f t="shared" si="6"/>
        <v>-0.01147950632</v>
      </c>
      <c r="W120" s="144">
        <f t="array" ref="W120">INDIRECT("Update"&amp;Projections!$AG$11&amp;"!M"&amp;ROW(B101))</f>
        <v>16.497</v>
      </c>
      <c r="X120" s="144">
        <f t="array" ref="X120">INDIRECT("Update"&amp;Projections!$AG$11&amp;"!L"&amp;ROW(B101))</f>
        <v>1.641125</v>
      </c>
      <c r="Y120" s="144">
        <f t="array" ref="Y120">INDIRECT("Update"&amp;Projections!$AG$11&amp;"!N"&amp;ROW(B101))</f>
        <v>2.97</v>
      </c>
      <c r="Z120" s="144">
        <f t="array" ref="Z120">INDIRECT("Update"&amp;Projections!$AG$11&amp;"!O"&amp;ROW(B101))</f>
        <v>4.35975</v>
      </c>
      <c r="AA120" s="144">
        <f t="array" ref="AA120">INDIRECT("Update"&amp;Projections!$AG$11&amp;"!P"&amp;ROW(B101))</f>
        <v>0.89575</v>
      </c>
      <c r="AB120" s="144">
        <f t="array" ref="AB120">INDIRECT("Update"&amp;Projections!$AG$11&amp;"!Q"&amp;ROW(B101))</f>
        <v>0.51775</v>
      </c>
      <c r="AC120" s="166">
        <f t="array" ref="AC120">INDIRECT("Update"&amp;Projections!$AG$11&amp;"!I"&amp;ROW(B101))</f>
        <v>0.502544</v>
      </c>
      <c r="AD120" s="166">
        <f t="array" ref="AD120">INDIRECT("Update"&amp;Projections!$AG$11&amp;"!K"&amp;ROW(B101))</f>
        <v>0.856963</v>
      </c>
      <c r="AE120" s="144">
        <f t="array" ref="AE120">INDIRECT("Update"&amp;Projections!$AG$11&amp;"!R"&amp;ROW(B101))</f>
        <v>1.702375</v>
      </c>
      <c r="AF120" s="144">
        <f t="shared" si="7"/>
        <v>-0.1188813674</v>
      </c>
      <c r="AG120" s="144">
        <f t="shared" si="8"/>
        <v>-0.1240406966</v>
      </c>
      <c r="AH120" s="144">
        <f t="shared" si="9"/>
        <v>-1.279496884</v>
      </c>
      <c r="AI120" s="144">
        <f t="shared" si="10"/>
        <v>0.2554206136</v>
      </c>
      <c r="AJ120" s="144">
        <f t="shared" si="11"/>
        <v>-0.4553710947</v>
      </c>
      <c r="AK120" s="144">
        <f t="shared" si="12"/>
        <v>-0.3862729015</v>
      </c>
      <c r="AL120" s="144">
        <f t="shared" si="13"/>
        <v>0.1111299336</v>
      </c>
      <c r="AM120" s="144">
        <f t="shared" si="14"/>
        <v>0.942741826</v>
      </c>
      <c r="AN120" s="144">
        <f t="shared" si="15"/>
        <v>0</v>
      </c>
      <c r="AO120" s="167">
        <f t="shared" si="16"/>
        <v>-1.279496884</v>
      </c>
      <c r="AP120" s="167">
        <f t="shared" si="17"/>
        <v>-1.734867978</v>
      </c>
      <c r="AQ120" s="167">
        <f t="array" ref="AQ120">INDIRECT("Update"&amp;Projections!$AG$11&amp;"!S"&amp;ROW(B101))</f>
        <v>0.502544</v>
      </c>
      <c r="AR120" s="167">
        <f t="array" ref="AR120">INDIRECT("Update"&amp;Projections!$AG$11&amp;"!T"&amp;ROW(B101))</f>
        <v>0.856963</v>
      </c>
    </row>
    <row r="121">
      <c r="A121" s="50" t="str">
        <f>IF(UpdateHashtag!C119="",ROW(UpdateHashtag!C119),UpdateHashtag!C119)</f>
        <v>Cameron Johnson</v>
      </c>
      <c r="B121" s="53">
        <f>IF(TYPE($A121)=1,"",(UpdateHashtag!M119-B$1)/B$2)</f>
        <v>-0.434151741</v>
      </c>
      <c r="C121" s="53">
        <f>IF(TYPE($A121)=1,"",(UpdateHashtag!L119-C$1)/C$2)</f>
        <v>0.705489499</v>
      </c>
      <c r="D121" s="53">
        <f>IF(TYPE($A121)=1,"",(UpdateHashtag!N119-D$1)/D$2)</f>
        <v>-0.6593058662</v>
      </c>
      <c r="E121" s="53">
        <f>IF(TYPE($A121)=1,"",(UpdateHashtag!O119-E$1)/E$2)</f>
        <v>-0.7996485715</v>
      </c>
      <c r="F121" s="53">
        <f>IF(TYPE($A121)=1,"",(UpdateHashtag!P119-F$1)/F$2)</f>
        <v>-0.1376973632</v>
      </c>
      <c r="G121" s="53">
        <f>IF(TYPE($A121)=1,"",(UpdateHashtag!Q119-G$1)/G$2)</f>
        <v>-0.7821407085</v>
      </c>
      <c r="H121" s="53">
        <f>IF(TYPE($A121)=1,"",(UpdateHashtag!I119-H$1)/H$2*I121/$I$1)</f>
        <v>-12.96107846</v>
      </c>
      <c r="I121" s="53">
        <f>UpdateHashtag!S119</f>
        <v>11.3</v>
      </c>
      <c r="J121" s="58">
        <f>IF(TYPE($A121)=1,"",(UpdateHashtag!K119-J$1)/J$2*K121/$K$1)</f>
        <v>1.148003944</v>
      </c>
      <c r="K121" s="59">
        <f>UpdateHashtag!T119</f>
        <v>2.4</v>
      </c>
      <c r="L121" s="53">
        <f>IF(TYPE($A121)=1,"",-(UpdateHashtag!R119-L$1)/L$2)</f>
        <v>0.7426238329</v>
      </c>
      <c r="N121" s="106">
        <f t="shared" si="3"/>
        <v>-0.05151677083</v>
      </c>
      <c r="O121" s="106">
        <f t="shared" si="4"/>
        <v>94</v>
      </c>
      <c r="P121" s="163" t="str">
        <f t="array" ref="P121">INDIRECT("Update"&amp;Projections!$AG$11&amp;"!B"&amp;ROW(B102))</f>
        <v/>
      </c>
      <c r="Q121" s="164" t="str">
        <f t="array" ref="Q121">INDIRECT("Update"&amp;Projections!$AG$11&amp;"!C"&amp;ROW(B102))</f>
        <v>Reed Sheppard</v>
      </c>
      <c r="R121" s="163">
        <f>UpdateBBM!F102</f>
        <v>73</v>
      </c>
      <c r="S121" s="165" t="str">
        <f t="array" ref="S121">INDIRECT("Update"&amp;Projections!$AG$11&amp;"!D"&amp;ROW(B102))</f>
        <v>G</v>
      </c>
      <c r="T121" s="144">
        <f t="shared" si="5"/>
        <v>0.2605892293</v>
      </c>
      <c r="U121" s="144">
        <f>SUM(AF121:AN121)-IFERROR(IFS(Projections!$I$11,AO121,Projections!$J$11,AP121),"")</f>
        <v>0.2777690183</v>
      </c>
      <c r="V121" s="144">
        <f t="shared" si="6"/>
        <v>0.01717978899</v>
      </c>
      <c r="W121" s="144">
        <f t="array" ref="W121">INDIRECT("Update"&amp;Projections!$AG$11&amp;"!M"&amp;ROW(B102))</f>
        <v>11.86575</v>
      </c>
      <c r="X121" s="144">
        <f t="array" ref="X121">INDIRECT("Update"&amp;Projections!$AG$11&amp;"!L"&amp;ROW(B102))</f>
        <v>2.369178</v>
      </c>
      <c r="Y121" s="144">
        <f t="array" ref="Y121">INDIRECT("Update"&amp;Projections!$AG$11&amp;"!N"&amp;ROW(B102))</f>
        <v>3.232192</v>
      </c>
      <c r="Z121" s="144">
        <f t="array" ref="Z121">INDIRECT("Update"&amp;Projections!$AG$11&amp;"!O"&amp;ROW(B102))</f>
        <v>4.20411</v>
      </c>
      <c r="AA121" s="144">
        <f t="array" ref="AA121">INDIRECT("Update"&amp;Projections!$AG$11&amp;"!P"&amp;ROW(B102))</f>
        <v>1.533973</v>
      </c>
      <c r="AB121" s="144">
        <f t="array" ref="AB121">INDIRECT("Update"&amp;Projections!$AG$11&amp;"!Q"&amp;ROW(B102))</f>
        <v>0.636438</v>
      </c>
      <c r="AC121" s="166">
        <f t="array" ref="AC121">INDIRECT("Update"&amp;Projections!$AG$11&amp;"!I"&amp;ROW(B102))</f>
        <v>0.399386</v>
      </c>
      <c r="AD121" s="166">
        <f t="array" ref="AD121">INDIRECT("Update"&amp;Projections!$AG$11&amp;"!K"&amp;ROW(B102))</f>
        <v>0.809772</v>
      </c>
      <c r="AE121" s="144">
        <f t="array" ref="AE121">INDIRECT("Update"&amp;Projections!$AG$11&amp;"!R"&amp;ROW(B102))</f>
        <v>1.817945</v>
      </c>
      <c r="AF121" s="144">
        <f t="shared" si="7"/>
        <v>-0.9313999639</v>
      </c>
      <c r="AG121" s="144">
        <f t="shared" si="8"/>
        <v>0.5791372367</v>
      </c>
      <c r="AH121" s="144">
        <f t="shared" si="9"/>
        <v>-1.173216411</v>
      </c>
      <c r="AI121" s="144">
        <f t="shared" si="10"/>
        <v>0.1793882173</v>
      </c>
      <c r="AJ121" s="144">
        <f t="shared" si="11"/>
        <v>1.489441202</v>
      </c>
      <c r="AK121" s="144">
        <f t="shared" si="12"/>
        <v>-0.1704990403</v>
      </c>
      <c r="AL121" s="144">
        <f t="shared" si="13"/>
        <v>-1.149317627</v>
      </c>
      <c r="AM121" s="144">
        <f t="shared" si="14"/>
        <v>0.2810189934</v>
      </c>
      <c r="AN121" s="144">
        <f t="shared" si="15"/>
        <v>0</v>
      </c>
      <c r="AO121" s="167">
        <f t="shared" si="16"/>
        <v>-1.173216411</v>
      </c>
      <c r="AP121" s="167">
        <f t="shared" si="17"/>
        <v>-2.322534038</v>
      </c>
      <c r="AQ121" s="167">
        <f t="array" ref="AQ121">INDIRECT("Update"&amp;Projections!$AG$11&amp;"!S"&amp;ROW(B102))</f>
        <v>0.399386</v>
      </c>
      <c r="AR121" s="167">
        <f t="array" ref="AR121">INDIRECT("Update"&amp;Projections!$AG$11&amp;"!T"&amp;ROW(B102))</f>
        <v>0.809772</v>
      </c>
    </row>
    <row r="122">
      <c r="A122" s="50" t="str">
        <f>IF(UpdateHashtag!C120="",ROW(UpdateHashtag!C120),UpdateHashtag!C120)</f>
        <v>Terry Rozier</v>
      </c>
      <c r="B122" s="53">
        <f>IF(TYPE($A122)=1,"",(UpdateHashtag!M120-B$1)/B$2)</f>
        <v>0.09217609481</v>
      </c>
      <c r="C122" s="53">
        <f>IF(TYPE($A122)=1,"",(UpdateHashtag!L120-C$1)/C$2)</f>
        <v>0.415739467</v>
      </c>
      <c r="D122" s="53">
        <f>IF(TYPE($A122)=1,"",(UpdateHashtag!N120-D$1)/D$2)</f>
        <v>-1.064659472</v>
      </c>
      <c r="E122" s="53">
        <f>IF(TYPE($A122)=1,"",(UpdateHashtag!O120-E$1)/E$2)</f>
        <v>0.3239347718</v>
      </c>
      <c r="F122" s="53">
        <f>IF(TYPE($A122)=1,"",(UpdateHashtag!P120-F$1)/F$2)</f>
        <v>-0.1376973632</v>
      </c>
      <c r="G122" s="53">
        <f>IF(TYPE($A122)=1,"",(UpdateHashtag!Q120-G$1)/G$2)</f>
        <v>-0.7821407085</v>
      </c>
      <c r="H122" s="53">
        <f>IF(TYPE($A122)=1,"",(UpdateHashtag!I120-H$1)/H$2*I122/$I$1)</f>
        <v>-27.11810669</v>
      </c>
      <c r="I122" s="53">
        <f>UpdateHashtag!S120</f>
        <v>15</v>
      </c>
      <c r="J122" s="58">
        <f>IF(TYPE($A122)=1,"",(UpdateHashtag!K120-J$1)/J$2*K122/$K$1)</f>
        <v>2.497829958</v>
      </c>
      <c r="K122" s="59">
        <f>UpdateHashtag!T120</f>
        <v>2.9</v>
      </c>
      <c r="L122" s="53">
        <f>IF(TYPE($A122)=1,"",-(UpdateHashtag!R120-L$1)/L$2)</f>
        <v>0.04827385557</v>
      </c>
      <c r="N122" s="106">
        <f t="shared" si="3"/>
        <v>-0.05305034725</v>
      </c>
      <c r="O122" s="106">
        <f t="shared" si="4"/>
        <v>111</v>
      </c>
      <c r="P122" s="163" t="str">
        <f t="array" ref="P122">INDIRECT("Update"&amp;Projections!$AG$11&amp;"!B"&amp;ROW(B103))</f>
        <v/>
      </c>
      <c r="Q122" s="164" t="str">
        <f t="array" ref="Q122">INDIRECT("Update"&amp;Projections!$AG$11&amp;"!C"&amp;ROW(B103))</f>
        <v>John Collins</v>
      </c>
      <c r="R122" s="163">
        <f>UpdateBBM!F103</f>
        <v>73</v>
      </c>
      <c r="S122" s="165" t="str">
        <f t="array" ref="S122">INDIRECT("Update"&amp;Projections!$AG$11&amp;"!D"&amp;ROW(B103))</f>
        <v>F</v>
      </c>
      <c r="T122" s="144">
        <f t="shared" si="5"/>
        <v>-0.4486383451</v>
      </c>
      <c r="U122" s="144">
        <f>SUM(AF122:AN122)-IFERROR(IFS(Projections!$I$11,AO122,Projections!$J$11,AP122),"")</f>
        <v>-0.5189657479</v>
      </c>
      <c r="V122" s="144">
        <f t="shared" si="6"/>
        <v>-0.07032740278</v>
      </c>
      <c r="W122" s="144">
        <f t="array" ref="W122">INDIRECT("Update"&amp;Projections!$AG$11&amp;"!M"&amp;ROW(B103))</f>
        <v>15.18315</v>
      </c>
      <c r="X122" s="144">
        <f t="array" ref="X122">INDIRECT("Update"&amp;Projections!$AG$11&amp;"!L"&amp;ROW(B103))</f>
        <v>1.094247</v>
      </c>
      <c r="Y122" s="144">
        <f t="array" ref="Y122">INDIRECT("Update"&amp;Projections!$AG$11&amp;"!N"&amp;ROW(B103))</f>
        <v>6.446438</v>
      </c>
      <c r="Z122" s="144">
        <f t="array" ref="Z122">INDIRECT("Update"&amp;Projections!$AG$11&amp;"!O"&amp;ROW(B103))</f>
        <v>1.230685</v>
      </c>
      <c r="AA122" s="144">
        <f t="array" ref="AA122">INDIRECT("Update"&amp;Projections!$AG$11&amp;"!P"&amp;ROW(B103))</f>
        <v>0.644658</v>
      </c>
      <c r="AB122" s="144">
        <f t="array" ref="AB122">INDIRECT("Update"&amp;Projections!$AG$11&amp;"!Q"&amp;ROW(B103))</f>
        <v>0.761918</v>
      </c>
      <c r="AC122" s="166">
        <f t="array" ref="AC122">INDIRECT("Update"&amp;Projections!$AG$11&amp;"!I"&amp;ROW(B103))</f>
        <v>0.557461</v>
      </c>
      <c r="AD122" s="166">
        <f t="array" ref="AD122">INDIRECT("Update"&amp;Projections!$AG$11&amp;"!K"&amp;ROW(B103))</f>
        <v>0.823992</v>
      </c>
      <c r="AE122" s="144">
        <f t="array" ref="AE122">INDIRECT("Update"&amp;Projections!$AG$11&amp;"!R"&amp;ROW(B103))</f>
        <v>1.465068</v>
      </c>
      <c r="AF122" s="144">
        <f t="shared" si="7"/>
        <v>-0.3493866431</v>
      </c>
      <c r="AG122" s="144">
        <f t="shared" si="8"/>
        <v>-0.6522337565</v>
      </c>
      <c r="AH122" s="144">
        <f t="shared" si="9"/>
        <v>0.1296897965</v>
      </c>
      <c r="AI122" s="144">
        <f t="shared" si="10"/>
        <v>-1.273173001</v>
      </c>
      <c r="AJ122" s="144">
        <f t="shared" si="11"/>
        <v>-1.220506179</v>
      </c>
      <c r="AK122" s="144">
        <f t="shared" si="12"/>
        <v>0.05762262405</v>
      </c>
      <c r="AL122" s="144">
        <f t="shared" si="13"/>
        <v>1.042915121</v>
      </c>
      <c r="AM122" s="144">
        <f t="shared" si="14"/>
        <v>0.4729332895</v>
      </c>
      <c r="AN122" s="144">
        <f t="shared" si="15"/>
        <v>0</v>
      </c>
      <c r="AO122" s="167">
        <f t="shared" si="16"/>
        <v>-1.273173001</v>
      </c>
      <c r="AP122" s="167">
        <f t="shared" si="17"/>
        <v>-2.493679181</v>
      </c>
      <c r="AQ122" s="167">
        <f t="array" ref="AQ122">INDIRECT("Update"&amp;Projections!$AG$11&amp;"!S"&amp;ROW(B103))</f>
        <v>0.557461</v>
      </c>
      <c r="AR122" s="167">
        <f t="array" ref="AR122">INDIRECT("Update"&amp;Projections!$AG$11&amp;"!T"&amp;ROW(B103))</f>
        <v>0.823992</v>
      </c>
    </row>
    <row r="123">
      <c r="A123" s="50" t="str">
        <f>IF(UpdateHashtag!C121="",ROW(UpdateHashtag!C121),UpdateHashtag!C121)</f>
        <v>De'Anthony Melton</v>
      </c>
      <c r="B123" s="53">
        <f>IF(TYPE($A123)=1,"",(UpdateHashtag!M121-B$1)/B$2)</f>
        <v>-1.241187756</v>
      </c>
      <c r="C123" s="53">
        <f>IF(TYPE($A123)=1,"",(UpdateHashtag!L121-C$1)/C$2)</f>
        <v>0.2225727791</v>
      </c>
      <c r="D123" s="53">
        <f>IF(TYPE($A123)=1,"",(UpdateHashtag!N121-D$1)/D$2)</f>
        <v>-0.9430533905</v>
      </c>
      <c r="E123" s="53">
        <f>IF(TYPE($A123)=1,"",(UpdateHashtag!O121-E$1)/E$2)</f>
        <v>-0.6042427726</v>
      </c>
      <c r="F123" s="53">
        <f>IF(TYPE($A123)=1,"",(UpdateHashtag!P121-F$1)/F$2)</f>
        <v>1.69064066</v>
      </c>
      <c r="G123" s="53">
        <f>IF(TYPE($A123)=1,"",(UpdateHashtag!Q121-G$1)/G$2)</f>
        <v>-0.4185422635</v>
      </c>
      <c r="H123" s="53">
        <f>IF(TYPE($A123)=1,"",(UpdateHashtag!I121-H$1)/H$2*I123/$I$1)</f>
        <v>-18.74530795</v>
      </c>
      <c r="I123" s="53">
        <f>UpdateHashtag!S121</f>
        <v>8.3</v>
      </c>
      <c r="J123" s="58">
        <f>IF(TYPE($A123)=1,"",(UpdateHashtag!K121-J$1)/J$2*K123/$K$1)</f>
        <v>0.6920097995</v>
      </c>
      <c r="K123" s="59">
        <f>UpdateHashtag!T121</f>
        <v>1.4</v>
      </c>
      <c r="L123" s="53">
        <f>IF(TYPE($A123)=1,"",-(UpdateHashtag!R121-L$1)/L$2)</f>
        <v>0.5442381251</v>
      </c>
      <c r="N123" s="106">
        <f t="shared" si="3"/>
        <v>-0.07593745725</v>
      </c>
      <c r="O123" s="106">
        <f t="shared" si="4"/>
        <v>100</v>
      </c>
      <c r="P123" s="163" t="str">
        <f t="array" ref="P123">INDIRECT("Update"&amp;Projections!$AG$11&amp;"!B"&amp;ROW(B104))</f>
        <v/>
      </c>
      <c r="Q123" s="164" t="str">
        <f t="array" ref="Q123">INDIRECT("Update"&amp;Projections!$AG$11&amp;"!C"&amp;ROW(B104))</f>
        <v>Herb Jones</v>
      </c>
      <c r="R123" s="163">
        <f>UpdateBBM!F104</f>
        <v>73</v>
      </c>
      <c r="S123" s="165" t="str">
        <f t="array" ref="S123">INDIRECT("Update"&amp;Projections!$AG$11&amp;"!D"&amp;ROW(B104))</f>
        <v>F</v>
      </c>
      <c r="T123" s="144">
        <f t="shared" si="5"/>
        <v>0.0262286748</v>
      </c>
      <c r="U123" s="144">
        <f>SUM(AF123:AN123)-IFERROR(IFS(Projections!$I$11,AO123,Projections!$J$11,AP123),"")</f>
        <v>0.02306028972</v>
      </c>
      <c r="V123" s="144">
        <f t="shared" si="6"/>
        <v>-0.003168385075</v>
      </c>
      <c r="W123" s="144">
        <f t="array" ref="W123">INDIRECT("Update"&amp;Projections!$AG$11&amp;"!M"&amp;ROW(B104))</f>
        <v>10.25288</v>
      </c>
      <c r="X123" s="144">
        <f t="array" ref="X123">INDIRECT("Update"&amp;Projections!$AG$11&amp;"!L"&amp;ROW(B104))</f>
        <v>1.004932</v>
      </c>
      <c r="Y123" s="144">
        <f t="array" ref="Y123">INDIRECT("Update"&amp;Projections!$AG$11&amp;"!N"&amp;ROW(B104))</f>
        <v>4.027397</v>
      </c>
      <c r="Z123" s="144">
        <f t="array" ref="Z123">INDIRECT("Update"&amp;Projections!$AG$11&amp;"!O"&amp;ROW(B104))</f>
        <v>3.062329</v>
      </c>
      <c r="AA123" s="144">
        <f t="array" ref="AA123">INDIRECT("Update"&amp;Projections!$AG$11&amp;"!P"&amp;ROW(B104))</f>
        <v>1.737671</v>
      </c>
      <c r="AB123" s="144">
        <f t="array" ref="AB123">INDIRECT("Update"&amp;Projections!$AG$11&amp;"!Q"&amp;ROW(B104))</f>
        <v>0.555068</v>
      </c>
      <c r="AC123" s="166">
        <f t="array" ref="AC123">INDIRECT("Update"&amp;Projections!$AG$11&amp;"!I"&amp;ROW(B104))</f>
        <v>0.45336</v>
      </c>
      <c r="AD123" s="166">
        <f t="array" ref="AD123">INDIRECT("Update"&amp;Projections!$AG$11&amp;"!K"&amp;ROW(B104))</f>
        <v>0.845028</v>
      </c>
      <c r="AE123" s="144">
        <f t="array" ref="AE123">INDIRECT("Update"&amp;Projections!$AG$11&amp;"!R"&amp;ROW(B104))</f>
        <v>1.73589</v>
      </c>
      <c r="AF123" s="144">
        <f t="shared" si="7"/>
        <v>-1.214366089</v>
      </c>
      <c r="AG123" s="144">
        <f t="shared" si="8"/>
        <v>-0.7384971702</v>
      </c>
      <c r="AH123" s="144">
        <f t="shared" si="9"/>
        <v>-0.8508771965</v>
      </c>
      <c r="AI123" s="144">
        <f t="shared" si="10"/>
        <v>-0.3783883537</v>
      </c>
      <c r="AJ123" s="144">
        <f t="shared" si="11"/>
        <v>2.110155866</v>
      </c>
      <c r="AK123" s="144">
        <f t="shared" si="12"/>
        <v>-0.3184290677</v>
      </c>
      <c r="AL123" s="144">
        <f t="shared" si="13"/>
        <v>-0.5695756534</v>
      </c>
      <c r="AM123" s="144">
        <f t="shared" si="14"/>
        <v>0.7686718649</v>
      </c>
      <c r="AN123" s="144">
        <f t="shared" si="15"/>
        <v>0</v>
      </c>
      <c r="AO123" s="167">
        <f t="shared" si="16"/>
        <v>-1.214366089</v>
      </c>
      <c r="AP123" s="167">
        <f t="shared" si="17"/>
        <v>-2.065243286</v>
      </c>
      <c r="AQ123" s="167">
        <f t="array" ref="AQ123">INDIRECT("Update"&amp;Projections!$AG$11&amp;"!S"&amp;ROW(B104))</f>
        <v>0.45336</v>
      </c>
      <c r="AR123" s="167">
        <f t="array" ref="AR123">INDIRECT("Update"&amp;Projections!$AG$11&amp;"!T"&amp;ROW(B104))</f>
        <v>0.845028</v>
      </c>
    </row>
    <row r="124">
      <c r="A124" s="50" t="str">
        <f>IF(UpdateHashtag!C122="",ROW(UpdateHashtag!C122),UpdateHashtag!C122)</f>
        <v>Keon Ellis</v>
      </c>
      <c r="B124" s="53">
        <f>IF(TYPE($A124)=1,"",(UpdateHashtag!M122-B$1)/B$2)</f>
        <v>-1.539440196</v>
      </c>
      <c r="C124" s="53">
        <f>IF(TYPE($A124)=1,"",(UpdateHashtag!L122-C$1)/C$2)</f>
        <v>0.1259894351</v>
      </c>
      <c r="D124" s="53">
        <f>IF(TYPE($A124)=1,"",(UpdateHashtag!N122-D$1)/D$2)</f>
        <v>-1.145730194</v>
      </c>
      <c r="E124" s="53">
        <f>IF(TYPE($A124)=1,"",(UpdateHashtag!O122-E$1)/E$2)</f>
        <v>-0.7507971218</v>
      </c>
      <c r="F124" s="53">
        <f>IF(TYPE($A124)=1,"",(UpdateHashtag!P122-F$1)/F$2)</f>
        <v>1.081194652</v>
      </c>
      <c r="G124" s="53">
        <f>IF(TYPE($A124)=1,"",(UpdateHashtag!Q122-G$1)/G$2)</f>
        <v>0.126855404</v>
      </c>
      <c r="H124" s="53">
        <f>IF(TYPE($A124)=1,"",(UpdateHashtag!I122-H$1)/H$2*I124/$I$1)</f>
        <v>-6.366401046</v>
      </c>
      <c r="I124" s="53">
        <f>UpdateHashtag!S122</f>
        <v>6.2</v>
      </c>
      <c r="J124" s="58">
        <f>IF(TYPE($A124)=1,"",(UpdateHashtag!K122-J$1)/J$2*K124/$K$1)</f>
        <v>-0.8461572314</v>
      </c>
      <c r="K124" s="59">
        <f>UpdateHashtag!T122</f>
        <v>1</v>
      </c>
      <c r="L124" s="53">
        <f>IF(TYPE($A124)=1,"",-(UpdateHashtag!R122-L$1)/L$2)</f>
        <v>0.7426238329</v>
      </c>
      <c r="N124" s="106">
        <f t="shared" si="3"/>
        <v>-0.1390075742</v>
      </c>
      <c r="O124" s="106">
        <f t="shared" si="4"/>
        <v>136</v>
      </c>
      <c r="P124" s="163" t="str">
        <f t="array" ref="P124">INDIRECT("Update"&amp;Projections!$AG$11&amp;"!B"&amp;ROW(B105))</f>
        <v/>
      </c>
      <c r="Q124" s="164" t="str">
        <f t="array" ref="Q124">INDIRECT("Update"&amp;Projections!$AG$11&amp;"!C"&amp;ROW(B105))</f>
        <v>Bobby Portis</v>
      </c>
      <c r="R124" s="163">
        <f>UpdateBBM!F105</f>
        <v>73</v>
      </c>
      <c r="S124" s="165" t="str">
        <f t="array" ref="S124">INDIRECT("Update"&amp;Projections!$AG$11&amp;"!D"&amp;ROW(B105))</f>
        <v>F,C</v>
      </c>
      <c r="T124" s="144">
        <f t="shared" si="5"/>
        <v>-1.255529958</v>
      </c>
      <c r="U124" s="144">
        <f>SUM(AF124:AN124)-IFERROR(IFS(Projections!$I$11,AO124,Projections!$J$11,AP124),"")</f>
        <v>-1.414383511</v>
      </c>
      <c r="V124" s="144">
        <f t="shared" si="6"/>
        <v>-0.1588535531</v>
      </c>
      <c r="W124" s="144">
        <f t="array" ref="W124">INDIRECT("Update"&amp;Projections!$AG$11&amp;"!M"&amp;ROW(B105))</f>
        <v>13.78288</v>
      </c>
      <c r="X124" s="144">
        <f t="array" ref="X124">INDIRECT("Update"&amp;Projections!$AG$11&amp;"!L"&amp;ROW(B105))</f>
        <v>1.353288</v>
      </c>
      <c r="Y124" s="144">
        <f t="array" ref="Y124">INDIRECT("Update"&amp;Projections!$AG$11&amp;"!N"&amp;ROW(B105))</f>
        <v>7.890685</v>
      </c>
      <c r="Z124" s="144">
        <f t="array" ref="Z124">INDIRECT("Update"&amp;Projections!$AG$11&amp;"!O"&amp;ROW(B105))</f>
        <v>2.209315</v>
      </c>
      <c r="AA124" s="144">
        <f t="array" ref="AA124">INDIRECT("Update"&amp;Projections!$AG$11&amp;"!P"&amp;ROW(B105))</f>
        <v>0.784658</v>
      </c>
      <c r="AB124" s="144">
        <f t="array" ref="AB124">INDIRECT("Update"&amp;Projections!$AG$11&amp;"!Q"&amp;ROW(B105))</f>
        <v>0.475068</v>
      </c>
      <c r="AC124" s="166">
        <f t="array" ref="AC124">INDIRECT("Update"&amp;Projections!$AG$11&amp;"!I"&amp;ROW(B105))</f>
        <v>0.474593</v>
      </c>
      <c r="AD124" s="166">
        <f t="array" ref="AD124">INDIRECT("Update"&amp;Projections!$AG$11&amp;"!K"&amp;ROW(B105))</f>
        <v>0.820036</v>
      </c>
      <c r="AE124" s="144">
        <f t="array" ref="AE124">INDIRECT("Update"&amp;Projections!$AG$11&amp;"!R"&amp;ROW(B105))</f>
        <v>1.108082</v>
      </c>
      <c r="AF124" s="144">
        <f t="shared" si="7"/>
        <v>-0.5950536693</v>
      </c>
      <c r="AG124" s="144">
        <f t="shared" si="8"/>
        <v>-0.4020432964</v>
      </c>
      <c r="AH124" s="144">
        <f t="shared" si="9"/>
        <v>0.7151205263</v>
      </c>
      <c r="AI124" s="144">
        <f t="shared" si="10"/>
        <v>-0.7950980589</v>
      </c>
      <c r="AJ124" s="144">
        <f t="shared" si="11"/>
        <v>-0.7938939741</v>
      </c>
      <c r="AK124" s="144">
        <f t="shared" si="12"/>
        <v>-0.4638684457</v>
      </c>
      <c r="AL124" s="144">
        <f t="shared" si="13"/>
        <v>-0.2935394839</v>
      </c>
      <c r="AM124" s="144">
        <f t="shared" si="14"/>
        <v>0.4188948322</v>
      </c>
      <c r="AN124" s="144">
        <f t="shared" si="15"/>
        <v>0</v>
      </c>
      <c r="AO124" s="167">
        <f t="shared" si="16"/>
        <v>-0.7950980589</v>
      </c>
      <c r="AP124" s="167">
        <f t="shared" si="17"/>
        <v>-1.588992033</v>
      </c>
      <c r="AQ124" s="167">
        <f t="array" ref="AQ124">INDIRECT("Update"&amp;Projections!$AG$11&amp;"!S"&amp;ROW(B105))</f>
        <v>0.474593</v>
      </c>
      <c r="AR124" s="167">
        <f t="array" ref="AR124">INDIRECT("Update"&amp;Projections!$AG$11&amp;"!T"&amp;ROW(B105))</f>
        <v>0.820036</v>
      </c>
    </row>
    <row r="125">
      <c r="A125" s="50" t="str">
        <f>IF(UpdateHashtag!C123="",ROW(UpdateHashtag!C123),UpdateHashtag!C123)</f>
        <v>Brandin Podziemski</v>
      </c>
      <c r="B125" s="53">
        <f>IF(TYPE($A125)=1,"",(UpdateHashtag!M123-B$1)/B$2)</f>
        <v>-1.048200883</v>
      </c>
      <c r="C125" s="53">
        <f>IF(TYPE($A125)=1,"",(UpdateHashtag!L123-C$1)/C$2)</f>
        <v>-0.2603439408</v>
      </c>
      <c r="D125" s="53">
        <f>IF(TYPE($A125)=1,"",(UpdateHashtag!N123-D$1)/D$2)</f>
        <v>0.3135427889</v>
      </c>
      <c r="E125" s="53">
        <f>IF(TYPE($A125)=1,"",(UpdateHashtag!O123-E$1)/E$2)</f>
        <v>0.2750833221</v>
      </c>
      <c r="F125" s="53">
        <f>IF(TYPE($A125)=1,"",(UpdateHashtag!P123-F$1)/F$2)</f>
        <v>0.4717486444</v>
      </c>
      <c r="G125" s="53">
        <f>IF(TYPE($A125)=1,"",(UpdateHashtag!Q123-G$1)/G$2)</f>
        <v>-0.963939931</v>
      </c>
      <c r="H125" s="53">
        <f>IF(TYPE($A125)=1,"",(UpdateHashtag!I123-H$1)/H$2*I125/$I$1)</f>
        <v>-10.54310932</v>
      </c>
      <c r="I125" s="53">
        <f>UpdateHashtag!S123</f>
        <v>9.7</v>
      </c>
      <c r="J125" s="58">
        <f>IF(TYPE($A125)=1,"",(UpdateHashtag!K123-J$1)/J$2*K125/$K$1)</f>
        <v>-2.572903567</v>
      </c>
      <c r="K125" s="59">
        <f>UpdateHashtag!T123</f>
        <v>1.3</v>
      </c>
      <c r="L125" s="53">
        <f>IF(TYPE($A125)=1,"",-(UpdateHashtag!R123-L$1)/L$2)</f>
        <v>0.3458524173</v>
      </c>
      <c r="N125" s="106">
        <f t="shared" si="3"/>
        <v>-0.1611887679</v>
      </c>
      <c r="O125" s="106">
        <f t="shared" si="4"/>
        <v>102</v>
      </c>
      <c r="P125" s="163" t="str">
        <f t="array" ref="P125">INDIRECT("Update"&amp;Projections!$AG$11&amp;"!B"&amp;ROW(B106))</f>
        <v/>
      </c>
      <c r="Q125" s="164" t="str">
        <f t="array" ref="Q125">INDIRECT("Update"&amp;Projections!$AG$11&amp;"!C"&amp;ROW(B106))</f>
        <v>Andrew Wiggins</v>
      </c>
      <c r="R125" s="163">
        <f>UpdateBBM!F106</f>
        <v>68</v>
      </c>
      <c r="S125" s="165" t="str">
        <f t="array" ref="S125">INDIRECT("Update"&amp;Projections!$AG$11&amp;"!D"&amp;ROW(B106))</f>
        <v>G,F</v>
      </c>
      <c r="T125" s="144">
        <f t="shared" si="5"/>
        <v>-0.05305034725</v>
      </c>
      <c r="U125" s="144">
        <f>SUM(AF125:AN125)-IFERROR(IFS(Projections!$I$11,AO125,Projections!$J$11,AP125),"")</f>
        <v>0.08137291524</v>
      </c>
      <c r="V125" s="144">
        <f t="shared" si="6"/>
        <v>0.1344232625</v>
      </c>
      <c r="W125" s="144">
        <f t="array" ref="W125">INDIRECT("Update"&amp;Projections!$AG$11&amp;"!M"&amp;ROW(B106))</f>
        <v>18.89221</v>
      </c>
      <c r="X125" s="144">
        <f t="array" ref="X125">INDIRECT("Update"&amp;Projections!$AG$11&amp;"!L"&amp;ROW(B106))</f>
        <v>2.253971</v>
      </c>
      <c r="Y125" s="144">
        <f t="array" ref="Y125">INDIRECT("Update"&amp;Projections!$AG$11&amp;"!N"&amp;ROW(B106))</f>
        <v>4.918382</v>
      </c>
      <c r="Z125" s="144">
        <f t="array" ref="Z125">INDIRECT("Update"&amp;Projections!$AG$11&amp;"!O"&amp;ROW(B106))</f>
        <v>3.368824</v>
      </c>
      <c r="AA125" s="144">
        <f t="array" ref="AA125">INDIRECT("Update"&amp;Projections!$AG$11&amp;"!P"&amp;ROW(B106))</f>
        <v>1.086471</v>
      </c>
      <c r="AB125" s="144">
        <f t="array" ref="AB125">INDIRECT("Update"&amp;Projections!$AG$11&amp;"!Q"&amp;ROW(B106))</f>
        <v>0.871176</v>
      </c>
      <c r="AC125" s="166">
        <f t="array" ref="AC125">INDIRECT("Update"&amp;Projections!$AG$11&amp;"!I"&amp;ROW(B106))</f>
        <v>0.44985</v>
      </c>
      <c r="AD125" s="166">
        <f t="array" ref="AD125">INDIRECT("Update"&amp;Projections!$AG$11&amp;"!K"&amp;ROW(B106))</f>
        <v>0.759003</v>
      </c>
      <c r="AE125" s="144">
        <f t="array" ref="AE125">INDIRECT("Update"&amp;Projections!$AG$11&amp;"!R"&amp;ROW(B106))</f>
        <v>2.290735</v>
      </c>
      <c r="AF125" s="144">
        <f t="shared" si="7"/>
        <v>0.3013405312</v>
      </c>
      <c r="AG125" s="144">
        <f t="shared" si="8"/>
        <v>0.4678664636</v>
      </c>
      <c r="AH125" s="144">
        <f t="shared" si="9"/>
        <v>-0.4897132137</v>
      </c>
      <c r="AI125" s="144">
        <f t="shared" si="10"/>
        <v>-0.2286611029</v>
      </c>
      <c r="AJ125" s="144">
        <f t="shared" si="11"/>
        <v>0.1257996654</v>
      </c>
      <c r="AK125" s="144">
        <f t="shared" si="12"/>
        <v>0.2562528186</v>
      </c>
      <c r="AL125" s="144">
        <f t="shared" si="13"/>
        <v>-0.6125979438</v>
      </c>
      <c r="AM125" s="144">
        <f t="shared" si="14"/>
        <v>-0.351512247</v>
      </c>
      <c r="AN125" s="144">
        <f t="shared" si="15"/>
        <v>0</v>
      </c>
      <c r="AO125" s="167">
        <f t="shared" si="16"/>
        <v>-0.6125979438</v>
      </c>
      <c r="AP125" s="167">
        <f t="shared" si="17"/>
        <v>-1.102311157</v>
      </c>
      <c r="AQ125" s="167">
        <f t="array" ref="AQ125">INDIRECT("Update"&amp;Projections!$AG$11&amp;"!S"&amp;ROW(B106))</f>
        <v>0.44985</v>
      </c>
      <c r="AR125" s="167">
        <f t="array" ref="AR125">INDIRECT("Update"&amp;Projections!$AG$11&amp;"!T"&amp;ROW(B106))</f>
        <v>0.759003</v>
      </c>
    </row>
    <row r="126">
      <c r="A126" s="50" t="str">
        <f>IF(UpdateHashtag!C124="",ROW(UpdateHashtag!C124),UpdateHashtag!C124)</f>
        <v>Dennis Schröder</v>
      </c>
      <c r="B126" s="53">
        <f>IF(TYPE($A126)=1,"",(UpdateHashtag!M124-B$1)/B$2)</f>
        <v>-0.3639746962</v>
      </c>
      <c r="C126" s="53">
        <f>IF(TYPE($A126)=1,"",(UpdateHashtag!L124-C$1)/C$2)</f>
        <v>-0.06717725286</v>
      </c>
      <c r="D126" s="53">
        <f>IF(TYPE($A126)=1,"",(UpdateHashtag!N124-D$1)/D$2)</f>
        <v>-1.267336276</v>
      </c>
      <c r="E126" s="53">
        <f>IF(TYPE($A126)=1,"",(UpdateHashtag!O124-E$1)/E$2)</f>
        <v>1.007855068</v>
      </c>
      <c r="F126" s="53">
        <f>IF(TYPE($A126)=1,"",(UpdateHashtag!P124-F$1)/F$2)</f>
        <v>-0.7471433709</v>
      </c>
      <c r="G126" s="53">
        <f>IF(TYPE($A126)=1,"",(UpdateHashtag!Q124-G$1)/G$2)</f>
        <v>-0.963939931</v>
      </c>
      <c r="H126" s="53">
        <f>IF(TYPE($A126)=1,"",(UpdateHashtag!I124-H$1)/H$2*I126/$I$1)</f>
        <v>-21.69448535</v>
      </c>
      <c r="I126" s="53">
        <f>UpdateHashtag!S124</f>
        <v>12</v>
      </c>
      <c r="J126" s="58">
        <f>IF(TYPE($A126)=1,"",(UpdateHashtag!K124-J$1)/J$2*K126/$K$1)</f>
        <v>3.293882768</v>
      </c>
      <c r="K126" s="59">
        <f>UpdateHashtag!T124</f>
        <v>3.5</v>
      </c>
      <c r="L126" s="53">
        <f>IF(TYPE($A126)=1,"",-(UpdateHashtag!R124-L$1)/L$2)</f>
        <v>-0.2493047061</v>
      </c>
      <c r="N126" s="106">
        <f t="shared" si="3"/>
        <v>-0.1868417552</v>
      </c>
      <c r="O126" s="106">
        <f t="shared" si="4"/>
        <v>90</v>
      </c>
      <c r="P126" s="163" t="str">
        <f t="array" ref="P126">INDIRECT("Update"&amp;Projections!$AG$11&amp;"!B"&amp;ROW(B107))</f>
        <v/>
      </c>
      <c r="Q126" s="164" t="str">
        <f t="array" ref="Q126">INDIRECT("Update"&amp;Projections!$AG$11&amp;"!C"&amp;ROW(B107))</f>
        <v>Julius Randle</v>
      </c>
      <c r="R126" s="163">
        <f>UpdateBBM!F107</f>
        <v>68</v>
      </c>
      <c r="S126" s="165" t="str">
        <f t="array" ref="S126">INDIRECT("Update"&amp;Projections!$AG$11&amp;"!D"&amp;ROW(B107))</f>
        <v>F</v>
      </c>
      <c r="T126" s="144">
        <f t="shared" si="5"/>
        <v>0.4085566328</v>
      </c>
      <c r="U126" s="144">
        <f>SUM(AF126:AN126)-IFERROR(IFS(Projections!$I$11,AO126,Projections!$J$11,AP126),"")</f>
        <v>0.7175521267</v>
      </c>
      <c r="V126" s="144">
        <f t="shared" si="6"/>
        <v>0.3089954939</v>
      </c>
      <c r="W126" s="144">
        <f t="array" ref="W126">INDIRECT("Update"&amp;Projections!$AG$11&amp;"!M"&amp;ROW(B107))</f>
        <v>19.18368</v>
      </c>
      <c r="X126" s="144">
        <f t="array" ref="X126">INDIRECT("Update"&amp;Projections!$AG$11&amp;"!L"&amp;ROW(B107))</f>
        <v>1.692794</v>
      </c>
      <c r="Y126" s="144">
        <f t="array" ref="Y126">INDIRECT("Update"&amp;Projections!$AG$11&amp;"!N"&amp;ROW(B107))</f>
        <v>7.418824</v>
      </c>
      <c r="Z126" s="144">
        <f t="array" ref="Z126">INDIRECT("Update"&amp;Projections!$AG$11&amp;"!O"&amp;ROW(B107))</f>
        <v>5.376912</v>
      </c>
      <c r="AA126" s="144">
        <f t="array" ref="AA126">INDIRECT("Update"&amp;Projections!$AG$11&amp;"!P"&amp;ROW(B107))</f>
        <v>0.754706</v>
      </c>
      <c r="AB126" s="144">
        <f t="array" ref="AB126">INDIRECT("Update"&amp;Projections!$AG$11&amp;"!Q"&amp;ROW(B107))</f>
        <v>0.270735</v>
      </c>
      <c r="AC126" s="166">
        <f t="array" ref="AC126">INDIRECT("Update"&amp;Projections!$AG$11&amp;"!I"&amp;ROW(B107))</f>
        <v>0.487284</v>
      </c>
      <c r="AD126" s="166">
        <f t="array" ref="AD126">INDIRECT("Update"&amp;Projections!$AG$11&amp;"!K"&amp;ROW(B107))</f>
        <v>0.796989</v>
      </c>
      <c r="AE126" s="144">
        <f t="array" ref="AE126">INDIRECT("Update"&amp;Projections!$AG$11&amp;"!R"&amp;ROW(B107))</f>
        <v>2.994706</v>
      </c>
      <c r="AF126" s="144">
        <f t="shared" si="7"/>
        <v>0.3524767893</v>
      </c>
      <c r="AG126" s="144">
        <f t="shared" si="8"/>
        <v>-0.07413704863</v>
      </c>
      <c r="AH126" s="144">
        <f t="shared" si="9"/>
        <v>0.5238499683</v>
      </c>
      <c r="AI126" s="144">
        <f t="shared" si="10"/>
        <v>0.7523189965</v>
      </c>
      <c r="AJ126" s="144">
        <f t="shared" si="11"/>
        <v>-0.8851646082</v>
      </c>
      <c r="AK126" s="144">
        <f t="shared" si="12"/>
        <v>-0.835344251</v>
      </c>
      <c r="AL126" s="144">
        <f t="shared" si="13"/>
        <v>-0.1156191774</v>
      </c>
      <c r="AM126" s="144">
        <f t="shared" si="14"/>
        <v>0.1140068496</v>
      </c>
      <c r="AN126" s="144">
        <f t="shared" si="15"/>
        <v>0</v>
      </c>
      <c r="AO126" s="167">
        <f t="shared" si="16"/>
        <v>-0.8851646082</v>
      </c>
      <c r="AP126" s="167">
        <f t="shared" si="17"/>
        <v>-1.720508859</v>
      </c>
      <c r="AQ126" s="167">
        <f t="array" ref="AQ126">INDIRECT("Update"&amp;Projections!$AG$11&amp;"!S"&amp;ROW(B107))</f>
        <v>0.487284</v>
      </c>
      <c r="AR126" s="167">
        <f t="array" ref="AR126">INDIRECT("Update"&amp;Projections!$AG$11&amp;"!T"&amp;ROW(B107))</f>
        <v>0.796989</v>
      </c>
    </row>
    <row r="127">
      <c r="A127" s="50" t="str">
        <f>IF(UpdateHashtag!C125="",ROW(UpdateHashtag!C125),UpdateHashtag!C125)</f>
        <v>Jonathan Kuminga</v>
      </c>
      <c r="B127" s="53">
        <f>IF(TYPE($A127)=1,"",(UpdateHashtag!M125-B$1)/B$2)</f>
        <v>-0.1709878231</v>
      </c>
      <c r="C127" s="53">
        <f>IF(TYPE($A127)=1,"",(UpdateHashtag!L125-C$1)/C$2)</f>
        <v>-0.8398440047</v>
      </c>
      <c r="D127" s="53">
        <f>IF(TYPE($A127)=1,"",(UpdateHashtag!N125-D$1)/D$2)</f>
        <v>-0.4160937024</v>
      </c>
      <c r="E127" s="53">
        <f>IF(TYPE($A127)=1,"",(UpdateHashtag!O125-E$1)/E$2)</f>
        <v>-0.6530942224</v>
      </c>
      <c r="F127" s="53">
        <f>IF(TYPE($A127)=1,"",(UpdateHashtag!P125-F$1)/F$2)</f>
        <v>-0.7471433709</v>
      </c>
      <c r="G127" s="53">
        <f>IF(TYPE($A127)=1,"",(UpdateHashtag!Q125-G$1)/G$2)</f>
        <v>-0.236743041</v>
      </c>
      <c r="H127" s="53">
        <f>IF(TYPE($A127)=1,"",(UpdateHashtag!I125-H$1)/H$2*I127/$I$1)</f>
        <v>11.18272167</v>
      </c>
      <c r="I127" s="53">
        <f>UpdateHashtag!S125</f>
        <v>11.7</v>
      </c>
      <c r="J127" s="58">
        <f>IF(TYPE($A127)=1,"",(UpdateHashtag!K125-J$1)/J$2*K127/$K$1)</f>
        <v>-1.760051825</v>
      </c>
      <c r="K127" s="59">
        <f>UpdateHashtag!T125</f>
        <v>3.8</v>
      </c>
      <c r="L127" s="53">
        <f>IF(TYPE($A127)=1,"",-(UpdateHashtag!R125-L$1)/L$2)</f>
        <v>-0.1501118522</v>
      </c>
      <c r="N127" s="106">
        <f t="shared" si="3"/>
        <v>-0.1942867498</v>
      </c>
      <c r="O127" s="106">
        <f t="shared" si="4"/>
        <v>80</v>
      </c>
      <c r="P127" s="163" t="str">
        <f t="array" ref="P127">INDIRECT("Update"&amp;Projections!$AG$11&amp;"!B"&amp;ROW(B108))</f>
        <v/>
      </c>
      <c r="Q127" s="164" t="str">
        <f t="array" ref="Q127">INDIRECT("Update"&amp;Projections!$AG$11&amp;"!C"&amp;ROW(B108))</f>
        <v>Robert Williams</v>
      </c>
      <c r="R127" s="163">
        <f>UpdateBBM!F108</f>
        <v>44</v>
      </c>
      <c r="S127" s="165" t="str">
        <f t="array" ref="S127">INDIRECT("Update"&amp;Projections!$AG$11&amp;"!D"&amp;ROW(B108))</f>
        <v>C</v>
      </c>
      <c r="T127" s="144">
        <f t="shared" si="5"/>
        <v>0.6943480105</v>
      </c>
      <c r="U127" s="144">
        <f>SUM(AF127:AN127)-IFERROR(IFS(Projections!$I$11,AO127,Projections!$J$11,AP127),"")</f>
        <v>0.4835555912</v>
      </c>
      <c r="V127" s="144">
        <f t="shared" si="6"/>
        <v>-0.2107924193</v>
      </c>
      <c r="W127" s="144">
        <f t="array" ref="W127">INDIRECT("Update"&amp;Projections!$AG$11&amp;"!M"&amp;ROW(B108))</f>
        <v>6.698636</v>
      </c>
      <c r="X127" s="144">
        <f t="array" ref="X127">INDIRECT("Update"&amp;Projections!$AG$11&amp;"!L"&amp;ROW(B108))</f>
        <v>0.025227</v>
      </c>
      <c r="Y127" s="144">
        <f t="array" ref="Y127">INDIRECT("Update"&amp;Projections!$AG$11&amp;"!N"&amp;ROW(B108))</f>
        <v>7.14</v>
      </c>
      <c r="Z127" s="144">
        <f t="array" ref="Z127">INDIRECT("Update"&amp;Projections!$AG$11&amp;"!O"&amp;ROW(B108))</f>
        <v>1.2925</v>
      </c>
      <c r="AA127" s="144">
        <f t="array" ref="AA127">INDIRECT("Update"&amp;Projections!$AG$11&amp;"!P"&amp;ROW(B108))</f>
        <v>0.748636</v>
      </c>
      <c r="AB127" s="144">
        <f t="array" ref="AB127">INDIRECT("Update"&amp;Projections!$AG$11&amp;"!Q"&amp;ROW(B108))</f>
        <v>1.529318</v>
      </c>
      <c r="AC127" s="166">
        <f t="array" ref="AC127">INDIRECT("Update"&amp;Projections!$AG$11&amp;"!I"&amp;ROW(B108))</f>
        <v>0.643746</v>
      </c>
      <c r="AD127" s="166">
        <f t="array" ref="AD127">INDIRECT("Update"&amp;Projections!$AG$11&amp;"!K"&amp;ROW(B108))</f>
        <v>0.752938</v>
      </c>
      <c r="AE127" s="144">
        <f t="array" ref="AE127">INDIRECT("Update"&amp;Projections!$AG$11&amp;"!R"&amp;ROW(B108))</f>
        <v>0.898636</v>
      </c>
      <c r="AF127" s="144">
        <f t="shared" si="7"/>
        <v>-1.83793194</v>
      </c>
      <c r="AG127" s="144">
        <f t="shared" si="8"/>
        <v>-1.68472902</v>
      </c>
      <c r="AH127" s="144">
        <f t="shared" si="9"/>
        <v>0.4108276544</v>
      </c>
      <c r="AI127" s="144">
        <f t="shared" si="10"/>
        <v>-1.242975478</v>
      </c>
      <c r="AJ127" s="144">
        <f t="shared" si="11"/>
        <v>-0.9036612945</v>
      </c>
      <c r="AK127" s="144">
        <f t="shared" si="12"/>
        <v>1.452749857</v>
      </c>
      <c r="AL127" s="144">
        <f t="shared" si="13"/>
        <v>2.872919382</v>
      </c>
      <c r="AM127" s="144">
        <f t="shared" si="14"/>
        <v>-0.4215755106</v>
      </c>
      <c r="AN127" s="144">
        <f t="shared" si="15"/>
        <v>0</v>
      </c>
      <c r="AO127" s="167">
        <f t="shared" si="16"/>
        <v>-1.83793194</v>
      </c>
      <c r="AP127" s="167">
        <f t="shared" si="17"/>
        <v>-3.522660961</v>
      </c>
      <c r="AQ127" s="167">
        <f t="array" ref="AQ127">INDIRECT("Update"&amp;Projections!$AG$11&amp;"!S"&amp;ROW(B108))</f>
        <v>0.643746</v>
      </c>
      <c r="AR127" s="167">
        <f t="array" ref="AR127">INDIRECT("Update"&amp;Projections!$AG$11&amp;"!T"&amp;ROW(B108))</f>
        <v>0.752938</v>
      </c>
    </row>
    <row r="128">
      <c r="A128" s="50" t="str">
        <f>IF(UpdateHashtag!C126="",ROW(UpdateHashtag!C126),UpdateHashtag!C126)</f>
        <v>Marcus Smart</v>
      </c>
      <c r="B128" s="53">
        <f>IF(TYPE($A128)=1,"",(UpdateHashtag!M126-B$1)/B$2)</f>
        <v>-0.8903025321</v>
      </c>
      <c r="C128" s="53">
        <f>IF(TYPE($A128)=1,"",(UpdateHashtag!L126-C$1)/C$2)</f>
        <v>0.1259894351</v>
      </c>
      <c r="D128" s="53">
        <f>IF(TYPE($A128)=1,"",(UpdateHashtag!N126-D$1)/D$2)</f>
        <v>-1.267336276</v>
      </c>
      <c r="E128" s="53">
        <f>IF(TYPE($A128)=1,"",(UpdateHashtag!O126-E$1)/E$2)</f>
        <v>0.4216376712</v>
      </c>
      <c r="F128" s="53">
        <f>IF(TYPE($A128)=1,"",(UpdateHashtag!P126-F$1)/F$2)</f>
        <v>1.69064066</v>
      </c>
      <c r="G128" s="53">
        <f>IF(TYPE($A128)=1,"",(UpdateHashtag!Q126-G$1)/G$2)</f>
        <v>-0.7821407085</v>
      </c>
      <c r="H128" s="53">
        <f>IF(TYPE($A128)=1,"",(UpdateHashtag!I126-H$1)/H$2*I128/$I$1)</f>
        <v>-23.26224962</v>
      </c>
      <c r="I128" s="53">
        <f>UpdateHashtag!S126</f>
        <v>10.3</v>
      </c>
      <c r="J128" s="58">
        <f>IF(TYPE($A128)=1,"",(UpdateHashtag!K126-J$1)/J$2*K128/$K$1)</f>
        <v>-1.240750208</v>
      </c>
      <c r="K128" s="59">
        <f>UpdateHashtag!T126</f>
        <v>2.1</v>
      </c>
      <c r="L128" s="53">
        <f>IF(TYPE($A128)=1,"",-(UpdateHashtag!R126-L$1)/L$2)</f>
        <v>-0.7452689757</v>
      </c>
      <c r="N128" s="106">
        <f t="shared" si="3"/>
        <v>-0.3000453485</v>
      </c>
      <c r="O128" s="106">
        <f t="shared" si="4"/>
        <v>134</v>
      </c>
      <c r="P128" s="163" t="str">
        <f t="array" ref="P128">INDIRECT("Update"&amp;Projections!$AG$11&amp;"!B"&amp;ROW(B109))</f>
        <v/>
      </c>
      <c r="Q128" s="164" t="str">
        <f t="array" ref="Q128">INDIRECT("Update"&amp;Projections!$AG$11&amp;"!C"&amp;ROW(B109))</f>
        <v>Naz Reid</v>
      </c>
      <c r="R128" s="163">
        <f>UpdateBBM!F109</f>
        <v>73</v>
      </c>
      <c r="S128" s="165" t="str">
        <f t="array" ref="S128">INDIRECT("Update"&amp;Projections!$AG$11&amp;"!D"&amp;ROW(B109))</f>
        <v>F,C</v>
      </c>
      <c r="T128" s="144">
        <f t="shared" si="5"/>
        <v>-1.23815929</v>
      </c>
      <c r="U128" s="144">
        <f>SUM(AF128:AN128)-IFERROR(IFS(Projections!$I$11,AO128,Projections!$J$11,AP128),"")</f>
        <v>-1.338346222</v>
      </c>
      <c r="V128" s="144">
        <f t="shared" si="6"/>
        <v>-0.1001869316</v>
      </c>
      <c r="W128" s="144">
        <f t="array" ref="W128">INDIRECT("Update"&amp;Projections!$AG$11&amp;"!M"&amp;ROW(B109))</f>
        <v>13.8537</v>
      </c>
      <c r="X128" s="144">
        <f t="array" ref="X128">INDIRECT("Update"&amp;Projections!$AG$11&amp;"!L"&amp;ROW(B109))</f>
        <v>2.13726</v>
      </c>
      <c r="Y128" s="144">
        <f t="array" ref="Y128">INDIRECT("Update"&amp;Projections!$AG$11&amp;"!N"&amp;ROW(B109))</f>
        <v>6.07</v>
      </c>
      <c r="Z128" s="144">
        <f t="array" ref="Z128">INDIRECT("Update"&amp;Projections!$AG$11&amp;"!O"&amp;ROW(B109))</f>
        <v>2.61726</v>
      </c>
      <c r="AA128" s="144">
        <f t="array" ref="AA128">INDIRECT("Update"&amp;Projections!$AG$11&amp;"!P"&amp;ROW(B109))</f>
        <v>0.660959</v>
      </c>
      <c r="AB128" s="144">
        <f t="array" ref="AB128">INDIRECT("Update"&amp;Projections!$AG$11&amp;"!Q"&amp;ROW(B109))</f>
        <v>0.897397</v>
      </c>
      <c r="AC128" s="166">
        <f t="array" ref="AC128">INDIRECT("Update"&amp;Projections!$AG$11&amp;"!I"&amp;ROW(B109))</f>
        <v>0.465002</v>
      </c>
      <c r="AD128" s="166">
        <f t="array" ref="AD128">INDIRECT("Update"&amp;Projections!$AG$11&amp;"!K"&amp;ROW(B109))</f>
        <v>0.757025</v>
      </c>
      <c r="AE128" s="144">
        <f t="array" ref="AE128">INDIRECT("Update"&amp;Projections!$AG$11&amp;"!R"&amp;ROW(B109))</f>
        <v>1.344658</v>
      </c>
      <c r="AF128" s="144">
        <f t="shared" si="7"/>
        <v>-0.5826288235</v>
      </c>
      <c r="AG128" s="144">
        <f t="shared" si="8"/>
        <v>0.355143077</v>
      </c>
      <c r="AH128" s="144">
        <f t="shared" si="9"/>
        <v>-0.02290070432</v>
      </c>
      <c r="AI128" s="144">
        <f t="shared" si="10"/>
        <v>-0.5958110124</v>
      </c>
      <c r="AJ128" s="144">
        <f t="shared" si="11"/>
        <v>-1.170833283</v>
      </c>
      <c r="AK128" s="144">
        <f t="shared" si="12"/>
        <v>0.3039223927</v>
      </c>
      <c r="AL128" s="144">
        <f t="shared" si="13"/>
        <v>-0.4215799195</v>
      </c>
      <c r="AM128" s="144">
        <f t="shared" si="14"/>
        <v>-0.3744912318</v>
      </c>
      <c r="AN128" s="144">
        <f t="shared" si="15"/>
        <v>0</v>
      </c>
      <c r="AO128" s="167">
        <f t="shared" si="16"/>
        <v>-1.170833283</v>
      </c>
      <c r="AP128" s="167">
        <f t="shared" si="17"/>
        <v>-1.766644295</v>
      </c>
      <c r="AQ128" s="167">
        <f t="array" ref="AQ128">INDIRECT("Update"&amp;Projections!$AG$11&amp;"!S"&amp;ROW(B109))</f>
        <v>0.465002</v>
      </c>
      <c r="AR128" s="167">
        <f t="array" ref="AR128">INDIRECT("Update"&amp;Projections!$AG$11&amp;"!T"&amp;ROW(B109))</f>
        <v>0.757025</v>
      </c>
    </row>
    <row r="129">
      <c r="A129" s="50" t="str">
        <f>IF(UpdateHashtag!C127="",ROW(UpdateHashtag!C127),UpdateHashtag!C127)</f>
        <v>Jalen Smith</v>
      </c>
      <c r="B129" s="53">
        <f>IF(TYPE($A129)=1,"",(UpdateHashtag!M127-B$1)/B$2)</f>
        <v>-0.7499484425</v>
      </c>
      <c r="C129" s="53">
        <f>IF(TYPE($A129)=1,"",(UpdateHashtag!L127-C$1)/C$2)</f>
        <v>-0.4535106288</v>
      </c>
      <c r="D129" s="53">
        <f>IF(TYPE($A129)=1,"",(UpdateHashtag!N127-D$1)/D$2)</f>
        <v>0.5972903133</v>
      </c>
      <c r="E129" s="53">
        <f>IF(TYPE($A129)=1,"",(UpdateHashtag!O127-E$1)/E$2)</f>
        <v>-1.239311619</v>
      </c>
      <c r="F129" s="53">
        <f>IF(TYPE($A129)=1,"",(UpdateHashtag!P127-F$1)/F$2)</f>
        <v>-1.966035386</v>
      </c>
      <c r="G129" s="53">
        <f>IF(TYPE($A129)=1,"",(UpdateHashtag!Q127-G$1)/G$2)</f>
        <v>0.490453849</v>
      </c>
      <c r="H129" s="53">
        <f>IF(TYPE($A129)=1,"",(UpdateHashtag!I127-H$1)/H$2*I129/$I$1)</f>
        <v>11.55691319</v>
      </c>
      <c r="I129" s="53">
        <f>UpdateHashtag!S127</f>
        <v>9.2</v>
      </c>
      <c r="J129" s="58">
        <f>IF(TYPE($A129)=1,"",(UpdateHashtag!K127-J$1)/J$2*K129/$K$1)</f>
        <v>-2.949943032</v>
      </c>
      <c r="K129" s="59">
        <f>UpdateHashtag!T127</f>
        <v>2.4</v>
      </c>
      <c r="L129" s="53">
        <f>IF(TYPE($A129)=1,"",-(UpdateHashtag!R127-L$1)/L$2)</f>
        <v>0.5442381251</v>
      </c>
      <c r="N129" s="106">
        <f t="shared" si="3"/>
        <v>-0.3302400082</v>
      </c>
      <c r="O129" s="106">
        <f t="shared" si="4"/>
        <v>175</v>
      </c>
      <c r="P129" s="163" t="str">
        <f t="array" ref="P129">INDIRECT("Update"&amp;Projections!$AG$11&amp;"!B"&amp;ROW(B110))</f>
        <v/>
      </c>
      <c r="Q129" s="164" t="str">
        <f t="array" ref="Q129">INDIRECT("Update"&amp;Projections!$AG$11&amp;"!C"&amp;ROW(B110))</f>
        <v>Matisse Thybulle</v>
      </c>
      <c r="R129" s="163">
        <f>UpdateBBM!F110</f>
        <v>68</v>
      </c>
      <c r="S129" s="165" t="str">
        <f t="array" ref="S129">INDIRECT("Update"&amp;Projections!$AG$11&amp;"!D"&amp;ROW(B110))</f>
        <v>G,F</v>
      </c>
      <c r="T129" s="144">
        <f t="shared" si="5"/>
        <v>-2.530993451</v>
      </c>
      <c r="U129" s="144">
        <f>SUM(AF129:AN129)-IFERROR(IFS(Projections!$I$11,AO129,Projections!$J$11,AP129),"")</f>
        <v>-2.794909595</v>
      </c>
      <c r="V129" s="144">
        <f t="shared" si="6"/>
        <v>-0.2639161442</v>
      </c>
      <c r="W129" s="144">
        <f t="array" ref="W129">INDIRECT("Update"&amp;Projections!$AG$11&amp;"!M"&amp;ROW(B110))</f>
        <v>7.763088</v>
      </c>
      <c r="X129" s="144">
        <f t="array" ref="X129">INDIRECT("Update"&amp;Projections!$AG$11&amp;"!L"&amp;ROW(B110))</f>
        <v>1.346176</v>
      </c>
      <c r="Y129" s="144">
        <f t="array" ref="Y129">INDIRECT("Update"&amp;Projections!$AG$11&amp;"!N"&amp;ROW(B110))</f>
        <v>3.079118</v>
      </c>
      <c r="Z129" s="144">
        <f t="array" ref="Z129">INDIRECT("Update"&amp;Projections!$AG$11&amp;"!O"&amp;ROW(B110))</f>
        <v>1.368529</v>
      </c>
      <c r="AA129" s="144">
        <f t="array" ref="AA129">INDIRECT("Update"&amp;Projections!$AG$11&amp;"!P"&amp;ROW(B110))</f>
        <v>1.808382</v>
      </c>
      <c r="AB129" s="144">
        <f t="array" ref="AB129">INDIRECT("Update"&amp;Projections!$AG$11&amp;"!Q"&amp;ROW(B110))</f>
        <v>0.684412</v>
      </c>
      <c r="AC129" s="166">
        <f t="array" ref="AC129">INDIRECT("Update"&amp;Projections!$AG$11&amp;"!I"&amp;ROW(B110))</f>
        <v>0.440476</v>
      </c>
      <c r="AD129" s="166">
        <f t="array" ref="AD129">INDIRECT("Update"&amp;Projections!$AG$11&amp;"!K"&amp;ROW(B110))</f>
        <v>0.646089</v>
      </c>
      <c r="AE129" s="144">
        <f t="array" ref="AE129">INDIRECT("Update"&amp;Projections!$AG$11&amp;"!R"&amp;ROW(B110))</f>
        <v>0.684412</v>
      </c>
      <c r="AF129" s="144">
        <f t="shared" si="7"/>
        <v>-1.651181701</v>
      </c>
      <c r="AG129" s="144">
        <f t="shared" si="8"/>
        <v>-0.4089123039</v>
      </c>
      <c r="AH129" s="144">
        <f t="shared" si="9"/>
        <v>-1.235265509</v>
      </c>
      <c r="AI129" s="144">
        <f t="shared" si="10"/>
        <v>-1.205834209</v>
      </c>
      <c r="AJ129" s="144">
        <f t="shared" si="11"/>
        <v>2.32562855</v>
      </c>
      <c r="AK129" s="144">
        <f t="shared" si="12"/>
        <v>-0.08328268133</v>
      </c>
      <c r="AL129" s="144">
        <f t="shared" si="13"/>
        <v>-0.7238676046</v>
      </c>
      <c r="AM129" s="144">
        <f t="shared" si="14"/>
        <v>-1.463375837</v>
      </c>
      <c r="AN129" s="144">
        <f t="shared" si="15"/>
        <v>0</v>
      </c>
      <c r="AO129" s="167">
        <f t="shared" si="16"/>
        <v>-1.651181701</v>
      </c>
      <c r="AP129" s="167">
        <f t="shared" si="17"/>
        <v>-3.114557538</v>
      </c>
      <c r="AQ129" s="167">
        <f t="array" ref="AQ129">INDIRECT("Update"&amp;Projections!$AG$11&amp;"!S"&amp;ROW(B110))</f>
        <v>0.440476</v>
      </c>
      <c r="AR129" s="167">
        <f t="array" ref="AR129">INDIRECT("Update"&amp;Projections!$AG$11&amp;"!T"&amp;ROW(B110))</f>
        <v>0.646089</v>
      </c>
    </row>
    <row r="130">
      <c r="A130" s="50" t="str">
        <f>IF(UpdateHashtag!C128="",ROW(UpdateHashtag!C128),UpdateHashtag!C128)</f>
        <v>Corey Kispert</v>
      </c>
      <c r="B130" s="53">
        <f>IF(TYPE($A130)=1,"",(UpdateHashtag!M128-B$1)/B$2)</f>
        <v>-0.3639746962</v>
      </c>
      <c r="C130" s="53">
        <f>IF(TYPE($A130)=1,"",(UpdateHashtag!L128-C$1)/C$2)</f>
        <v>0.8986561869</v>
      </c>
      <c r="D130" s="53">
        <f>IF(TYPE($A130)=1,"",(UpdateHashtag!N128-D$1)/D$2)</f>
        <v>-1.105194833</v>
      </c>
      <c r="E130" s="53">
        <f>IF(TYPE($A130)=1,"",(UpdateHashtag!O128-E$1)/E$2)</f>
        <v>-0.7019456721</v>
      </c>
      <c r="F130" s="53">
        <f>IF(TYPE($A130)=1,"",(UpdateHashtag!P128-F$1)/F$2)</f>
        <v>-1.051866375</v>
      </c>
      <c r="G130" s="53">
        <f>IF(TYPE($A130)=1,"",(UpdateHashtag!Q128-G$1)/G$2)</f>
        <v>-0.963939931</v>
      </c>
      <c r="H130" s="53">
        <f>IF(TYPE($A130)=1,"",(UpdateHashtag!I128-H$1)/H$2*I130/$I$1)</f>
        <v>-3.728749621</v>
      </c>
      <c r="I130" s="53">
        <f>UpdateHashtag!S128</f>
        <v>11.1</v>
      </c>
      <c r="J130" s="58">
        <f>IF(TYPE($A130)=1,"",(UpdateHashtag!K128-J$1)/J$2*K130/$K$1)</f>
        <v>1.052416378</v>
      </c>
      <c r="K130" s="59">
        <f>UpdateHashtag!T128</f>
        <v>2</v>
      </c>
      <c r="L130" s="53">
        <f>IF(TYPE($A130)=1,"",-(UpdateHashtag!R128-L$1)/L$2)</f>
        <v>0.5442381251</v>
      </c>
      <c r="N130" s="106">
        <f t="shared" si="3"/>
        <v>-0.360185465</v>
      </c>
      <c r="O130" s="106">
        <f t="shared" si="4"/>
        <v>99</v>
      </c>
      <c r="P130" s="163" t="str">
        <f t="array" ref="P130">INDIRECT("Update"&amp;Projections!$AG$11&amp;"!B"&amp;ROW(B111))</f>
        <v/>
      </c>
      <c r="Q130" s="164" t="str">
        <f t="array" ref="Q130">INDIRECT("Update"&amp;Projections!$AG$11&amp;"!C"&amp;ROW(B111))</f>
        <v>Jalen Suggs</v>
      </c>
      <c r="R130" s="163">
        <f>UpdateBBM!F111</f>
        <v>61</v>
      </c>
      <c r="S130" s="165" t="str">
        <f t="array" ref="S130">INDIRECT("Update"&amp;Projections!$AG$11&amp;"!D"&amp;ROW(B111))</f>
        <v>G</v>
      </c>
      <c r="T130" s="144">
        <f t="shared" si="5"/>
        <v>0.1042675016</v>
      </c>
      <c r="U130" s="144">
        <f>SUM(AF130:AN130)-IFERROR(IFS(Projections!$I$11,AO130,Projections!$J$11,AP130),"")</f>
        <v>0.2326139619</v>
      </c>
      <c r="V130" s="144">
        <f t="shared" si="6"/>
        <v>0.1283464603</v>
      </c>
      <c r="W130" s="144">
        <f t="array" ref="W130">INDIRECT("Update"&amp;Projections!$AG$11&amp;"!M"&amp;ROW(B111))</f>
        <v>12.77279</v>
      </c>
      <c r="X130" s="144">
        <f t="array" ref="X130">INDIRECT("Update"&amp;Projections!$AG$11&amp;"!L"&amp;ROW(B111))</f>
        <v>1.747869</v>
      </c>
      <c r="Y130" s="144">
        <f t="array" ref="Y130">INDIRECT("Update"&amp;Projections!$AG$11&amp;"!N"&amp;ROW(B111))</f>
        <v>3.858689</v>
      </c>
      <c r="Z130" s="144">
        <f t="array" ref="Z130">INDIRECT("Update"&amp;Projections!$AG$11&amp;"!O"&amp;ROW(B111))</f>
        <v>3.307541</v>
      </c>
      <c r="AA130" s="144">
        <f t="array" ref="AA130">INDIRECT("Update"&amp;Projections!$AG$11&amp;"!P"&amp;ROW(B111))</f>
        <v>1.486066</v>
      </c>
      <c r="AB130" s="144">
        <f t="array" ref="AB130">INDIRECT("Update"&amp;Projections!$AG$11&amp;"!Q"&amp;ROW(B111))</f>
        <v>0.851311</v>
      </c>
      <c r="AC130" s="166">
        <f t="array" ref="AC130">INDIRECT("Update"&amp;Projections!$AG$11&amp;"!I"&amp;ROW(B111))</f>
        <v>0.419407</v>
      </c>
      <c r="AD130" s="166">
        <f t="array" ref="AD130">INDIRECT("Update"&amp;Projections!$AG$11&amp;"!K"&amp;ROW(B111))</f>
        <v>0.836005</v>
      </c>
      <c r="AE130" s="144">
        <f t="array" ref="AE130">INDIRECT("Update"&amp;Projections!$AG$11&amp;"!R"&amp;ROW(B111))</f>
        <v>2.26623</v>
      </c>
      <c r="AF130" s="144">
        <f t="shared" si="7"/>
        <v>-0.7722664972</v>
      </c>
      <c r="AG130" s="144">
        <f t="shared" si="8"/>
        <v>-0.02094377193</v>
      </c>
      <c r="AH130" s="144">
        <f t="shared" si="9"/>
        <v>-0.9192635927</v>
      </c>
      <c r="AI130" s="144">
        <f t="shared" si="10"/>
        <v>-0.2585987369</v>
      </c>
      <c r="AJ130" s="144">
        <f t="shared" si="11"/>
        <v>1.343457553</v>
      </c>
      <c r="AK130" s="144">
        <f t="shared" si="12"/>
        <v>0.220138403</v>
      </c>
      <c r="AL130" s="144">
        <f t="shared" si="13"/>
        <v>-0.9546896285</v>
      </c>
      <c r="AM130" s="144">
        <f t="shared" si="14"/>
        <v>0.640090605</v>
      </c>
      <c r="AN130" s="144">
        <f t="shared" si="15"/>
        <v>0</v>
      </c>
      <c r="AO130" s="167">
        <f t="shared" si="16"/>
        <v>-0.9546896285</v>
      </c>
      <c r="AP130" s="167">
        <f t="shared" si="17"/>
        <v>-1.873953221</v>
      </c>
      <c r="AQ130" s="167">
        <f t="array" ref="AQ130">INDIRECT("Update"&amp;Projections!$AG$11&amp;"!S"&amp;ROW(B111))</f>
        <v>0.419407</v>
      </c>
      <c r="AR130" s="167">
        <f t="array" ref="AR130">INDIRECT("Update"&amp;Projections!$AG$11&amp;"!T"&amp;ROW(B111))</f>
        <v>0.836005</v>
      </c>
    </row>
    <row r="131">
      <c r="A131" s="50" t="str">
        <f>IF(UpdateHashtag!C129="",ROW(UpdateHashtag!C129),UpdateHashtag!C129)</f>
        <v>Buddy Hield</v>
      </c>
      <c r="B131" s="53">
        <f>IF(TYPE($A131)=1,"",(UpdateHashtag!M129-B$1)/B$2)</f>
        <v>-0.6973156589</v>
      </c>
      <c r="C131" s="53">
        <f>IF(TYPE($A131)=1,"",(UpdateHashtag!L129-C$1)/C$2)</f>
        <v>0.8986561869</v>
      </c>
      <c r="D131" s="53">
        <f>IF(TYPE($A131)=1,"",(UpdateHashtag!N129-D$1)/D$2)</f>
        <v>-0.9430533905</v>
      </c>
      <c r="E131" s="53">
        <f>IF(TYPE($A131)=1,"",(UpdateHashtag!O129-E$1)/E$2)</f>
        <v>-0.5553913229</v>
      </c>
      <c r="F131" s="53">
        <f>IF(TYPE($A131)=1,"",(UpdateHashtag!P129-F$1)/F$2)</f>
        <v>-0.442420367</v>
      </c>
      <c r="G131" s="53">
        <f>IF(TYPE($A131)=1,"",(UpdateHashtag!Q129-G$1)/G$2)</f>
        <v>-0.600341486</v>
      </c>
      <c r="H131" s="53">
        <f>IF(TYPE($A131)=1,"",(UpdateHashtag!I129-H$1)/H$2*I131/$I$1)</f>
        <v>-16.12999042</v>
      </c>
      <c r="I131" s="53">
        <f>UpdateHashtag!S129</f>
        <v>10.7</v>
      </c>
      <c r="J131" s="58">
        <f>IF(TYPE($A131)=1,"",(UpdateHashtag!K129-J$1)/J$2*K131/$K$1)</f>
        <v>0.8245781643</v>
      </c>
      <c r="K131" s="59">
        <f>UpdateHashtag!T129</f>
        <v>1.1</v>
      </c>
      <c r="L131" s="53">
        <f>IF(TYPE($A131)=1,"",-(UpdateHashtag!R129-L$1)/L$2)</f>
        <v>0.3458524173</v>
      </c>
      <c r="N131" s="106">
        <f t="shared" si="3"/>
        <v>-0.4486383451</v>
      </c>
      <c r="O131" s="106">
        <f t="shared" si="4"/>
        <v>138</v>
      </c>
      <c r="P131" s="163" t="str">
        <f t="array" ref="P131">INDIRECT("Update"&amp;Projections!$AG$11&amp;"!B"&amp;ROW(B112))</f>
        <v/>
      </c>
      <c r="Q131" s="164" t="str">
        <f t="array" ref="Q131">INDIRECT("Update"&amp;Projections!$AG$11&amp;"!C"&amp;ROW(B112))</f>
        <v>Cam Whitmore</v>
      </c>
      <c r="R131" s="163">
        <f>UpdateBBM!F112</f>
        <v>68</v>
      </c>
      <c r="S131" s="165" t="str">
        <f t="array" ref="S131">INDIRECT("Update"&amp;Projections!$AG$11&amp;"!D"&amp;ROW(B112))</f>
        <v>F</v>
      </c>
      <c r="T131" s="144">
        <f t="shared" si="5"/>
        <v>-1.327229411</v>
      </c>
      <c r="U131" s="144">
        <f>SUM(AF131:AN131)-IFERROR(IFS(Projections!$I$11,AO131,Projections!$J$11,AP131),"")</f>
        <v>-1.427003205</v>
      </c>
      <c r="V131" s="144">
        <f t="shared" si="6"/>
        <v>-0.09977379338</v>
      </c>
      <c r="W131" s="144">
        <f t="array" ref="W131">INDIRECT("Update"&amp;Projections!$AG$11&amp;"!M"&amp;ROW(B112))</f>
        <v>16.47103</v>
      </c>
      <c r="X131" s="144">
        <f t="array" ref="X131">INDIRECT("Update"&amp;Projections!$AG$11&amp;"!L"&amp;ROW(B112))</f>
        <v>2.183971</v>
      </c>
      <c r="Y131" s="144">
        <f t="array" ref="Y131">INDIRECT("Update"&amp;Projections!$AG$11&amp;"!N"&amp;ROW(B112))</f>
        <v>5.300147</v>
      </c>
      <c r="Z131" s="144">
        <f t="array" ref="Z131">INDIRECT("Update"&amp;Projections!$AG$11&amp;"!O"&amp;ROW(B112))</f>
        <v>1.952647</v>
      </c>
      <c r="AA131" s="144">
        <f t="array" ref="AA131">INDIRECT("Update"&amp;Projections!$AG$11&amp;"!P"&amp;ROW(B112))</f>
        <v>1.014265</v>
      </c>
      <c r="AB131" s="144">
        <f t="array" ref="AB131">INDIRECT("Update"&amp;Projections!$AG$11&amp;"!Q"&amp;ROW(B112))</f>
        <v>0.481618</v>
      </c>
      <c r="AC131" s="166">
        <f t="array" ref="AC131">INDIRECT("Update"&amp;Projections!$AG$11&amp;"!I"&amp;ROW(B112))</f>
        <v>0.4575</v>
      </c>
      <c r="AD131" s="166">
        <f t="array" ref="AD131">INDIRECT("Update"&amp;Projections!$AG$11&amp;"!K"&amp;ROW(B112))</f>
        <v>0.762992</v>
      </c>
      <c r="AE131" s="144">
        <f t="array" ref="AE131">INDIRECT("Update"&amp;Projections!$AG$11&amp;"!R"&amp;ROW(B112))</f>
        <v>1.346324</v>
      </c>
      <c r="AF131" s="144">
        <f t="shared" si="7"/>
        <v>-0.123437612</v>
      </c>
      <c r="AG131" s="144">
        <f t="shared" si="8"/>
        <v>0.4002581228</v>
      </c>
      <c r="AH131" s="144">
        <f t="shared" si="9"/>
        <v>-0.3349633942</v>
      </c>
      <c r="AI131" s="144">
        <f t="shared" si="10"/>
        <v>-0.9204840979</v>
      </c>
      <c r="AJ131" s="144">
        <f t="shared" si="11"/>
        <v>-0.09422862672</v>
      </c>
      <c r="AK131" s="144">
        <f t="shared" si="12"/>
        <v>-0.4519605966</v>
      </c>
      <c r="AL131" s="144">
        <f t="shared" si="13"/>
        <v>-0.5178800228</v>
      </c>
      <c r="AM131" s="144">
        <f t="shared" si="14"/>
        <v>-0.3047910751</v>
      </c>
      <c r="AN131" s="144">
        <f t="shared" si="15"/>
        <v>0</v>
      </c>
      <c r="AO131" s="167">
        <f t="shared" si="16"/>
        <v>-0.9204840979</v>
      </c>
      <c r="AP131" s="167">
        <f t="shared" si="17"/>
        <v>-1.438364121</v>
      </c>
      <c r="AQ131" s="167">
        <f t="array" ref="AQ131">INDIRECT("Update"&amp;Projections!$AG$11&amp;"!S"&amp;ROW(B112))</f>
        <v>0.4575</v>
      </c>
      <c r="AR131" s="167">
        <f t="array" ref="AR131">INDIRECT("Update"&amp;Projections!$AG$11&amp;"!T"&amp;ROW(B112))</f>
        <v>0.762992</v>
      </c>
    </row>
    <row r="132">
      <c r="A132" s="50" t="str">
        <f>IF(UpdateHashtag!C130="",ROW(UpdateHashtag!C130),UpdateHashtag!C130)</f>
        <v>Klay Thompson</v>
      </c>
      <c r="B132" s="53">
        <f>IF(TYPE($A132)=1,"",(UpdateHashtag!M130-B$1)/B$2)</f>
        <v>0.004454788842</v>
      </c>
      <c r="C132" s="53">
        <f>IF(TYPE($A132)=1,"",(UpdateHashtag!L130-C$1)/C$2)</f>
        <v>1.574739595</v>
      </c>
      <c r="D132" s="53">
        <f>IF(TYPE($A132)=1,"",(UpdateHashtag!N130-D$1)/D$2)</f>
        <v>-1.186265554</v>
      </c>
      <c r="E132" s="53">
        <f>IF(TYPE($A132)=1,"",(UpdateHashtag!O130-E$1)/E$2)</f>
        <v>-0.8973514709</v>
      </c>
      <c r="F132" s="53">
        <f>IF(TYPE($A132)=1,"",(UpdateHashtag!P130-F$1)/F$2)</f>
        <v>-1.356589379</v>
      </c>
      <c r="G132" s="53">
        <f>IF(TYPE($A132)=1,"",(UpdateHashtag!Q130-G$1)/G$2)</f>
        <v>-0.600341486</v>
      </c>
      <c r="H132" s="53">
        <f>IF(TYPE($A132)=1,"",(UpdateHashtag!I130-H$1)/H$2*I132/$I$1)</f>
        <v>-26.28216424</v>
      </c>
      <c r="I132" s="53">
        <f>UpdateHashtag!S130</f>
        <v>14.3</v>
      </c>
      <c r="J132" s="58">
        <f>IF(TYPE($A132)=1,"",(UpdateHashtag!K130-J$1)/J$2*K132/$K$1)</f>
        <v>2.884523495</v>
      </c>
      <c r="K132" s="59">
        <f>UpdateHashtag!T130</f>
        <v>1.6</v>
      </c>
      <c r="L132" s="53">
        <f>IF(TYPE($A132)=1,"",-(UpdateHashtag!R130-L$1)/L$2)</f>
        <v>0.3458524173</v>
      </c>
      <c r="N132" s="106">
        <f t="shared" si="3"/>
        <v>-0.4529427195</v>
      </c>
      <c r="O132" s="106">
        <f t="shared" si="4"/>
        <v>117</v>
      </c>
      <c r="P132" s="163" t="str">
        <f t="array" ref="P132">INDIRECT("Update"&amp;Projections!$AG$11&amp;"!B"&amp;ROW(B113))</f>
        <v/>
      </c>
      <c r="Q132" s="164" t="str">
        <f t="array" ref="Q132">INDIRECT("Update"&amp;Projections!$AG$11&amp;"!C"&amp;ROW(B113))</f>
        <v>Aaron Gordon</v>
      </c>
      <c r="R132" s="163">
        <f>UpdateBBM!F113</f>
        <v>68</v>
      </c>
      <c r="S132" s="165" t="str">
        <f t="array" ref="S132">INDIRECT("Update"&amp;Projections!$AG$11&amp;"!D"&amp;ROW(B113))</f>
        <v>F</v>
      </c>
      <c r="T132" s="144">
        <f t="shared" si="5"/>
        <v>-0.6673581307</v>
      </c>
      <c r="U132" s="144">
        <f>SUM(AF132:AN132)-IFERROR(IFS(Projections!$I$11,AO132,Projections!$J$11,AP132),"")</f>
        <v>-0.7037871196</v>
      </c>
      <c r="V132" s="144">
        <f t="shared" si="6"/>
        <v>-0.0364289889</v>
      </c>
      <c r="W132" s="144">
        <f t="array" ref="W132">INDIRECT("Update"&amp;Projections!$AG$11&amp;"!M"&amp;ROW(B113))</f>
        <v>15.89221</v>
      </c>
      <c r="X132" s="144">
        <f t="array" ref="X132">INDIRECT("Update"&amp;Projections!$AG$11&amp;"!L"&amp;ROW(B113))</f>
        <v>1.287059</v>
      </c>
      <c r="Y132" s="144">
        <f t="array" ref="Y132">INDIRECT("Update"&amp;Projections!$AG$11&amp;"!N"&amp;ROW(B113))</f>
        <v>6.06</v>
      </c>
      <c r="Z132" s="144">
        <f t="array" ref="Z132">INDIRECT("Update"&amp;Projections!$AG$11&amp;"!O"&amp;ROW(B113))</f>
        <v>3.913382</v>
      </c>
      <c r="AA132" s="144">
        <f t="array" ref="AA132">INDIRECT("Update"&amp;Projections!$AG$11&amp;"!P"&amp;ROW(B113))</f>
        <v>0.547059</v>
      </c>
      <c r="AB132" s="144">
        <f t="array" ref="AB132">INDIRECT("Update"&amp;Projections!$AG$11&amp;"!Q"&amp;ROW(B113))</f>
        <v>0.333235</v>
      </c>
      <c r="AC132" s="166">
        <f t="array" ref="AC132">INDIRECT("Update"&amp;Projections!$AG$11&amp;"!I"&amp;ROW(B113))</f>
        <v>0.530243</v>
      </c>
      <c r="AD132" s="166">
        <f t="array" ref="AD132">INDIRECT("Update"&amp;Projections!$AG$11&amp;"!K"&amp;ROW(B113))</f>
        <v>0.79901</v>
      </c>
      <c r="AE132" s="144">
        <f t="array" ref="AE132">INDIRECT("Update"&amp;Projections!$AG$11&amp;"!R"&amp;ROW(B113))</f>
        <v>1.601765</v>
      </c>
      <c r="AF132" s="144">
        <f t="shared" si="7"/>
        <v>-0.2249873046</v>
      </c>
      <c r="AG132" s="144">
        <f t="shared" si="8"/>
        <v>-0.4660094793</v>
      </c>
      <c r="AH132" s="144">
        <f t="shared" si="9"/>
        <v>-0.02695424039</v>
      </c>
      <c r="AI132" s="144">
        <f t="shared" si="10"/>
        <v>0.03736337456</v>
      </c>
      <c r="AJ132" s="144">
        <f t="shared" si="11"/>
        <v>-1.517912784</v>
      </c>
      <c r="AK132" s="144">
        <f t="shared" si="12"/>
        <v>-0.7217197369</v>
      </c>
      <c r="AL132" s="144">
        <f t="shared" si="13"/>
        <v>0.5584557778</v>
      </c>
      <c r="AM132" s="144">
        <f t="shared" si="14"/>
        <v>0.1400644893</v>
      </c>
      <c r="AN132" s="144">
        <f t="shared" si="15"/>
        <v>0</v>
      </c>
      <c r="AO132" s="167">
        <f t="shared" si="16"/>
        <v>-1.517912784</v>
      </c>
      <c r="AP132" s="167">
        <f t="shared" si="17"/>
        <v>-2.239632521</v>
      </c>
      <c r="AQ132" s="167">
        <f t="array" ref="AQ132">INDIRECT("Update"&amp;Projections!$AG$11&amp;"!S"&amp;ROW(B113))</f>
        <v>0.530243</v>
      </c>
      <c r="AR132" s="167">
        <f t="array" ref="AR132">INDIRECT("Update"&amp;Projections!$AG$11&amp;"!T"&amp;ROW(B113))</f>
        <v>0.79901</v>
      </c>
    </row>
    <row r="133">
      <c r="A133" s="50" t="str">
        <f>IF(UpdateHashtag!C131="",ROW(UpdateHashtag!C131),UpdateHashtag!C131)</f>
        <v>Grayson Allen</v>
      </c>
      <c r="B133" s="53">
        <f>IF(TYPE($A133)=1,"",(UpdateHashtag!M131-B$1)/B$2)</f>
        <v>-1.01311236</v>
      </c>
      <c r="C133" s="53">
        <f>IF(TYPE($A133)=1,"",(UpdateHashtag!L131-C$1)/C$2)</f>
        <v>0.415739467</v>
      </c>
      <c r="D133" s="53">
        <f>IF(TYPE($A133)=1,"",(UpdateHashtag!N131-D$1)/D$2)</f>
        <v>-1.145730194</v>
      </c>
      <c r="E133" s="53">
        <f>IF(TYPE($A133)=1,"",(UpdateHashtag!O131-E$1)/E$2)</f>
        <v>-0.7019456721</v>
      </c>
      <c r="F133" s="53">
        <f>IF(TYPE($A133)=1,"",(UpdateHashtag!P131-F$1)/F$2)</f>
        <v>-0.7471433709</v>
      </c>
      <c r="G133" s="53">
        <f>IF(TYPE($A133)=1,"",(UpdateHashtag!Q131-G$1)/G$2)</f>
        <v>-0.600341486</v>
      </c>
      <c r="H133" s="53">
        <f>IF(TYPE($A133)=1,"",(UpdateHashtag!I131-H$1)/H$2*I133/$I$1)</f>
        <v>-2.447068683</v>
      </c>
      <c r="I133" s="53">
        <f>UpdateHashtag!S131</f>
        <v>8</v>
      </c>
      <c r="J133" s="58">
        <f>IF(TYPE($A133)=1,"",(UpdateHashtag!K131-J$1)/J$2*K133/$K$1)</f>
        <v>2.847780984</v>
      </c>
      <c r="K133" s="59">
        <f>UpdateHashtag!T131</f>
        <v>1.7</v>
      </c>
      <c r="L133" s="53">
        <f>IF(TYPE($A133)=1,"",-(UpdateHashtag!R131-L$1)/L$2)</f>
        <v>0.7426238329</v>
      </c>
      <c r="N133" s="106">
        <f t="shared" si="3"/>
        <v>-0.5495090323</v>
      </c>
      <c r="O133" s="106">
        <f t="shared" si="4"/>
        <v>143</v>
      </c>
      <c r="P133" s="163" t="str">
        <f t="array" ref="P133">INDIRECT("Update"&amp;Projections!$AG$11&amp;"!B"&amp;ROW(B114))</f>
        <v/>
      </c>
      <c r="Q133" s="164" t="str">
        <f t="array" ref="Q133">INDIRECT("Update"&amp;Projections!$AG$11&amp;"!C"&amp;ROW(B114))</f>
        <v>Kyle Filipowski</v>
      </c>
      <c r="R133" s="163">
        <f>UpdateBBM!F114</f>
        <v>73</v>
      </c>
      <c r="S133" s="165" t="str">
        <f t="array" ref="S133">INDIRECT("Update"&amp;Projections!$AG$11&amp;"!D"&amp;ROW(B114))</f>
        <v>F,C</v>
      </c>
      <c r="T133" s="144">
        <f t="shared" si="5"/>
        <v>-1.537490568</v>
      </c>
      <c r="U133" s="144">
        <f>SUM(AF133:AN133)-IFERROR(IFS(Projections!$I$11,AO133,Projections!$J$11,AP133),"")</f>
        <v>-1.611418671</v>
      </c>
      <c r="V133" s="144">
        <f t="shared" si="6"/>
        <v>-0.07392810337</v>
      </c>
      <c r="W133" s="144">
        <f t="array" ref="W133">INDIRECT("Update"&amp;Projections!$AG$11&amp;"!M"&amp;ROW(B114))</f>
        <v>13.78123</v>
      </c>
      <c r="X133" s="144">
        <f t="array" ref="X133">INDIRECT("Update"&amp;Projections!$AG$11&amp;"!L"&amp;ROW(B114))</f>
        <v>1.469452</v>
      </c>
      <c r="Y133" s="144">
        <f t="array" ref="Y133">INDIRECT("Update"&amp;Projections!$AG$11&amp;"!N"&amp;ROW(B114))</f>
        <v>7.922466</v>
      </c>
      <c r="Z133" s="144">
        <f t="array" ref="Z133">INDIRECT("Update"&amp;Projections!$AG$11&amp;"!O"&amp;ROW(B114))</f>
        <v>2.008493</v>
      </c>
      <c r="AA133" s="144">
        <f t="array" ref="AA133">INDIRECT("Update"&amp;Projections!$AG$11&amp;"!P"&amp;ROW(B114))</f>
        <v>0.829863</v>
      </c>
      <c r="AB133" s="144">
        <f t="array" ref="AB133">INDIRECT("Update"&amp;Projections!$AG$11&amp;"!Q"&amp;ROW(B114))</f>
        <v>0.613699</v>
      </c>
      <c r="AC133" s="166">
        <f t="array" ref="AC133">INDIRECT("Update"&amp;Projections!$AG$11&amp;"!I"&amp;ROW(B114))</f>
        <v>0.515023</v>
      </c>
      <c r="AD133" s="166">
        <f t="array" ref="AD133">INDIRECT("Update"&amp;Projections!$AG$11&amp;"!K"&amp;ROW(B114))</f>
        <v>0.680021</v>
      </c>
      <c r="AE133" s="144">
        <f t="array" ref="AE133">INDIRECT("Update"&amp;Projections!$AG$11&amp;"!R"&amp;ROW(B114))</f>
        <v>1.450548</v>
      </c>
      <c r="AF133" s="144">
        <f t="shared" si="7"/>
        <v>-0.5953431496</v>
      </c>
      <c r="AG133" s="144">
        <f t="shared" si="8"/>
        <v>-0.2898482207</v>
      </c>
      <c r="AH133" s="144">
        <f t="shared" si="9"/>
        <v>0.7280030692</v>
      </c>
      <c r="AI133" s="144">
        <f t="shared" si="10"/>
        <v>-0.8932025173</v>
      </c>
      <c r="AJ133" s="144">
        <f t="shared" si="11"/>
        <v>-0.6561439402</v>
      </c>
      <c r="AK133" s="144">
        <f t="shared" si="12"/>
        <v>-0.2118383655</v>
      </c>
      <c r="AL133" s="144">
        <f t="shared" si="13"/>
        <v>0.3069544529</v>
      </c>
      <c r="AM133" s="144">
        <f t="shared" si="14"/>
        <v>-1.172014615</v>
      </c>
      <c r="AN133" s="144">
        <f t="shared" si="15"/>
        <v>0</v>
      </c>
      <c r="AO133" s="167">
        <f t="shared" si="16"/>
        <v>-1.172014615</v>
      </c>
      <c r="AP133" s="167">
        <f t="shared" si="17"/>
        <v>-2.065217132</v>
      </c>
      <c r="AQ133" s="167">
        <f t="array" ref="AQ133">INDIRECT("Update"&amp;Projections!$AG$11&amp;"!S"&amp;ROW(B114))</f>
        <v>0.515023</v>
      </c>
      <c r="AR133" s="167">
        <f t="array" ref="AR133">INDIRECT("Update"&amp;Projections!$AG$11&amp;"!T"&amp;ROW(B114))</f>
        <v>0.680021</v>
      </c>
    </row>
    <row r="134">
      <c r="A134" s="50" t="str">
        <f>IF(UpdateHashtag!C132="",ROW(UpdateHashtag!C132),UpdateHashtag!C132)</f>
        <v>Terance Mann</v>
      </c>
      <c r="B134" s="53">
        <f>IF(TYPE($A134)=1,"",(UpdateHashtag!M132-B$1)/B$2)</f>
        <v>-0.7499484425</v>
      </c>
      <c r="C134" s="53">
        <f>IF(TYPE($A134)=1,"",(UpdateHashtag!L132-C$1)/C$2)</f>
        <v>-0.4535106288</v>
      </c>
      <c r="D134" s="53">
        <f>IF(TYPE($A134)=1,"",(UpdateHashtag!N132-D$1)/D$2)</f>
        <v>-0.5376997843</v>
      </c>
      <c r="E134" s="53">
        <f>IF(TYPE($A134)=1,"",(UpdateHashtag!O132-E$1)/E$2)</f>
        <v>-0.5553913229</v>
      </c>
      <c r="F134" s="53">
        <f>IF(TYPE($A134)=1,"",(UpdateHashtag!P132-F$1)/F$2)</f>
        <v>-0.7471433709</v>
      </c>
      <c r="G134" s="53">
        <f>IF(TYPE($A134)=1,"",(UpdateHashtag!Q132-G$1)/G$2)</f>
        <v>-0.600341486</v>
      </c>
      <c r="H134" s="53">
        <f>IF(TYPE($A134)=1,"",(UpdateHashtag!I132-H$1)/H$2*I134/$I$1)</f>
        <v>5.245263046</v>
      </c>
      <c r="I134" s="53">
        <f>UpdateHashtag!S132</f>
        <v>9.8</v>
      </c>
      <c r="J134" s="58">
        <f>IF(TYPE($A134)=1,"",(UpdateHashtag!K132-J$1)/J$2*K134/$K$1)</f>
        <v>0.5450000416</v>
      </c>
      <c r="K134" s="59">
        <f>UpdateHashtag!T132</f>
        <v>1.9</v>
      </c>
      <c r="L134" s="53">
        <f>IF(TYPE($A134)=1,"",-(UpdateHashtag!R132-L$1)/L$2)</f>
        <v>0.643430979</v>
      </c>
      <c r="N134" s="106">
        <f t="shared" si="3"/>
        <v>-0.5655191502</v>
      </c>
      <c r="O134" s="106">
        <f t="shared" si="4"/>
        <v>108</v>
      </c>
      <c r="P134" s="163" t="str">
        <f t="array" ref="P134">INDIRECT("Update"&amp;Projections!$AG$11&amp;"!B"&amp;ROW(B115))</f>
        <v/>
      </c>
      <c r="Q134" s="164" t="str">
        <f t="array" ref="Q134">INDIRECT("Update"&amp;Projections!$AG$11&amp;"!C"&amp;ROW(B115))</f>
        <v>Nicolas Claxton</v>
      </c>
      <c r="R134" s="163">
        <f>UpdateBBM!F115</f>
        <v>60</v>
      </c>
      <c r="S134" s="165" t="str">
        <f t="array" ref="S134">INDIRECT("Update"&amp;Projections!$AG$11&amp;"!D"&amp;ROW(B115))</f>
        <v>C</v>
      </c>
      <c r="T134" s="144">
        <f t="shared" si="5"/>
        <v>-0.3000453485</v>
      </c>
      <c r="U134" s="144">
        <f>SUM(AF134:AN134)-IFERROR(IFS(Projections!$I$11,AO134,Projections!$J$11,AP134),"")</f>
        <v>-0.4407751273</v>
      </c>
      <c r="V134" s="144">
        <f t="shared" si="6"/>
        <v>-0.1407297788</v>
      </c>
      <c r="W134" s="144">
        <f t="array" ref="W134">INDIRECT("Update"&amp;Projections!$AG$11&amp;"!M"&amp;ROW(B115))</f>
        <v>11.80933</v>
      </c>
      <c r="X134" s="144">
        <f t="array" ref="X134">INDIRECT("Update"&amp;Projections!$AG$11&amp;"!L"&amp;ROW(B115))</f>
        <v>0.069333</v>
      </c>
      <c r="Y134" s="144">
        <f t="array" ref="Y134">INDIRECT("Update"&amp;Projections!$AG$11&amp;"!N"&amp;ROW(B115))</f>
        <v>7.593833</v>
      </c>
      <c r="Z134" s="144">
        <f t="array" ref="Z134">INDIRECT("Update"&amp;Projections!$AG$11&amp;"!O"&amp;ROW(B115))</f>
        <v>2.081333</v>
      </c>
      <c r="AA134" s="144">
        <f t="array" ref="AA134">INDIRECT("Update"&amp;Projections!$AG$11&amp;"!P"&amp;ROW(B115))</f>
        <v>0.7875</v>
      </c>
      <c r="AB134" s="144">
        <f t="array" ref="AB134">INDIRECT("Update"&amp;Projections!$AG$11&amp;"!Q"&amp;ROW(B115))</f>
        <v>1.577833</v>
      </c>
      <c r="AC134" s="166">
        <f t="array" ref="AC134">INDIRECT("Update"&amp;Projections!$AG$11&amp;"!I"&amp;ROW(B115))</f>
        <v>0.588503</v>
      </c>
      <c r="AD134" s="166">
        <f t="array" ref="AD134">INDIRECT("Update"&amp;Projections!$AG$11&amp;"!K"&amp;ROW(B115))</f>
        <v>0.536003</v>
      </c>
      <c r="AE134" s="144">
        <f t="array" ref="AE134">INDIRECT("Update"&amp;Projections!$AG$11&amp;"!R"&amp;ROW(B115))</f>
        <v>1.181167</v>
      </c>
      <c r="AF134" s="144">
        <f t="shared" si="7"/>
        <v>-0.9412984361</v>
      </c>
      <c r="AG134" s="144">
        <f t="shared" si="8"/>
        <v>-1.642129971</v>
      </c>
      <c r="AH134" s="144">
        <f t="shared" si="9"/>
        <v>0.5947904976</v>
      </c>
      <c r="AI134" s="144">
        <f t="shared" si="10"/>
        <v>-0.8576191213</v>
      </c>
      <c r="AJ134" s="144">
        <f t="shared" si="11"/>
        <v>-0.7852337463</v>
      </c>
      <c r="AK134" s="144">
        <f t="shared" si="12"/>
        <v>1.54094975</v>
      </c>
      <c r="AL134" s="144">
        <f t="shared" si="13"/>
        <v>1.649765899</v>
      </c>
      <c r="AM134" s="144">
        <f t="shared" si="14"/>
        <v>-2.155642788</v>
      </c>
      <c r="AN134" s="144">
        <f t="shared" si="15"/>
        <v>0</v>
      </c>
      <c r="AO134" s="167">
        <f t="shared" si="16"/>
        <v>-2.155642788</v>
      </c>
      <c r="AP134" s="167">
        <f t="shared" si="17"/>
        <v>-3.797772759</v>
      </c>
      <c r="AQ134" s="167">
        <f t="array" ref="AQ134">INDIRECT("Update"&amp;Projections!$AG$11&amp;"!S"&amp;ROW(B115))</f>
        <v>0.588503</v>
      </c>
      <c r="AR134" s="167">
        <f t="array" ref="AR134">INDIRECT("Update"&amp;Projections!$AG$11&amp;"!T"&amp;ROW(B115))</f>
        <v>0.536003</v>
      </c>
    </row>
    <row r="135">
      <c r="A135" s="50" t="str">
        <f>IF(UpdateHashtag!C133="",ROW(UpdateHashtag!C133),UpdateHashtag!C133)</f>
        <v>Bobby Portis</v>
      </c>
      <c r="B135" s="53">
        <f>IF(TYPE($A135)=1,"",(UpdateHashtag!M133-B$1)/B$2)</f>
        <v>-0.5394173082</v>
      </c>
      <c r="C135" s="53">
        <f>IF(TYPE($A135)=1,"",(UpdateHashtag!L133-C$1)/C$2)</f>
        <v>-0.4535106288</v>
      </c>
      <c r="D135" s="53">
        <f>IF(TYPE($A135)=1,"",(UpdateHashtag!N133-D$1)/D$2)</f>
        <v>0.8810378376</v>
      </c>
      <c r="E135" s="53">
        <f>IF(TYPE($A135)=1,"",(UpdateHashtag!O133-E$1)/E$2)</f>
        <v>-1.190460169</v>
      </c>
      <c r="F135" s="53">
        <f>IF(TYPE($A135)=1,"",(UpdateHashtag!P133-F$1)/F$2)</f>
        <v>-1.051866375</v>
      </c>
      <c r="G135" s="53">
        <f>IF(TYPE($A135)=1,"",(UpdateHashtag!Q133-G$1)/G$2)</f>
        <v>-0.7821407085</v>
      </c>
      <c r="H135" s="53">
        <f>IF(TYPE($A135)=1,"",(UpdateHashtag!I133-H$1)/H$2*I135/$I$1)</f>
        <v>2.355120425</v>
      </c>
      <c r="I135" s="53">
        <f>UpdateHashtag!S133</f>
        <v>11.5</v>
      </c>
      <c r="J135" s="58">
        <f>IF(TYPE($A135)=1,"",(UpdateHashtag!K133-J$1)/J$2*K135/$K$1)</f>
        <v>-0.2990848399</v>
      </c>
      <c r="K135" s="59">
        <f>UpdateHashtag!T133</f>
        <v>1.7</v>
      </c>
      <c r="L135" s="53">
        <f>IF(TYPE($A135)=1,"",-(UpdateHashtag!R133-L$1)/L$2)</f>
        <v>0.643430979</v>
      </c>
      <c r="N135" s="106">
        <f t="shared" si="3"/>
        <v>-0.5725595181</v>
      </c>
      <c r="O135" s="106">
        <f t="shared" si="4"/>
        <v>129</v>
      </c>
      <c r="P135" s="163" t="str">
        <f t="array" ref="P135">INDIRECT("Update"&amp;Projections!$AG$11&amp;"!B"&amp;ROW(B116))</f>
        <v/>
      </c>
      <c r="Q135" s="164" t="str">
        <f t="array" ref="Q135">INDIRECT("Update"&amp;Projections!$AG$11&amp;"!C"&amp;ROW(B116))</f>
        <v>De'Andre Hunter</v>
      </c>
      <c r="R135" s="163">
        <f>UpdateBBM!F116</f>
        <v>68</v>
      </c>
      <c r="S135" s="165" t="str">
        <f t="array" ref="S135">INDIRECT("Update"&amp;Projections!$AG$11&amp;"!D"&amp;ROW(B116))</f>
        <v>F</v>
      </c>
      <c r="T135" s="144">
        <f t="shared" si="5"/>
        <v>-1.128991187</v>
      </c>
      <c r="U135" s="144">
        <f>SUM(AF135:AN135)-IFERROR(IFS(Projections!$I$11,AO135,Projections!$J$11,AP135),"")</f>
        <v>-1.211114604</v>
      </c>
      <c r="V135" s="144">
        <f t="shared" si="6"/>
        <v>-0.08212341696</v>
      </c>
      <c r="W135" s="144">
        <f t="array" ref="W135">INDIRECT("Update"&amp;Projections!$AG$11&amp;"!M"&amp;ROW(B116))</f>
        <v>16.43294</v>
      </c>
      <c r="X135" s="144">
        <f t="array" ref="X135">INDIRECT("Update"&amp;Projections!$AG$11&amp;"!L"&amp;ROW(B116))</f>
        <v>2.471912</v>
      </c>
      <c r="Y135" s="144">
        <f t="array" ref="Y135">INDIRECT("Update"&amp;Projections!$AG$11&amp;"!N"&amp;ROW(B116))</f>
        <v>5.218382</v>
      </c>
      <c r="Z135" s="144">
        <f t="array" ref="Z135">INDIRECT("Update"&amp;Projections!$AG$11&amp;"!O"&amp;ROW(B116))</f>
        <v>1.790294</v>
      </c>
      <c r="AA135" s="144">
        <f t="array" ref="AA135">INDIRECT("Update"&amp;Projections!$AG$11&amp;"!P"&amp;ROW(B116))</f>
        <v>0.800147</v>
      </c>
      <c r="AB135" s="144">
        <f t="array" ref="AB135">INDIRECT("Update"&amp;Projections!$AG$11&amp;"!Q"&amp;ROW(B116))</f>
        <v>0.391324</v>
      </c>
      <c r="AC135" s="166">
        <f t="array" ref="AC135">INDIRECT("Update"&amp;Projections!$AG$11&amp;"!I"&amp;ROW(B116))</f>
        <v>0.463077</v>
      </c>
      <c r="AD135" s="166">
        <f t="array" ref="AD135">INDIRECT("Update"&amp;Projections!$AG$11&amp;"!K"&amp;ROW(B116))</f>
        <v>0.819983</v>
      </c>
      <c r="AE135" s="144">
        <f t="array" ref="AE135">INDIRECT("Update"&amp;Projections!$AG$11&amp;"!R"&amp;ROW(B116))</f>
        <v>1.4175</v>
      </c>
      <c r="AF135" s="144">
        <f t="shared" si="7"/>
        <v>-0.1301202211</v>
      </c>
      <c r="AG135" s="144">
        <f t="shared" si="8"/>
        <v>0.6783611693</v>
      </c>
      <c r="AH135" s="144">
        <f t="shared" si="9"/>
        <v>-0.3681071318</v>
      </c>
      <c r="AI135" s="144">
        <f t="shared" si="10"/>
        <v>-0.999795892</v>
      </c>
      <c r="AJ135" s="144">
        <f t="shared" si="11"/>
        <v>-0.746695428</v>
      </c>
      <c r="AK135" s="144">
        <f t="shared" si="12"/>
        <v>-0.6161143866</v>
      </c>
      <c r="AL135" s="144">
        <f t="shared" si="13"/>
        <v>-0.4466128556</v>
      </c>
      <c r="AM135" s="144">
        <f t="shared" si="14"/>
        <v>0.4181742496</v>
      </c>
      <c r="AN135" s="144">
        <f t="shared" si="15"/>
        <v>0</v>
      </c>
      <c r="AO135" s="167">
        <f t="shared" si="16"/>
        <v>-0.999795892</v>
      </c>
      <c r="AP135" s="167">
        <f t="shared" si="17"/>
        <v>-1.74649132</v>
      </c>
      <c r="AQ135" s="167">
        <f t="array" ref="AQ135">INDIRECT("Update"&amp;Projections!$AG$11&amp;"!S"&amp;ROW(B116))</f>
        <v>0.463077</v>
      </c>
      <c r="AR135" s="167">
        <f t="array" ref="AR135">INDIRECT("Update"&amp;Projections!$AG$11&amp;"!T"&amp;ROW(B116))</f>
        <v>0.819983</v>
      </c>
    </row>
    <row r="136">
      <c r="A136" s="50" t="str">
        <f>IF(UpdateHashtag!C134="",ROW(UpdateHashtag!C134),UpdateHashtag!C134)</f>
        <v>Keyonte George</v>
      </c>
      <c r="B136" s="53">
        <f>IF(TYPE($A136)=1,"",(UpdateHashtag!M134-B$1)/B$2)</f>
        <v>-0.1534435619</v>
      </c>
      <c r="C136" s="53">
        <f>IF(TYPE($A136)=1,"",(UpdateHashtag!L134-C$1)/C$2)</f>
        <v>0.608906155</v>
      </c>
      <c r="D136" s="53">
        <f>IF(TYPE($A136)=1,"",(UpdateHashtag!N134-D$1)/D$2)</f>
        <v>-1.145730194</v>
      </c>
      <c r="E136" s="53">
        <f>IF(TYPE($A136)=1,"",(UpdateHashtag!O134-E$1)/E$2)</f>
        <v>0.6658949198</v>
      </c>
      <c r="F136" s="53">
        <f>IF(TYPE($A136)=1,"",(UpdateHashtag!P134-F$1)/F$2)</f>
        <v>-1.356589379</v>
      </c>
      <c r="G136" s="53">
        <f>IF(TYPE($A136)=1,"",(UpdateHashtag!Q134-G$1)/G$2)</f>
        <v>-0.963939931</v>
      </c>
      <c r="H136" s="53">
        <f>IF(TYPE($A136)=1,"",(UpdateHashtag!I134-H$1)/H$2*I136/$I$1)</f>
        <v>-28.35924686</v>
      </c>
      <c r="I136" s="53">
        <f>UpdateHashtag!S134</f>
        <v>12.9</v>
      </c>
      <c r="J136" s="58">
        <f>IF(TYPE($A136)=1,"",(UpdateHashtag!K134-J$1)/J$2*K136/$K$1)</f>
        <v>3.517291092</v>
      </c>
      <c r="K136" s="59">
        <f>UpdateHashtag!T134</f>
        <v>3.5</v>
      </c>
      <c r="L136" s="53">
        <f>IF(TYPE($A136)=1,"",-(UpdateHashtag!R134-L$1)/L$2)</f>
        <v>-0.8444618296</v>
      </c>
      <c r="N136" s="106">
        <f t="shared" si="3"/>
        <v>-0.6256307036</v>
      </c>
      <c r="O136" s="106">
        <f t="shared" si="4"/>
        <v>115</v>
      </c>
      <c r="P136" s="163" t="str">
        <f t="array" ref="P136">INDIRECT("Update"&amp;Projections!$AG$11&amp;"!B"&amp;ROW(B117))</f>
        <v/>
      </c>
      <c r="Q136" s="164" t="str">
        <f t="array" ref="Q136">INDIRECT("Update"&amp;Projections!$AG$11&amp;"!C"&amp;ROW(B117))</f>
        <v>Sam Hauser</v>
      </c>
      <c r="R136" s="163">
        <f>UpdateBBM!F117</f>
        <v>62</v>
      </c>
      <c r="S136" s="165" t="str">
        <f t="array" ref="S136">INDIRECT("Update"&amp;Projections!$AG$11&amp;"!D"&amp;ROW(B117))</f>
        <v>F</v>
      </c>
      <c r="T136" s="144">
        <f t="shared" si="5"/>
        <v>-0.5725595181</v>
      </c>
      <c r="U136" s="144">
        <f>SUM(AF136:AN136)-IFERROR(IFS(Projections!$I$11,AO136,Projections!$J$11,AP136),"")</f>
        <v>-0.8625279214</v>
      </c>
      <c r="V136" s="144">
        <f t="shared" si="6"/>
        <v>-0.2899684033</v>
      </c>
      <c r="W136" s="144">
        <f t="array" ref="W136">INDIRECT("Update"&amp;Projections!$AG$11&amp;"!M"&amp;ROW(B117))</f>
        <v>11.94903</v>
      </c>
      <c r="X136" s="144">
        <f t="array" ref="X136">INDIRECT("Update"&amp;Projections!$AG$11&amp;"!L"&amp;ROW(B117))</f>
        <v>3.13629</v>
      </c>
      <c r="Y136" s="144">
        <f t="array" ref="Y136">INDIRECT("Update"&amp;Projections!$AG$11&amp;"!N"&amp;ROW(B117))</f>
        <v>4.750806</v>
      </c>
      <c r="Z136" s="144">
        <f t="array" ref="Z136">INDIRECT("Update"&amp;Projections!$AG$11&amp;"!O"&amp;ROW(B117))</f>
        <v>1.680161</v>
      </c>
      <c r="AA136" s="144">
        <f t="array" ref="AA136">INDIRECT("Update"&amp;Projections!$AG$11&amp;"!P"&amp;ROW(B117))</f>
        <v>0.713387</v>
      </c>
      <c r="AB136" s="144">
        <f t="array" ref="AB136">INDIRECT("Update"&amp;Projections!$AG$11&amp;"!Q"&amp;ROW(B117))</f>
        <v>0.285</v>
      </c>
      <c r="AC136" s="166">
        <f t="array" ref="AC136">INDIRECT("Update"&amp;Projections!$AG$11&amp;"!I"&amp;ROW(B117))</f>
        <v>0.434489</v>
      </c>
      <c r="AD136" s="166">
        <f t="array" ref="AD136">INDIRECT("Update"&amp;Projections!$AG$11&amp;"!K"&amp;ROW(B117))</f>
        <v>0.918029</v>
      </c>
      <c r="AE136" s="144">
        <f t="array" ref="AE136">INDIRECT("Update"&amp;Projections!$AG$11&amp;"!R"&amp;ROW(B117))</f>
        <v>0.579355</v>
      </c>
      <c r="AF136" s="144">
        <f t="shared" si="7"/>
        <v>-0.9167891032</v>
      </c>
      <c r="AG136" s="144">
        <f t="shared" si="8"/>
        <v>1.320039658</v>
      </c>
      <c r="AH136" s="144">
        <f t="shared" si="9"/>
        <v>-0.5576407496</v>
      </c>
      <c r="AI136" s="144">
        <f t="shared" si="10"/>
        <v>-1.053597459</v>
      </c>
      <c r="AJ136" s="144">
        <f t="shared" si="11"/>
        <v>-1.011073106</v>
      </c>
      <c r="AK136" s="144">
        <f t="shared" si="12"/>
        <v>-0.8094105919</v>
      </c>
      <c r="AL136" s="144">
        <f t="shared" si="13"/>
        <v>-0.7921708242</v>
      </c>
      <c r="AM136" s="144">
        <f t="shared" si="14"/>
        <v>1.904516795</v>
      </c>
      <c r="AN136" s="144">
        <f t="shared" si="15"/>
        <v>0</v>
      </c>
      <c r="AO136" s="167">
        <f t="shared" si="16"/>
        <v>-1.053597459</v>
      </c>
      <c r="AP136" s="167">
        <f t="shared" si="17"/>
        <v>-2.064670565</v>
      </c>
      <c r="AQ136" s="167">
        <f t="array" ref="AQ136">INDIRECT("Update"&amp;Projections!$AG$11&amp;"!S"&amp;ROW(B117))</f>
        <v>0.434489</v>
      </c>
      <c r="AR136" s="167">
        <f t="array" ref="AR136">INDIRECT("Update"&amp;Projections!$AG$11&amp;"!T"&amp;ROW(B117))</f>
        <v>0.918029</v>
      </c>
    </row>
    <row r="137">
      <c r="A137" s="50" t="str">
        <f>IF(UpdateHashtag!C135="",ROW(UpdateHashtag!C135),UpdateHashtag!C135)</f>
        <v>Kentavious Caldwell-Pope</v>
      </c>
      <c r="B137" s="53">
        <f>IF(TYPE($A137)=1,"",(UpdateHashtag!M135-B$1)/B$2)</f>
        <v>-1.241187756</v>
      </c>
      <c r="C137" s="53">
        <f>IF(TYPE($A137)=1,"",(UpdateHashtag!L135-C$1)/C$2)</f>
        <v>-0.06717725286</v>
      </c>
      <c r="D137" s="53">
        <f>IF(TYPE($A137)=1,"",(UpdateHashtag!N135-D$1)/D$2)</f>
        <v>-1.470013079</v>
      </c>
      <c r="E137" s="53">
        <f>IF(TYPE($A137)=1,"",(UpdateHashtag!O135-E$1)/E$2)</f>
        <v>-0.7507971218</v>
      </c>
      <c r="F137" s="53">
        <f>IF(TYPE($A137)=1,"",(UpdateHashtag!P135-F$1)/F$2)</f>
        <v>0.7764716483</v>
      </c>
      <c r="G137" s="53">
        <f>IF(TYPE($A137)=1,"",(UpdateHashtag!Q135-G$1)/G$2)</f>
        <v>-0.4185422635</v>
      </c>
      <c r="H137" s="53">
        <f>IF(TYPE($A137)=1,"",(UpdateHashtag!I135-H$1)/H$2*I137/$I$1)</f>
        <v>-8.009343251</v>
      </c>
      <c r="I137" s="53">
        <f>UpdateHashtag!S135</f>
        <v>7.8</v>
      </c>
      <c r="J137" s="58">
        <f>IF(TYPE($A137)=1,"",(UpdateHashtag!K135-J$1)/J$2*K137/$K$1)</f>
        <v>1.74677653</v>
      </c>
      <c r="K137" s="59">
        <f>UpdateHashtag!T135</f>
        <v>1.5</v>
      </c>
      <c r="L137" s="53">
        <f>IF(TYPE($A137)=1,"",-(UpdateHashtag!R135-L$1)/L$2)</f>
        <v>0.7426238329</v>
      </c>
      <c r="N137" s="106">
        <f t="shared" si="3"/>
        <v>-0.6673581307</v>
      </c>
      <c r="O137" s="106">
        <f t="shared" si="4"/>
        <v>125</v>
      </c>
      <c r="P137" s="163" t="str">
        <f t="array" ref="P137">INDIRECT("Update"&amp;Projections!$AG$11&amp;"!B"&amp;ROW(B118))</f>
        <v/>
      </c>
      <c r="Q137" s="164" t="str">
        <f t="array" ref="Q137">INDIRECT("Update"&amp;Projections!$AG$11&amp;"!C"&amp;ROW(B118))</f>
        <v>DeMar DeRozan</v>
      </c>
      <c r="R137" s="163">
        <f>UpdateBBM!F118</f>
        <v>73</v>
      </c>
      <c r="S137" s="165" t="str">
        <f t="array" ref="S137">INDIRECT("Update"&amp;Projections!$AG$11&amp;"!D"&amp;ROW(B118))</f>
        <v>F</v>
      </c>
      <c r="T137" s="144">
        <f t="shared" si="5"/>
        <v>-0.8616651187</v>
      </c>
      <c r="U137" s="144">
        <f>SUM(AF137:AN137)-IFERROR(IFS(Projections!$I$11,AO137,Projections!$J$11,AP137),"")</f>
        <v>-0.9959582732</v>
      </c>
      <c r="V137" s="144">
        <f t="shared" si="6"/>
        <v>-0.1342931545</v>
      </c>
      <c r="W137" s="144">
        <f t="array" ref="W137">INDIRECT("Update"&amp;Projections!$AG$11&amp;"!M"&amp;ROW(B118))</f>
        <v>21.72589</v>
      </c>
      <c r="X137" s="144">
        <f t="array" ref="X137">INDIRECT("Update"&amp;Projections!$AG$11&amp;"!L"&amp;ROW(B118))</f>
        <v>1.232329</v>
      </c>
      <c r="Y137" s="144">
        <f t="array" ref="Y137">INDIRECT("Update"&amp;Projections!$AG$11&amp;"!N"&amp;ROW(B118))</f>
        <v>3.74863</v>
      </c>
      <c r="Z137" s="144">
        <f t="array" ref="Z137">INDIRECT("Update"&amp;Projections!$AG$11&amp;"!O"&amp;ROW(B118))</f>
        <v>4.102329</v>
      </c>
      <c r="AA137" s="144">
        <f t="array" ref="AA137">INDIRECT("Update"&amp;Projections!$AG$11&amp;"!P"&amp;ROW(B118))</f>
        <v>0.491918</v>
      </c>
      <c r="AB137" s="144">
        <f t="array" ref="AB137">INDIRECT("Update"&amp;Projections!$AG$11&amp;"!Q"&amp;ROW(B118))</f>
        <v>0.355342</v>
      </c>
      <c r="AC137" s="166">
        <f t="array" ref="AC137">INDIRECT("Update"&amp;Projections!$AG$11&amp;"!I"&amp;ROW(B118))</f>
        <v>0.462299</v>
      </c>
      <c r="AD137" s="166">
        <f t="array" ref="AD137">INDIRECT("Update"&amp;Projections!$AG$11&amp;"!K"&amp;ROW(B118))</f>
        <v>0.840009</v>
      </c>
      <c r="AE137" s="144">
        <f t="array" ref="AE137">INDIRECT("Update"&amp;Projections!$AG$11&amp;"!R"&amp;ROW(B118))</f>
        <v>1.207123</v>
      </c>
      <c r="AF137" s="144">
        <f t="shared" si="7"/>
        <v>0.7984887518</v>
      </c>
      <c r="AG137" s="144">
        <f t="shared" si="8"/>
        <v>-0.5188695435</v>
      </c>
      <c r="AH137" s="144">
        <f t="shared" si="9"/>
        <v>-0.9638764053</v>
      </c>
      <c r="AI137" s="144">
        <f t="shared" si="10"/>
        <v>0.1296667232</v>
      </c>
      <c r="AJ137" s="144">
        <f t="shared" si="11"/>
        <v>-1.685940096</v>
      </c>
      <c r="AK137" s="144">
        <f t="shared" si="12"/>
        <v>-0.6815293828</v>
      </c>
      <c r="AL137" s="144">
        <f t="shared" si="13"/>
        <v>-0.4566668913</v>
      </c>
      <c r="AM137" s="144">
        <f t="shared" si="14"/>
        <v>0.6968284746</v>
      </c>
      <c r="AN137" s="144">
        <f t="shared" si="15"/>
        <v>0</v>
      </c>
      <c r="AO137" s="167">
        <f t="shared" si="16"/>
        <v>-1.685940096</v>
      </c>
      <c r="AP137" s="167">
        <f t="shared" si="17"/>
        <v>-2.649816501</v>
      </c>
      <c r="AQ137" s="167">
        <f t="array" ref="AQ137">INDIRECT("Update"&amp;Projections!$AG$11&amp;"!S"&amp;ROW(B118))</f>
        <v>0.462299</v>
      </c>
      <c r="AR137" s="167">
        <f t="array" ref="AR137">INDIRECT("Update"&amp;Projections!$AG$11&amp;"!T"&amp;ROW(B118))</f>
        <v>0.840009</v>
      </c>
    </row>
    <row r="138">
      <c r="A138" s="50" t="str">
        <f>IF(UpdateHashtag!C136="",ROW(UpdateHashtag!C136),UpdateHashtag!C136)</f>
        <v>Alexandre Sarr</v>
      </c>
      <c r="B138" s="53">
        <f>IF(TYPE($A138)=1,"",(UpdateHashtag!M136-B$1)/B$2)</f>
        <v>-0.8727582709</v>
      </c>
      <c r="C138" s="53">
        <f>IF(TYPE($A138)=1,"",(UpdateHashtag!L136-C$1)/C$2)</f>
        <v>-0.8398440047</v>
      </c>
      <c r="D138" s="53">
        <f>IF(TYPE($A138)=1,"",(UpdateHashtag!N136-D$1)/D$2)</f>
        <v>0.1108659857</v>
      </c>
      <c r="E138" s="53">
        <f>IF(TYPE($A138)=1,"",(UpdateHashtag!O136-E$1)/E$2)</f>
        <v>-1.239311619</v>
      </c>
      <c r="F138" s="53">
        <f>IF(TYPE($A138)=1,"",(UpdateHashtag!P136-F$1)/F$2)</f>
        <v>-0.7471433709</v>
      </c>
      <c r="G138" s="53">
        <f>IF(TYPE($A138)=1,"",(UpdateHashtag!Q136-G$1)/G$2)</f>
        <v>2.126646851</v>
      </c>
      <c r="H138" s="53">
        <f>IF(TYPE($A138)=1,"",(UpdateHashtag!I136-H$1)/H$2*I138/$I$1)</f>
        <v>-14.17356329</v>
      </c>
      <c r="I138" s="53">
        <f>UpdateHashtag!S136</f>
        <v>10</v>
      </c>
      <c r="J138" s="58">
        <f>IF(TYPE($A138)=1,"",(UpdateHashtag!K136-J$1)/J$2*K138/$K$1)</f>
        <v>-4.179085962</v>
      </c>
      <c r="K138" s="59">
        <f>UpdateHashtag!T136</f>
        <v>3.4</v>
      </c>
      <c r="L138" s="53">
        <f>IF(TYPE($A138)=1,"",-(UpdateHashtag!R136-L$1)/L$2)</f>
        <v>0.4450452712</v>
      </c>
      <c r="N138" s="106">
        <f t="shared" si="3"/>
        <v>-0.6834697755</v>
      </c>
      <c r="O138" s="106">
        <f t="shared" si="4"/>
        <v>81</v>
      </c>
      <c r="P138" s="163" t="str">
        <f t="array" ref="P138">INDIRECT("Update"&amp;Projections!$AG$11&amp;"!B"&amp;ROW(B119))</f>
        <v/>
      </c>
      <c r="Q138" s="164" t="str">
        <f t="array" ref="Q138">INDIRECT("Update"&amp;Projections!$AG$11&amp;"!C"&amp;ROW(B119))</f>
        <v>Mitchell Robinson</v>
      </c>
      <c r="R138" s="163">
        <f>UpdateBBM!F119</f>
        <v>68</v>
      </c>
      <c r="S138" s="165" t="str">
        <f t="array" ref="S138">INDIRECT("Update"&amp;Projections!$AG$11&amp;"!D"&amp;ROW(B119))</f>
        <v>C</v>
      </c>
      <c r="T138" s="144">
        <f t="shared" si="5"/>
        <v>0.6707148555</v>
      </c>
      <c r="U138" s="144">
        <f>SUM(AF138:AN138)-IFERROR(IFS(Projections!$I$11,AO138,Projections!$J$11,AP138),"")</f>
        <v>0.4198177734</v>
      </c>
      <c r="V138" s="144">
        <f t="shared" si="6"/>
        <v>-0.2508970821</v>
      </c>
      <c r="W138" s="144">
        <f t="array" ref="W138">INDIRECT("Update"&amp;Projections!$AG$11&amp;"!M"&amp;ROW(B119))</f>
        <v>7.251618</v>
      </c>
      <c r="X138" s="144">
        <f t="array" ref="X138">INDIRECT("Update"&amp;Projections!$AG$11&amp;"!L"&amp;ROW(B119))</f>
        <v>0</v>
      </c>
      <c r="Y138" s="144">
        <f t="array" ref="Y138">INDIRECT("Update"&amp;Projections!$AG$11&amp;"!N"&amp;ROW(B119))</f>
        <v>8.464559</v>
      </c>
      <c r="Z138" s="144">
        <f t="array" ref="Z138">INDIRECT("Update"&amp;Projections!$AG$11&amp;"!O"&amp;ROW(B119))</f>
        <v>0.770588</v>
      </c>
      <c r="AA138" s="144">
        <f t="array" ref="AA138">INDIRECT("Update"&amp;Projections!$AG$11&amp;"!P"&amp;ROW(B119))</f>
        <v>0.99</v>
      </c>
      <c r="AB138" s="144">
        <f t="array" ref="AB138">INDIRECT("Update"&amp;Projections!$AG$11&amp;"!Q"&amp;ROW(B119))</f>
        <v>1.485</v>
      </c>
      <c r="AC138" s="166">
        <f t="array" ref="AC138">INDIRECT("Update"&amp;Projections!$AG$11&amp;"!I"&amp;ROW(B119))</f>
        <v>0.657908</v>
      </c>
      <c r="AD138" s="166">
        <f t="array" ref="AD138">INDIRECT("Update"&amp;Projections!$AG$11&amp;"!K"&amp;ROW(B119))</f>
        <v>0.51302</v>
      </c>
      <c r="AE138" s="144">
        <f t="array" ref="AE138">INDIRECT("Update"&amp;Projections!$AG$11&amp;"!R"&amp;ROW(B119))</f>
        <v>0.736912</v>
      </c>
      <c r="AF138" s="144">
        <f t="shared" si="7"/>
        <v>-1.740915334</v>
      </c>
      <c r="AG138" s="144">
        <f t="shared" si="8"/>
        <v>-1.709094101</v>
      </c>
      <c r="AH138" s="144">
        <f t="shared" si="9"/>
        <v>0.9477424217</v>
      </c>
      <c r="AI138" s="144">
        <f t="shared" si="10"/>
        <v>-1.497937056</v>
      </c>
      <c r="AJ138" s="144">
        <f t="shared" si="11"/>
        <v>-0.1681696636</v>
      </c>
      <c r="AK138" s="144">
        <f t="shared" si="12"/>
        <v>1.372180078</v>
      </c>
      <c r="AL138" s="144">
        <f t="shared" si="13"/>
        <v>3.216011427</v>
      </c>
      <c r="AM138" s="144">
        <f t="shared" si="14"/>
        <v>-2.251365589</v>
      </c>
      <c r="AN138" s="144">
        <f t="shared" si="15"/>
        <v>0</v>
      </c>
      <c r="AO138" s="167">
        <f t="shared" si="16"/>
        <v>-2.251365589</v>
      </c>
      <c r="AP138" s="167">
        <f t="shared" si="17"/>
        <v>-3.992280923</v>
      </c>
      <c r="AQ138" s="167">
        <f t="array" ref="AQ138">INDIRECT("Update"&amp;Projections!$AG$11&amp;"!S"&amp;ROW(B119))</f>
        <v>0.657908</v>
      </c>
      <c r="AR138" s="167">
        <f t="array" ref="AR138">INDIRECT("Update"&amp;Projections!$AG$11&amp;"!T"&amp;ROW(B119))</f>
        <v>0.51302</v>
      </c>
    </row>
    <row r="139">
      <c r="A139" s="50" t="str">
        <f>IF(UpdateHashtag!C137="",ROW(UpdateHashtag!C137),UpdateHashtag!C137)</f>
        <v>Jaden Ivey</v>
      </c>
      <c r="B139" s="53">
        <f>IF(TYPE($A139)=1,"",(UpdateHashtag!M137-B$1)/B$2)</f>
        <v>0.2149859232</v>
      </c>
      <c r="C139" s="53">
        <f>IF(TYPE($A139)=1,"",(UpdateHashtag!L137-C$1)/C$2)</f>
        <v>0.415739467</v>
      </c>
      <c r="D139" s="53">
        <f>IF(TYPE($A139)=1,"",(UpdateHashtag!N137-D$1)/D$2)</f>
        <v>-0.9835887512</v>
      </c>
      <c r="E139" s="53">
        <f>IF(TYPE($A139)=1,"",(UpdateHashtag!O137-E$1)/E$2)</f>
        <v>0.3727862215</v>
      </c>
      <c r="F139" s="53">
        <f>IF(TYPE($A139)=1,"",(UpdateHashtag!P137-F$1)/F$2)</f>
        <v>-0.7471433709</v>
      </c>
      <c r="G139" s="53">
        <f>IF(TYPE($A139)=1,"",(UpdateHashtag!Q137-G$1)/G$2)</f>
        <v>-0.236743041</v>
      </c>
      <c r="H139" s="53">
        <f>IF(TYPE($A139)=1,"",(UpdateHashtag!I137-H$1)/H$2*I139/$I$1)</f>
        <v>-26.75653193</v>
      </c>
      <c r="I139" s="53">
        <f>UpdateHashtag!S137</f>
        <v>14.8</v>
      </c>
      <c r="J139" s="58">
        <f>IF(TYPE($A139)=1,"",(UpdateHashtag!K137-J$1)/J$2*K139/$K$1)</f>
        <v>-2.037954744</v>
      </c>
      <c r="K139" s="59">
        <f>UpdateHashtag!T137</f>
        <v>4.4</v>
      </c>
      <c r="L139" s="53">
        <f>IF(TYPE($A139)=1,"",-(UpdateHashtag!R137-L$1)/L$2)</f>
        <v>-0.9436546835</v>
      </c>
      <c r="N139" s="106">
        <f t="shared" si="3"/>
        <v>-0.7085231883</v>
      </c>
      <c r="O139" s="106">
        <f t="shared" si="4"/>
        <v>126</v>
      </c>
      <c r="P139" s="163" t="str">
        <f t="array" ref="P139">INDIRECT("Update"&amp;Projections!$AG$11&amp;"!B"&amp;ROW(B120))</f>
        <v/>
      </c>
      <c r="Q139" s="164" t="str">
        <f t="array" ref="Q139">INDIRECT("Update"&amp;Projections!$AG$11&amp;"!C"&amp;ROW(B120))</f>
        <v>Lonzo Ball</v>
      </c>
      <c r="R139" s="163">
        <f>UpdateBBM!F120</f>
        <v>54</v>
      </c>
      <c r="S139" s="165" t="str">
        <f t="array" ref="S139">INDIRECT("Update"&amp;Projections!$AG$11&amp;"!D"&amp;ROW(B120))</f>
        <v>G</v>
      </c>
      <c r="T139" s="144">
        <f t="shared" si="5"/>
        <v>-0.8949480202</v>
      </c>
      <c r="U139" s="144">
        <f>SUM(AF139:AN139)-IFERROR(IFS(Projections!$I$11,AO139,Projections!$J$11,AP139),"")</f>
        <v>-1.040559575</v>
      </c>
      <c r="V139" s="144">
        <f t="shared" si="6"/>
        <v>-0.1456115551</v>
      </c>
      <c r="W139" s="144">
        <f t="array" ref="W139">INDIRECT("Update"&amp;Projections!$AG$11&amp;"!M"&amp;ROW(B120))</f>
        <v>8.639815</v>
      </c>
      <c r="X139" s="144">
        <f t="array" ref="X139">INDIRECT("Update"&amp;Projections!$AG$11&amp;"!L"&amp;ROW(B120))</f>
        <v>2.183148</v>
      </c>
      <c r="Y139" s="144">
        <f t="array" ref="Y139">INDIRECT("Update"&amp;Projections!$AG$11&amp;"!N"&amp;ROW(B120))</f>
        <v>3.737037</v>
      </c>
      <c r="Z139" s="144">
        <f t="array" ref="Z139">INDIRECT("Update"&amp;Projections!$AG$11&amp;"!O"&amp;ROW(B120))</f>
        <v>3.428148</v>
      </c>
      <c r="AA139" s="144">
        <f t="array" ref="AA139">INDIRECT("Update"&amp;Projections!$AG$11&amp;"!P"&amp;ROW(B120))</f>
        <v>1.389259</v>
      </c>
      <c r="AB139" s="144">
        <f t="array" ref="AB139">INDIRECT("Update"&amp;Projections!$AG$11&amp;"!Q"&amp;ROW(B120))</f>
        <v>0.510556</v>
      </c>
      <c r="AC139" s="166">
        <f t="array" ref="AC139">INDIRECT("Update"&amp;Projections!$AG$11&amp;"!I"&amp;ROW(B120))</f>
        <v>0.383897</v>
      </c>
      <c r="AD139" s="166">
        <f t="array" ref="AD139">INDIRECT("Update"&amp;Projections!$AG$11&amp;"!K"&amp;ROW(B120))</f>
        <v>0.815867</v>
      </c>
      <c r="AE139" s="144">
        <f t="array" ref="AE139">INDIRECT("Update"&amp;Projections!$AG$11&amp;"!R"&amp;ROW(B120))</f>
        <v>1.161481</v>
      </c>
      <c r="AF139" s="144">
        <f t="shared" si="7"/>
        <v>-1.497366426</v>
      </c>
      <c r="AG139" s="144">
        <f t="shared" si="8"/>
        <v>0.3994632419</v>
      </c>
      <c r="AH139" s="144">
        <f t="shared" si="9"/>
        <v>-0.9685756696</v>
      </c>
      <c r="AI139" s="144">
        <f t="shared" si="10"/>
        <v>-0.1996804689</v>
      </c>
      <c r="AJ139" s="144">
        <f t="shared" si="11"/>
        <v>1.048464354</v>
      </c>
      <c r="AK139" s="144">
        <f t="shared" si="12"/>
        <v>-0.3993515376</v>
      </c>
      <c r="AL139" s="144">
        <f t="shared" si="13"/>
        <v>-1.283366856</v>
      </c>
      <c r="AM139" s="144">
        <f t="shared" si="14"/>
        <v>0.3624873604</v>
      </c>
      <c r="AN139" s="144">
        <f t="shared" si="15"/>
        <v>0</v>
      </c>
      <c r="AO139" s="167">
        <f t="shared" si="16"/>
        <v>-1.497366426</v>
      </c>
      <c r="AP139" s="167">
        <f t="shared" si="17"/>
        <v>-2.780733282</v>
      </c>
      <c r="AQ139" s="167">
        <f t="array" ref="AQ139">INDIRECT("Update"&amp;Projections!$AG$11&amp;"!S"&amp;ROW(B120))</f>
        <v>0.383897</v>
      </c>
      <c r="AR139" s="167">
        <f t="array" ref="AR139">INDIRECT("Update"&amp;Projections!$AG$11&amp;"!T"&amp;ROW(B120))</f>
        <v>0.815867</v>
      </c>
    </row>
    <row r="140">
      <c r="A140" s="50" t="str">
        <f>IF(UpdateHashtag!C138="",ROW(UpdateHashtag!C138),UpdateHashtag!C138)</f>
        <v>RJ Barrett</v>
      </c>
      <c r="B140" s="53">
        <f>IF(TYPE($A140)=1,"",(UpdateHashtag!M138-B$1)/B$2)</f>
        <v>0.7062252366</v>
      </c>
      <c r="C140" s="53">
        <f>IF(TYPE($A140)=1,"",(UpdateHashtag!L138-C$1)/C$2)</f>
        <v>-0.1637605968</v>
      </c>
      <c r="D140" s="53">
        <f>IF(TYPE($A140)=1,"",(UpdateHashtag!N138-D$1)/D$2)</f>
        <v>0.1108659857</v>
      </c>
      <c r="E140" s="53">
        <f>IF(TYPE($A140)=1,"",(UpdateHashtag!O138-E$1)/E$2)</f>
        <v>-0.01802537614</v>
      </c>
      <c r="F140" s="53">
        <f>IF(TYPE($A140)=1,"",(UpdateHashtag!P138-F$1)/F$2)</f>
        <v>-1.356589379</v>
      </c>
      <c r="G140" s="53">
        <f>IF(TYPE($A140)=1,"",(UpdateHashtag!Q138-G$1)/G$2)</f>
        <v>-0.600341486</v>
      </c>
      <c r="H140" s="53">
        <f>IF(TYPE($A140)=1,"",(UpdateHashtag!I138-H$1)/H$2*I140/$I$1)</f>
        <v>-6.454848852</v>
      </c>
      <c r="I140" s="53">
        <f>UpdateHashtag!S138</f>
        <v>16.3</v>
      </c>
      <c r="J140" s="58">
        <f>IF(TYPE($A140)=1,"",(UpdateHashtag!K138-J$1)/J$2*K140/$K$1)</f>
        <v>-5.34479509</v>
      </c>
      <c r="K140" s="59">
        <f>UpdateHashtag!T138</f>
        <v>5.4</v>
      </c>
      <c r="L140" s="53">
        <f>IF(TYPE($A140)=1,"",-(UpdateHashtag!R138-L$1)/L$2)</f>
        <v>-0.5468832679</v>
      </c>
      <c r="N140" s="106">
        <f t="shared" si="3"/>
        <v>-0.7176325748</v>
      </c>
      <c r="O140" s="106">
        <f t="shared" si="4"/>
        <v>139</v>
      </c>
      <c r="P140" s="163" t="str">
        <f t="array" ref="P140">INDIRECT("Update"&amp;Projections!$AG$11&amp;"!B"&amp;ROW(B121))</f>
        <v/>
      </c>
      <c r="Q140" s="164" t="str">
        <f t="array" ref="Q140">INDIRECT("Update"&amp;Projections!$AG$11&amp;"!C"&amp;ROW(B121))</f>
        <v>Alex Caruso</v>
      </c>
      <c r="R140" s="163">
        <f>UpdateBBM!F121</f>
        <v>55</v>
      </c>
      <c r="S140" s="165" t="str">
        <f t="array" ref="S140">INDIRECT("Update"&amp;Projections!$AG$11&amp;"!D"&amp;ROW(B121))</f>
        <v>G,F</v>
      </c>
      <c r="T140" s="144">
        <f t="shared" si="5"/>
        <v>-1.394101272</v>
      </c>
      <c r="U140" s="144">
        <f>SUM(AF140:AN140)-IFERROR(IFS(Projections!$I$11,AO140,Projections!$J$11,AP140),"")</f>
        <v>-1.667542906</v>
      </c>
      <c r="V140" s="144">
        <f t="shared" si="6"/>
        <v>-0.2734416339</v>
      </c>
      <c r="W140" s="144">
        <f t="array" ref="W140">INDIRECT("Update"&amp;Projections!$AG$11&amp;"!M"&amp;ROW(B121))</f>
        <v>7.695091</v>
      </c>
      <c r="X140" s="144">
        <f t="array" ref="X140">INDIRECT("Update"&amp;Projections!$AG$11&amp;"!L"&amp;ROW(B121))</f>
        <v>1.157455</v>
      </c>
      <c r="Y140" s="144">
        <f t="array" ref="Y140">INDIRECT("Update"&amp;Projections!$AG$11&amp;"!N"&amp;ROW(B121))</f>
        <v>2.826182</v>
      </c>
      <c r="Z140" s="144">
        <f t="array" ref="Z140">INDIRECT("Update"&amp;Projections!$AG$11&amp;"!O"&amp;ROW(B121))</f>
        <v>2.498</v>
      </c>
      <c r="AA140" s="144">
        <f t="array" ref="AA140">INDIRECT("Update"&amp;Projections!$AG$11&amp;"!P"&amp;ROW(B121))</f>
        <v>1.453455</v>
      </c>
      <c r="AB140" s="144">
        <f t="array" ref="AB140">INDIRECT("Update"&amp;Projections!$AG$11&amp;"!Q"&amp;ROW(B121))</f>
        <v>0.569636</v>
      </c>
      <c r="AC140" s="166">
        <f t="array" ref="AC140">INDIRECT("Update"&amp;Projections!$AG$11&amp;"!I"&amp;ROW(B121))</f>
        <v>0.461297</v>
      </c>
      <c r="AD140" s="166">
        <f t="array" ref="AD140">INDIRECT("Update"&amp;Projections!$AG$11&amp;"!K"&amp;ROW(B121))</f>
        <v>0.821067</v>
      </c>
      <c r="AE140" s="144">
        <f t="array" ref="AE140">INDIRECT("Update"&amp;Projections!$AG$11&amp;"!R"&amp;ROW(B121))</f>
        <v>0.646</v>
      </c>
      <c r="AF140" s="144">
        <f t="shared" si="7"/>
        <v>-1.663111272</v>
      </c>
      <c r="AG140" s="144">
        <f t="shared" si="8"/>
        <v>-0.5911853565</v>
      </c>
      <c r="AH140" s="144">
        <f t="shared" si="9"/>
        <v>-1.337794029</v>
      </c>
      <c r="AI140" s="144">
        <f t="shared" si="10"/>
        <v>-0.6540712513</v>
      </c>
      <c r="AJ140" s="144">
        <f t="shared" si="11"/>
        <v>1.244084334</v>
      </c>
      <c r="AK140" s="144">
        <f t="shared" si="12"/>
        <v>-0.2919445569</v>
      </c>
      <c r="AL140" s="144">
        <f t="shared" si="13"/>
        <v>-0.4695620845</v>
      </c>
      <c r="AM140" s="144">
        <f t="shared" si="14"/>
        <v>0.4329300379</v>
      </c>
      <c r="AN140" s="144">
        <f t="shared" si="15"/>
        <v>0</v>
      </c>
      <c r="AO140" s="167">
        <f t="shared" si="16"/>
        <v>-1.663111272</v>
      </c>
      <c r="AP140" s="167">
        <f t="shared" si="17"/>
        <v>-3.000905301</v>
      </c>
      <c r="AQ140" s="167">
        <f t="array" ref="AQ140">INDIRECT("Update"&amp;Projections!$AG$11&amp;"!S"&amp;ROW(B121))</f>
        <v>0.461297</v>
      </c>
      <c r="AR140" s="167">
        <f t="array" ref="AR140">INDIRECT("Update"&amp;Projections!$AG$11&amp;"!T"&amp;ROW(B121))</f>
        <v>0.821067</v>
      </c>
    </row>
    <row r="141">
      <c r="A141" s="50" t="str">
        <f>IF(UpdateHashtag!C139="",ROW(UpdateHashtag!C139),UpdateHashtag!C139)</f>
        <v>P.J. Washington</v>
      </c>
      <c r="B141" s="53">
        <f>IF(TYPE($A141)=1,"",(UpdateHashtag!M139-B$1)/B$2)</f>
        <v>-0.8376697485</v>
      </c>
      <c r="C141" s="53">
        <f>IF(TYPE($A141)=1,"",(UpdateHashtag!L139-C$1)/C$2)</f>
        <v>0.1259894351</v>
      </c>
      <c r="D141" s="53">
        <f>IF(TYPE($A141)=1,"",(UpdateHashtag!N139-D$1)/D$2)</f>
        <v>-0.2539522599</v>
      </c>
      <c r="E141" s="53">
        <f>IF(TYPE($A141)=1,"",(UpdateHashtag!O139-E$1)/E$2)</f>
        <v>-0.8485000212</v>
      </c>
      <c r="F141" s="53">
        <f>IF(TYPE($A141)=1,"",(UpdateHashtag!P139-F$1)/F$2)</f>
        <v>0.1670256406</v>
      </c>
      <c r="G141" s="53">
        <f>IF(TYPE($A141)=1,"",(UpdateHashtag!Q139-G$1)/G$2)</f>
        <v>0.3086546265</v>
      </c>
      <c r="H141" s="53">
        <f>IF(TYPE($A141)=1,"",(UpdateHashtag!I139-H$1)/H$2*I141/$I$1)</f>
        <v>-20.24434644</v>
      </c>
      <c r="I141" s="53">
        <f>UpdateHashtag!S139</f>
        <v>10.5</v>
      </c>
      <c r="J141" s="58">
        <f>IF(TYPE($A141)=1,"",(UpdateHashtag!K139-J$1)/J$2*K141/$K$1)</f>
        <v>-2.748756396</v>
      </c>
      <c r="K141" s="59">
        <f>UpdateHashtag!T139</f>
        <v>2.1</v>
      </c>
      <c r="L141" s="53">
        <f>IF(TYPE($A141)=1,"",-(UpdateHashtag!R139-L$1)/L$2)</f>
        <v>0.3458524173</v>
      </c>
      <c r="N141" s="106">
        <f t="shared" si="3"/>
        <v>-0.7527649282</v>
      </c>
      <c r="O141" s="106">
        <f t="shared" si="4"/>
        <v>106</v>
      </c>
      <c r="P141" s="163" t="str">
        <f t="array" ref="P141">INDIRECT("Update"&amp;Projections!$AG$11&amp;"!B"&amp;ROW(B122))</f>
        <v/>
      </c>
      <c r="Q141" s="164" t="str">
        <f t="array" ref="Q141">INDIRECT("Update"&amp;Projections!$AG$11&amp;"!C"&amp;ROW(B122))</f>
        <v>Zach LaVine</v>
      </c>
      <c r="R141" s="163">
        <f>UpdateBBM!F122</f>
        <v>73</v>
      </c>
      <c r="S141" s="165" t="str">
        <f t="array" ref="S141">INDIRECT("Update"&amp;Projections!$AG$11&amp;"!D"&amp;ROW(B122))</f>
        <v>G,F</v>
      </c>
      <c r="T141" s="144">
        <f t="shared" si="5"/>
        <v>-0.1868417552</v>
      </c>
      <c r="U141" s="144">
        <f>SUM(AF141:AN141)-IFERROR(IFS(Projections!$I$11,AO141,Projections!$J$11,AP141),"")</f>
        <v>-0.05922485837</v>
      </c>
      <c r="V141" s="144">
        <f t="shared" si="6"/>
        <v>0.1276168968</v>
      </c>
      <c r="W141" s="144">
        <f t="array" ref="W141">INDIRECT("Update"&amp;Projections!$AG$11&amp;"!M"&amp;ROW(B122))</f>
        <v>21.21288</v>
      </c>
      <c r="X141" s="144">
        <f t="array" ref="X141">INDIRECT("Update"&amp;Projections!$AG$11&amp;"!L"&amp;ROW(B122))</f>
        <v>2.791096</v>
      </c>
      <c r="Y141" s="144">
        <f t="array" ref="Y141">INDIRECT("Update"&amp;Projections!$AG$11&amp;"!N"&amp;ROW(B122))</f>
        <v>3.324247</v>
      </c>
      <c r="Z141" s="144">
        <f t="array" ref="Z141">INDIRECT("Update"&amp;Projections!$AG$11&amp;"!O"&amp;ROW(B122))</f>
        <v>3.395068</v>
      </c>
      <c r="AA141" s="144">
        <f t="array" ref="AA141">INDIRECT("Update"&amp;Projections!$AG$11&amp;"!P"&amp;ROW(B122))</f>
        <v>0.631644</v>
      </c>
      <c r="AB141" s="144">
        <f t="array" ref="AB141">INDIRECT("Update"&amp;Projections!$AG$11&amp;"!Q"&amp;ROW(B122))</f>
        <v>0.071096</v>
      </c>
      <c r="AC141" s="166">
        <f t="array" ref="AC141">INDIRECT("Update"&amp;Projections!$AG$11&amp;"!I"&amp;ROW(B122))</f>
        <v>0.494131</v>
      </c>
      <c r="AD141" s="166">
        <f t="array" ref="AD141">INDIRECT("Update"&amp;Projections!$AG$11&amp;"!K"&amp;ROW(B122))</f>
        <v>0.847979</v>
      </c>
      <c r="AE141" s="144">
        <f t="array" ref="AE141">INDIRECT("Update"&amp;Projections!$AG$11&amp;"!R"&amp;ROW(B122))</f>
        <v>2.263288</v>
      </c>
      <c r="AF141" s="144">
        <f t="shared" si="7"/>
        <v>0.7084849375</v>
      </c>
      <c r="AG141" s="144">
        <f t="shared" si="8"/>
        <v>0.98663975</v>
      </c>
      <c r="AH141" s="144">
        <f t="shared" si="9"/>
        <v>-1.135901585</v>
      </c>
      <c r="AI141" s="144">
        <f t="shared" si="10"/>
        <v>-0.2158405285</v>
      </c>
      <c r="AJ141" s="144">
        <f t="shared" si="11"/>
        <v>-1.260162831</v>
      </c>
      <c r="AK141" s="144">
        <f t="shared" si="12"/>
        <v>-1.198286401</v>
      </c>
      <c r="AL141" s="144">
        <f t="shared" si="13"/>
        <v>-0.01560966562</v>
      </c>
      <c r="AM141" s="144">
        <f t="shared" si="14"/>
        <v>0.8112886339</v>
      </c>
      <c r="AN141" s="144">
        <f t="shared" si="15"/>
        <v>0</v>
      </c>
      <c r="AO141" s="167">
        <f t="shared" si="16"/>
        <v>-1.260162831</v>
      </c>
      <c r="AP141" s="167">
        <f t="shared" si="17"/>
        <v>-2.458449232</v>
      </c>
      <c r="AQ141" s="167">
        <f t="array" ref="AQ141">INDIRECT("Update"&amp;Projections!$AG$11&amp;"!S"&amp;ROW(B122))</f>
        <v>0.494131</v>
      </c>
      <c r="AR141" s="167">
        <f t="array" ref="AR141">INDIRECT("Update"&amp;Projections!$AG$11&amp;"!T"&amp;ROW(B122))</f>
        <v>0.847979</v>
      </c>
    </row>
    <row r="142">
      <c r="A142" s="50" t="str">
        <f>IF(UpdateHashtag!C140="",ROW(UpdateHashtag!C140),UpdateHashtag!C140)</f>
        <v>Malik Monk</v>
      </c>
      <c r="B142" s="53">
        <f>IF(TYPE($A142)=1,"",(UpdateHashtag!M140-B$1)/B$2)</f>
        <v>-0.4692402634</v>
      </c>
      <c r="C142" s="53">
        <f>IF(TYPE($A142)=1,"",(UpdateHashtag!L140-C$1)/C$2)</f>
        <v>0.2225727791</v>
      </c>
      <c r="D142" s="53">
        <f>IF(TYPE($A142)=1,"",(UpdateHashtag!N140-D$1)/D$2)</f>
        <v>-1.348406997</v>
      </c>
      <c r="E142" s="53">
        <f>IF(TYPE($A142)=1,"",(UpdateHashtag!O140-E$1)/E$2)</f>
        <v>0.3239347718</v>
      </c>
      <c r="F142" s="53">
        <f>IF(TYPE($A142)=1,"",(UpdateHashtag!P140-F$1)/F$2)</f>
        <v>-1.356589379</v>
      </c>
      <c r="G142" s="53">
        <f>IF(TYPE($A142)=1,"",(UpdateHashtag!Q140-G$1)/G$2)</f>
        <v>-0.600341486</v>
      </c>
      <c r="H142" s="53">
        <f>IF(TYPE($A142)=1,"",(UpdateHashtag!I140-H$1)/H$2*I142/$I$1)</f>
        <v>-16.84276968</v>
      </c>
      <c r="I142" s="53">
        <f>UpdateHashtag!S140</f>
        <v>11.4</v>
      </c>
      <c r="J142" s="58">
        <f>IF(TYPE($A142)=1,"",(UpdateHashtag!K140-J$1)/J$2*K142/$K$1)</f>
        <v>3.215967858</v>
      </c>
      <c r="K142" s="59">
        <f>UpdateHashtag!T140</f>
        <v>2.8</v>
      </c>
      <c r="L142" s="53">
        <f>IF(TYPE($A142)=1,"",-(UpdateHashtag!R140-L$1)/L$2)</f>
        <v>-0.2493047061</v>
      </c>
      <c r="N142" s="106">
        <f t="shared" si="3"/>
        <v>-0.777264915</v>
      </c>
      <c r="O142" s="106">
        <f t="shared" si="4"/>
        <v>110</v>
      </c>
      <c r="P142" s="163" t="str">
        <f t="array" ref="P142">INDIRECT("Update"&amp;Projections!$AG$11&amp;"!B"&amp;ROW(B123))</f>
        <v/>
      </c>
      <c r="Q142" s="164" t="str">
        <f t="array" ref="Q142">INDIRECT("Update"&amp;Projections!$AG$11&amp;"!C"&amp;ROW(B123))</f>
        <v>Andrew Nembhard</v>
      </c>
      <c r="R142" s="163">
        <f>UpdateBBM!F123</f>
        <v>68</v>
      </c>
      <c r="S142" s="165" t="str">
        <f t="array" ref="S142">INDIRECT("Update"&amp;Projections!$AG$11&amp;"!D"&amp;ROW(B123))</f>
        <v>G</v>
      </c>
      <c r="T142" s="144">
        <f t="shared" si="5"/>
        <v>-0.360185465</v>
      </c>
      <c r="U142" s="144">
        <f>SUM(AF142:AN142)-IFERROR(IFS(Projections!$I$11,AO142,Projections!$J$11,AP142),"")</f>
        <v>-0.2427926236</v>
      </c>
      <c r="V142" s="144">
        <f t="shared" si="6"/>
        <v>0.1173928414</v>
      </c>
      <c r="W142" s="144">
        <f t="array" ref="W142">INDIRECT("Update"&amp;Projections!$AG$11&amp;"!M"&amp;ROW(B123))</f>
        <v>13.39735</v>
      </c>
      <c r="X142" s="144">
        <f t="array" ref="X142">INDIRECT("Update"&amp;Projections!$AG$11&amp;"!L"&amp;ROW(B123))</f>
        <v>1.446912</v>
      </c>
      <c r="Y142" s="144">
        <f t="array" ref="Y142">INDIRECT("Update"&amp;Projections!$AG$11&amp;"!N"&amp;ROW(B123))</f>
        <v>3.501324</v>
      </c>
      <c r="Z142" s="144">
        <f t="array" ref="Z142">INDIRECT("Update"&amp;Projections!$AG$11&amp;"!O"&amp;ROW(B123))</f>
        <v>6.666029</v>
      </c>
      <c r="AA142" s="144">
        <f t="array" ref="AA142">INDIRECT("Update"&amp;Projections!$AG$11&amp;"!P"&amp;ROW(B123))</f>
        <v>1.212059</v>
      </c>
      <c r="AB142" s="144">
        <f t="array" ref="AB142">INDIRECT("Update"&amp;Projections!$AG$11&amp;"!Q"&amp;ROW(B123))</f>
        <v>0.199706</v>
      </c>
      <c r="AC142" s="166">
        <f t="array" ref="AC142">INDIRECT("Update"&amp;Projections!$AG$11&amp;"!I"&amp;ROW(B123))</f>
        <v>0.446404</v>
      </c>
      <c r="AD142" s="166">
        <f t="array" ref="AD142">INDIRECT("Update"&amp;Projections!$AG$11&amp;"!K"&amp;ROW(B123))</f>
        <v>0.823015</v>
      </c>
      <c r="AE142" s="144">
        <f t="array" ref="AE142">INDIRECT("Update"&amp;Projections!$AG$11&amp;"!R"&amp;ROW(B123))</f>
        <v>2.222059</v>
      </c>
      <c r="AF142" s="144">
        <f t="shared" si="7"/>
        <v>-0.6626920595</v>
      </c>
      <c r="AG142" s="144">
        <f t="shared" si="8"/>
        <v>-0.3116181065</v>
      </c>
      <c r="AH142" s="144">
        <f t="shared" si="9"/>
        <v>-1.064122784</v>
      </c>
      <c r="AI142" s="144">
        <f t="shared" si="10"/>
        <v>1.382071339</v>
      </c>
      <c r="AJ142" s="144">
        <f t="shared" si="11"/>
        <v>0.5084951915</v>
      </c>
      <c r="AK142" s="144">
        <f t="shared" si="12"/>
        <v>-0.9644744207</v>
      </c>
      <c r="AL142" s="144">
        <f t="shared" si="13"/>
        <v>-0.6541157168</v>
      </c>
      <c r="AM142" s="144">
        <f t="shared" si="14"/>
        <v>0.4595411489</v>
      </c>
      <c r="AN142" s="144">
        <f t="shared" si="15"/>
        <v>0</v>
      </c>
      <c r="AO142" s="167">
        <f t="shared" si="16"/>
        <v>-1.064122784</v>
      </c>
      <c r="AP142" s="167">
        <f t="shared" si="17"/>
        <v>-2.028597205</v>
      </c>
      <c r="AQ142" s="167">
        <f t="array" ref="AQ142">INDIRECT("Update"&amp;Projections!$AG$11&amp;"!S"&amp;ROW(B123))</f>
        <v>0.446404</v>
      </c>
      <c r="AR142" s="167">
        <f t="array" ref="AR142">INDIRECT("Update"&amp;Projections!$AG$11&amp;"!T"&amp;ROW(B123))</f>
        <v>0.823015</v>
      </c>
    </row>
    <row r="143">
      <c r="A143" s="50" t="str">
        <f>IF(UpdateHashtag!C141="",ROW(UpdateHashtag!C141),UpdateHashtag!C141)</f>
        <v>Luguentz Dort</v>
      </c>
      <c r="B143" s="53">
        <f>IF(TYPE($A143)=1,"",(UpdateHashtag!M141-B$1)/B$2)</f>
        <v>-0.9078467933</v>
      </c>
      <c r="C143" s="53">
        <f>IF(TYPE($A143)=1,"",(UpdateHashtag!L141-C$1)/C$2)</f>
        <v>0.2225727791</v>
      </c>
      <c r="D143" s="53">
        <f>IF(TYPE($A143)=1,"",(UpdateHashtag!N141-D$1)/D$2)</f>
        <v>-0.780911948</v>
      </c>
      <c r="E143" s="53">
        <f>IF(TYPE($A143)=1,"",(UpdateHashtag!O141-E$1)/E$2)</f>
        <v>-0.9950543703</v>
      </c>
      <c r="F143" s="53">
        <f>IF(TYPE($A143)=1,"",(UpdateHashtag!P141-F$1)/F$2)</f>
        <v>-0.1376973632</v>
      </c>
      <c r="G143" s="53">
        <f>IF(TYPE($A143)=1,"",(UpdateHashtag!Q141-G$1)/G$2)</f>
        <v>-0.05494381853</v>
      </c>
      <c r="H143" s="53">
        <f>IF(TYPE($A143)=1,"",(UpdateHashtag!I141-H$1)/H$2*I143/$I$1)</f>
        <v>-18.11914785</v>
      </c>
      <c r="I143" s="53">
        <f>UpdateHashtag!S141</f>
        <v>9.7</v>
      </c>
      <c r="J143" s="58">
        <f>IF(TYPE($A143)=1,"",(UpdateHashtag!K141-J$1)/J$2*K143/$K$1)</f>
        <v>1.205570942</v>
      </c>
      <c r="K143" s="59">
        <f>UpdateHashtag!T141</f>
        <v>2.1</v>
      </c>
      <c r="L143" s="53">
        <f>IF(TYPE($A143)=1,"",-(UpdateHashtag!R141-L$1)/L$2)</f>
        <v>0.643430979</v>
      </c>
      <c r="N143" s="106">
        <f t="shared" si="3"/>
        <v>-0.8260959256</v>
      </c>
      <c r="O143" s="106">
        <f t="shared" si="4"/>
        <v>107</v>
      </c>
      <c r="P143" s="163" t="str">
        <f t="array" ref="P143">INDIRECT("Update"&amp;Projections!$AG$11&amp;"!B"&amp;ROW(B124))</f>
        <v/>
      </c>
      <c r="Q143" s="164" t="str">
        <f t="array" ref="Q143">INDIRECT("Update"&amp;Projections!$AG$11&amp;"!C"&amp;ROW(B124))</f>
        <v>Neemias Queta</v>
      </c>
      <c r="R143" s="163">
        <f>UpdateBBM!F124</f>
        <v>68</v>
      </c>
      <c r="S143" s="165" t="str">
        <f t="array" ref="S143">INDIRECT("Update"&amp;Projections!$AG$11&amp;"!D"&amp;ROW(B124))</f>
        <v>C</v>
      </c>
      <c r="T143" s="144">
        <f t="shared" si="5"/>
        <v>-0.1942867498</v>
      </c>
      <c r="U143" s="144">
        <f>SUM(AF143:AN143)-IFERROR(IFS(Projections!$I$11,AO143,Projections!$J$11,AP143),"")</f>
        <v>-0.3352694704</v>
      </c>
      <c r="V143" s="144">
        <f t="shared" si="6"/>
        <v>-0.1409827206</v>
      </c>
      <c r="W143" s="144">
        <f t="array" ref="W143">INDIRECT("Update"&amp;Projections!$AG$11&amp;"!M"&amp;ROW(B124))</f>
        <v>9.651471</v>
      </c>
      <c r="X143" s="144">
        <f t="array" ref="X143">INDIRECT("Update"&amp;Projections!$AG$11&amp;"!L"&amp;ROW(B124))</f>
        <v>0.079265</v>
      </c>
      <c r="Y143" s="144">
        <f t="array" ref="Y143">INDIRECT("Update"&amp;Projections!$AG$11&amp;"!N"&amp;ROW(B124))</f>
        <v>7.553382</v>
      </c>
      <c r="Z143" s="144">
        <f t="array" ref="Z143">INDIRECT("Update"&amp;Projections!$AG$11&amp;"!O"&amp;ROW(B124))</f>
        <v>1.510735</v>
      </c>
      <c r="AA143" s="144">
        <f t="array" ref="AA143">INDIRECT("Update"&amp;Projections!$AG$11&amp;"!P"&amp;ROW(B124))</f>
        <v>0.594559</v>
      </c>
      <c r="AB143" s="144">
        <f t="array" ref="AB143">INDIRECT("Update"&amp;Projections!$AG$11&amp;"!Q"&amp;ROW(B124))</f>
        <v>1.239265</v>
      </c>
      <c r="AC143" s="166">
        <f t="array" ref="AC143">INDIRECT("Update"&amp;Projections!$AG$11&amp;"!I"&amp;ROW(B124))</f>
        <v>0.620251</v>
      </c>
      <c r="AD143" s="166">
        <f t="array" ref="AD143">INDIRECT("Update"&amp;Projections!$AG$11&amp;"!K"&amp;ROW(B124))</f>
        <v>0.759991</v>
      </c>
      <c r="AE143" s="144">
        <f t="array" ref="AE143">INDIRECT("Update"&amp;Projections!$AG$11&amp;"!R"&amp;ROW(B124))</f>
        <v>1.180147</v>
      </c>
      <c r="AF143" s="144">
        <f t="shared" si="7"/>
        <v>-1.319878855</v>
      </c>
      <c r="AG143" s="144">
        <f t="shared" si="8"/>
        <v>-1.632537313</v>
      </c>
      <c r="AH143" s="144">
        <f t="shared" si="9"/>
        <v>0.5783935388</v>
      </c>
      <c r="AI143" s="144">
        <f t="shared" si="10"/>
        <v>-1.136364516</v>
      </c>
      <c r="AJ143" s="144">
        <f t="shared" si="11"/>
        <v>-1.373169357</v>
      </c>
      <c r="AK143" s="144">
        <f t="shared" si="12"/>
        <v>0.9254357587</v>
      </c>
      <c r="AL143" s="144">
        <f t="shared" si="13"/>
        <v>2.33030157</v>
      </c>
      <c r="AM143" s="144">
        <f t="shared" si="14"/>
        <v>-0.3399876092</v>
      </c>
      <c r="AN143" s="144">
        <f t="shared" si="15"/>
        <v>0</v>
      </c>
      <c r="AO143" s="167">
        <f t="shared" si="16"/>
        <v>-1.632537313</v>
      </c>
      <c r="AP143" s="167">
        <f t="shared" si="17"/>
        <v>-3.00570667</v>
      </c>
      <c r="AQ143" s="167">
        <f t="array" ref="AQ143">INDIRECT("Update"&amp;Projections!$AG$11&amp;"!S"&amp;ROW(B124))</f>
        <v>0.620251</v>
      </c>
      <c r="AR143" s="167">
        <f t="array" ref="AR143">INDIRECT("Update"&amp;Projections!$AG$11&amp;"!T"&amp;ROW(B124))</f>
        <v>0.759991</v>
      </c>
    </row>
    <row r="144">
      <c r="A144" s="50" t="str">
        <f>IF(UpdateHashtag!C142="",ROW(UpdateHashtag!C142),UpdateHashtag!C142)</f>
        <v>Ausar Thompson</v>
      </c>
      <c r="B144" s="53">
        <f>IF(TYPE($A144)=1,"",(UpdateHashtag!M142-B$1)/B$2)</f>
        <v>-1.15346645</v>
      </c>
      <c r="C144" s="53">
        <f>IF(TYPE($A144)=1,"",(UpdateHashtag!L142-C$1)/C$2)</f>
        <v>-1.322760725</v>
      </c>
      <c r="D144" s="53">
        <f>IF(TYPE($A144)=1,"",(UpdateHashtag!N142-D$1)/D$2)</f>
        <v>0.4351488707</v>
      </c>
      <c r="E144" s="53">
        <f>IF(TYPE($A144)=1,"",(UpdateHashtag!O142-E$1)/E$2)</f>
        <v>-0.7996485715</v>
      </c>
      <c r="F144" s="53">
        <f>IF(TYPE($A144)=1,"",(UpdateHashtag!P142-F$1)/F$2)</f>
        <v>0.4717486444</v>
      </c>
      <c r="G144" s="53">
        <f>IF(TYPE($A144)=1,"",(UpdateHashtag!Q142-G$1)/G$2)</f>
        <v>0.6722530715</v>
      </c>
      <c r="H144" s="53">
        <f>IF(TYPE($A144)=1,"",(UpdateHashtag!I142-H$1)/H$2*I144/$I$1)</f>
        <v>-0.59008639</v>
      </c>
      <c r="I144" s="53">
        <f>UpdateHashtag!S142</f>
        <v>9</v>
      </c>
      <c r="J144" s="58">
        <f>IF(TYPE($A144)=1,"",(UpdateHashtag!K142-J$1)/J$2*K144/$K$1)</f>
        <v>-5.496678784</v>
      </c>
      <c r="K144" s="59">
        <f>UpdateHashtag!T142</f>
        <v>2.1</v>
      </c>
      <c r="L144" s="53">
        <f>IF(TYPE($A144)=1,"",-(UpdateHashtag!R142-L$1)/L$2)</f>
        <v>0.2466595634</v>
      </c>
      <c r="N144" s="106">
        <f t="shared" si="3"/>
        <v>-0.8298693778</v>
      </c>
      <c r="O144" s="106">
        <f t="shared" si="4"/>
        <v>97</v>
      </c>
      <c r="P144" s="163" t="str">
        <f t="array" ref="P144">INDIRECT("Update"&amp;Projections!$AG$11&amp;"!B"&amp;ROW(B125))</f>
        <v/>
      </c>
      <c r="Q144" s="164" t="str">
        <f t="array" ref="Q144">INDIRECT("Update"&amp;Projections!$AG$11&amp;"!C"&amp;ROW(B125))</f>
        <v>Brandon Ingram</v>
      </c>
      <c r="R144" s="163">
        <f>UpdateBBM!F125</f>
        <v>61</v>
      </c>
      <c r="S144" s="165" t="str">
        <f t="array" ref="S144">INDIRECT("Update"&amp;Projections!$AG$11&amp;"!D"&amp;ROW(B125))</f>
        <v>F</v>
      </c>
      <c r="T144" s="144">
        <f t="shared" si="5"/>
        <v>0.218489413</v>
      </c>
      <c r="U144" s="144">
        <f>SUM(AF144:AN144)-IFERROR(IFS(Projections!$I$11,AO144,Projections!$J$11,AP144),"")</f>
        <v>0.4872505495</v>
      </c>
      <c r="V144" s="144">
        <f t="shared" si="6"/>
        <v>0.2687611365</v>
      </c>
      <c r="W144" s="144">
        <f t="array" ref="W144">INDIRECT("Update"&amp;Projections!$AG$11&amp;"!M"&amp;ROW(B125))</f>
        <v>19.02902</v>
      </c>
      <c r="X144" s="144">
        <f t="array" ref="X144">INDIRECT("Update"&amp;Projections!$AG$11&amp;"!L"&amp;ROW(B125))</f>
        <v>1.749672</v>
      </c>
      <c r="Y144" s="144">
        <f t="array" ref="Y144">INDIRECT("Update"&amp;Projections!$AG$11&amp;"!N"&amp;ROW(B125))</f>
        <v>5.523443</v>
      </c>
      <c r="Z144" s="144">
        <f t="array" ref="Z144">INDIRECT("Update"&amp;Projections!$AG$11&amp;"!O"&amp;ROW(B125))</f>
        <v>4.744426</v>
      </c>
      <c r="AA144" s="144">
        <f t="array" ref="AA144">INDIRECT("Update"&amp;Projections!$AG$11&amp;"!P"&amp;ROW(B125))</f>
        <v>0.708197</v>
      </c>
      <c r="AB144" s="144">
        <f t="array" ref="AB144">INDIRECT("Update"&amp;Projections!$AG$11&amp;"!Q"&amp;ROW(B125))</f>
        <v>0.566557</v>
      </c>
      <c r="AC144" s="166">
        <f t="array" ref="AC144">INDIRECT("Update"&amp;Projections!$AG$11&amp;"!I"&amp;ROW(B125))</f>
        <v>0.468587</v>
      </c>
      <c r="AD144" s="166">
        <f t="array" ref="AD144">INDIRECT("Update"&amp;Projections!$AG$11&amp;"!K"&amp;ROW(B125))</f>
        <v>0.836999</v>
      </c>
      <c r="AE144" s="144">
        <f t="array" ref="AE144">INDIRECT("Update"&amp;Projections!$AG$11&amp;"!R"&amp;ROW(B125))</f>
        <v>2.832459</v>
      </c>
      <c r="AF144" s="144">
        <f t="shared" si="7"/>
        <v>0.3253428349</v>
      </c>
      <c r="AG144" s="144">
        <f t="shared" si="8"/>
        <v>-0.01920237424</v>
      </c>
      <c r="AH144" s="144">
        <f t="shared" si="9"/>
        <v>-0.2444495553</v>
      </c>
      <c r="AI144" s="144">
        <f t="shared" si="10"/>
        <v>0.4433404163</v>
      </c>
      <c r="AJ144" s="144">
        <f t="shared" si="11"/>
        <v>-1.02688823</v>
      </c>
      <c r="AK144" s="144">
        <f t="shared" si="12"/>
        <v>-0.297542155</v>
      </c>
      <c r="AL144" s="144">
        <f t="shared" si="13"/>
        <v>-0.3743667529</v>
      </c>
      <c r="AM144" s="144">
        <f t="shared" si="14"/>
        <v>0.6541281357</v>
      </c>
      <c r="AN144" s="144">
        <f t="shared" si="15"/>
        <v>0</v>
      </c>
      <c r="AO144" s="167">
        <f t="shared" si="16"/>
        <v>-1.02688823</v>
      </c>
      <c r="AP144" s="167">
        <f t="shared" si="17"/>
        <v>-1.401254983</v>
      </c>
      <c r="AQ144" s="167">
        <f t="array" ref="AQ144">INDIRECT("Update"&amp;Projections!$AG$11&amp;"!S"&amp;ROW(B125))</f>
        <v>0.468587</v>
      </c>
      <c r="AR144" s="167">
        <f t="array" ref="AR144">INDIRECT("Update"&amp;Projections!$AG$11&amp;"!T"&amp;ROW(B125))</f>
        <v>0.836999</v>
      </c>
    </row>
    <row r="145">
      <c r="A145" s="50" t="str">
        <f>IF(UpdateHashtag!C143="",ROW(UpdateHashtag!C143),UpdateHashtag!C143)</f>
        <v>Rui Hachimura</v>
      </c>
      <c r="B145" s="53">
        <f>IF(TYPE($A145)=1,"",(UpdateHashtag!M143-B$1)/B$2)</f>
        <v>-0.4166074798</v>
      </c>
      <c r="C145" s="53">
        <f>IF(TYPE($A145)=1,"",(UpdateHashtag!L143-C$1)/C$2)</f>
        <v>-0.2603439408</v>
      </c>
      <c r="D145" s="53">
        <f>IF(TYPE($A145)=1,"",(UpdateHashtag!N143-D$1)/D$2)</f>
        <v>-0.3755583418</v>
      </c>
      <c r="E145" s="53">
        <f>IF(TYPE($A145)=1,"",(UpdateHashtag!O143-E$1)/E$2)</f>
        <v>-1.239311619</v>
      </c>
      <c r="F145" s="53">
        <f>IF(TYPE($A145)=1,"",(UpdateHashtag!P143-F$1)/F$2)</f>
        <v>-1.051866375</v>
      </c>
      <c r="G145" s="53">
        <f>IF(TYPE($A145)=1,"",(UpdateHashtag!Q143-G$1)/G$2)</f>
        <v>-0.4185422635</v>
      </c>
      <c r="H145" s="53">
        <f>IF(TYPE($A145)=1,"",(UpdateHashtag!I143-H$1)/H$2*I145/$I$1)</f>
        <v>6.387559214</v>
      </c>
      <c r="I145" s="53">
        <f>UpdateHashtag!S143</f>
        <v>11.3</v>
      </c>
      <c r="J145" s="58">
        <f>IF(TYPE($A145)=1,"",(UpdateHashtag!K143-J$1)/J$2*K145/$K$1)</f>
        <v>-1.762647652</v>
      </c>
      <c r="K145" s="59">
        <f>UpdateHashtag!T143</f>
        <v>2.3</v>
      </c>
      <c r="L145" s="53">
        <f>IF(TYPE($A145)=1,"",-(UpdateHashtag!R143-L$1)/L$2)</f>
        <v>0.8418166868</v>
      </c>
      <c r="N145" s="106">
        <f t="shared" si="3"/>
        <v>-0.8616651187</v>
      </c>
      <c r="O145" s="106">
        <f t="shared" si="4"/>
        <v>156</v>
      </c>
      <c r="P145" s="163" t="str">
        <f t="array" ref="P145">INDIRECT("Update"&amp;Projections!$AG$11&amp;"!B"&amp;ROW(B126))</f>
        <v/>
      </c>
      <c r="Q145" s="164" t="str">
        <f t="array" ref="Q145">INDIRECT("Update"&amp;Projections!$AG$11&amp;"!C"&amp;ROW(B126))</f>
        <v>Santi Aldama</v>
      </c>
      <c r="R145" s="163">
        <f>UpdateBBM!F126</f>
        <v>73</v>
      </c>
      <c r="S145" s="165" t="str">
        <f t="array" ref="S145">INDIRECT("Update"&amp;Projections!$AG$11&amp;"!D"&amp;ROW(B126))</f>
        <v>F,C</v>
      </c>
      <c r="T145" s="144">
        <f t="shared" si="5"/>
        <v>-2.035167924</v>
      </c>
      <c r="U145" s="144">
        <f>SUM(AF145:AN145)-IFERROR(IFS(Projections!$I$11,AO145,Projections!$J$11,AP145),"")</f>
        <v>-2.152883473</v>
      </c>
      <c r="V145" s="144">
        <f t="shared" si="6"/>
        <v>-0.1177155488</v>
      </c>
      <c r="W145" s="144">
        <f t="array" ref="W145">INDIRECT("Update"&amp;Projections!$AG$11&amp;"!M"&amp;ROW(B126))</f>
        <v>12.74507</v>
      </c>
      <c r="X145" s="144">
        <f t="array" ref="X145">INDIRECT("Update"&amp;Projections!$AG$11&amp;"!L"&amp;ROW(B126))</f>
        <v>2.103973</v>
      </c>
      <c r="Y145" s="144">
        <f t="array" ref="Y145">INDIRECT("Update"&amp;Projections!$AG$11&amp;"!N"&amp;ROW(B126))</f>
        <v>6.127397</v>
      </c>
      <c r="Z145" s="144">
        <f t="array" ref="Z145">INDIRECT("Update"&amp;Projections!$AG$11&amp;"!O"&amp;ROW(B126))</f>
        <v>3.336712</v>
      </c>
      <c r="AA145" s="144">
        <f t="array" ref="AA145">INDIRECT("Update"&amp;Projections!$AG$11&amp;"!P"&amp;ROW(B126))</f>
        <v>0.849726</v>
      </c>
      <c r="AB145" s="144">
        <f t="array" ref="AB145">INDIRECT("Update"&amp;Projections!$AG$11&amp;"!Q"&amp;ROW(B126))</f>
        <v>0.606438</v>
      </c>
      <c r="AC145" s="166">
        <f t="array" ref="AC145">INDIRECT("Update"&amp;Projections!$AG$11&amp;"!I"&amp;ROW(B126))</f>
        <v>0.448072</v>
      </c>
      <c r="AD145" s="166">
        <f t="array" ref="AD145">INDIRECT("Update"&amp;Projections!$AG$11&amp;"!K"&amp;ROW(B126))</f>
        <v>0.663014</v>
      </c>
      <c r="AE145" s="144">
        <f t="array" ref="AE145">INDIRECT("Update"&amp;Projections!$AG$11&amp;"!R"&amp;ROW(B126))</f>
        <v>1.273973</v>
      </c>
      <c r="AF145" s="144">
        <f t="shared" si="7"/>
        <v>-0.7771297664</v>
      </c>
      <c r="AG145" s="144">
        <f t="shared" si="8"/>
        <v>0.3229933793</v>
      </c>
      <c r="AH145" s="144">
        <f t="shared" si="9"/>
        <v>0.0003653766135</v>
      </c>
      <c r="AI145" s="144">
        <f t="shared" si="10"/>
        <v>-0.2443482805</v>
      </c>
      <c r="AJ145" s="144">
        <f t="shared" si="11"/>
        <v>-0.59561681</v>
      </c>
      <c r="AK145" s="144">
        <f t="shared" si="12"/>
        <v>-0.2250388071</v>
      </c>
      <c r="AL145" s="144">
        <f t="shared" si="13"/>
        <v>-0.6341085653</v>
      </c>
      <c r="AM145" s="144">
        <f t="shared" si="14"/>
        <v>-1.322640608</v>
      </c>
      <c r="AN145" s="144">
        <f t="shared" si="15"/>
        <v>0</v>
      </c>
      <c r="AO145" s="167">
        <f t="shared" si="16"/>
        <v>-1.322640608</v>
      </c>
      <c r="AP145" s="167">
        <f t="shared" si="17"/>
        <v>-2.099770374</v>
      </c>
      <c r="AQ145" s="167">
        <f t="array" ref="AQ145">INDIRECT("Update"&amp;Projections!$AG$11&amp;"!S"&amp;ROW(B126))</f>
        <v>0.448072</v>
      </c>
      <c r="AR145" s="167">
        <f t="array" ref="AR145">INDIRECT("Update"&amp;Projections!$AG$11&amp;"!T"&amp;ROW(B126))</f>
        <v>0.663014</v>
      </c>
    </row>
    <row r="146">
      <c r="A146" s="50" t="str">
        <f>IF(UpdateHashtag!C144="",ROW(UpdateHashtag!C144),UpdateHashtag!C144)</f>
        <v>Josh Hart</v>
      </c>
      <c r="B146" s="53">
        <f>IF(TYPE($A146)=1,"",(UpdateHashtag!M144-B$1)/B$2)</f>
        <v>-1.416630368</v>
      </c>
      <c r="C146" s="53">
        <f>IF(TYPE($A146)=1,"",(UpdateHashtag!L144-C$1)/C$2)</f>
        <v>-0.8398440047</v>
      </c>
      <c r="D146" s="53">
        <f>IF(TYPE($A146)=1,"",(UpdateHashtag!N144-D$1)/D$2)</f>
        <v>0.7188963951</v>
      </c>
      <c r="E146" s="53">
        <f>IF(TYPE($A146)=1,"",(UpdateHashtag!O144-E$1)/E$2)</f>
        <v>0.03082607356</v>
      </c>
      <c r="F146" s="53">
        <f>IF(TYPE($A146)=1,"",(UpdateHashtag!P144-F$1)/F$2)</f>
        <v>-0.1376973632</v>
      </c>
      <c r="G146" s="53">
        <f>IF(TYPE($A146)=1,"",(UpdateHashtag!Q144-G$1)/G$2)</f>
        <v>-0.7821407085</v>
      </c>
      <c r="H146" s="53">
        <f>IF(TYPE($A146)=1,"",(UpdateHashtag!I144-H$1)/H$2*I146/$I$1)</f>
        <v>-8.602485704</v>
      </c>
      <c r="I146" s="53">
        <f>UpdateHashtag!S144</f>
        <v>7.5</v>
      </c>
      <c r="J146" s="58">
        <f>IF(TYPE($A146)=1,"",(UpdateHashtag!K144-J$1)/J$2*K146/$K$1)</f>
        <v>-0.6613651946</v>
      </c>
      <c r="K146" s="59">
        <f>UpdateHashtag!T144</f>
        <v>1.8</v>
      </c>
      <c r="L146" s="53">
        <f>IF(TYPE($A146)=1,"",-(UpdateHashtag!R144-L$1)/L$2)</f>
        <v>0.04827385557</v>
      </c>
      <c r="N146" s="106">
        <f t="shared" si="3"/>
        <v>-0.8949480202</v>
      </c>
      <c r="O146" s="106">
        <f t="shared" si="4"/>
        <v>169</v>
      </c>
      <c r="P146" s="163" t="str">
        <f t="array" ref="P146">INDIRECT("Update"&amp;Projections!$AG$11&amp;"!B"&amp;ROW(B127))</f>
        <v/>
      </c>
      <c r="Q146" s="164" t="str">
        <f t="array" ref="Q146">INDIRECT("Update"&amp;Projections!$AG$11&amp;"!C"&amp;ROW(B127))</f>
        <v>Kevin Huerter</v>
      </c>
      <c r="R146" s="163">
        <f>UpdateBBM!F127</f>
        <v>68</v>
      </c>
      <c r="S146" s="165" t="str">
        <f t="array" ref="S146">INDIRECT("Update"&amp;Projections!$AG$11&amp;"!D"&amp;ROW(B127))</f>
        <v>G</v>
      </c>
      <c r="T146" s="144">
        <f t="shared" si="5"/>
        <v>-2.314296678</v>
      </c>
      <c r="U146" s="144">
        <f>SUM(AF146:AN146)-IFERROR(IFS(Projections!$I$11,AO146,Projections!$J$11,AP146),"")</f>
        <v>-2.468006586</v>
      </c>
      <c r="V146" s="144">
        <f t="shared" si="6"/>
        <v>-0.1537099077</v>
      </c>
      <c r="W146" s="144">
        <f t="array" ref="W146">INDIRECT("Update"&amp;Projections!$AG$11&amp;"!M"&amp;ROW(B127))</f>
        <v>12.82838</v>
      </c>
      <c r="X146" s="144">
        <f t="array" ref="X146">INDIRECT("Update"&amp;Projections!$AG$11&amp;"!L"&amp;ROW(B127))</f>
        <v>2.538824</v>
      </c>
      <c r="Y146" s="144">
        <f t="array" ref="Y146">INDIRECT("Update"&amp;Projections!$AG$11&amp;"!N"&amp;ROW(B127))</f>
        <v>3.2175</v>
      </c>
      <c r="Z146" s="144">
        <f t="array" ref="Z146">INDIRECT("Update"&amp;Projections!$AG$11&amp;"!O"&amp;ROW(B127))</f>
        <v>2.500735</v>
      </c>
      <c r="AA146" s="144">
        <f t="array" ref="AA146">INDIRECT("Update"&amp;Projections!$AG$11&amp;"!P"&amp;ROW(B127))</f>
        <v>1.023088</v>
      </c>
      <c r="AB146" s="144">
        <f t="array" ref="AB146">INDIRECT("Update"&amp;Projections!$AG$11&amp;"!Q"&amp;ROW(B127))</f>
        <v>0.357353</v>
      </c>
      <c r="AC146" s="166">
        <f t="array" ref="AC146">INDIRECT("Update"&amp;Projections!$AG$11&amp;"!I"&amp;ROW(B127))</f>
        <v>0.466113</v>
      </c>
      <c r="AD146" s="166">
        <f t="array" ref="AD146">INDIRECT("Update"&amp;Projections!$AG$11&amp;"!K"&amp;ROW(B127))</f>
        <v>0.733012</v>
      </c>
      <c r="AE146" s="144">
        <f t="array" ref="AE146">INDIRECT("Update"&amp;Projections!$AG$11&amp;"!R"&amp;ROW(B127))</f>
        <v>1.128824</v>
      </c>
      <c r="AF146" s="144">
        <f t="shared" si="7"/>
        <v>-0.7625136424</v>
      </c>
      <c r="AG146" s="144">
        <f t="shared" si="8"/>
        <v>0.7429870164</v>
      </c>
      <c r="AH146" s="144">
        <f t="shared" si="9"/>
        <v>-1.179171866</v>
      </c>
      <c r="AI146" s="144">
        <f t="shared" si="10"/>
        <v>-0.6527351642</v>
      </c>
      <c r="AJ146" s="144">
        <f t="shared" si="11"/>
        <v>-0.06734291609</v>
      </c>
      <c r="AK146" s="144">
        <f t="shared" si="12"/>
        <v>-0.6778734004</v>
      </c>
      <c r="AL146" s="144">
        <f t="shared" si="13"/>
        <v>-0.407031015</v>
      </c>
      <c r="AM146" s="144">
        <f t="shared" si="14"/>
        <v>-0.6434974641</v>
      </c>
      <c r="AN146" s="144">
        <f t="shared" si="15"/>
        <v>0</v>
      </c>
      <c r="AO146" s="167">
        <f t="shared" si="16"/>
        <v>-1.179171866</v>
      </c>
      <c r="AP146" s="167">
        <f t="shared" si="17"/>
        <v>-1.941685509</v>
      </c>
      <c r="AQ146" s="167">
        <f t="array" ref="AQ146">INDIRECT("Update"&amp;Projections!$AG$11&amp;"!S"&amp;ROW(B127))</f>
        <v>0.466113</v>
      </c>
      <c r="AR146" s="167">
        <f t="array" ref="AR146">INDIRECT("Update"&amp;Projections!$AG$11&amp;"!T"&amp;ROW(B127))</f>
        <v>0.733012</v>
      </c>
    </row>
    <row r="147">
      <c r="A147" s="50" t="str">
        <f>IF(UpdateHashtag!C145="",ROW(UpdateHashtag!C145),UpdateHashtag!C145)</f>
        <v>Wendell Carter Jr.</v>
      </c>
      <c r="B147" s="53">
        <f>IF(TYPE($A147)=1,"",(UpdateHashtag!M145-B$1)/B$2)</f>
        <v>-0.7324041813</v>
      </c>
      <c r="C147" s="53">
        <f>IF(TYPE($A147)=1,"",(UpdateHashtag!L145-C$1)/C$2)</f>
        <v>-0.4535106288</v>
      </c>
      <c r="D147" s="53">
        <f>IF(TYPE($A147)=1,"",(UpdateHashtag!N145-D$1)/D$2)</f>
        <v>0.6378256739</v>
      </c>
      <c r="E147" s="53">
        <f>IF(TYPE($A147)=1,"",(UpdateHashtag!O145-E$1)/E$2)</f>
        <v>-0.8973514709</v>
      </c>
      <c r="F147" s="53">
        <f>IF(TYPE($A147)=1,"",(UpdateHashtag!P145-F$1)/F$2)</f>
        <v>-1.356589379</v>
      </c>
      <c r="G147" s="53">
        <f>IF(TYPE($A147)=1,"",(UpdateHashtag!Q145-G$1)/G$2)</f>
        <v>-0.4185422635</v>
      </c>
      <c r="H147" s="53">
        <f>IF(TYPE($A147)=1,"",(UpdateHashtag!I145-H$1)/H$2*I147/$I$1)</f>
        <v>8.240518839</v>
      </c>
      <c r="I147" s="53">
        <f>UpdateHashtag!S145</f>
        <v>9.2</v>
      </c>
      <c r="J147" s="58">
        <f>IF(TYPE($A147)=1,"",(UpdateHashtag!K145-J$1)/J$2*K147/$K$1)</f>
        <v>-3.055462673</v>
      </c>
      <c r="K147" s="59">
        <f>UpdateHashtag!T145</f>
        <v>2.9</v>
      </c>
      <c r="L147" s="53">
        <f>IF(TYPE($A147)=1,"",-(UpdateHashtag!R145-L$1)/L$2)</f>
        <v>0.2466595634</v>
      </c>
      <c r="N147" s="106">
        <f t="shared" si="3"/>
        <v>-0.9404382326</v>
      </c>
      <c r="O147" s="106">
        <f t="shared" si="4"/>
        <v>114</v>
      </c>
      <c r="P147" s="163" t="str">
        <f t="array" ref="P147">INDIRECT("Update"&amp;Projections!$AG$11&amp;"!B"&amp;ROW(B128))</f>
        <v/>
      </c>
      <c r="Q147" s="164" t="str">
        <f t="array" ref="Q147">INDIRECT("Update"&amp;Projections!$AG$11&amp;"!C"&amp;ROW(B128))</f>
        <v>Draymond Green</v>
      </c>
      <c r="R147" s="163">
        <f>UpdateBBM!F128</f>
        <v>68</v>
      </c>
      <c r="S147" s="165" t="str">
        <f t="array" ref="S147">INDIRECT("Update"&amp;Projections!$AG$11&amp;"!D"&amp;ROW(B128))</f>
        <v>F,C</v>
      </c>
      <c r="T147" s="144">
        <f t="shared" si="5"/>
        <v>-0.5655191502</v>
      </c>
      <c r="U147" s="144">
        <f>SUM(AF147:AN147)-IFERROR(IFS(Projections!$I$11,AO147,Projections!$J$11,AP147),"")</f>
        <v>-0.3746070453</v>
      </c>
      <c r="V147" s="144">
        <f t="shared" si="6"/>
        <v>0.1909121049</v>
      </c>
      <c r="W147" s="144">
        <f t="array" ref="W147">INDIRECT("Update"&amp;Projections!$AG$11&amp;"!M"&amp;ROW(B128))</f>
        <v>8.763529</v>
      </c>
      <c r="X147" s="144">
        <f t="array" ref="X147">INDIRECT("Update"&amp;Projections!$AG$11&amp;"!L"&amp;ROW(B128))</f>
        <v>1.165</v>
      </c>
      <c r="Y147" s="144">
        <f t="array" ref="Y147">INDIRECT("Update"&amp;Projections!$AG$11&amp;"!N"&amp;ROW(B128))</f>
        <v>5.921471</v>
      </c>
      <c r="Z147" s="144">
        <f t="array" ref="Z147">INDIRECT("Update"&amp;Projections!$AG$11&amp;"!O"&amp;ROW(B128))</f>
        <v>5.921471</v>
      </c>
      <c r="AA147" s="144">
        <f t="array" ref="AA147">INDIRECT("Update"&amp;Projections!$AG$11&amp;"!P"&amp;ROW(B128))</f>
        <v>1.375735</v>
      </c>
      <c r="AB147" s="144">
        <f t="array" ref="AB147">INDIRECT("Update"&amp;Projections!$AG$11&amp;"!Q"&amp;ROW(B128))</f>
        <v>0.837353</v>
      </c>
      <c r="AC147" s="166">
        <f t="array" ref="AC147">INDIRECT("Update"&amp;Projections!$AG$11&amp;"!I"&amp;ROW(B128))</f>
        <v>0.411559</v>
      </c>
      <c r="AD147" s="166">
        <f t="array" ref="AD147">INDIRECT("Update"&amp;Projections!$AG$11&amp;"!K"&amp;ROW(B128))</f>
        <v>0.708998</v>
      </c>
      <c r="AE147" s="144">
        <f t="array" ref="AE147">INDIRECT("Update"&amp;Projections!$AG$11&amp;"!R"&amp;ROW(B128))</f>
        <v>2.518529</v>
      </c>
      <c r="AF147" s="144">
        <f t="shared" si="7"/>
        <v>-1.475661719</v>
      </c>
      <c r="AG147" s="144">
        <f t="shared" si="8"/>
        <v>-0.5838981432</v>
      </c>
      <c r="AH147" s="144">
        <f t="shared" si="9"/>
        <v>-0.08310747011</v>
      </c>
      <c r="AI147" s="144">
        <f t="shared" si="10"/>
        <v>1.018343962</v>
      </c>
      <c r="AJ147" s="144">
        <f t="shared" si="11"/>
        <v>1.007253615</v>
      </c>
      <c r="AK147" s="144">
        <f t="shared" si="12"/>
        <v>0.1947628675</v>
      </c>
      <c r="AL147" s="144">
        <f t="shared" si="13"/>
        <v>-1.033851362</v>
      </c>
      <c r="AM147" s="144">
        <f t="shared" si="14"/>
        <v>-0.894110515</v>
      </c>
      <c r="AN147" s="144">
        <f t="shared" si="15"/>
        <v>0</v>
      </c>
      <c r="AO147" s="167">
        <f t="shared" si="16"/>
        <v>-1.475661719</v>
      </c>
      <c r="AP147" s="167">
        <f t="shared" si="17"/>
        <v>-2.509513081</v>
      </c>
      <c r="AQ147" s="167">
        <f t="array" ref="AQ147">INDIRECT("Update"&amp;Projections!$AG$11&amp;"!S"&amp;ROW(B128))</f>
        <v>0.411559</v>
      </c>
      <c r="AR147" s="167">
        <f t="array" ref="AR147">INDIRECT("Update"&amp;Projections!$AG$11&amp;"!T"&amp;ROW(B128))</f>
        <v>0.708998</v>
      </c>
    </row>
    <row r="148">
      <c r="A148" s="50" t="str">
        <f>IF(UpdateHashtag!C146="",ROW(UpdateHashtag!C146),UpdateHashtag!C146)</f>
        <v>Jeremy Sochan</v>
      </c>
      <c r="B148" s="53">
        <f>IF(TYPE($A148)=1,"",(UpdateHashtag!M146-B$1)/B$2)</f>
        <v>-0.8376697485</v>
      </c>
      <c r="C148" s="53">
        <f>IF(TYPE($A148)=1,"",(UpdateHashtag!L146-C$1)/C$2)</f>
        <v>-0.7432606607</v>
      </c>
      <c r="D148" s="53">
        <f>IF(TYPE($A148)=1,"",(UpdateHashtag!N146-D$1)/D$2)</f>
        <v>0.2730074282</v>
      </c>
      <c r="E148" s="53">
        <f>IF(TYPE($A148)=1,"",(UpdateHashtag!O146-E$1)/E$2)</f>
        <v>-0.3111340744</v>
      </c>
      <c r="F148" s="53">
        <f>IF(TYPE($A148)=1,"",(UpdateHashtag!P146-F$1)/F$2)</f>
        <v>-0.1376973632</v>
      </c>
      <c r="G148" s="53">
        <f>IF(TYPE($A148)=1,"",(UpdateHashtag!Q146-G$1)/G$2)</f>
        <v>-0.236743041</v>
      </c>
      <c r="H148" s="53">
        <f>IF(TYPE($A148)=1,"",(UpdateHashtag!I146-H$1)/H$2*I148/$I$1)</f>
        <v>-16.91267099</v>
      </c>
      <c r="I148" s="53">
        <f>UpdateHashtag!S146</f>
        <v>11</v>
      </c>
      <c r="J148" s="58">
        <f>IF(TYPE($A148)=1,"",(UpdateHashtag!K146-J$1)/J$2*K148/$K$1)</f>
        <v>-0.6328001259</v>
      </c>
      <c r="K148" s="59">
        <f>UpdateHashtag!T146</f>
        <v>2.2</v>
      </c>
      <c r="L148" s="53">
        <f>IF(TYPE($A148)=1,"",-(UpdateHashtag!R146-L$1)/L$2)</f>
        <v>-0.2493047061</v>
      </c>
      <c r="N148" s="106">
        <f t="shared" si="3"/>
        <v>-0.9506747382</v>
      </c>
      <c r="O148" s="106">
        <f t="shared" si="4"/>
        <v>135</v>
      </c>
      <c r="P148" s="163" t="str">
        <f t="array" ref="P148">INDIRECT("Update"&amp;Projections!$AG$11&amp;"!B"&amp;ROW(B129))</f>
        <v/>
      </c>
      <c r="Q148" s="164" t="str">
        <f t="array" ref="Q148">INDIRECT("Update"&amp;Projections!$AG$11&amp;"!C"&amp;ROW(B129))</f>
        <v>Al Horford</v>
      </c>
      <c r="R148" s="163">
        <f>UpdateBBM!F129</f>
        <v>53</v>
      </c>
      <c r="S148" s="165" t="str">
        <f t="array" ref="S148">INDIRECT("Update"&amp;Projections!$AG$11&amp;"!D"&amp;ROW(B129))</f>
        <v>F,C</v>
      </c>
      <c r="T148" s="144">
        <f t="shared" si="5"/>
        <v>-1.25458253</v>
      </c>
      <c r="U148" s="144">
        <f>SUM(AF148:AN148)-IFERROR(IFS(Projections!$I$11,AO148,Projections!$J$11,AP148),"")</f>
        <v>-1.47341205</v>
      </c>
      <c r="V148" s="144">
        <f t="shared" si="6"/>
        <v>-0.2188295203</v>
      </c>
      <c r="W148" s="144">
        <f t="array" ref="W148">INDIRECT("Update"&amp;Projections!$AG$11&amp;"!M"&amp;ROW(B129))</f>
        <v>8.823962</v>
      </c>
      <c r="X148" s="144">
        <f t="array" ref="X148">INDIRECT("Update"&amp;Projections!$AG$11&amp;"!L"&amp;ROW(B129))</f>
        <v>1.85434</v>
      </c>
      <c r="Y148" s="144">
        <f t="array" ref="Y148">INDIRECT("Update"&amp;Projections!$AG$11&amp;"!N"&amp;ROW(B129))</f>
        <v>6.52566</v>
      </c>
      <c r="Z148" s="144">
        <f t="array" ref="Z148">INDIRECT("Update"&amp;Projections!$AG$11&amp;"!O"&amp;ROW(B129))</f>
        <v>2.540943</v>
      </c>
      <c r="AA148" s="144">
        <f t="array" ref="AA148">INDIRECT("Update"&amp;Projections!$AG$11&amp;"!P"&amp;ROW(B129))</f>
        <v>0.575849</v>
      </c>
      <c r="AB148" s="144">
        <f t="array" ref="AB148">INDIRECT("Update"&amp;Projections!$AG$11&amp;"!Q"&amp;ROW(B129))</f>
        <v>0.867925</v>
      </c>
      <c r="AC148" s="166">
        <f t="array" ref="AC148">INDIRECT("Update"&amp;Projections!$AG$11&amp;"!I"&amp;ROW(B129))</f>
        <v>0.438634</v>
      </c>
      <c r="AD148" s="166">
        <f t="array" ref="AD148">INDIRECT("Update"&amp;Projections!$AG$11&amp;"!K"&amp;ROW(B129))</f>
        <v>0.850021</v>
      </c>
      <c r="AE148" s="144">
        <f t="array" ref="AE148">INDIRECT("Update"&amp;Projections!$AG$11&amp;"!R"&amp;ROW(B129))</f>
        <v>0.866226</v>
      </c>
      <c r="AF148" s="144">
        <f t="shared" si="7"/>
        <v>-1.465059196</v>
      </c>
      <c r="AG148" s="144">
        <f t="shared" si="8"/>
        <v>0.08188948023</v>
      </c>
      <c r="AH148" s="144">
        <f t="shared" si="9"/>
        <v>0.1618027199</v>
      </c>
      <c r="AI148" s="144">
        <f t="shared" si="10"/>
        <v>-0.6330929733</v>
      </c>
      <c r="AJ148" s="144">
        <f t="shared" si="11"/>
        <v>-1.430183031</v>
      </c>
      <c r="AK148" s="144">
        <f t="shared" si="12"/>
        <v>0.2503425258</v>
      </c>
      <c r="AL148" s="144">
        <f t="shared" si="13"/>
        <v>-0.7451115813</v>
      </c>
      <c r="AM148" s="144">
        <f t="shared" si="14"/>
        <v>0.8409408098</v>
      </c>
      <c r="AN148" s="144">
        <f t="shared" si="15"/>
        <v>0</v>
      </c>
      <c r="AO148" s="167">
        <f t="shared" si="16"/>
        <v>-1.465059196</v>
      </c>
      <c r="AP148" s="167">
        <f t="shared" si="17"/>
        <v>-2.895242227</v>
      </c>
      <c r="AQ148" s="167">
        <f t="array" ref="AQ148">INDIRECT("Update"&amp;Projections!$AG$11&amp;"!S"&amp;ROW(B129))</f>
        <v>0.438634</v>
      </c>
      <c r="AR148" s="167">
        <f t="array" ref="AR148">INDIRECT("Update"&amp;Projections!$AG$11&amp;"!T"&amp;ROW(B129))</f>
        <v>0.850021</v>
      </c>
    </row>
    <row r="149">
      <c r="A149" s="50" t="str">
        <f>IF(UpdateHashtag!C147="",ROW(UpdateHashtag!C147),UpdateHashtag!C147)</f>
        <v>Aaron Nesmith</v>
      </c>
      <c r="B149" s="53">
        <f>IF(TYPE($A149)=1,"",(UpdateHashtag!M147-B$1)/B$2)</f>
        <v>-0.9253910545</v>
      </c>
      <c r="C149" s="53">
        <f>IF(TYPE($A149)=1,"",(UpdateHashtag!L147-C$1)/C$2)</f>
        <v>0.1259894351</v>
      </c>
      <c r="D149" s="53">
        <f>IF(TYPE($A149)=1,"",(UpdateHashtag!N147-D$1)/D$2)</f>
        <v>-0.8214473087</v>
      </c>
      <c r="E149" s="53">
        <f>IF(TYPE($A149)=1,"",(UpdateHashtag!O147-E$1)/E$2)</f>
        <v>-1.141608719</v>
      </c>
      <c r="F149" s="53">
        <f>IF(TYPE($A149)=1,"",(UpdateHashtag!P147-F$1)/F$2)</f>
        <v>-0.442420367</v>
      </c>
      <c r="G149" s="53">
        <f>IF(TYPE($A149)=1,"",(UpdateHashtag!Q147-G$1)/G$2)</f>
        <v>-0.236743041</v>
      </c>
      <c r="H149" s="53">
        <f>IF(TYPE($A149)=1,"",(UpdateHashtag!I147-H$1)/H$2*I149/$I$1)</f>
        <v>-4.806577744</v>
      </c>
      <c r="I149" s="53">
        <f>UpdateHashtag!S147</f>
        <v>8.8</v>
      </c>
      <c r="J149" s="58">
        <f>IF(TYPE($A149)=1,"",(UpdateHashtag!K147-J$1)/J$2*K149/$K$1)</f>
        <v>0.2545295054</v>
      </c>
      <c r="K149" s="59">
        <f>UpdateHashtag!T147</f>
        <v>2</v>
      </c>
      <c r="L149" s="53">
        <f>IF(TYPE($A149)=1,"",-(UpdateHashtag!R147-L$1)/L$2)</f>
        <v>0.7426238329</v>
      </c>
      <c r="N149" s="106">
        <f t="shared" si="3"/>
        <v>-1.128991187</v>
      </c>
      <c r="O149" s="106">
        <f t="shared" si="4"/>
        <v>89</v>
      </c>
      <c r="P149" s="163" t="str">
        <f t="array" ref="P149">INDIRECT("Update"&amp;Projections!$AG$11&amp;"!B"&amp;ROW(B130))</f>
        <v/>
      </c>
      <c r="Q149" s="164" t="str">
        <f t="array" ref="Q149">INDIRECT("Update"&amp;Projections!$AG$11&amp;"!C"&amp;ROW(B130))</f>
        <v>Jalen Green</v>
      </c>
      <c r="R149" s="163">
        <f>UpdateBBM!F130</f>
        <v>77</v>
      </c>
      <c r="S149" s="165" t="str">
        <f t="array" ref="S149">INDIRECT("Update"&amp;Projections!$AG$11&amp;"!D"&amp;ROW(B130))</f>
        <v>G</v>
      </c>
      <c r="T149" s="144">
        <f t="shared" si="5"/>
        <v>0.4236409788</v>
      </c>
      <c r="U149" s="144">
        <f>SUM(AF149:AN149)-IFERROR(IFS(Projections!$I$11,AO149,Projections!$J$11,AP149),"")</f>
        <v>0.7060592354</v>
      </c>
      <c r="V149" s="144">
        <f t="shared" si="6"/>
        <v>0.2824182566</v>
      </c>
      <c r="W149" s="144">
        <f t="array" ref="W149">INDIRECT("Update"&amp;Projections!$AG$11&amp;"!M"&amp;ROW(B130))</f>
        <v>21.6387</v>
      </c>
      <c r="X149" s="144">
        <f t="array" ref="X149">INDIRECT("Update"&amp;Projections!$AG$11&amp;"!L"&amp;ROW(B130))</f>
        <v>2.884416</v>
      </c>
      <c r="Y149" s="144">
        <f t="array" ref="Y149">INDIRECT("Update"&amp;Projections!$AG$11&amp;"!N"&amp;ROW(B130))</f>
        <v>5.053117</v>
      </c>
      <c r="Z149" s="144">
        <f t="array" ref="Z149">INDIRECT("Update"&amp;Projections!$AG$11&amp;"!O"&amp;ROW(B130))</f>
        <v>5.341818</v>
      </c>
      <c r="AA149" s="144">
        <f t="array" ref="AA149">INDIRECT("Update"&amp;Projections!$AG$11&amp;"!P"&amp;ROW(B130))</f>
        <v>0.878831</v>
      </c>
      <c r="AB149" s="144">
        <f t="array" ref="AB149">INDIRECT("Update"&amp;Projections!$AG$11&amp;"!Q"&amp;ROW(B130))</f>
        <v>0.357403</v>
      </c>
      <c r="AC149" s="166">
        <f t="array" ref="AC149">INDIRECT("Update"&amp;Projections!$AG$11&amp;"!I"&amp;ROW(B130))</f>
        <v>0.42896</v>
      </c>
      <c r="AD149" s="166">
        <f t="array" ref="AD149">INDIRECT("Update"&amp;Projections!$AG$11&amp;"!K"&amp;ROW(B130))</f>
        <v>0.765996</v>
      </c>
      <c r="AE149" s="144">
        <f t="array" ref="AE149">INDIRECT("Update"&amp;Projections!$AG$11&amp;"!R"&amp;ROW(B130))</f>
        <v>2.887532</v>
      </c>
      <c r="AF149" s="144">
        <f t="shared" si="7"/>
        <v>0.7831919105</v>
      </c>
      <c r="AG149" s="144">
        <f t="shared" si="8"/>
        <v>1.076771327</v>
      </c>
      <c r="AH149" s="144">
        <f t="shared" si="9"/>
        <v>-0.4350978955</v>
      </c>
      <c r="AI149" s="144">
        <f t="shared" si="10"/>
        <v>0.7351750687</v>
      </c>
      <c r="AJ149" s="144">
        <f t="shared" si="11"/>
        <v>-0.5069271797</v>
      </c>
      <c r="AK149" s="144">
        <f t="shared" si="12"/>
        <v>-0.6777825008</v>
      </c>
      <c r="AL149" s="144">
        <f t="shared" si="13"/>
        <v>-0.8533362169</v>
      </c>
      <c r="AM149" s="144">
        <f t="shared" si="14"/>
        <v>-0.2692714943</v>
      </c>
      <c r="AN149" s="144">
        <f t="shared" si="15"/>
        <v>0</v>
      </c>
      <c r="AO149" s="167">
        <f t="shared" si="16"/>
        <v>-0.8533362169</v>
      </c>
      <c r="AP149" s="167">
        <f t="shared" si="17"/>
        <v>-1.531118718</v>
      </c>
      <c r="AQ149" s="167">
        <f t="array" ref="AQ149">INDIRECT("Update"&amp;Projections!$AG$11&amp;"!S"&amp;ROW(B130))</f>
        <v>0.42896</v>
      </c>
      <c r="AR149" s="167">
        <f t="array" ref="AR149">INDIRECT("Update"&amp;Projections!$AG$11&amp;"!T"&amp;ROW(B130))</f>
        <v>0.765996</v>
      </c>
    </row>
    <row r="150">
      <c r="A150" s="50" t="str">
        <f>IF(UpdateHashtag!C148="",ROW(UpdateHashtag!C148),UpdateHashtag!C148)</f>
        <v>Brandon Clarke</v>
      </c>
      <c r="B150" s="53">
        <f>IF(TYPE($A150)=1,"",(UpdateHashtag!M148-B$1)/B$2)</f>
        <v>-1.01311236</v>
      </c>
      <c r="C150" s="53">
        <f>IF(TYPE($A150)=1,"",(UpdateHashtag!L148-C$1)/C$2)</f>
        <v>-1.709094101</v>
      </c>
      <c r="D150" s="53">
        <f>IF(TYPE($A150)=1,"",(UpdateHashtag!N148-D$1)/D$2)</f>
        <v>0.02979526449</v>
      </c>
      <c r="E150" s="53">
        <f>IF(TYPE($A150)=1,"",(UpdateHashtag!O148-E$1)/E$2)</f>
        <v>-1.141608719</v>
      </c>
      <c r="F150" s="53">
        <f>IF(TYPE($A150)=1,"",(UpdateHashtag!P148-F$1)/F$2)</f>
        <v>-1.051866375</v>
      </c>
      <c r="G150" s="53">
        <f>IF(TYPE($A150)=1,"",(UpdateHashtag!Q148-G$1)/G$2)</f>
        <v>0.126855404</v>
      </c>
      <c r="H150" s="53">
        <f>IF(TYPE($A150)=1,"",(UpdateHashtag!I148-H$1)/H$2*I150/$I$1)</f>
        <v>32.63670561</v>
      </c>
      <c r="I150" s="53">
        <f>UpdateHashtag!S148</f>
        <v>7.4</v>
      </c>
      <c r="J150" s="58">
        <f>IF(TYPE($A150)=1,"",(UpdateHashtag!K148-J$1)/J$2*K150/$K$1)</f>
        <v>-3.859613496</v>
      </c>
      <c r="K150" s="59">
        <f>UpdateHashtag!T148</f>
        <v>2.6</v>
      </c>
      <c r="L150" s="53">
        <f>IF(TYPE($A150)=1,"",-(UpdateHashtag!R148-L$1)/L$2)</f>
        <v>0.643430979</v>
      </c>
      <c r="N150" s="106">
        <f t="shared" si="3"/>
        <v>-1.141714848</v>
      </c>
      <c r="O150" s="106">
        <f t="shared" si="4"/>
        <v>85</v>
      </c>
      <c r="P150" s="163" t="str">
        <f t="array" ref="P150">INDIRECT("Update"&amp;Projections!$AG$11&amp;"!B"&amp;ROW(B131))</f>
        <v/>
      </c>
      <c r="Q150" s="164" t="str">
        <f t="array" ref="Q150">INDIRECT("Update"&amp;Projections!$AG$11&amp;"!C"&amp;ROW(B131))</f>
        <v>Daniel Gafford</v>
      </c>
      <c r="R150" s="163">
        <f>UpdateBBM!F131</f>
        <v>68</v>
      </c>
      <c r="S150" s="165" t="str">
        <f t="array" ref="S150">INDIRECT("Update"&amp;Projections!$AG$11&amp;"!D"&amp;ROW(B131))</f>
        <v>C</v>
      </c>
      <c r="T150" s="144">
        <f t="shared" si="5"/>
        <v>0.6046238204</v>
      </c>
      <c r="U150" s="144">
        <f>SUM(AF150:AN150)-IFERROR(IFS(Projections!$I$11,AO150,Projections!$J$11,AP150),"")</f>
        <v>0.4120389934</v>
      </c>
      <c r="V150" s="144">
        <f t="shared" si="6"/>
        <v>-0.1925848271</v>
      </c>
      <c r="W150" s="144">
        <f t="array" ref="W150">INDIRECT("Update"&amp;Projections!$AG$11&amp;"!M"&amp;ROW(B131))</f>
        <v>9.703971</v>
      </c>
      <c r="X150" s="144">
        <f t="array" ref="X150">INDIRECT("Update"&amp;Projections!$AG$11&amp;"!L"&amp;ROW(B131))</f>
        <v>0</v>
      </c>
      <c r="Y150" s="144">
        <f t="array" ref="Y150">INDIRECT("Update"&amp;Projections!$AG$11&amp;"!N"&amp;ROW(B131))</f>
        <v>6.318824</v>
      </c>
      <c r="Z150" s="144">
        <f t="array" ref="Z150">INDIRECT("Update"&amp;Projections!$AG$11&amp;"!O"&amp;ROW(B131))</f>
        <v>1.368382</v>
      </c>
      <c r="AA150" s="144">
        <f t="array" ref="AA150">INDIRECT("Update"&amp;Projections!$AG$11&amp;"!P"&amp;ROW(B131))</f>
        <v>0.48</v>
      </c>
      <c r="AB150" s="144">
        <f t="array" ref="AB150">INDIRECT("Update"&amp;Projections!$AG$11&amp;"!Q"&amp;ROW(B131))</f>
        <v>1.590735</v>
      </c>
      <c r="AC150" s="166">
        <f t="array" ref="AC150">INDIRECT("Update"&amp;Projections!$AG$11&amp;"!I"&amp;ROW(B131))</f>
        <v>0.694505</v>
      </c>
      <c r="AD150" s="166">
        <f t="array" ref="AD150">INDIRECT("Update"&amp;Projections!$AG$11&amp;"!K"&amp;ROW(B131))</f>
        <v>0.680998</v>
      </c>
      <c r="AE150" s="144">
        <f t="array" ref="AE150">INDIRECT("Update"&amp;Projections!$AG$11&amp;"!R"&amp;ROW(B131))</f>
        <v>0.972059</v>
      </c>
      <c r="AF150" s="144">
        <f t="shared" si="7"/>
        <v>-1.310668118</v>
      </c>
      <c r="AG150" s="144">
        <f t="shared" si="8"/>
        <v>-1.709094101</v>
      </c>
      <c r="AH150" s="144">
        <f t="shared" si="9"/>
        <v>0.0779610014</v>
      </c>
      <c r="AI150" s="144">
        <f t="shared" si="10"/>
        <v>-1.205906021</v>
      </c>
      <c r="AJ150" s="144">
        <f t="shared" si="11"/>
        <v>-1.722256983</v>
      </c>
      <c r="AK150" s="144">
        <f t="shared" si="12"/>
        <v>1.564405486</v>
      </c>
      <c r="AL150" s="144">
        <f t="shared" si="13"/>
        <v>4.158421975</v>
      </c>
      <c r="AM150" s="144">
        <f t="shared" si="14"/>
        <v>-1.16308123</v>
      </c>
      <c r="AN150" s="144">
        <f t="shared" si="15"/>
        <v>0</v>
      </c>
      <c r="AO150" s="167">
        <f t="shared" si="16"/>
        <v>-1.722256983</v>
      </c>
      <c r="AP150" s="167">
        <f t="shared" si="17"/>
        <v>-3.431351084</v>
      </c>
      <c r="AQ150" s="167">
        <f t="array" ref="AQ150">INDIRECT("Update"&amp;Projections!$AG$11&amp;"!S"&amp;ROW(B131))</f>
        <v>0.694505</v>
      </c>
      <c r="AR150" s="167">
        <f t="array" ref="AR150">INDIRECT("Update"&amp;Projections!$AG$11&amp;"!T"&amp;ROW(B131))</f>
        <v>0.680998</v>
      </c>
    </row>
    <row r="151">
      <c r="A151" s="50" t="str">
        <f>IF(UpdateHashtag!C149="",ROW(UpdateHashtag!C149),UpdateHashtag!C149)</f>
        <v>Marvin Bagley III</v>
      </c>
      <c r="B151" s="53">
        <f>IF(TYPE($A151)=1,"",(UpdateHashtag!M149-B$1)/B$2)</f>
        <v>-0.6622271365</v>
      </c>
      <c r="C151" s="53">
        <f>IF(TYPE($A151)=1,"",(UpdateHashtag!L149-C$1)/C$2)</f>
        <v>-1.419344069</v>
      </c>
      <c r="D151" s="53">
        <f>IF(TYPE($A151)=1,"",(UpdateHashtag!N149-D$1)/D$2)</f>
        <v>0.4351488707</v>
      </c>
      <c r="E151" s="53">
        <f>IF(TYPE($A151)=1,"",(UpdateHashtag!O149-E$1)/E$2)</f>
        <v>-1.337014518</v>
      </c>
      <c r="F151" s="53">
        <f>IF(TYPE($A151)=1,"",(UpdateHashtag!P149-F$1)/F$2)</f>
        <v>-1.661312382</v>
      </c>
      <c r="G151" s="53">
        <f>IF(TYPE($A151)=1,"",(UpdateHashtag!Q149-G$1)/G$2)</f>
        <v>0.126855404</v>
      </c>
      <c r="H151" s="53">
        <f>IF(TYPE($A151)=1,"",(UpdateHashtag!I149-H$1)/H$2*I151/$I$1)</f>
        <v>18.49281655</v>
      </c>
      <c r="I151" s="53">
        <f>UpdateHashtag!S149</f>
        <v>9.8</v>
      </c>
      <c r="J151" s="58">
        <f>IF(TYPE($A151)=1,"",(UpdateHashtag!K149-J$1)/J$2*K151/$K$1)</f>
        <v>-1.528307199</v>
      </c>
      <c r="K151" s="59">
        <f>UpdateHashtag!T149</f>
        <v>2.9</v>
      </c>
      <c r="L151" s="53">
        <f>IF(TYPE($A151)=1,"",-(UpdateHashtag!R149-L$1)/L$2)</f>
        <v>0.4450452712</v>
      </c>
      <c r="N151" s="106">
        <f t="shared" si="3"/>
        <v>-1.152192359</v>
      </c>
      <c r="O151" s="106">
        <f t="shared" si="4"/>
        <v>133</v>
      </c>
      <c r="P151" s="163" t="str">
        <f t="array" ref="P151">INDIRECT("Update"&amp;Projections!$AG$11&amp;"!B"&amp;ROW(B132))</f>
        <v/>
      </c>
      <c r="Q151" s="164" t="str">
        <f t="array" ref="Q151">INDIRECT("Update"&amp;Projections!$AG$11&amp;"!C"&amp;ROW(B132))</f>
        <v>T.J. McConnell</v>
      </c>
      <c r="R151" s="163">
        <f>UpdateBBM!F132</f>
        <v>73</v>
      </c>
      <c r="S151" s="165" t="str">
        <f t="array" ref="S151">INDIRECT("Update"&amp;Projections!$AG$11&amp;"!D"&amp;ROW(B132))</f>
        <v>G</v>
      </c>
      <c r="T151" s="144">
        <f t="shared" si="5"/>
        <v>-1.183606097</v>
      </c>
      <c r="U151" s="144">
        <f>SUM(AF151:AN151)-IFERROR(IFS(Projections!$I$11,AO151,Projections!$J$11,AP151),"")</f>
        <v>-1.103785277</v>
      </c>
      <c r="V151" s="144">
        <f t="shared" si="6"/>
        <v>0.07982082018</v>
      </c>
      <c r="W151" s="144">
        <f t="array" ref="W151">INDIRECT("Update"&amp;Projections!$AG$11&amp;"!M"&amp;ROW(B132))</f>
        <v>11.28986</v>
      </c>
      <c r="X151" s="144">
        <f t="array" ref="X151">INDIRECT("Update"&amp;Projections!$AG$11&amp;"!L"&amp;ROW(B132))</f>
        <v>0.317671</v>
      </c>
      <c r="Y151" s="144">
        <f t="array" ref="Y151">INDIRECT("Update"&amp;Projections!$AG$11&amp;"!N"&amp;ROW(B132))</f>
        <v>3.232055</v>
      </c>
      <c r="Z151" s="144">
        <f t="array" ref="Z151">INDIRECT("Update"&amp;Projections!$AG$11&amp;"!O"&amp;ROW(B132))</f>
        <v>6.982466</v>
      </c>
      <c r="AA151" s="144">
        <f t="array" ref="AA151">INDIRECT("Update"&amp;Projections!$AG$11&amp;"!P"&amp;ROW(B132))</f>
        <v>1.262466</v>
      </c>
      <c r="AB151" s="144">
        <f t="array" ref="AB151">INDIRECT("Update"&amp;Projections!$AG$11&amp;"!Q"&amp;ROW(B132))</f>
        <v>0.295479</v>
      </c>
      <c r="AC151" s="166">
        <f t="array" ref="AC151">INDIRECT("Update"&amp;Projections!$AG$11&amp;"!I"&amp;ROW(B132))</f>
        <v>0.518861</v>
      </c>
      <c r="AD151" s="166">
        <f t="array" ref="AD151">INDIRECT("Update"&amp;Projections!$AG$11&amp;"!K"&amp;ROW(B132))</f>
        <v>0.730038</v>
      </c>
      <c r="AE151" s="144">
        <f t="array" ref="AE151">INDIRECT("Update"&amp;Projections!$AG$11&amp;"!R"&amp;ROW(B132))</f>
        <v>2.070548</v>
      </c>
      <c r="AF151" s="144">
        <f t="shared" si="7"/>
        <v>-1.03243561</v>
      </c>
      <c r="AG151" s="144">
        <f t="shared" si="8"/>
        <v>-1.402276826</v>
      </c>
      <c r="AH151" s="144">
        <f t="shared" si="9"/>
        <v>-1.173271944</v>
      </c>
      <c r="AI151" s="144">
        <f t="shared" si="10"/>
        <v>1.536655401</v>
      </c>
      <c r="AJ151" s="144">
        <f t="shared" si="11"/>
        <v>0.662096916</v>
      </c>
      <c r="AK151" s="144">
        <f t="shared" si="12"/>
        <v>-0.7903598514</v>
      </c>
      <c r="AL151" s="144">
        <f t="shared" si="13"/>
        <v>0.3690628269</v>
      </c>
      <c r="AM151" s="144">
        <f t="shared" si="14"/>
        <v>-0.6755330159</v>
      </c>
      <c r="AN151" s="144">
        <f t="shared" si="15"/>
        <v>0</v>
      </c>
      <c r="AO151" s="167">
        <f t="shared" si="16"/>
        <v>-1.402276826</v>
      </c>
      <c r="AP151" s="167">
        <f t="shared" si="17"/>
        <v>-2.57554877</v>
      </c>
      <c r="AQ151" s="167">
        <f t="array" ref="AQ151">INDIRECT("Update"&amp;Projections!$AG$11&amp;"!S"&amp;ROW(B132))</f>
        <v>0.518861</v>
      </c>
      <c r="AR151" s="167">
        <f t="array" ref="AR151">INDIRECT("Update"&amp;Projections!$AG$11&amp;"!T"&amp;ROW(B132))</f>
        <v>0.730038</v>
      </c>
    </row>
    <row r="152">
      <c r="A152" s="50" t="str">
        <f>IF(UpdateHashtag!C150="",ROW(UpdateHashtag!C150),UpdateHashtag!C150)</f>
        <v>Kelly Olynyk</v>
      </c>
      <c r="B152" s="53">
        <f>IF(TYPE($A152)=1,"",(UpdateHashtag!M150-B$1)/B$2)</f>
        <v>-1.328909062</v>
      </c>
      <c r="C152" s="53">
        <f>IF(TYPE($A152)=1,"",(UpdateHashtag!L150-C$1)/C$2)</f>
        <v>-0.8398440047</v>
      </c>
      <c r="D152" s="53">
        <f>IF(TYPE($A152)=1,"",(UpdateHashtag!N150-D$1)/D$2)</f>
        <v>-0.456629063</v>
      </c>
      <c r="E152" s="53">
        <f>IF(TYPE($A152)=1,"",(UpdateHashtag!O150-E$1)/E$2)</f>
        <v>-0.213431175</v>
      </c>
      <c r="F152" s="53">
        <f>IF(TYPE($A152)=1,"",(UpdateHashtag!P150-F$1)/F$2)</f>
        <v>-0.7471433709</v>
      </c>
      <c r="G152" s="53">
        <f>IF(TYPE($A152)=1,"",(UpdateHashtag!Q150-G$1)/G$2)</f>
        <v>-0.600341486</v>
      </c>
      <c r="H152" s="53">
        <f>IF(TYPE($A152)=1,"",(UpdateHashtag!I150-H$1)/H$2*I152/$I$1)</f>
        <v>5.832214752</v>
      </c>
      <c r="I152" s="53">
        <f>UpdateHashtag!S150</f>
        <v>6.3</v>
      </c>
      <c r="J152" s="58">
        <f>IF(TYPE($A152)=1,"",(UpdateHashtag!K150-J$1)/J$2*K152/$K$1)</f>
        <v>1.760781061</v>
      </c>
      <c r="K152" s="59">
        <f>UpdateHashtag!T150</f>
        <v>2.4</v>
      </c>
      <c r="L152" s="53">
        <f>IF(TYPE($A152)=1,"",-(UpdateHashtag!R150-L$1)/L$2)</f>
        <v>-0.1501118522</v>
      </c>
      <c r="N152" s="106">
        <f t="shared" si="3"/>
        <v>-1.163789804</v>
      </c>
      <c r="O152" s="106">
        <f t="shared" si="4"/>
        <v>137</v>
      </c>
      <c r="P152" s="163" t="str">
        <f t="array" ref="P152">INDIRECT("Update"&amp;Projections!$AG$11&amp;"!B"&amp;ROW(B133))</f>
        <v/>
      </c>
      <c r="Q152" s="164" t="str">
        <f t="array" ref="Q152">INDIRECT("Update"&amp;Projections!$AG$11&amp;"!C"&amp;ROW(B133))</f>
        <v>Scotty Pippen Jr.</v>
      </c>
      <c r="R152" s="163">
        <f>UpdateBBM!F133</f>
        <v>73</v>
      </c>
      <c r="S152" s="165" t="str">
        <f t="array" ref="S152">INDIRECT("Update"&amp;Projections!$AG$11&amp;"!D"&amp;ROW(B133))</f>
        <v>G</v>
      </c>
      <c r="T152" s="144">
        <f t="shared" si="5"/>
        <v>-1.29236932</v>
      </c>
      <c r="U152" s="144">
        <f>SUM(AF152:AN152)-IFERROR(IFS(Projections!$I$11,AO152,Projections!$J$11,AP152),"")</f>
        <v>-1.223894426</v>
      </c>
      <c r="V152" s="144">
        <f t="shared" si="6"/>
        <v>0.06847489357</v>
      </c>
      <c r="W152" s="144">
        <f t="array" ref="W152">INDIRECT("Update"&amp;Projections!$AG$11&amp;"!M"&amp;ROW(B133))</f>
        <v>12.13548</v>
      </c>
      <c r="X152" s="144">
        <f t="array" ref="X152">INDIRECT("Update"&amp;Projections!$AG$11&amp;"!L"&amp;ROW(B133))</f>
        <v>1.403151</v>
      </c>
      <c r="Y152" s="144">
        <f t="array" ref="Y152">INDIRECT("Update"&amp;Projections!$AG$11&amp;"!N"&amp;ROW(B133))</f>
        <v>3.520822</v>
      </c>
      <c r="Z152" s="144">
        <f t="array" ref="Z152">INDIRECT("Update"&amp;Projections!$AG$11&amp;"!O"&amp;ROW(B133))</f>
        <v>4.875068</v>
      </c>
      <c r="AA152" s="144">
        <f t="array" ref="AA152">INDIRECT("Update"&amp;Projections!$AG$11&amp;"!P"&amp;ROW(B133))</f>
        <v>1.408356</v>
      </c>
      <c r="AB152" s="144">
        <f t="array" ref="AB152">INDIRECT("Update"&amp;Projections!$AG$11&amp;"!Q"&amp;ROW(B133))</f>
        <v>0.478219</v>
      </c>
      <c r="AC152" s="166">
        <f t="array" ref="AC152">INDIRECT("Update"&amp;Projections!$AG$11&amp;"!I"&amp;ROW(B133))</f>
        <v>0.468865</v>
      </c>
      <c r="AD152" s="166">
        <f t="array" ref="AD152">INDIRECT("Update"&amp;Projections!$AG$11&amp;"!K"&amp;ROW(B133))</f>
        <v>0.721021</v>
      </c>
      <c r="AE152" s="144">
        <f t="array" ref="AE152">INDIRECT("Update"&amp;Projections!$AG$11&amp;"!R"&amp;ROW(B133))</f>
        <v>2.024795</v>
      </c>
      <c r="AF152" s="144">
        <f t="shared" si="7"/>
        <v>-0.8840778282</v>
      </c>
      <c r="AG152" s="144">
        <f t="shared" si="8"/>
        <v>-0.3538839436</v>
      </c>
      <c r="AH152" s="144">
        <f t="shared" si="9"/>
        <v>-1.0562192</v>
      </c>
      <c r="AI152" s="144">
        <f t="shared" si="10"/>
        <v>0.5071609272</v>
      </c>
      <c r="AJ152" s="144">
        <f t="shared" si="11"/>
        <v>1.106657306</v>
      </c>
      <c r="AK152" s="144">
        <f t="shared" si="12"/>
        <v>-0.4581399522</v>
      </c>
      <c r="AL152" s="144">
        <f t="shared" si="13"/>
        <v>-0.3706733323</v>
      </c>
      <c r="AM152" s="144">
        <f t="shared" si="14"/>
        <v>-0.7709376034</v>
      </c>
      <c r="AN152" s="144">
        <f t="shared" si="15"/>
        <v>0</v>
      </c>
      <c r="AO152" s="167">
        <f t="shared" si="16"/>
        <v>-1.0562192</v>
      </c>
      <c r="AP152" s="167">
        <f t="shared" si="17"/>
        <v>-1.940297028</v>
      </c>
      <c r="AQ152" s="167">
        <f t="array" ref="AQ152">INDIRECT("Update"&amp;Projections!$AG$11&amp;"!S"&amp;ROW(B133))</f>
        <v>0.468865</v>
      </c>
      <c r="AR152" s="167">
        <f t="array" ref="AR152">INDIRECT("Update"&amp;Projections!$AG$11&amp;"!T"&amp;ROW(B133))</f>
        <v>0.721021</v>
      </c>
    </row>
    <row r="153">
      <c r="A153" s="50" t="str">
        <f>IF(UpdateHashtag!C151="",ROW(UpdateHashtag!C151),UpdateHashtag!C151)</f>
        <v>Bilal Coulibaly</v>
      </c>
      <c r="B153" s="53">
        <f>IF(TYPE($A153)=1,"",(UpdateHashtag!M151-B$1)/B$2)</f>
        <v>-1.048200883</v>
      </c>
      <c r="C153" s="53">
        <f>IF(TYPE($A153)=1,"",(UpdateHashtag!L151-C$1)/C$2)</f>
        <v>-0.4535106288</v>
      </c>
      <c r="D153" s="53">
        <f>IF(TYPE($A153)=1,"",(UpdateHashtag!N151-D$1)/D$2)</f>
        <v>-0.3350229811</v>
      </c>
      <c r="E153" s="53">
        <f>IF(TYPE($A153)=1,"",(UpdateHashtag!O151-E$1)/E$2)</f>
        <v>-0.7507971218</v>
      </c>
      <c r="F153" s="53">
        <f>IF(TYPE($A153)=1,"",(UpdateHashtag!P151-F$1)/F$2)</f>
        <v>0.4717486444</v>
      </c>
      <c r="G153" s="53">
        <f>IF(TYPE($A153)=1,"",(UpdateHashtag!Q151-G$1)/G$2)</f>
        <v>0.490453849</v>
      </c>
      <c r="H153" s="53">
        <f>IF(TYPE($A153)=1,"",(UpdateHashtag!I151-H$1)/H$2*I153/$I$1)</f>
        <v>-14.6487146</v>
      </c>
      <c r="I153" s="53">
        <f>UpdateHashtag!S151</f>
        <v>9</v>
      </c>
      <c r="J153" s="58">
        <f>IF(TYPE($A153)=1,"",(UpdateHashtag!K151-J$1)/J$2*K153/$K$1)</f>
        <v>-3.534115367</v>
      </c>
      <c r="K153" s="59">
        <f>UpdateHashtag!T151</f>
        <v>2.7</v>
      </c>
      <c r="L153" s="53">
        <f>IF(TYPE($A153)=1,"",-(UpdateHashtag!R151-L$1)/L$2)</f>
        <v>-0.05091899834</v>
      </c>
      <c r="N153" s="106">
        <f t="shared" si="3"/>
        <v>-1.183606097</v>
      </c>
      <c r="O153" s="106">
        <f t="shared" si="4"/>
        <v>158</v>
      </c>
      <c r="P153" s="163" t="str">
        <f t="array" ref="P153">INDIRECT("Update"&amp;Projections!$AG$11&amp;"!B"&amp;ROW(B134))</f>
        <v/>
      </c>
      <c r="Q153" s="164" t="str">
        <f t="array" ref="Q153">INDIRECT("Update"&amp;Projections!$AG$11&amp;"!C"&amp;ROW(B134))</f>
        <v>Chris Boucher</v>
      </c>
      <c r="R153" s="163">
        <f>UpdateBBM!F134</f>
        <v>77</v>
      </c>
      <c r="S153" s="165" t="str">
        <f t="array" ref="S153">INDIRECT("Update"&amp;Projections!$AG$11&amp;"!D"&amp;ROW(B134))</f>
        <v>F</v>
      </c>
      <c r="T153" s="144">
        <f t="shared" si="5"/>
        <v>-2.107942798</v>
      </c>
      <c r="U153" s="144">
        <f>SUM(AF153:AN153)-IFERROR(IFS(Projections!$I$11,AO153,Projections!$J$11,AP153),"")</f>
        <v>-2.328477195</v>
      </c>
      <c r="V153" s="144">
        <f t="shared" si="6"/>
        <v>-0.2205343975</v>
      </c>
      <c r="W153" s="144">
        <f t="array" ref="W153">INDIRECT("Update"&amp;Projections!$AG$11&amp;"!M"&amp;ROW(B134))</f>
        <v>12.08701</v>
      </c>
      <c r="X153" s="144">
        <f t="array" ref="X153">INDIRECT("Update"&amp;Projections!$AG$11&amp;"!L"&amp;ROW(B134))</f>
        <v>1.692468</v>
      </c>
      <c r="Y153" s="144">
        <f t="array" ref="Y153">INDIRECT("Update"&amp;Projections!$AG$11&amp;"!N"&amp;ROW(B134))</f>
        <v>6.746494</v>
      </c>
      <c r="Z153" s="144">
        <f t="array" ref="Z153">INDIRECT("Update"&amp;Projections!$AG$11&amp;"!O"&amp;ROW(B134))</f>
        <v>0.909091</v>
      </c>
      <c r="AA153" s="144">
        <f t="array" ref="AA153">INDIRECT("Update"&amp;Projections!$AG$11&amp;"!P"&amp;ROW(B134))</f>
        <v>0.641039</v>
      </c>
      <c r="AB153" s="144">
        <f t="array" ref="AB153">INDIRECT("Update"&amp;Projections!$AG$11&amp;"!Q"&amp;ROW(B134))</f>
        <v>0.669481</v>
      </c>
      <c r="AC153" s="166">
        <f t="array" ref="AC153">INDIRECT("Update"&amp;Projections!$AG$11&amp;"!I"&amp;ROW(B134))</f>
        <v>0.481692</v>
      </c>
      <c r="AD153" s="166">
        <f t="array" ref="AD153">INDIRECT("Update"&amp;Projections!$AG$11&amp;"!K"&amp;ROW(B134))</f>
        <v>0.781967</v>
      </c>
      <c r="AE153" s="144">
        <f t="array" ref="AE153">INDIRECT("Update"&amp;Projections!$AG$11&amp;"!R"&amp;ROW(B134))</f>
        <v>0.859351</v>
      </c>
      <c r="AF153" s="144">
        <f t="shared" si="7"/>
        <v>-0.8925815316</v>
      </c>
      <c r="AG153" s="144">
        <f t="shared" si="8"/>
        <v>-0.07445191033</v>
      </c>
      <c r="AH153" s="144">
        <f t="shared" si="9"/>
        <v>0.2513185782</v>
      </c>
      <c r="AI153" s="144">
        <f t="shared" si="10"/>
        <v>-1.430276332</v>
      </c>
      <c r="AJ153" s="144">
        <f t="shared" si="11"/>
        <v>-1.231534105</v>
      </c>
      <c r="AK153" s="144">
        <f t="shared" si="12"/>
        <v>-0.1104271232</v>
      </c>
      <c r="AL153" s="144">
        <f t="shared" si="13"/>
        <v>-0.1952082151</v>
      </c>
      <c r="AM153" s="144">
        <f t="shared" si="14"/>
        <v>-0.0755928882</v>
      </c>
      <c r="AN153" s="144">
        <f t="shared" si="15"/>
        <v>0</v>
      </c>
      <c r="AO153" s="167">
        <f t="shared" si="16"/>
        <v>-1.430276332</v>
      </c>
      <c r="AP153" s="167">
        <f t="shared" si="17"/>
        <v>-2.661810437</v>
      </c>
      <c r="AQ153" s="167">
        <f t="array" ref="AQ153">INDIRECT("Update"&amp;Projections!$AG$11&amp;"!S"&amp;ROW(B134))</f>
        <v>0.481692</v>
      </c>
      <c r="AR153" s="167">
        <f t="array" ref="AR153">INDIRECT("Update"&amp;Projections!$AG$11&amp;"!T"&amp;ROW(B134))</f>
        <v>0.781967</v>
      </c>
    </row>
    <row r="154">
      <c r="A154" s="50" t="str">
        <f>IF(UpdateHashtag!C152="",ROW(UpdateHashtag!C152),UpdateHashtag!C152)</f>
        <v>Kevin Porter Jr.</v>
      </c>
      <c r="B154" s="53">
        <f>IF(TYPE($A154)=1,"",(UpdateHashtag!M152-B$1)/B$2)</f>
        <v>-0.521873047</v>
      </c>
      <c r="C154" s="53">
        <f>IF(TYPE($A154)=1,"",(UpdateHashtag!L152-C$1)/C$2)</f>
        <v>0.02940609112</v>
      </c>
      <c r="D154" s="53">
        <f>IF(TYPE($A154)=1,"",(UpdateHashtag!N152-D$1)/D$2)</f>
        <v>-0.9025180299</v>
      </c>
      <c r="E154" s="53">
        <f>IF(TYPE($A154)=1,"",(UpdateHashtag!O152-E$1)/E$2)</f>
        <v>0.2262318724</v>
      </c>
      <c r="F154" s="53">
        <f>IF(TYPE($A154)=1,"",(UpdateHashtag!P152-F$1)/F$2)</f>
        <v>-0.1376973632</v>
      </c>
      <c r="G154" s="53">
        <f>IF(TYPE($A154)=1,"",(UpdateHashtag!Q152-G$1)/G$2)</f>
        <v>-0.963939931</v>
      </c>
      <c r="H154" s="53">
        <f>IF(TYPE($A154)=1,"",(UpdateHashtag!I152-H$1)/H$2*I154/$I$1)</f>
        <v>-17.73330619</v>
      </c>
      <c r="I154" s="53">
        <f>UpdateHashtag!S152</f>
        <v>11.1</v>
      </c>
      <c r="J154" s="58">
        <f>IF(TYPE($A154)=1,"",(UpdateHashtag!K152-J$1)/J$2*K154/$K$1)</f>
        <v>-0.1592921854</v>
      </c>
      <c r="K154" s="59">
        <f>UpdateHashtag!T152</f>
        <v>3.3</v>
      </c>
      <c r="L154" s="53">
        <f>IF(TYPE($A154)=1,"",-(UpdateHashtag!R152-L$1)/L$2)</f>
        <v>-0.6460761218</v>
      </c>
      <c r="N154" s="106">
        <f t="shared" si="3"/>
        <v>-1.23815929</v>
      </c>
      <c r="O154" s="106">
        <f t="shared" si="4"/>
        <v>112</v>
      </c>
      <c r="P154" s="163" t="str">
        <f t="array" ref="P154">INDIRECT("Update"&amp;Projections!$AG$11&amp;"!B"&amp;ROW(B135))</f>
        <v/>
      </c>
      <c r="Q154" s="164" t="str">
        <f t="array" ref="Q154">INDIRECT("Update"&amp;Projections!$AG$11&amp;"!C"&amp;ROW(B135))</f>
        <v>Kevin Porter Jr.</v>
      </c>
      <c r="R154" s="163">
        <f>UpdateBBM!F135</f>
        <v>73</v>
      </c>
      <c r="S154" s="165" t="str">
        <f t="array" ref="S154">INDIRECT("Update"&amp;Projections!$AG$11&amp;"!D"&amp;ROW(B135))</f>
        <v>G</v>
      </c>
      <c r="T154" s="144">
        <f t="shared" si="5"/>
        <v>-0.4529427195</v>
      </c>
      <c r="U154" s="144">
        <f>SUM(AF154:AN154)-IFERROR(IFS(Projections!$I$11,AO154,Projections!$J$11,AP154),"")</f>
        <v>-0.2145152538</v>
      </c>
      <c r="V154" s="144">
        <f t="shared" si="6"/>
        <v>0.2384274658</v>
      </c>
      <c r="W154" s="144">
        <f t="array" ref="W154">INDIRECT("Update"&amp;Projections!$AG$11&amp;"!M"&amp;ROW(B135))</f>
        <v>15.31274</v>
      </c>
      <c r="X154" s="144">
        <f t="array" ref="X154">INDIRECT("Update"&amp;Projections!$AG$11&amp;"!L"&amp;ROW(B135))</f>
        <v>1.126712</v>
      </c>
      <c r="Y154" s="144">
        <f t="array" ref="Y154">INDIRECT("Update"&amp;Projections!$AG$11&amp;"!N"&amp;ROW(B135))</f>
        <v>5.184658</v>
      </c>
      <c r="Z154" s="144">
        <f t="array" ref="Z154">INDIRECT("Update"&amp;Projections!$AG$11&amp;"!O"&amp;ROW(B135))</f>
        <v>5.656027</v>
      </c>
      <c r="AA154" s="144">
        <f t="array" ref="AA154">INDIRECT("Update"&amp;Projections!$AG$11&amp;"!P"&amp;ROW(B135))</f>
        <v>1.178356</v>
      </c>
      <c r="AB154" s="144">
        <f t="array" ref="AB154">INDIRECT("Update"&amp;Projections!$AG$11&amp;"!Q"&amp;ROW(B135))</f>
        <v>0.171644</v>
      </c>
      <c r="AC154" s="166">
        <f t="array" ref="AC154">INDIRECT("Update"&amp;Projections!$AG$11&amp;"!I"&amp;ROW(B135))</f>
        <v>0.461765</v>
      </c>
      <c r="AD154" s="166">
        <f t="array" ref="AD154">INDIRECT("Update"&amp;Projections!$AG$11&amp;"!K"&amp;ROW(B135))</f>
        <v>0.809987</v>
      </c>
      <c r="AE154" s="144">
        <f t="array" ref="AE154">INDIRECT("Update"&amp;Projections!$AG$11&amp;"!R"&amp;ROW(B135))</f>
        <v>2.710137</v>
      </c>
      <c r="AF154" s="144">
        <f t="shared" si="7"/>
        <v>-0.326651035</v>
      </c>
      <c r="AG154" s="144">
        <f t="shared" si="8"/>
        <v>-0.6208779739</v>
      </c>
      <c r="AH154" s="144">
        <f t="shared" si="9"/>
        <v>-0.3817772768</v>
      </c>
      <c r="AI154" s="144">
        <f t="shared" si="10"/>
        <v>0.8886707203</v>
      </c>
      <c r="AJ154" s="144">
        <f t="shared" si="11"/>
        <v>0.4057943975</v>
      </c>
      <c r="AK154" s="144">
        <f t="shared" si="12"/>
        <v>-1.015490919</v>
      </c>
      <c r="AL154" s="144">
        <f t="shared" si="13"/>
        <v>-0.4635466872</v>
      </c>
      <c r="AM154" s="144">
        <f t="shared" si="14"/>
        <v>0.2838726013</v>
      </c>
      <c r="AN154" s="144">
        <f t="shared" si="15"/>
        <v>0</v>
      </c>
      <c r="AO154" s="167">
        <f t="shared" si="16"/>
        <v>-1.015490919</v>
      </c>
      <c r="AP154" s="167">
        <f t="shared" si="17"/>
        <v>-1.636368892</v>
      </c>
      <c r="AQ154" s="167">
        <f t="array" ref="AQ154">INDIRECT("Update"&amp;Projections!$AG$11&amp;"!S"&amp;ROW(B135))</f>
        <v>0.461765</v>
      </c>
      <c r="AR154" s="167">
        <f t="array" ref="AR154">INDIRECT("Update"&amp;Projections!$AG$11&amp;"!T"&amp;ROW(B135))</f>
        <v>0.809987</v>
      </c>
    </row>
    <row r="155">
      <c r="A155" s="50" t="str">
        <f>IF(UpdateHashtag!C153="",ROW(UpdateHashtag!C153),UpdateHashtag!C153)</f>
        <v>Bruce Brown</v>
      </c>
      <c r="B155" s="53">
        <f>IF(TYPE($A155)=1,"",(UpdateHashtag!M153-B$1)/B$2)</f>
        <v>-0.9955680992</v>
      </c>
      <c r="C155" s="53">
        <f>IF(TYPE($A155)=1,"",(UpdateHashtag!L153-C$1)/C$2)</f>
        <v>-0.7432606607</v>
      </c>
      <c r="D155" s="53">
        <f>IF(TYPE($A155)=1,"",(UpdateHashtag!N153-D$1)/D$2)</f>
        <v>-0.7403765874</v>
      </c>
      <c r="E155" s="53">
        <f>IF(TYPE($A155)=1,"",(UpdateHashtag!O153-E$1)/E$2)</f>
        <v>-0.3111340744</v>
      </c>
      <c r="F155" s="53">
        <f>IF(TYPE($A155)=1,"",(UpdateHashtag!P153-F$1)/F$2)</f>
        <v>-0.1376973632</v>
      </c>
      <c r="G155" s="53">
        <f>IF(TYPE($A155)=1,"",(UpdateHashtag!Q153-G$1)/G$2)</f>
        <v>-0.4185422635</v>
      </c>
      <c r="H155" s="53">
        <f>IF(TYPE($A155)=1,"",(UpdateHashtag!I153-H$1)/H$2*I155/$I$1)</f>
        <v>-3.919593769</v>
      </c>
      <c r="I155" s="53">
        <f>UpdateHashtag!S153</f>
        <v>9.2</v>
      </c>
      <c r="J155" s="58">
        <f>IF(TYPE($A155)=1,"",(UpdateHashtag!K153-J$1)/J$2*K155/$K$1)</f>
        <v>0.06618848884</v>
      </c>
      <c r="K155" s="59">
        <f>UpdateHashtag!T153</f>
        <v>2.1</v>
      </c>
      <c r="L155" s="53">
        <f>IF(TYPE($A155)=1,"",-(UpdateHashtag!R153-L$1)/L$2)</f>
        <v>0.2466595634</v>
      </c>
      <c r="N155" s="106">
        <f t="shared" si="3"/>
        <v>-1.25458253</v>
      </c>
      <c r="O155" s="106">
        <f t="shared" si="4"/>
        <v>152</v>
      </c>
      <c r="P155" s="163" t="str">
        <f t="array" ref="P155">INDIRECT("Update"&amp;Projections!$AG$11&amp;"!B"&amp;ROW(B136))</f>
        <v/>
      </c>
      <c r="Q155" s="164" t="str">
        <f t="array" ref="Q155">INDIRECT("Update"&amp;Projections!$AG$11&amp;"!C"&amp;ROW(B136))</f>
        <v>Kelly Oubre</v>
      </c>
      <c r="R155" s="163">
        <f>UpdateBBM!F136</f>
        <v>73</v>
      </c>
      <c r="S155" s="165" t="str">
        <f t="array" ref="S155">INDIRECT("Update"&amp;Projections!$AG$11&amp;"!D"&amp;ROW(B136))</f>
        <v>F</v>
      </c>
      <c r="T155" s="144">
        <f t="shared" si="5"/>
        <v>-1.904441365</v>
      </c>
      <c r="U155" s="144">
        <f>SUM(AF155:AN155)-IFERROR(IFS(Projections!$I$11,AO155,Projections!$J$11,AP155),"")</f>
        <v>-2.013800411</v>
      </c>
      <c r="V155" s="144">
        <f t="shared" si="6"/>
        <v>-0.1093590468</v>
      </c>
      <c r="W155" s="144">
        <f t="array" ref="W155">INDIRECT("Update"&amp;Projections!$AG$11&amp;"!M"&amp;ROW(B136))</f>
        <v>13.16712</v>
      </c>
      <c r="X155" s="144">
        <f t="array" ref="X155">INDIRECT("Update"&amp;Projections!$AG$11&amp;"!L"&amp;ROW(B136))</f>
        <v>1.124795</v>
      </c>
      <c r="Y155" s="144">
        <f t="array" ref="Y155">INDIRECT("Update"&amp;Projections!$AG$11&amp;"!N"&amp;ROW(B136))</f>
        <v>4.764384</v>
      </c>
      <c r="Z155" s="144">
        <f t="array" ref="Z155">INDIRECT("Update"&amp;Projections!$AG$11&amp;"!O"&amp;ROW(B136))</f>
        <v>1.497397</v>
      </c>
      <c r="AA155" s="144">
        <f t="array" ref="AA155">INDIRECT("Update"&amp;Projections!$AG$11&amp;"!P"&amp;ROW(B136))</f>
        <v>1.361233</v>
      </c>
      <c r="AB155" s="144">
        <f t="array" ref="AB155">INDIRECT("Update"&amp;Projections!$AG$11&amp;"!Q"&amp;ROW(B136))</f>
        <v>0.48274</v>
      </c>
      <c r="AC155" s="166">
        <f t="array" ref="AC155">INDIRECT("Update"&amp;Projections!$AG$11&amp;"!I"&amp;ROW(B136))</f>
        <v>0.470829</v>
      </c>
      <c r="AD155" s="166">
        <f t="array" ref="AD155">INDIRECT("Update"&amp;Projections!$AG$11&amp;"!K"&amp;ROW(B136))</f>
        <v>0.763013</v>
      </c>
      <c r="AE155" s="144">
        <f t="array" ref="AE155">INDIRECT("Update"&amp;Projections!$AG$11&amp;"!R"&amp;ROW(B136))</f>
        <v>1.307671</v>
      </c>
      <c r="AF155" s="144">
        <f t="shared" si="7"/>
        <v>-0.703084212</v>
      </c>
      <c r="AG155" s="144">
        <f t="shared" si="8"/>
        <v>-0.6227294766</v>
      </c>
      <c r="AH155" s="144">
        <f t="shared" si="9"/>
        <v>-0.5521368583</v>
      </c>
      <c r="AI155" s="144">
        <f t="shared" si="10"/>
        <v>-1.142880323</v>
      </c>
      <c r="AJ155" s="144">
        <f t="shared" si="11"/>
        <v>0.9630626852</v>
      </c>
      <c r="AK155" s="144">
        <f t="shared" si="12"/>
        <v>-0.4499208093</v>
      </c>
      <c r="AL155" s="144">
        <f t="shared" si="13"/>
        <v>-0.3444479715</v>
      </c>
      <c r="AM155" s="144">
        <f t="shared" si="14"/>
        <v>-0.3045437688</v>
      </c>
      <c r="AN155" s="144">
        <f t="shared" si="15"/>
        <v>0</v>
      </c>
      <c r="AO155" s="167">
        <f t="shared" si="16"/>
        <v>-1.142880323</v>
      </c>
      <c r="AP155" s="167">
        <f t="shared" si="17"/>
        <v>-1.845964535</v>
      </c>
      <c r="AQ155" s="167">
        <f t="array" ref="AQ155">INDIRECT("Update"&amp;Projections!$AG$11&amp;"!S"&amp;ROW(B136))</f>
        <v>0.470829</v>
      </c>
      <c r="AR155" s="167">
        <f t="array" ref="AR155">INDIRECT("Update"&amp;Projections!$AG$11&amp;"!T"&amp;ROW(B136))</f>
        <v>0.763013</v>
      </c>
    </row>
    <row r="156">
      <c r="A156" s="50" t="str">
        <f>IF(UpdateHashtag!C154="",ROW(UpdateHashtag!C154),UpdateHashtag!C154)</f>
        <v>Kelly Oubre Jr.</v>
      </c>
      <c r="B156" s="53">
        <f>IF(TYPE($A156)=1,"",(UpdateHashtag!M154-B$1)/B$2)</f>
        <v>-0.1008107783</v>
      </c>
      <c r="C156" s="53">
        <f>IF(TYPE($A156)=1,"",(UpdateHashtag!L154-C$1)/C$2)</f>
        <v>0.02940609112</v>
      </c>
      <c r="D156" s="53">
        <f>IF(TYPE($A156)=1,"",(UpdateHashtag!N154-D$1)/D$2)</f>
        <v>-0.456629063</v>
      </c>
      <c r="E156" s="53">
        <f>IF(TYPE($A156)=1,"",(UpdateHashtag!O154-E$1)/E$2)</f>
        <v>-1.239311619</v>
      </c>
      <c r="F156" s="53">
        <f>IF(TYPE($A156)=1,"",(UpdateHashtag!P154-F$1)/F$2)</f>
        <v>0.4717486444</v>
      </c>
      <c r="G156" s="53">
        <f>IF(TYPE($A156)=1,"",(UpdateHashtag!Q154-G$1)/G$2)</f>
        <v>-0.236743041</v>
      </c>
      <c r="H156" s="53">
        <f>IF(TYPE($A156)=1,"",(UpdateHashtag!I154-H$1)/H$2*I156/$I$1)</f>
        <v>-25.49102029</v>
      </c>
      <c r="I156" s="53">
        <f>UpdateHashtag!S154</f>
        <v>14.1</v>
      </c>
      <c r="J156" s="58">
        <f>IF(TYPE($A156)=1,"",(UpdateHashtag!K154-J$1)/J$2*K156/$K$1)</f>
        <v>-1.520526904</v>
      </c>
      <c r="K156" s="59">
        <f>UpdateHashtag!T154</f>
        <v>3.4</v>
      </c>
      <c r="L156" s="53">
        <f>IF(TYPE($A156)=1,"",-(UpdateHashtag!R154-L$1)/L$2)</f>
        <v>0.4450452712</v>
      </c>
      <c r="N156" s="106">
        <f t="shared" si="3"/>
        <v>-1.255529958</v>
      </c>
      <c r="O156" s="106">
        <f t="shared" si="4"/>
        <v>164</v>
      </c>
      <c r="P156" s="163" t="str">
        <f t="array" ref="P156">INDIRECT("Update"&amp;Projections!$AG$11&amp;"!B"&amp;ROW(B137))</f>
        <v/>
      </c>
      <c r="Q156" s="164" t="str">
        <f t="array" ref="Q156">INDIRECT("Update"&amp;Projections!$AG$11&amp;"!C"&amp;ROW(B137))</f>
        <v>Quentin Grimes</v>
      </c>
      <c r="R156" s="163">
        <f>UpdateBBM!F137</f>
        <v>68</v>
      </c>
      <c r="S156" s="165" t="str">
        <f t="array" ref="S156">INDIRECT("Update"&amp;Projections!$AG$11&amp;"!D"&amp;ROW(B137))</f>
        <v>G,F</v>
      </c>
      <c r="T156" s="144">
        <f t="shared" si="5"/>
        <v>-2.239299646</v>
      </c>
      <c r="U156" s="144">
        <f>SUM(AF156:AN156)-IFERROR(IFS(Projections!$I$11,AO156,Projections!$J$11,AP156),"")</f>
        <v>-2.314895181</v>
      </c>
      <c r="V156" s="144">
        <f t="shared" si="6"/>
        <v>-0.07559553525</v>
      </c>
      <c r="W156" s="144">
        <f t="array" ref="W156">INDIRECT("Update"&amp;Projections!$AG$11&amp;"!M"&amp;ROW(B137))</f>
        <v>12.8575</v>
      </c>
      <c r="X156" s="144">
        <f t="array" ref="X156">INDIRECT("Update"&amp;Projections!$AG$11&amp;"!L"&amp;ROW(B137))</f>
        <v>2.393971</v>
      </c>
      <c r="Y156" s="144">
        <f t="array" ref="Y156">INDIRECT("Update"&amp;Projections!$AG$11&amp;"!N"&amp;ROW(B137))</f>
        <v>4.215735</v>
      </c>
      <c r="Z156" s="144">
        <f t="array" ref="Z156">INDIRECT("Update"&amp;Projections!$AG$11&amp;"!O"&amp;ROW(B137))</f>
        <v>2.656471</v>
      </c>
      <c r="AA156" s="144">
        <f t="array" ref="AA156">INDIRECT("Update"&amp;Projections!$AG$11&amp;"!P"&amp;ROW(B137))</f>
        <v>1.055294</v>
      </c>
      <c r="AB156" s="144">
        <f t="array" ref="AB156">INDIRECT("Update"&amp;Projections!$AG$11&amp;"!Q"&amp;ROW(B137))</f>
        <v>0.355441</v>
      </c>
      <c r="AC156" s="166">
        <f t="array" ref="AC156">INDIRECT("Update"&amp;Projections!$AG$11&amp;"!I"&amp;ROW(B137))</f>
        <v>0.453338</v>
      </c>
      <c r="AD156" s="166">
        <f t="array" ref="AD156">INDIRECT("Update"&amp;Projections!$AG$11&amp;"!K"&amp;ROW(B137))</f>
        <v>0.757971</v>
      </c>
      <c r="AE156" s="144">
        <f t="array" ref="AE156">INDIRECT("Update"&amp;Projections!$AG$11&amp;"!R"&amp;ROW(B137))</f>
        <v>1.443824</v>
      </c>
      <c r="AF156" s="144">
        <f t="shared" si="7"/>
        <v>-0.7574047535</v>
      </c>
      <c r="AG156" s="144">
        <f t="shared" si="8"/>
        <v>0.6030831452</v>
      </c>
      <c r="AH156" s="144">
        <f t="shared" si="9"/>
        <v>-0.774533709</v>
      </c>
      <c r="AI156" s="144">
        <f t="shared" si="10"/>
        <v>-0.5766558705</v>
      </c>
      <c r="AJ156" s="144">
        <f t="shared" si="11"/>
        <v>0.03079617452</v>
      </c>
      <c r="AK156" s="144">
        <f t="shared" si="12"/>
        <v>-0.6813494016</v>
      </c>
      <c r="AL156" s="144">
        <f t="shared" si="13"/>
        <v>-0.5698476139</v>
      </c>
      <c r="AM156" s="144">
        <f t="shared" si="14"/>
        <v>-0.3635168616</v>
      </c>
      <c r="AN156" s="144">
        <f t="shared" si="15"/>
        <v>0</v>
      </c>
      <c r="AO156" s="167">
        <f t="shared" si="16"/>
        <v>-0.774533709</v>
      </c>
      <c r="AP156" s="167">
        <f t="shared" si="17"/>
        <v>-1.531938463</v>
      </c>
      <c r="AQ156" s="167">
        <f t="array" ref="AQ156">INDIRECT("Update"&amp;Projections!$AG$11&amp;"!S"&amp;ROW(B137))</f>
        <v>0.453338</v>
      </c>
      <c r="AR156" s="167">
        <f t="array" ref="AR156">INDIRECT("Update"&amp;Projections!$AG$11&amp;"!T"&amp;ROW(B137))</f>
        <v>0.757971</v>
      </c>
    </row>
    <row r="157">
      <c r="A157" s="50" t="str">
        <f>IF(UpdateHashtag!C155="",ROW(UpdateHashtag!C155),UpdateHashtag!C155)</f>
        <v>Nick Richards</v>
      </c>
      <c r="B157" s="53">
        <f>IF(TYPE($A157)=1,"",(UpdateHashtag!M155-B$1)/B$2)</f>
        <v>-1.29382054</v>
      </c>
      <c r="C157" s="53">
        <f>IF(TYPE($A157)=1,"",(UpdateHashtag!L155-C$1)/C$2)</f>
        <v>-1.709094101</v>
      </c>
      <c r="D157" s="53">
        <f>IF(TYPE($A157)=1,"",(UpdateHashtag!N155-D$1)/D$2)</f>
        <v>0.7594317558</v>
      </c>
      <c r="E157" s="53">
        <f>IF(TYPE($A157)=1,"",(UpdateHashtag!O155-E$1)/E$2)</f>
        <v>-1.483568867</v>
      </c>
      <c r="F157" s="53">
        <f>IF(TYPE($A157)=1,"",(UpdateHashtag!P155-F$1)/F$2)</f>
        <v>-2.27075839</v>
      </c>
      <c r="G157" s="53">
        <f>IF(TYPE($A157)=1,"",(UpdateHashtag!Q155-G$1)/G$2)</f>
        <v>0.6722530715</v>
      </c>
      <c r="H157" s="53">
        <f>IF(TYPE($A157)=1,"",(UpdateHashtag!I155-H$1)/H$2*I157/$I$1)</f>
        <v>28.01935269</v>
      </c>
      <c r="I157" s="53">
        <f>UpdateHashtag!S155</f>
        <v>5.8</v>
      </c>
      <c r="J157" s="58">
        <f>IF(TYPE($A157)=1,"",(UpdateHashtag!K155-J$1)/J$2*K157/$K$1)</f>
        <v>-2.155485996</v>
      </c>
      <c r="K157" s="59">
        <f>UpdateHashtag!T155</f>
        <v>3</v>
      </c>
      <c r="L157" s="53">
        <f>IF(TYPE($A157)=1,"",-(UpdateHashtag!R155-L$1)/L$2)</f>
        <v>0.643430979</v>
      </c>
      <c r="N157" s="106">
        <f t="shared" si="3"/>
        <v>-1.29236932</v>
      </c>
      <c r="O157" s="106">
        <f t="shared" si="4"/>
        <v>161</v>
      </c>
      <c r="P157" s="163" t="str">
        <f t="array" ref="P157">INDIRECT("Update"&amp;Projections!$AG$11&amp;"!B"&amp;ROW(B138))</f>
        <v/>
      </c>
      <c r="Q157" s="164" t="str">
        <f t="array" ref="Q157">INDIRECT("Update"&amp;Projections!$AG$11&amp;"!C"&amp;ROW(B138))</f>
        <v>Taylor Hendricks</v>
      </c>
      <c r="R157" s="163">
        <f>UpdateBBM!F138</f>
        <v>61</v>
      </c>
      <c r="S157" s="165" t="str">
        <f t="array" ref="S157">INDIRECT("Update"&amp;Projections!$AG$11&amp;"!D"&amp;ROW(B138))</f>
        <v>F</v>
      </c>
      <c r="T157" s="144">
        <f t="shared" si="5"/>
        <v>-2.177303973</v>
      </c>
      <c r="U157" s="144">
        <f>SUM(AF157:AN157)-IFERROR(IFS(Projections!$I$11,AO157,Projections!$J$11,AP157),"")</f>
        <v>-2.404710451</v>
      </c>
      <c r="V157" s="144">
        <f t="shared" si="6"/>
        <v>-0.2274064784</v>
      </c>
      <c r="W157" s="144">
        <f t="array" ref="W157">INDIRECT("Update"&amp;Projections!$AG$11&amp;"!M"&amp;ROW(B138))</f>
        <v>8.184754</v>
      </c>
      <c r="X157" s="144">
        <f t="array" ref="X157">INDIRECT("Update"&amp;Projections!$AG$11&amp;"!L"&amp;ROW(B138))</f>
        <v>1.561475</v>
      </c>
      <c r="Y157" s="144">
        <f t="array" ref="Y157">INDIRECT("Update"&amp;Projections!$AG$11&amp;"!N"&amp;ROW(B138))</f>
        <v>5.300164</v>
      </c>
      <c r="Z157" s="144">
        <f t="array" ref="Z157">INDIRECT("Update"&amp;Projections!$AG$11&amp;"!O"&amp;ROW(B138))</f>
        <v>0.977377</v>
      </c>
      <c r="AA157" s="144">
        <f t="array" ref="AA157">INDIRECT("Update"&amp;Projections!$AG$11&amp;"!P"&amp;ROW(B138))</f>
        <v>0.959672</v>
      </c>
      <c r="AB157" s="144">
        <f t="array" ref="AB157">INDIRECT("Update"&amp;Projections!$AG$11&amp;"!Q"&amp;ROW(B138))</f>
        <v>1.115902</v>
      </c>
      <c r="AC157" s="166">
        <f t="array" ref="AC157">INDIRECT("Update"&amp;Projections!$AG$11&amp;"!I"&amp;ROW(B138))</f>
        <v>0.423453</v>
      </c>
      <c r="AD157" s="166">
        <f t="array" ref="AD157">INDIRECT("Update"&amp;Projections!$AG$11&amp;"!K"&amp;ROW(B138))</f>
        <v>0.788024</v>
      </c>
      <c r="AE157" s="144">
        <f t="array" ref="AE157">INDIRECT("Update"&amp;Projections!$AG$11&amp;"!R"&amp;ROW(B138))</f>
        <v>0.831639</v>
      </c>
      <c r="AF157" s="144">
        <f t="shared" si="7"/>
        <v>-1.577203517</v>
      </c>
      <c r="AG157" s="144">
        <f t="shared" si="8"/>
        <v>-0.2009693301</v>
      </c>
      <c r="AH157" s="144">
        <f t="shared" si="9"/>
        <v>-0.3349565032</v>
      </c>
      <c r="AI157" s="144">
        <f t="shared" si="10"/>
        <v>-1.396917631</v>
      </c>
      <c r="AJ157" s="144">
        <f t="shared" si="11"/>
        <v>-0.2605860562</v>
      </c>
      <c r="AK157" s="144">
        <f t="shared" si="12"/>
        <v>0.7011627838</v>
      </c>
      <c r="AL157" s="144">
        <f t="shared" si="13"/>
        <v>-0.9124325546</v>
      </c>
      <c r="AM157" s="144">
        <f t="shared" si="14"/>
        <v>-0.00001115934259</v>
      </c>
      <c r="AN157" s="144">
        <f t="shared" si="15"/>
        <v>0</v>
      </c>
      <c r="AO157" s="167">
        <f t="shared" si="16"/>
        <v>-1.577203517</v>
      </c>
      <c r="AP157" s="167">
        <f t="shared" si="17"/>
        <v>-2.974121148</v>
      </c>
      <c r="AQ157" s="167">
        <f t="array" ref="AQ157">INDIRECT("Update"&amp;Projections!$AG$11&amp;"!S"&amp;ROW(B138))</f>
        <v>0.423453</v>
      </c>
      <c r="AR157" s="167">
        <f t="array" ref="AR157">INDIRECT("Update"&amp;Projections!$AG$11&amp;"!T"&amp;ROW(B138))</f>
        <v>0.788024</v>
      </c>
    </row>
    <row r="158">
      <c r="A158" s="50" t="str">
        <f>IF(UpdateHashtag!C156="",ROW(UpdateHashtag!C156),UpdateHashtag!C156)</f>
        <v>Noah Clowney</v>
      </c>
      <c r="B158" s="53">
        <f>IF(TYPE($A158)=1,"",(UpdateHashtag!M156-B$1)/B$2)</f>
        <v>-1.311364801</v>
      </c>
      <c r="C158" s="53">
        <f>IF(TYPE($A158)=1,"",(UpdateHashtag!L156-C$1)/C$2)</f>
        <v>-0.8398440047</v>
      </c>
      <c r="D158" s="53">
        <f>IF(TYPE($A158)=1,"",(UpdateHashtag!N156-D$1)/D$2)</f>
        <v>-0.132346178</v>
      </c>
      <c r="E158" s="53">
        <f>IF(TYPE($A158)=1,"",(UpdateHashtag!O156-E$1)/E$2)</f>
        <v>-1.239311619</v>
      </c>
      <c r="F158" s="53">
        <f>IF(TYPE($A158)=1,"",(UpdateHashtag!P156-F$1)/F$2)</f>
        <v>-1.356589379</v>
      </c>
      <c r="G158" s="53">
        <f>IF(TYPE($A158)=1,"",(UpdateHashtag!Q156-G$1)/G$2)</f>
        <v>0.6722530715</v>
      </c>
      <c r="H158" s="53">
        <f>IF(TYPE($A158)=1,"",(UpdateHashtag!I156-H$1)/H$2*I158/$I$1)</f>
        <v>11.26476961</v>
      </c>
      <c r="I158" s="53">
        <f>UpdateHashtag!S156</f>
        <v>6.6</v>
      </c>
      <c r="J158" s="58">
        <f>IF(TYPE($A158)=1,"",(UpdateHashtag!K156-J$1)/J$2*K158/$K$1)</f>
        <v>-2.011508926</v>
      </c>
      <c r="K158" s="59">
        <f>UpdateHashtag!T156</f>
        <v>2.1</v>
      </c>
      <c r="L158" s="53">
        <f>IF(TYPE($A158)=1,"",-(UpdateHashtag!R156-L$1)/L$2)</f>
        <v>0.643430979</v>
      </c>
      <c r="N158" s="106">
        <f t="shared" si="3"/>
        <v>-1.327229411</v>
      </c>
      <c r="O158" s="106">
        <f t="shared" si="4"/>
        <v>131</v>
      </c>
      <c r="P158" s="163" t="str">
        <f t="array" ref="P158">INDIRECT("Update"&amp;Projections!$AG$11&amp;"!B"&amp;ROW(B139))</f>
        <v/>
      </c>
      <c r="Q158" s="164" t="str">
        <f t="array" ref="Q158">INDIRECT("Update"&amp;Projections!$AG$11&amp;"!C"&amp;ROW(B139))</f>
        <v>Khris Middleton</v>
      </c>
      <c r="R158" s="163">
        <f>UpdateBBM!F139</f>
        <v>49</v>
      </c>
      <c r="S158" s="165" t="str">
        <f t="array" ref="S158">INDIRECT("Update"&amp;Projections!$AG$11&amp;"!D"&amp;ROW(B139))</f>
        <v>F</v>
      </c>
      <c r="T158" s="144">
        <f t="shared" si="5"/>
        <v>-1.152192359</v>
      </c>
      <c r="U158" s="144">
        <f>SUM(AF158:AN158)-IFERROR(IFS(Projections!$I$11,AO158,Projections!$J$11,AP158),"")</f>
        <v>-1.107984005</v>
      </c>
      <c r="V158" s="144">
        <f t="shared" si="6"/>
        <v>0.04420835379</v>
      </c>
      <c r="W158" s="144">
        <f t="array" ref="W158">INDIRECT("Update"&amp;Projections!$AG$11&amp;"!M"&amp;ROW(B139))</f>
        <v>13.24163</v>
      </c>
      <c r="X158" s="144">
        <f t="array" ref="X158">INDIRECT("Update"&amp;Projections!$AG$11&amp;"!L"&amp;ROW(B139))</f>
        <v>1.436939</v>
      </c>
      <c r="Y158" s="144">
        <f t="array" ref="Y158">INDIRECT("Update"&amp;Projections!$AG$11&amp;"!N"&amp;ROW(B139))</f>
        <v>4.291633</v>
      </c>
      <c r="Z158" s="144">
        <f t="array" ref="Z158">INDIRECT("Update"&amp;Projections!$AG$11&amp;"!O"&amp;ROW(B139))</f>
        <v>4.770408</v>
      </c>
      <c r="AA158" s="144">
        <f t="array" ref="AA158">INDIRECT("Update"&amp;Projections!$AG$11&amp;"!P"&amp;ROW(B139))</f>
        <v>0.858367</v>
      </c>
      <c r="AB158" s="144">
        <f t="array" ref="AB158">INDIRECT("Update"&amp;Projections!$AG$11&amp;"!Q"&amp;ROW(B139))</f>
        <v>0.214082</v>
      </c>
      <c r="AC158" s="166">
        <f t="array" ref="AC158">INDIRECT("Update"&amp;Projections!$AG$11&amp;"!I"&amp;ROW(B139))</f>
        <v>0.484611</v>
      </c>
      <c r="AD158" s="166">
        <f t="array" ref="AD158">INDIRECT("Update"&amp;Projections!$AG$11&amp;"!K"&amp;ROW(B139))</f>
        <v>0.855027</v>
      </c>
      <c r="AE158" s="144">
        <f t="array" ref="AE158">INDIRECT("Update"&amp;Projections!$AG$11&amp;"!R"&amp;ROW(B139))</f>
        <v>1.926939</v>
      </c>
      <c r="AF158" s="144">
        <f t="shared" si="7"/>
        <v>-0.690011983</v>
      </c>
      <c r="AG158" s="144">
        <f t="shared" si="8"/>
        <v>-0.3212503634</v>
      </c>
      <c r="AH158" s="144">
        <f t="shared" si="9"/>
        <v>-0.743768181</v>
      </c>
      <c r="AI158" s="144">
        <f t="shared" si="10"/>
        <v>0.4560329999</v>
      </c>
      <c r="AJ158" s="144">
        <f t="shared" si="11"/>
        <v>-0.5692856952</v>
      </c>
      <c r="AK158" s="144">
        <f t="shared" si="12"/>
        <v>-0.9383389645</v>
      </c>
      <c r="AL158" s="144">
        <f t="shared" si="13"/>
        <v>-0.1538974642</v>
      </c>
      <c r="AM158" s="144">
        <f t="shared" si="14"/>
        <v>0.9141966818</v>
      </c>
      <c r="AN158" s="144">
        <f t="shared" si="15"/>
        <v>0</v>
      </c>
      <c r="AO158" s="167">
        <f t="shared" si="16"/>
        <v>-0.9383389645</v>
      </c>
      <c r="AP158" s="167">
        <f t="shared" si="17"/>
        <v>-1.682107146</v>
      </c>
      <c r="AQ158" s="167">
        <f t="array" ref="AQ158">INDIRECT("Update"&amp;Projections!$AG$11&amp;"!S"&amp;ROW(B139))</f>
        <v>0.484611</v>
      </c>
      <c r="AR158" s="167">
        <f t="array" ref="AR158">INDIRECT("Update"&amp;Projections!$AG$11&amp;"!T"&amp;ROW(B139))</f>
        <v>0.855027</v>
      </c>
    </row>
    <row r="159">
      <c r="A159" s="50" t="str">
        <f>IF(UpdateHashtag!C157="",ROW(UpdateHashtag!C157),UpdateHashtag!C157)</f>
        <v>Mitchell Robinson</v>
      </c>
      <c r="B159" s="53">
        <f>IF(TYPE($A159)=1,"",(UpdateHashtag!M157-B$1)/B$2)</f>
        <v>-1.820148375</v>
      </c>
      <c r="C159" s="53">
        <f>IF(TYPE($A159)=1,"",(UpdateHashtag!L157-C$1)/C$2)</f>
        <v>-1.709094101</v>
      </c>
      <c r="D159" s="53">
        <f>IF(TYPE($A159)=1,"",(UpdateHashtag!N157-D$1)/D$2)</f>
        <v>1.205320723</v>
      </c>
      <c r="E159" s="53">
        <f>IF(TYPE($A159)=1,"",(UpdateHashtag!O157-E$1)/E$2)</f>
        <v>-1.483568867</v>
      </c>
      <c r="F159" s="53">
        <f>IF(TYPE($A159)=1,"",(UpdateHashtag!P157-F$1)/F$2)</f>
        <v>-0.1376973632</v>
      </c>
      <c r="G159" s="53">
        <f>IF(TYPE($A159)=1,"",(UpdateHashtag!Q157-G$1)/G$2)</f>
        <v>1.581249184</v>
      </c>
      <c r="H159" s="53">
        <f>IF(TYPE($A159)=1,"",(UpdateHashtag!I157-H$1)/H$2*I159/$I$1)</f>
        <v>19.57628707</v>
      </c>
      <c r="I159" s="53">
        <f>UpdateHashtag!S157</f>
        <v>4.5</v>
      </c>
      <c r="J159" s="58">
        <f>IF(TYPE($A159)=1,"",(UpdateHashtag!K157-J$1)/J$2*K159/$K$1)</f>
        <v>-11.02603481</v>
      </c>
      <c r="K159" s="59">
        <f>UpdateHashtag!T157</f>
        <v>2.1</v>
      </c>
      <c r="L159" s="53">
        <f>IF(TYPE($A159)=1,"",-(UpdateHashtag!R157-L$1)/L$2)</f>
        <v>1.040202395</v>
      </c>
      <c r="N159" s="106">
        <f t="shared" si="3"/>
        <v>-1.394101272</v>
      </c>
      <c r="O159" s="106">
        <f t="shared" si="4"/>
        <v>153</v>
      </c>
      <c r="P159" s="163" t="str">
        <f t="array" ref="P159">INDIRECT("Update"&amp;Projections!$AG$11&amp;"!B"&amp;ROW(B140))</f>
        <v/>
      </c>
      <c r="Q159" s="164" t="str">
        <f t="array" ref="Q159">INDIRECT("Update"&amp;Projections!$AG$11&amp;"!C"&amp;ROW(B140))</f>
        <v>Kyshawn George</v>
      </c>
      <c r="R159" s="163">
        <f>UpdateBBM!F140</f>
        <v>68</v>
      </c>
      <c r="S159" s="165" t="str">
        <f t="array" ref="S159">INDIRECT("Update"&amp;Projections!$AG$11&amp;"!D"&amp;ROW(B140))</f>
        <v>F</v>
      </c>
      <c r="T159" s="144">
        <f t="shared" si="5"/>
        <v>-1.926715775</v>
      </c>
      <c r="U159" s="144">
        <f>SUM(AF159:AN159)-IFERROR(IFS(Projections!$I$11,AO159,Projections!$J$11,AP159),"")</f>
        <v>-1.972699515</v>
      </c>
      <c r="V159" s="144">
        <f t="shared" si="6"/>
        <v>-0.04598374055</v>
      </c>
      <c r="W159" s="144">
        <f t="array" ref="W159">INDIRECT("Update"&amp;Projections!$AG$11&amp;"!M"&amp;ROW(B140))</f>
        <v>10.13235</v>
      </c>
      <c r="X159" s="144">
        <f t="array" ref="X159">INDIRECT("Update"&amp;Projections!$AG$11&amp;"!L"&amp;ROW(B140))</f>
        <v>1.693676</v>
      </c>
      <c r="Y159" s="144">
        <f t="array" ref="Y159">INDIRECT("Update"&amp;Projections!$AG$11&amp;"!N"&amp;ROW(B140))</f>
        <v>5.167206</v>
      </c>
      <c r="Z159" s="144">
        <f t="array" ref="Z159">INDIRECT("Update"&amp;Projections!$AG$11&amp;"!O"&amp;ROW(B140))</f>
        <v>3.004118</v>
      </c>
      <c r="AA159" s="144">
        <f t="array" ref="AA159">INDIRECT("Update"&amp;Projections!$AG$11&amp;"!P"&amp;ROW(B140))</f>
        <v>1.140147</v>
      </c>
      <c r="AB159" s="144">
        <f t="array" ref="AB159">INDIRECT("Update"&amp;Projections!$AG$11&amp;"!Q"&amp;ROW(B140))</f>
        <v>0.660882</v>
      </c>
      <c r="AC159" s="166">
        <f t="array" ref="AC159">INDIRECT("Update"&amp;Projections!$AG$11&amp;"!I"&amp;ROW(B140))</f>
        <v>0.422027</v>
      </c>
      <c r="AD159" s="166">
        <f t="array" ref="AD159">INDIRECT("Update"&amp;Projections!$AG$11&amp;"!K"&amp;ROW(B140))</f>
        <v>0.760024</v>
      </c>
      <c r="AE159" s="144">
        <f t="array" ref="AE159">INDIRECT("Update"&amp;Projections!$AG$11&amp;"!R"&amp;ROW(B140))</f>
        <v>1.563235</v>
      </c>
      <c r="AF159" s="144">
        <f t="shared" si="7"/>
        <v>-1.235512187</v>
      </c>
      <c r="AG159" s="144">
        <f t="shared" si="8"/>
        <v>-0.07328518354</v>
      </c>
      <c r="AH159" s="144">
        <f t="shared" si="9"/>
        <v>-0.3888515079</v>
      </c>
      <c r="AI159" s="144">
        <f t="shared" si="10"/>
        <v>-0.4068252711</v>
      </c>
      <c r="AJ159" s="144">
        <f t="shared" si="11"/>
        <v>0.289362785</v>
      </c>
      <c r="AK159" s="144">
        <f t="shared" si="12"/>
        <v>-0.1260600384</v>
      </c>
      <c r="AL159" s="144">
        <f t="shared" si="13"/>
        <v>-0.92743816</v>
      </c>
      <c r="AM159" s="144">
        <f t="shared" si="14"/>
        <v>-0.3396021393</v>
      </c>
      <c r="AN159" s="144">
        <f t="shared" si="15"/>
        <v>0</v>
      </c>
      <c r="AO159" s="167">
        <f t="shared" si="16"/>
        <v>-1.235512187</v>
      </c>
      <c r="AP159" s="167">
        <f t="shared" si="17"/>
        <v>-2.162950347</v>
      </c>
      <c r="AQ159" s="167">
        <f t="array" ref="AQ159">INDIRECT("Update"&amp;Projections!$AG$11&amp;"!S"&amp;ROW(B140))</f>
        <v>0.422027</v>
      </c>
      <c r="AR159" s="167">
        <f t="array" ref="AR159">INDIRECT("Update"&amp;Projections!$AG$11&amp;"!T"&amp;ROW(B140))</f>
        <v>0.760024</v>
      </c>
    </row>
    <row r="160">
      <c r="A160" s="50" t="str">
        <f>IF(UpdateHashtag!C158="",ROW(UpdateHashtag!C158),UpdateHashtag!C158)</f>
        <v>Donovan Clingan</v>
      </c>
      <c r="B160" s="53">
        <f>IF(TYPE($A160)=1,"",(UpdateHashtag!M158-B$1)/B$2)</f>
        <v>-1.223643495</v>
      </c>
      <c r="C160" s="53">
        <f>IF(TYPE($A160)=1,"",(UpdateHashtag!L158-C$1)/C$2)</f>
        <v>-1.419344069</v>
      </c>
      <c r="D160" s="53">
        <f>IF(TYPE($A160)=1,"",(UpdateHashtag!N158-D$1)/D$2)</f>
        <v>-0.2134168993</v>
      </c>
      <c r="E160" s="53">
        <f>IF(TYPE($A160)=1,"",(UpdateHashtag!O158-E$1)/E$2)</f>
        <v>-1.288163069</v>
      </c>
      <c r="F160" s="53">
        <f>IF(TYPE($A160)=1,"",(UpdateHashtag!P158-F$1)/F$2)</f>
        <v>-1.966035386</v>
      </c>
      <c r="G160" s="53">
        <f>IF(TYPE($A160)=1,"",(UpdateHashtag!Q158-G$1)/G$2)</f>
        <v>2.126646851</v>
      </c>
      <c r="H160" s="53">
        <f>IF(TYPE($A160)=1,"",(UpdateHashtag!I158-H$1)/H$2*I160/$I$1)</f>
        <v>27.64957575</v>
      </c>
      <c r="I160" s="53">
        <f>UpdateHashtag!S158</f>
        <v>6.4</v>
      </c>
      <c r="J160" s="58">
        <f>IF(TYPE($A160)=1,"",(UpdateHashtag!K158-J$1)/J$2*K160/$K$1)</f>
        <v>-8.331090672</v>
      </c>
      <c r="K160" s="59">
        <f>UpdateHashtag!T158</f>
        <v>2.9</v>
      </c>
      <c r="L160" s="53">
        <f>IF(TYPE($A160)=1,"",-(UpdateHashtag!R158-L$1)/L$2)</f>
        <v>1.139395249</v>
      </c>
      <c r="N160" s="106">
        <f t="shared" si="3"/>
        <v>-1.496270549</v>
      </c>
      <c r="O160" s="106">
        <f t="shared" si="4"/>
        <v>148</v>
      </c>
      <c r="P160" s="163" t="str">
        <f t="array" ref="P160">INDIRECT("Update"&amp;Projections!$AG$11&amp;"!B"&amp;ROW(B141))</f>
        <v/>
      </c>
      <c r="Q160" s="164" t="str">
        <f t="array" ref="Q160">INDIRECT("Update"&amp;Projections!$AG$11&amp;"!C"&amp;ROW(B141))</f>
        <v>Grayson Allen</v>
      </c>
      <c r="R160" s="163">
        <f>UpdateBBM!F141</f>
        <v>73</v>
      </c>
      <c r="S160" s="165" t="str">
        <f t="array" ref="S160">INDIRECT("Update"&amp;Projections!$AG$11&amp;"!D"&amp;ROW(B141))</f>
        <v>G</v>
      </c>
      <c r="T160" s="144">
        <f t="shared" si="5"/>
        <v>-1.725939657</v>
      </c>
      <c r="U160" s="144">
        <f>SUM(AF160:AN160)-IFERROR(IFS(Projections!$I$11,AO160,Projections!$J$11,AP160),"")</f>
        <v>-1.814339006</v>
      </c>
      <c r="V160" s="144">
        <f t="shared" si="6"/>
        <v>-0.08839934883</v>
      </c>
      <c r="W160" s="144">
        <f t="array" ref="W160">INDIRECT("Update"&amp;Projections!$AG$11&amp;"!M"&amp;ROW(B141))</f>
        <v>11.65137</v>
      </c>
      <c r="X160" s="144">
        <f t="array" ref="X160">INDIRECT("Update"&amp;Projections!$AG$11&amp;"!L"&amp;ROW(B141))</f>
        <v>2.337671</v>
      </c>
      <c r="Y160" s="144">
        <f t="array" ref="Y160">INDIRECT("Update"&amp;Projections!$AG$11&amp;"!N"&amp;ROW(B141))</f>
        <v>3.062877</v>
      </c>
      <c r="Z160" s="144">
        <f t="array" ref="Z160">INDIRECT("Update"&amp;Projections!$AG$11&amp;"!O"&amp;ROW(B141))</f>
        <v>3.174247</v>
      </c>
      <c r="AA160" s="144">
        <f t="array" ref="AA160">INDIRECT("Update"&amp;Projections!$AG$11&amp;"!P"&amp;ROW(B141))</f>
        <v>0.956301</v>
      </c>
      <c r="AB160" s="144">
        <f t="array" ref="AB160">INDIRECT("Update"&amp;Projections!$AG$11&amp;"!Q"&amp;ROW(B141))</f>
        <v>0.331918</v>
      </c>
      <c r="AC160" s="166">
        <f t="array" ref="AC160">INDIRECT("Update"&amp;Projections!$AG$11&amp;"!I"&amp;ROW(B141))</f>
        <v>0.455071</v>
      </c>
      <c r="AD160" s="166">
        <f t="array" ref="AD160">INDIRECT("Update"&amp;Projections!$AG$11&amp;"!K"&amp;ROW(B141))</f>
        <v>0.823996</v>
      </c>
      <c r="AE160" s="144">
        <f t="array" ref="AE160">INDIRECT("Update"&amp;Projections!$AG$11&amp;"!R"&amp;ROW(B141))</f>
        <v>1.392192</v>
      </c>
      <c r="AF160" s="144">
        <f t="shared" si="7"/>
        <v>-0.9690113511</v>
      </c>
      <c r="AG160" s="144">
        <f t="shared" si="8"/>
        <v>0.5487067225</v>
      </c>
      <c r="AH160" s="144">
        <f t="shared" si="9"/>
        <v>-1.241848857</v>
      </c>
      <c r="AI160" s="144">
        <f t="shared" si="10"/>
        <v>-0.3237147882</v>
      </c>
      <c r="AJ160" s="144">
        <f t="shared" si="11"/>
        <v>-0.2708582687</v>
      </c>
      <c r="AK160" s="144">
        <f t="shared" si="12"/>
        <v>-0.7241140327</v>
      </c>
      <c r="AL160" s="144">
        <f t="shared" si="13"/>
        <v>-0.5483354695</v>
      </c>
      <c r="AM160" s="144">
        <f t="shared" si="14"/>
        <v>0.4729881818</v>
      </c>
      <c r="AN160" s="144">
        <f t="shared" si="15"/>
        <v>0</v>
      </c>
      <c r="AO160" s="167">
        <f t="shared" si="16"/>
        <v>-1.241848857</v>
      </c>
      <c r="AP160" s="167">
        <f t="shared" si="17"/>
        <v>-2.210860208</v>
      </c>
      <c r="AQ160" s="167">
        <f t="array" ref="AQ160">INDIRECT("Update"&amp;Projections!$AG$11&amp;"!S"&amp;ROW(B141))</f>
        <v>0.455071</v>
      </c>
      <c r="AR160" s="167">
        <f t="array" ref="AR160">INDIRECT("Update"&amp;Projections!$AG$11&amp;"!T"&amp;ROW(B141))</f>
        <v>0.823996</v>
      </c>
    </row>
    <row r="161">
      <c r="A161" s="50" t="str">
        <f>IF(UpdateHashtag!C159="",ROW(UpdateHashtag!C159),UpdateHashtag!C159)</f>
        <v>Tari Eason</v>
      </c>
      <c r="B161" s="53">
        <f>IF(TYPE($A161)=1,"",(UpdateHashtag!M159-B$1)/B$2)</f>
        <v>-1.29382054</v>
      </c>
      <c r="C161" s="53">
        <f>IF(TYPE($A161)=1,"",(UpdateHashtag!L159-C$1)/C$2)</f>
        <v>-0.9364273487</v>
      </c>
      <c r="D161" s="53">
        <f>IF(TYPE($A161)=1,"",(UpdateHashtag!N159-D$1)/D$2)</f>
        <v>0.3946135101</v>
      </c>
      <c r="E161" s="53">
        <f>IF(TYPE($A161)=1,"",(UpdateHashtag!O159-E$1)/E$2)</f>
        <v>-1.288163069</v>
      </c>
      <c r="F161" s="53">
        <f>IF(TYPE($A161)=1,"",(UpdateHashtag!P159-F$1)/F$2)</f>
        <v>0.7764716483</v>
      </c>
      <c r="G161" s="53">
        <f>IF(TYPE($A161)=1,"",(UpdateHashtag!Q159-G$1)/G$2)</f>
        <v>-0.05494381853</v>
      </c>
      <c r="H161" s="53">
        <f>IF(TYPE($A161)=1,"",(UpdateHashtag!I159-H$1)/H$2*I161/$I$1)</f>
        <v>-9.749483798</v>
      </c>
      <c r="I161" s="53">
        <f>UpdateHashtag!S159</f>
        <v>8.5</v>
      </c>
      <c r="J161" s="58">
        <f>IF(TYPE($A161)=1,"",(UpdateHashtag!K159-J$1)/J$2*K161/$K$1)</f>
        <v>-1.609254799</v>
      </c>
      <c r="K161" s="59">
        <f>UpdateHashtag!T159</f>
        <v>1.8</v>
      </c>
      <c r="L161" s="53">
        <f>IF(TYPE($A161)=1,"",-(UpdateHashtag!R159-L$1)/L$2)</f>
        <v>0.5442381251</v>
      </c>
      <c r="N161" s="106">
        <f t="shared" si="3"/>
        <v>-1.530304353</v>
      </c>
      <c r="O161" s="106">
        <f t="shared" si="4"/>
        <v>123</v>
      </c>
      <c r="P161" s="163" t="str">
        <f t="array" ref="P161">INDIRECT("Update"&amp;Projections!$AG$11&amp;"!B"&amp;ROW(B142))</f>
        <v/>
      </c>
      <c r="Q161" s="164" t="str">
        <f t="array" ref="Q161">INDIRECT("Update"&amp;Projections!$AG$11&amp;"!C"&amp;ROW(B142))</f>
        <v>Dejounte Murray</v>
      </c>
      <c r="R161" s="163">
        <f>UpdateBBM!F142</f>
        <v>25</v>
      </c>
      <c r="S161" s="165" t="str">
        <f t="array" ref="S161">INDIRECT("Update"&amp;Projections!$AG$11&amp;"!D"&amp;ROW(B142))</f>
        <v>G</v>
      </c>
      <c r="T161" s="144">
        <f t="shared" si="5"/>
        <v>-0.8260959256</v>
      </c>
      <c r="U161" s="144">
        <f>SUM(AF161:AN161)-IFERROR(IFS(Projections!$I$11,AO161,Projections!$J$11,AP161),"")</f>
        <v>-0.7170499148</v>
      </c>
      <c r="V161" s="144">
        <f t="shared" si="6"/>
        <v>0.1090460107</v>
      </c>
      <c r="W161" s="144">
        <f t="array" ref="W161">INDIRECT("Update"&amp;Projections!$AG$11&amp;"!M"&amp;ROW(B142))</f>
        <v>13.6072</v>
      </c>
      <c r="X161" s="144">
        <f t="array" ref="X161">INDIRECT("Update"&amp;Projections!$AG$11&amp;"!L"&amp;ROW(B142))</f>
        <v>1.6608</v>
      </c>
      <c r="Y161" s="144">
        <f t="array" ref="Y161">INDIRECT("Update"&amp;Projections!$AG$11&amp;"!N"&amp;ROW(B142))</f>
        <v>5.088</v>
      </c>
      <c r="Z161" s="144">
        <f t="array" ref="Z161">INDIRECT("Update"&amp;Projections!$AG$11&amp;"!O"&amp;ROW(B142))</f>
        <v>5.0956</v>
      </c>
      <c r="AA161" s="144">
        <f t="array" ref="AA161">INDIRECT("Update"&amp;Projections!$AG$11&amp;"!P"&amp;ROW(B142))</f>
        <v>1.2036</v>
      </c>
      <c r="AB161" s="144">
        <f t="array" ref="AB161">INDIRECT("Update"&amp;Projections!$AG$11&amp;"!Q"&amp;ROW(B142))</f>
        <v>0.282</v>
      </c>
      <c r="AC161" s="166">
        <f t="array" ref="AC161">INDIRECT("Update"&amp;Projections!$AG$11&amp;"!I"&amp;ROW(B142))</f>
        <v>0.410889</v>
      </c>
      <c r="AD161" s="166">
        <f t="array" ref="AD161">INDIRECT("Update"&amp;Projections!$AG$11&amp;"!K"&amp;ROW(B142))</f>
        <v>0.799938</v>
      </c>
      <c r="AE161" s="144">
        <f t="array" ref="AE161">INDIRECT("Update"&amp;Projections!$AG$11&amp;"!R"&amp;ROW(B142))</f>
        <v>2.1884</v>
      </c>
      <c r="AF161" s="144">
        <f t="shared" si="7"/>
        <v>-0.6258754273</v>
      </c>
      <c r="AG161" s="144">
        <f t="shared" si="8"/>
        <v>-0.1050379237</v>
      </c>
      <c r="AH161" s="144">
        <f t="shared" si="9"/>
        <v>-0.4209579457</v>
      </c>
      <c r="AI161" s="144">
        <f t="shared" si="10"/>
        <v>0.6148940063</v>
      </c>
      <c r="AJ161" s="144">
        <f t="shared" si="11"/>
        <v>0.4827186726</v>
      </c>
      <c r="AK161" s="144">
        <f t="shared" si="12"/>
        <v>-0.8148645686</v>
      </c>
      <c r="AL161" s="144">
        <f t="shared" si="13"/>
        <v>-1.040438124</v>
      </c>
      <c r="AM161" s="144">
        <f t="shared" si="14"/>
        <v>0.1520732716</v>
      </c>
      <c r="AN161" s="144">
        <f t="shared" si="15"/>
        <v>0</v>
      </c>
      <c r="AO161" s="167">
        <f t="shared" si="16"/>
        <v>-1.040438124</v>
      </c>
      <c r="AP161" s="167">
        <f t="shared" si="17"/>
        <v>-1.855302693</v>
      </c>
      <c r="AQ161" s="167">
        <f t="array" ref="AQ161">INDIRECT("Update"&amp;Projections!$AG$11&amp;"!S"&amp;ROW(B142))</f>
        <v>0.410889</v>
      </c>
      <c r="AR161" s="167">
        <f t="array" ref="AR161">INDIRECT("Update"&amp;Projections!$AG$11&amp;"!T"&amp;ROW(B142))</f>
        <v>0.799938</v>
      </c>
    </row>
    <row r="162">
      <c r="A162" s="50" t="str">
        <f>IF(UpdateHashtag!C160="",ROW(UpdateHashtag!C160),UpdateHashtag!C160)</f>
        <v>Aaron Gordon</v>
      </c>
      <c r="B162" s="53">
        <f>IF(TYPE($A162)=1,"",(UpdateHashtag!M160-B$1)/B$2)</f>
        <v>-0.3288861738</v>
      </c>
      <c r="C162" s="53">
        <f>IF(TYPE($A162)=1,"",(UpdateHashtag!L160-C$1)/C$2)</f>
        <v>-1.033010693</v>
      </c>
      <c r="D162" s="53">
        <f>IF(TYPE($A162)=1,"",(UpdateHashtag!N160-D$1)/D$2)</f>
        <v>0.191936707</v>
      </c>
      <c r="E162" s="53">
        <f>IF(TYPE($A162)=1,"",(UpdateHashtag!O160-E$1)/E$2)</f>
        <v>-0.2622826247</v>
      </c>
      <c r="F162" s="53">
        <f>IF(TYPE($A162)=1,"",(UpdateHashtag!P160-F$1)/F$2)</f>
        <v>-0.7471433709</v>
      </c>
      <c r="G162" s="53">
        <f>IF(TYPE($A162)=1,"",(UpdateHashtag!Q160-G$1)/G$2)</f>
        <v>-0.05494381853</v>
      </c>
      <c r="H162" s="53">
        <f>IF(TYPE($A162)=1,"",(UpdateHashtag!I160-H$1)/H$2*I162/$I$1)</f>
        <v>20.63927807</v>
      </c>
      <c r="I162" s="53">
        <f>UpdateHashtag!S160</f>
        <v>10.6</v>
      </c>
      <c r="J162" s="58">
        <f>IF(TYPE($A162)=1,"",(UpdateHashtag!K160-J$1)/J$2*K162/$K$1)</f>
        <v>-10.45717759</v>
      </c>
      <c r="K162" s="59">
        <f>UpdateHashtag!T160</f>
        <v>4.2</v>
      </c>
      <c r="L162" s="53">
        <f>IF(TYPE($A162)=1,"",-(UpdateHashtag!R160-L$1)/L$2)</f>
        <v>0.2466595634</v>
      </c>
      <c r="N162" s="106">
        <f t="shared" si="3"/>
        <v>-1.532987902</v>
      </c>
      <c r="O162" s="106">
        <f t="shared" si="4"/>
        <v>160</v>
      </c>
      <c r="P162" s="163" t="str">
        <f t="array" ref="P162">INDIRECT("Update"&amp;Projections!$AG$11&amp;"!B"&amp;ROW(B143))</f>
        <v/>
      </c>
      <c r="Q162" s="164" t="str">
        <f t="array" ref="Q162">INDIRECT("Update"&amp;Projections!$AG$11&amp;"!C"&amp;ROW(B143))</f>
        <v>Gary Trent</v>
      </c>
      <c r="R162" s="163">
        <f>UpdateBBM!F143</f>
        <v>73</v>
      </c>
      <c r="S162" s="165" t="str">
        <f t="array" ref="S162">INDIRECT("Update"&amp;Projections!$AG$11&amp;"!D"&amp;ROW(B143))</f>
        <v>G,F</v>
      </c>
      <c r="T162" s="144">
        <f t="shared" si="5"/>
        <v>-2.173753403</v>
      </c>
      <c r="U162" s="144">
        <f>SUM(AF162:AN162)-IFERROR(IFS(Projections!$I$11,AO162,Projections!$J$11,AP162),"")</f>
        <v>-2.456598023</v>
      </c>
      <c r="V162" s="144">
        <f t="shared" si="6"/>
        <v>-0.2828446205</v>
      </c>
      <c r="W162" s="144">
        <f t="array" ref="W162">INDIRECT("Update"&amp;Projections!$AG$11&amp;"!M"&amp;ROW(B143))</f>
        <v>12.43164</v>
      </c>
      <c r="X162" s="144">
        <f t="array" ref="X162">INDIRECT("Update"&amp;Projections!$AG$11&amp;"!L"&amp;ROW(B143))</f>
        <v>2.513562</v>
      </c>
      <c r="Y162" s="144">
        <f t="array" ref="Y162">INDIRECT("Update"&amp;Projections!$AG$11&amp;"!N"&amp;ROW(B143))</f>
        <v>2.623836</v>
      </c>
      <c r="Z162" s="144">
        <f t="array" ref="Z162">INDIRECT("Update"&amp;Projections!$AG$11&amp;"!O"&amp;ROW(B143))</f>
        <v>1.550548</v>
      </c>
      <c r="AA162" s="144">
        <f t="array" ref="AA162">INDIRECT("Update"&amp;Projections!$AG$11&amp;"!P"&amp;ROW(B143))</f>
        <v>1.105616</v>
      </c>
      <c r="AB162" s="144">
        <f t="array" ref="AB162">INDIRECT("Update"&amp;Projections!$AG$11&amp;"!Q"&amp;ROW(B143))</f>
        <v>0.060822</v>
      </c>
      <c r="AC162" s="166">
        <f t="array" ref="AC162">INDIRECT("Update"&amp;Projections!$AG$11&amp;"!I"&amp;ROW(B143))</f>
        <v>0.430743</v>
      </c>
      <c r="AD162" s="166">
        <f t="array" ref="AD162">INDIRECT("Update"&amp;Projections!$AG$11&amp;"!K"&amp;ROW(B143))</f>
        <v>0.836033</v>
      </c>
      <c r="AE162" s="144">
        <f t="array" ref="AE162">INDIRECT("Update"&amp;Projections!$AG$11&amp;"!R"&amp;ROW(B143))</f>
        <v>0.608082</v>
      </c>
      <c r="AF162" s="144">
        <f t="shared" si="7"/>
        <v>-0.8321187442</v>
      </c>
      <c r="AG162" s="144">
        <f t="shared" si="8"/>
        <v>0.7185881321</v>
      </c>
      <c r="AH162" s="144">
        <f t="shared" si="9"/>
        <v>-1.419815709</v>
      </c>
      <c r="AI162" s="144">
        <f t="shared" si="10"/>
        <v>-1.116915289</v>
      </c>
      <c r="AJ162" s="144">
        <f t="shared" si="11"/>
        <v>0.1841388845</v>
      </c>
      <c r="AK162" s="144">
        <f t="shared" si="12"/>
        <v>-1.216964453</v>
      </c>
      <c r="AL162" s="144">
        <f t="shared" si="13"/>
        <v>-0.833812151</v>
      </c>
      <c r="AM162" s="144">
        <f t="shared" si="14"/>
        <v>0.6404855968</v>
      </c>
      <c r="AN162" s="144">
        <f t="shared" si="15"/>
        <v>0</v>
      </c>
      <c r="AO162" s="167">
        <f t="shared" si="16"/>
        <v>-1.419815709</v>
      </c>
      <c r="AP162" s="167">
        <f t="shared" si="17"/>
        <v>-2.636780162</v>
      </c>
      <c r="AQ162" s="167">
        <f t="array" ref="AQ162">INDIRECT("Update"&amp;Projections!$AG$11&amp;"!S"&amp;ROW(B143))</f>
        <v>0.430743</v>
      </c>
      <c r="AR162" s="167">
        <f t="array" ref="AR162">INDIRECT("Update"&amp;Projections!$AG$11&amp;"!T"&amp;ROW(B143))</f>
        <v>0.836033</v>
      </c>
    </row>
    <row r="163">
      <c r="A163" s="50" t="str">
        <f>IF(UpdateHashtag!C161="",ROW(UpdateHashtag!C161),UpdateHashtag!C161)</f>
        <v>Tre Jones</v>
      </c>
      <c r="B163" s="53">
        <f>IF(TYPE($A163)=1,"",(UpdateHashtag!M161-B$1)/B$2)</f>
        <v>-1.29382054</v>
      </c>
      <c r="C163" s="53">
        <f>IF(TYPE($A163)=1,"",(UpdateHashtag!L161-C$1)/C$2)</f>
        <v>-1.033010693</v>
      </c>
      <c r="D163" s="53">
        <f>IF(TYPE($A163)=1,"",(UpdateHashtag!N161-D$1)/D$2)</f>
        <v>-1.186265554</v>
      </c>
      <c r="E163" s="53">
        <f>IF(TYPE($A163)=1,"",(UpdateHashtag!O161-E$1)/E$2)</f>
        <v>0.8124492689</v>
      </c>
      <c r="F163" s="53">
        <f>IF(TYPE($A163)=1,"",(UpdateHashtag!P161-F$1)/F$2)</f>
        <v>-0.1376973632</v>
      </c>
      <c r="G163" s="53">
        <f>IF(TYPE($A163)=1,"",(UpdateHashtag!Q161-G$1)/G$2)</f>
        <v>-1.145739154</v>
      </c>
      <c r="H163" s="53">
        <f>IF(TYPE($A163)=1,"",(UpdateHashtag!I161-H$1)/H$2*I163/$I$1)</f>
        <v>-3.888979269</v>
      </c>
      <c r="I163" s="53">
        <f>UpdateHashtag!S161</f>
        <v>8</v>
      </c>
      <c r="J163" s="58">
        <f>IF(TYPE($A163)=1,"",(UpdateHashtag!K161-J$1)/J$2*K163/$K$1)</f>
        <v>1.979680067</v>
      </c>
      <c r="K163" s="59">
        <f>UpdateHashtag!T161</f>
        <v>1.7</v>
      </c>
      <c r="L163" s="53">
        <f>IF(TYPE($A163)=1,"",-(UpdateHashtag!R161-L$1)/L$2)</f>
        <v>0.3458524173</v>
      </c>
      <c r="N163" s="106">
        <f t="shared" si="3"/>
        <v>-1.537490568</v>
      </c>
      <c r="O163" s="106">
        <f t="shared" si="4"/>
        <v>182</v>
      </c>
      <c r="P163" s="163" t="str">
        <f t="array" ref="P163">INDIRECT("Update"&amp;Projections!$AG$11&amp;"!B"&amp;ROW(B144))</f>
        <v/>
      </c>
      <c r="Q163" s="164" t="str">
        <f t="array" ref="Q163">INDIRECT("Update"&amp;Projections!$AG$11&amp;"!C"&amp;ROW(B144))</f>
        <v>Luguentz Dort</v>
      </c>
      <c r="R163" s="163">
        <f>UpdateBBM!F144</f>
        <v>73</v>
      </c>
      <c r="S163" s="165" t="str">
        <f t="array" ref="S163">INDIRECT("Update"&amp;Projections!$AG$11&amp;"!D"&amp;ROW(B144))</f>
        <v>F</v>
      </c>
      <c r="T163" s="144">
        <f t="shared" si="5"/>
        <v>-3.034401316</v>
      </c>
      <c r="U163" s="144">
        <f>SUM(AF163:AN163)-IFERROR(IFS(Projections!$I$11,AO163,Projections!$J$11,AP163),"")</f>
        <v>-3.268396928</v>
      </c>
      <c r="V163" s="144">
        <f t="shared" si="6"/>
        <v>-0.2339956117</v>
      </c>
      <c r="W163" s="144">
        <f t="array" ref="W163">INDIRECT("Update"&amp;Projections!$AG$11&amp;"!M"&amp;ROW(B144))</f>
        <v>9.455479</v>
      </c>
      <c r="X163" s="144">
        <f t="array" ref="X163">INDIRECT("Update"&amp;Projections!$AG$11&amp;"!L"&amp;ROW(B144))</f>
        <v>2.292466</v>
      </c>
      <c r="Y163" s="144">
        <f t="array" ref="Y163">INDIRECT("Update"&amp;Projections!$AG$11&amp;"!N"&amp;ROW(B144))</f>
        <v>3.943973</v>
      </c>
      <c r="Z163" s="144">
        <f t="array" ref="Z163">INDIRECT("Update"&amp;Projections!$AG$11&amp;"!O"&amp;ROW(B144))</f>
        <v>1.417397</v>
      </c>
      <c r="AA163" s="144">
        <f t="array" ref="AA163">INDIRECT("Update"&amp;Projections!$AG$11&amp;"!P"&amp;ROW(B144))</f>
        <v>1.099452</v>
      </c>
      <c r="AB163" s="144">
        <f t="array" ref="AB163">INDIRECT("Update"&amp;Projections!$AG$11&amp;"!Q"&amp;ROW(B144))</f>
        <v>0.49589</v>
      </c>
      <c r="AC163" s="166">
        <f t="array" ref="AC163">INDIRECT("Update"&amp;Projections!$AG$11&amp;"!I"&amp;ROW(B144))</f>
        <v>0.42136</v>
      </c>
      <c r="AD163" s="166">
        <f t="array" ref="AD163">INDIRECT("Update"&amp;Projections!$AG$11&amp;"!K"&amp;ROW(B144))</f>
        <v>0.744981</v>
      </c>
      <c r="AE163" s="144">
        <f t="array" ref="AE163">INDIRECT("Update"&amp;Projections!$AG$11&amp;"!R"&amp;ROW(B144))</f>
        <v>0.805068</v>
      </c>
      <c r="AF163" s="144">
        <f t="shared" si="7"/>
        <v>-1.354264204</v>
      </c>
      <c r="AG163" s="144">
        <f t="shared" si="8"/>
        <v>0.5050462219</v>
      </c>
      <c r="AH163" s="144">
        <f t="shared" si="9"/>
        <v>-0.8846934158</v>
      </c>
      <c r="AI163" s="144">
        <f t="shared" si="10"/>
        <v>-1.181961482</v>
      </c>
      <c r="AJ163" s="144">
        <f t="shared" si="11"/>
        <v>0.1653557585</v>
      </c>
      <c r="AK163" s="144">
        <f t="shared" si="12"/>
        <v>-0.4260142116</v>
      </c>
      <c r="AL163" s="144">
        <f t="shared" si="13"/>
        <v>-0.9344149744</v>
      </c>
      <c r="AM163" s="144">
        <f t="shared" si="14"/>
        <v>-0.5117148245</v>
      </c>
      <c r="AN163" s="144">
        <f t="shared" si="15"/>
        <v>0</v>
      </c>
      <c r="AO163" s="167">
        <f t="shared" si="16"/>
        <v>-1.354264204</v>
      </c>
      <c r="AP163" s="167">
        <f t="shared" si="17"/>
        <v>-2.536225686</v>
      </c>
      <c r="AQ163" s="167">
        <f t="array" ref="AQ163">INDIRECT("Update"&amp;Projections!$AG$11&amp;"!S"&amp;ROW(B144))</f>
        <v>0.42136</v>
      </c>
      <c r="AR163" s="167">
        <f t="array" ref="AR163">INDIRECT("Update"&amp;Projections!$AG$11&amp;"!T"&amp;ROW(B144))</f>
        <v>0.744981</v>
      </c>
    </row>
    <row r="164">
      <c r="A164" s="50" t="str">
        <f>IF(UpdateHashtag!C162="",ROW(UpdateHashtag!C162),UpdateHashtag!C162)</f>
        <v>Zach Edey</v>
      </c>
      <c r="B164" s="53">
        <f>IF(TYPE($A164)=1,"",(UpdateHashtag!M162-B$1)/B$2)</f>
        <v>-1.223643495</v>
      </c>
      <c r="C164" s="53">
        <f>IF(TYPE($A164)=1,"",(UpdateHashtag!L162-C$1)/C$2)</f>
        <v>-1.709094101</v>
      </c>
      <c r="D164" s="53">
        <f>IF(TYPE($A164)=1,"",(UpdateHashtag!N162-D$1)/D$2)</f>
        <v>0.4351488707</v>
      </c>
      <c r="E164" s="53">
        <f>IF(TYPE($A164)=1,"",(UpdateHashtag!O162-E$1)/E$2)</f>
        <v>-1.239311619</v>
      </c>
      <c r="F164" s="53">
        <f>IF(TYPE($A164)=1,"",(UpdateHashtag!P162-F$1)/F$2)</f>
        <v>-2.27075839</v>
      </c>
      <c r="G164" s="53">
        <f>IF(TYPE($A164)=1,"",(UpdateHashtag!Q162-G$1)/G$2)</f>
        <v>1.035851516</v>
      </c>
      <c r="H164" s="53">
        <f>IF(TYPE($A164)=1,"",(UpdateHashtag!I162-H$1)/H$2*I164/$I$1)</f>
        <v>17.50320097</v>
      </c>
      <c r="I164" s="53">
        <f>UpdateHashtag!S162</f>
        <v>7.3</v>
      </c>
      <c r="J164" s="58">
        <f>IF(TYPE($A164)=1,"",(UpdateHashtag!K162-J$1)/J$2*K164/$K$1)</f>
        <v>-2.35475914</v>
      </c>
      <c r="K164" s="59">
        <f>UpdateHashtag!T162</f>
        <v>2.5</v>
      </c>
      <c r="L164" s="53">
        <f>IF(TYPE($A164)=1,"",-(UpdateHashtag!R162-L$1)/L$2)</f>
        <v>0.7426238329</v>
      </c>
      <c r="N164" s="106">
        <f t="shared" si="3"/>
        <v>-1.567382915</v>
      </c>
      <c r="O164" s="106">
        <f t="shared" si="4"/>
        <v>120</v>
      </c>
      <c r="P164" s="163" t="str">
        <f t="array" ref="P164">INDIRECT("Update"&amp;Projections!$AG$11&amp;"!B"&amp;ROW(B145))</f>
        <v/>
      </c>
      <c r="Q164" s="164" t="str">
        <f t="array" ref="Q164">INDIRECT("Update"&amp;Projections!$AG$11&amp;"!C"&amp;ROW(B145))</f>
        <v>Cam Thomas</v>
      </c>
      <c r="R164" s="163">
        <f>UpdateBBM!F145</f>
        <v>59</v>
      </c>
      <c r="S164" s="165" t="str">
        <f t="array" ref="S164">INDIRECT("Update"&amp;Projections!$AG$11&amp;"!D"&amp;ROW(B145))</f>
        <v>G,F</v>
      </c>
      <c r="T164" s="144">
        <f t="shared" si="5"/>
        <v>-0.7176325748</v>
      </c>
      <c r="U164" s="144">
        <f>SUM(AF164:AN164)-IFERROR(IFS(Projections!$I$11,AO164,Projections!$J$11,AP164),"")</f>
        <v>-0.6447567423</v>
      </c>
      <c r="V164" s="144">
        <f t="shared" si="6"/>
        <v>0.07287583251</v>
      </c>
      <c r="W164" s="144">
        <f t="array" ref="W164">INDIRECT("Update"&amp;Projections!$AG$11&amp;"!M"&amp;ROW(B145))</f>
        <v>22.24847</v>
      </c>
      <c r="X164" s="144">
        <f t="array" ref="X164">INDIRECT("Update"&amp;Projections!$AG$11&amp;"!L"&amp;ROW(B145))</f>
        <v>2.430339</v>
      </c>
      <c r="Y164" s="144">
        <f t="array" ref="Y164">INDIRECT("Update"&amp;Projections!$AG$11&amp;"!N"&amp;ROW(B145))</f>
        <v>2.974915</v>
      </c>
      <c r="Z164" s="144">
        <f t="array" ref="Z164">INDIRECT("Update"&amp;Projections!$AG$11&amp;"!O"&amp;ROW(B145))</f>
        <v>3.61661</v>
      </c>
      <c r="AA164" s="144">
        <f t="array" ref="AA164">INDIRECT("Update"&amp;Projections!$AG$11&amp;"!P"&amp;ROW(B145))</f>
        <v>0.582881</v>
      </c>
      <c r="AB164" s="144">
        <f t="array" ref="AB164">INDIRECT("Update"&amp;Projections!$AG$11&amp;"!Q"&amp;ROW(B145))</f>
        <v>0.11678</v>
      </c>
      <c r="AC164" s="166">
        <f t="array" ref="AC164">INDIRECT("Update"&amp;Projections!$AG$11&amp;"!I"&amp;ROW(B145))</f>
        <v>0.425829</v>
      </c>
      <c r="AD164" s="166">
        <f t="array" ref="AD164">INDIRECT("Update"&amp;Projections!$AG$11&amp;"!K"&amp;ROW(B145))</f>
        <v>0.874996</v>
      </c>
      <c r="AE164" s="144">
        <f t="array" ref="AE164">INDIRECT("Update"&amp;Projections!$AG$11&amp;"!R"&amp;ROW(B145))</f>
        <v>2.042542</v>
      </c>
      <c r="AF164" s="144">
        <f t="shared" si="7"/>
        <v>0.890171552</v>
      </c>
      <c r="AG164" s="144">
        <f t="shared" si="8"/>
        <v>0.6382085757</v>
      </c>
      <c r="AH164" s="144">
        <f t="shared" si="9"/>
        <v>-1.277504571</v>
      </c>
      <c r="AI164" s="144">
        <f t="shared" si="10"/>
        <v>-0.1076140498</v>
      </c>
      <c r="AJ164" s="144">
        <f t="shared" si="11"/>
        <v>-1.40875491</v>
      </c>
      <c r="AK164" s="144">
        <f t="shared" si="12"/>
        <v>-1.115233244</v>
      </c>
      <c r="AL164" s="144">
        <f t="shared" si="13"/>
        <v>-0.8871588614</v>
      </c>
      <c r="AM164" s="144">
        <f t="shared" si="14"/>
        <v>1.214373856</v>
      </c>
      <c r="AN164" s="144">
        <f t="shared" si="15"/>
        <v>0</v>
      </c>
      <c r="AO164" s="167">
        <f t="shared" si="16"/>
        <v>-1.40875491</v>
      </c>
      <c r="AP164" s="167">
        <f t="shared" si="17"/>
        <v>-2.68625948</v>
      </c>
      <c r="AQ164" s="167">
        <f t="array" ref="AQ164">INDIRECT("Update"&amp;Projections!$AG$11&amp;"!S"&amp;ROW(B145))</f>
        <v>0.425829</v>
      </c>
      <c r="AR164" s="167">
        <f t="array" ref="AR164">INDIRECT("Update"&amp;Projections!$AG$11&amp;"!T"&amp;ROW(B145))</f>
        <v>0.874996</v>
      </c>
    </row>
    <row r="165">
      <c r="A165" s="50" t="str">
        <f>IF(UpdateHashtag!C163="",ROW(UpdateHashtag!C163),UpdateHashtag!C163)</f>
        <v>Scoot Henderson</v>
      </c>
      <c r="B165" s="53">
        <f>IF(TYPE($A165)=1,"",(UpdateHashtag!M163-B$1)/B$2)</f>
        <v>-0.2587091291</v>
      </c>
      <c r="C165" s="53">
        <f>IF(TYPE($A165)=1,"",(UpdateHashtag!L163-C$1)/C$2)</f>
        <v>-0.2603439408</v>
      </c>
      <c r="D165" s="53">
        <f>IF(TYPE($A165)=1,"",(UpdateHashtag!N163-D$1)/D$2)</f>
        <v>-1.145730194</v>
      </c>
      <c r="E165" s="53">
        <f>IF(TYPE($A165)=1,"",(UpdateHashtag!O163-E$1)/E$2)</f>
        <v>0.959003618</v>
      </c>
      <c r="F165" s="53">
        <f>IF(TYPE($A165)=1,"",(UpdateHashtag!P163-F$1)/F$2)</f>
        <v>-0.1376973632</v>
      </c>
      <c r="G165" s="53">
        <f>IF(TYPE($A165)=1,"",(UpdateHashtag!Q163-G$1)/G$2)</f>
        <v>-0.7821407085</v>
      </c>
      <c r="H165" s="53">
        <f>IF(TYPE($A165)=1,"",(UpdateHashtag!I163-H$1)/H$2*I165/$I$1)</f>
        <v>-35.72693978</v>
      </c>
      <c r="I165" s="53">
        <f>UpdateHashtag!S163</f>
        <v>13.8</v>
      </c>
      <c r="J165" s="58">
        <f>IF(TYPE($A165)=1,"",(UpdateHashtag!K163-J$1)/J$2*K165/$K$1)</f>
        <v>1.841728661</v>
      </c>
      <c r="K165" s="59">
        <f>UpdateHashtag!T163</f>
        <v>3.5</v>
      </c>
      <c r="L165" s="53">
        <f>IF(TYPE($A165)=1,"",-(UpdateHashtag!R163-L$1)/L$2)</f>
        <v>-1.538811807</v>
      </c>
      <c r="N165" s="106">
        <f t="shared" si="3"/>
        <v>-1.612767785</v>
      </c>
      <c r="O165" s="106">
        <f t="shared" si="4"/>
        <v>145</v>
      </c>
      <c r="P165" s="163" t="str">
        <f t="array" ref="P165">INDIRECT("Update"&amp;Projections!$AG$11&amp;"!B"&amp;ROW(B146))</f>
        <v/>
      </c>
      <c r="Q165" s="164" t="str">
        <f t="array" ref="Q165">INDIRECT("Update"&amp;Projections!$AG$11&amp;"!C"&amp;ROW(B146))</f>
        <v>Bennedict Mathurin</v>
      </c>
      <c r="R165" s="163">
        <f>UpdateBBM!F146</f>
        <v>68</v>
      </c>
      <c r="S165" s="165" t="str">
        <f t="array" ref="S165">INDIRECT("Update"&amp;Projections!$AG$11&amp;"!D"&amp;ROW(B146))</f>
        <v>G,F</v>
      </c>
      <c r="T165" s="144">
        <f t="shared" si="5"/>
        <v>-1.612767785</v>
      </c>
      <c r="U165" s="144">
        <f>SUM(AF165:AN165)-IFERROR(IFS(Projections!$I$11,AO165,Projections!$J$11,AP165),"")</f>
        <v>-1.512077285</v>
      </c>
      <c r="V165" s="144">
        <f t="shared" si="6"/>
        <v>0.1006905007</v>
      </c>
      <c r="W165" s="144">
        <f t="array" ref="W165">INDIRECT("Update"&amp;Projections!$AG$11&amp;"!M"&amp;ROW(B146))</f>
        <v>19.48147</v>
      </c>
      <c r="X165" s="144">
        <f t="array" ref="X165">INDIRECT("Update"&amp;Projections!$AG$11&amp;"!L"&amp;ROW(B146))</f>
        <v>1.623382</v>
      </c>
      <c r="Y165" s="144">
        <f t="array" ref="Y165">INDIRECT("Update"&amp;Projections!$AG$11&amp;"!N"&amp;ROW(B146))</f>
        <v>5.453971</v>
      </c>
      <c r="Z165" s="144">
        <f t="array" ref="Z165">INDIRECT("Update"&amp;Projections!$AG$11&amp;"!O"&amp;ROW(B146))</f>
        <v>2.558676</v>
      </c>
      <c r="AA165" s="144">
        <f t="array" ref="AA165">INDIRECT("Update"&amp;Projections!$AG$11&amp;"!P"&amp;ROW(B146))</f>
        <v>0.758971</v>
      </c>
      <c r="AB165" s="144">
        <f t="array" ref="AB165">INDIRECT("Update"&amp;Projections!$AG$11&amp;"!Q"&amp;ROW(B146))</f>
        <v>0.331176</v>
      </c>
      <c r="AC165" s="166">
        <f t="array" ref="AC165">INDIRECT("Update"&amp;Projections!$AG$11&amp;"!I"&amp;ROW(B146))</f>
        <v>0.450974</v>
      </c>
      <c r="AD165" s="166">
        <f t="array" ref="AD165">INDIRECT("Update"&amp;Projections!$AG$11&amp;"!K"&amp;ROW(B146))</f>
        <v>0.822009</v>
      </c>
      <c r="AE165" s="144">
        <f t="array" ref="AE165">INDIRECT("Update"&amp;Projections!$AG$11&amp;"!R"&amp;ROW(B146))</f>
        <v>2.154706</v>
      </c>
      <c r="AF165" s="144">
        <f t="shared" si="7"/>
        <v>0.4047218447</v>
      </c>
      <c r="AG165" s="144">
        <f t="shared" si="8"/>
        <v>-0.1411774794</v>
      </c>
      <c r="AH165" s="144">
        <f t="shared" si="9"/>
        <v>-0.272610281</v>
      </c>
      <c r="AI165" s="144">
        <f t="shared" si="10"/>
        <v>-0.6244301457</v>
      </c>
      <c r="AJ165" s="144">
        <f t="shared" si="11"/>
        <v>-0.8721681721</v>
      </c>
      <c r="AK165" s="144">
        <f t="shared" si="12"/>
        <v>-0.7254629829</v>
      </c>
      <c r="AL165" s="144">
        <f t="shared" si="13"/>
        <v>-0.5989015679</v>
      </c>
      <c r="AM165" s="144">
        <f t="shared" si="14"/>
        <v>0.4457833275</v>
      </c>
      <c r="AN165" s="144">
        <f t="shared" si="15"/>
        <v>0</v>
      </c>
      <c r="AO165" s="167">
        <f t="shared" si="16"/>
        <v>-0.8721681721</v>
      </c>
      <c r="AP165" s="167">
        <f t="shared" si="17"/>
        <v>-1.597631155</v>
      </c>
      <c r="AQ165" s="167">
        <f t="array" ref="AQ165">INDIRECT("Update"&amp;Projections!$AG$11&amp;"!S"&amp;ROW(B146))</f>
        <v>0.450974</v>
      </c>
      <c r="AR165" s="167">
        <f t="array" ref="AR165">INDIRECT("Update"&amp;Projections!$AG$11&amp;"!T"&amp;ROW(B146))</f>
        <v>0.822009</v>
      </c>
    </row>
    <row r="166">
      <c r="A166" s="50" t="str">
        <f>IF(UpdateHashtag!C164="",ROW(UpdateHashtag!C164),UpdateHashtag!C164)</f>
        <v>Kyle Lowry</v>
      </c>
      <c r="B166" s="53">
        <f>IF(TYPE($A166)=1,"",(UpdateHashtag!M164-B$1)/B$2)</f>
        <v>-1.416630368</v>
      </c>
      <c r="C166" s="53">
        <f>IF(TYPE($A166)=1,"",(UpdateHashtag!L164-C$1)/C$2)</f>
        <v>-0.06717725286</v>
      </c>
      <c r="D166" s="53">
        <f>IF(TYPE($A166)=1,"",(UpdateHashtag!N164-D$1)/D$2)</f>
        <v>-1.105194833</v>
      </c>
      <c r="E166" s="53">
        <f>IF(TYPE($A166)=1,"",(UpdateHashtag!O164-E$1)/E$2)</f>
        <v>0.2750833221</v>
      </c>
      <c r="F166" s="53">
        <f>IF(TYPE($A166)=1,"",(UpdateHashtag!P164-F$1)/F$2)</f>
        <v>-0.1376973632</v>
      </c>
      <c r="G166" s="53">
        <f>IF(TYPE($A166)=1,"",(UpdateHashtag!Q164-G$1)/G$2)</f>
        <v>-0.7821407085</v>
      </c>
      <c r="H166" s="53">
        <f>IF(TYPE($A166)=1,"",(UpdateHashtag!I164-H$1)/H$2*I166/$I$1)</f>
        <v>-16.67499077</v>
      </c>
      <c r="I166" s="53">
        <f>UpdateHashtag!S164</f>
        <v>7.1</v>
      </c>
      <c r="J166" s="58">
        <f>IF(TYPE($A166)=1,"",(UpdateHashtag!K164-J$1)/J$2*K166/$K$1)</f>
        <v>1.816911145</v>
      </c>
      <c r="K166" s="59">
        <f>UpdateHashtag!T164</f>
        <v>1.7</v>
      </c>
      <c r="L166" s="53">
        <f>IF(TYPE($A166)=1,"",-(UpdateHashtag!R164-L$1)/L$2)</f>
        <v>0.2466595634</v>
      </c>
      <c r="N166" s="106">
        <f t="shared" si="3"/>
        <v>-1.629197567</v>
      </c>
      <c r="O166" s="106">
        <f t="shared" si="4"/>
        <v>130</v>
      </c>
      <c r="P166" s="163" t="str">
        <f t="array" ref="P166">INDIRECT("Update"&amp;Projections!$AG$11&amp;"!B"&amp;ROW(B147))</f>
        <v/>
      </c>
      <c r="Q166" s="164" t="str">
        <f t="array" ref="Q166">INDIRECT("Update"&amp;Projections!$AG$11&amp;"!C"&amp;ROW(B147))</f>
        <v>Ty Jerome</v>
      </c>
      <c r="R166" s="163">
        <f>UpdateBBM!F147</f>
        <v>73</v>
      </c>
      <c r="S166" s="165" t="str">
        <f t="array" ref="S166">INDIRECT("Update"&amp;Projections!$AG$11&amp;"!D"&amp;ROW(B147))</f>
        <v>G,F</v>
      </c>
      <c r="T166" s="144">
        <f t="shared" si="5"/>
        <v>-1.141714848</v>
      </c>
      <c r="U166" s="144">
        <f>SUM(AF166:AN166)-IFERROR(IFS(Projections!$I$11,AO166,Projections!$J$11,AP166),"")</f>
        <v>-1.173452015</v>
      </c>
      <c r="V166" s="144">
        <f t="shared" si="6"/>
        <v>-0.03173716691</v>
      </c>
      <c r="W166" s="144">
        <f t="array" ref="W166">INDIRECT("Update"&amp;Projections!$AG$11&amp;"!M"&amp;ROW(B147))</f>
        <v>12.75562</v>
      </c>
      <c r="X166" s="144">
        <f t="array" ref="X166">INDIRECT("Update"&amp;Projections!$AG$11&amp;"!L"&amp;ROW(B147))</f>
        <v>1.496438</v>
      </c>
      <c r="Y166" s="144">
        <f t="array" ref="Y166">INDIRECT("Update"&amp;Projections!$AG$11&amp;"!N"&amp;ROW(B147))</f>
        <v>2.716986</v>
      </c>
      <c r="Z166" s="144">
        <f t="array" ref="Z166">INDIRECT("Update"&amp;Projections!$AG$11&amp;"!O"&amp;ROW(B147))</f>
        <v>4.051644</v>
      </c>
      <c r="AA166" s="144">
        <f t="array" ref="AA166">INDIRECT("Update"&amp;Projections!$AG$11&amp;"!P"&amp;ROW(B147))</f>
        <v>1.091233</v>
      </c>
      <c r="AB166" s="144">
        <f t="array" ref="AB166">INDIRECT("Update"&amp;Projections!$AG$11&amp;"!Q"&amp;ROW(B147))</f>
        <v>0.047808</v>
      </c>
      <c r="AC166" s="166">
        <f t="array" ref="AC166">INDIRECT("Update"&amp;Projections!$AG$11&amp;"!I"&amp;ROW(B147))</f>
        <v>0.476933</v>
      </c>
      <c r="AD166" s="166">
        <f t="array" ref="AD166">INDIRECT("Update"&amp;Projections!$AG$11&amp;"!K"&amp;ROW(B147))</f>
        <v>0.868972</v>
      </c>
      <c r="AE166" s="144">
        <f t="array" ref="AE166">INDIRECT("Update"&amp;Projections!$AG$11&amp;"!R"&amp;ROW(B147))</f>
        <v>1.620685</v>
      </c>
      <c r="AF166" s="144">
        <f t="shared" si="7"/>
        <v>-0.7752788468</v>
      </c>
      <c r="AG166" s="144">
        <f t="shared" si="8"/>
        <v>-0.2637842395</v>
      </c>
      <c r="AH166" s="144">
        <f t="shared" si="9"/>
        <v>-1.382057021</v>
      </c>
      <c r="AI166" s="144">
        <f t="shared" si="10"/>
        <v>0.104906366</v>
      </c>
      <c r="AJ166" s="144">
        <f t="shared" si="11"/>
        <v>0.1403105749</v>
      </c>
      <c r="AK166" s="144">
        <f t="shared" si="12"/>
        <v>-1.240623804</v>
      </c>
      <c r="AL166" s="144">
        <f t="shared" si="13"/>
        <v>-0.2614616735</v>
      </c>
      <c r="AM166" s="144">
        <f t="shared" si="14"/>
        <v>1.122479608</v>
      </c>
      <c r="AN166" s="144">
        <f t="shared" si="15"/>
        <v>0</v>
      </c>
      <c r="AO166" s="167">
        <f t="shared" si="16"/>
        <v>-1.382057021</v>
      </c>
      <c r="AP166" s="167">
        <f t="shared" si="17"/>
        <v>-2.622680825</v>
      </c>
      <c r="AQ166" s="167">
        <f t="array" ref="AQ166">INDIRECT("Update"&amp;Projections!$AG$11&amp;"!S"&amp;ROW(B147))</f>
        <v>0.476933</v>
      </c>
      <c r="AR166" s="167">
        <f t="array" ref="AR166">INDIRECT("Update"&amp;Projections!$AG$11&amp;"!T"&amp;ROW(B147))</f>
        <v>0.868972</v>
      </c>
    </row>
    <row r="167">
      <c r="A167" s="50" t="str">
        <f>IF(UpdateHashtag!C165="",ROW(UpdateHashtag!C165),UpdateHashtag!C165)</f>
        <v>Dyson Daniels</v>
      </c>
      <c r="B167" s="53">
        <f>IF(TYPE($A167)=1,"",(UpdateHashtag!M165-B$1)/B$2)</f>
        <v>-1.767515592</v>
      </c>
      <c r="C167" s="53">
        <f>IF(TYPE($A167)=1,"",(UpdateHashtag!L165-C$1)/C$2)</f>
        <v>-0.9364273487</v>
      </c>
      <c r="D167" s="53">
        <f>IF(TYPE($A167)=1,"",(UpdateHashtag!N165-D$1)/D$2)</f>
        <v>-0.456629063</v>
      </c>
      <c r="E167" s="53">
        <f>IF(TYPE($A167)=1,"",(UpdateHashtag!O165-E$1)/E$2)</f>
        <v>-0.1645797253</v>
      </c>
      <c r="F167" s="53">
        <f>IF(TYPE($A167)=1,"",(UpdateHashtag!P165-F$1)/F$2)</f>
        <v>1.385917656</v>
      </c>
      <c r="G167" s="53">
        <f>IF(TYPE($A167)=1,"",(UpdateHashtag!Q165-G$1)/G$2)</f>
        <v>-0.600341486</v>
      </c>
      <c r="H167" s="53">
        <f>IF(TYPE($A167)=1,"",(UpdateHashtag!I165-H$1)/H$2*I167/$I$1)</f>
        <v>-7.729659587</v>
      </c>
      <c r="I167" s="53">
        <f>UpdateHashtag!S165</f>
        <v>6.1</v>
      </c>
      <c r="J167" s="58">
        <f>IF(TYPE($A167)=1,"",(UpdateHashtag!K165-J$1)/J$2*K167/$K$1)</f>
        <v>-2.405267894</v>
      </c>
      <c r="K167" s="59">
        <f>UpdateHashtag!T165</f>
        <v>1.1</v>
      </c>
      <c r="L167" s="53">
        <f>IF(TYPE($A167)=1,"",-(UpdateHashtag!R165-L$1)/L$2)</f>
        <v>0.3458524173</v>
      </c>
      <c r="N167" s="106">
        <f t="shared" si="3"/>
        <v>-1.654921201</v>
      </c>
      <c r="O167" s="106">
        <f t="shared" si="4"/>
        <v>154</v>
      </c>
      <c r="P167" s="163" t="str">
        <f t="array" ref="P167">INDIRECT("Update"&amp;Projections!$AG$11&amp;"!B"&amp;ROW(B148))</f>
        <v/>
      </c>
      <c r="Q167" s="164" t="str">
        <f t="array" ref="Q167">INDIRECT("Update"&amp;Projections!$AG$11&amp;"!C"&amp;ROW(B148))</f>
        <v>Keon Ellis</v>
      </c>
      <c r="R167" s="163">
        <f>UpdateBBM!F148</f>
        <v>73</v>
      </c>
      <c r="S167" s="165" t="str">
        <f t="array" ref="S167">INDIRECT("Update"&amp;Projections!$AG$11&amp;"!D"&amp;ROW(B148))</f>
        <v>G</v>
      </c>
      <c r="T167" s="144">
        <f t="shared" si="5"/>
        <v>-2.005858089</v>
      </c>
      <c r="U167" s="144">
        <f>SUM(AF167:AN167)-IFERROR(IFS(Projections!$I$11,AO167,Projections!$J$11,AP167),"")</f>
        <v>-2.255072116</v>
      </c>
      <c r="V167" s="144">
        <f t="shared" si="6"/>
        <v>-0.2492140273</v>
      </c>
      <c r="W167" s="144">
        <f t="array" ref="W167">INDIRECT("Update"&amp;Projections!$AG$11&amp;"!M"&amp;ROW(B148))</f>
        <v>6.315068</v>
      </c>
      <c r="X167" s="144">
        <f t="array" ref="X167">INDIRECT("Update"&amp;Projections!$AG$11&amp;"!L"&amp;ROW(B148))</f>
        <v>1.41863</v>
      </c>
      <c r="Y167" s="144">
        <f t="array" ref="Y167">INDIRECT("Update"&amp;Projections!$AG$11&amp;"!N"&amp;ROW(B148))</f>
        <v>2.509863</v>
      </c>
      <c r="Z167" s="144">
        <f t="array" ref="Z167">INDIRECT("Update"&amp;Projections!$AG$11&amp;"!O"&amp;ROW(B148))</f>
        <v>1.400548</v>
      </c>
      <c r="AA167" s="144">
        <f t="array" ref="AA167">INDIRECT("Update"&amp;Projections!$AG$11&amp;"!P"&amp;ROW(B148))</f>
        <v>1.394384</v>
      </c>
      <c r="AB167" s="144">
        <f t="array" ref="AB167">INDIRECT("Update"&amp;Projections!$AG$11&amp;"!Q"&amp;ROW(B148))</f>
        <v>0.707808</v>
      </c>
      <c r="AC167" s="166">
        <f t="array" ref="AC167">INDIRECT("Update"&amp;Projections!$AG$11&amp;"!I"&amp;ROW(B148))</f>
        <v>0.44344</v>
      </c>
      <c r="AD167" s="166">
        <f t="array" ref="AD167">INDIRECT("Update"&amp;Projections!$AG$11&amp;"!K"&amp;ROW(B148))</f>
        <v>0.819086</v>
      </c>
      <c r="AE167" s="144">
        <f t="array" ref="AE167">INDIRECT("Update"&amp;Projections!$AG$11&amp;"!R"&amp;ROW(B148))</f>
        <v>0.743699</v>
      </c>
      <c r="AF167" s="144">
        <f t="shared" si="7"/>
        <v>-1.905226112</v>
      </c>
      <c r="AG167" s="144">
        <f t="shared" si="8"/>
        <v>-0.3389338078</v>
      </c>
      <c r="AH167" s="144">
        <f t="shared" si="9"/>
        <v>-1.466015076</v>
      </c>
      <c r="AI167" s="144">
        <f t="shared" si="10"/>
        <v>-1.190192463</v>
      </c>
      <c r="AJ167" s="144">
        <f t="shared" si="11"/>
        <v>1.064081408</v>
      </c>
      <c r="AK167" s="144">
        <f t="shared" si="12"/>
        <v>-0.04074893524</v>
      </c>
      <c r="AL167" s="144">
        <f t="shared" si="13"/>
        <v>-0.6892555693</v>
      </c>
      <c r="AM167" s="144">
        <f t="shared" si="14"/>
        <v>0.4059923272</v>
      </c>
      <c r="AN167" s="144">
        <f t="shared" si="15"/>
        <v>0</v>
      </c>
      <c r="AO167" s="167">
        <f t="shared" si="16"/>
        <v>-1.905226112</v>
      </c>
      <c r="AP167" s="167">
        <f t="shared" si="17"/>
        <v>-3.371241188</v>
      </c>
      <c r="AQ167" s="167">
        <f t="array" ref="AQ167">INDIRECT("Update"&amp;Projections!$AG$11&amp;"!S"&amp;ROW(B148))</f>
        <v>0.44344</v>
      </c>
      <c r="AR167" s="167">
        <f t="array" ref="AR167">INDIRECT("Update"&amp;Projections!$AG$11&amp;"!T"&amp;ROW(B148))</f>
        <v>0.819086</v>
      </c>
    </row>
    <row r="168">
      <c r="A168" s="50" t="str">
        <f>IF(UpdateHashtag!C166="",ROW(UpdateHashtag!C166),UpdateHashtag!C166)</f>
        <v>Andrew Nembhard</v>
      </c>
      <c r="B168" s="53">
        <f>IF(TYPE($A168)=1,"",(UpdateHashtag!M166-B$1)/B$2)</f>
        <v>-1.135922189</v>
      </c>
      <c r="C168" s="53">
        <f>IF(TYPE($A168)=1,"",(UpdateHashtag!L166-C$1)/C$2)</f>
        <v>-0.5500939728</v>
      </c>
      <c r="D168" s="53">
        <f>IF(TYPE($A168)=1,"",(UpdateHashtag!N166-D$1)/D$2)</f>
        <v>-1.388942357</v>
      </c>
      <c r="E168" s="53">
        <f>IF(TYPE($A168)=1,"",(UpdateHashtag!O166-E$1)/E$2)</f>
        <v>0.5681920204</v>
      </c>
      <c r="F168" s="53">
        <f>IF(TYPE($A168)=1,"",(UpdateHashtag!P166-F$1)/F$2)</f>
        <v>0.1670256406</v>
      </c>
      <c r="G168" s="53">
        <f>IF(TYPE($A168)=1,"",(UpdateHashtag!Q166-G$1)/G$2)</f>
        <v>-0.963939931</v>
      </c>
      <c r="H168" s="53">
        <f>IF(TYPE($A168)=1,"",(UpdateHashtag!I166-H$1)/H$2*I168/$I$1)</f>
        <v>-5.025058551</v>
      </c>
      <c r="I168" s="53">
        <f>UpdateHashtag!S166</f>
        <v>9.2</v>
      </c>
      <c r="J168" s="58">
        <f>IF(TYPE($A168)=1,"",(UpdateHashtag!K166-J$1)/J$2*K168/$K$1)</f>
        <v>0.1910957025</v>
      </c>
      <c r="K168" s="59">
        <f>UpdateHashtag!T166</f>
        <v>1</v>
      </c>
      <c r="L168" s="53">
        <f>IF(TYPE($A168)=1,"",-(UpdateHashtag!R166-L$1)/L$2)</f>
        <v>-0.05091899834</v>
      </c>
      <c r="N168" s="106">
        <f t="shared" si="3"/>
        <v>-1.725939657</v>
      </c>
      <c r="O168" s="106">
        <f t="shared" si="4"/>
        <v>159</v>
      </c>
      <c r="P168" s="163" t="str">
        <f t="array" ref="P168">INDIRECT("Update"&amp;Projections!$AG$11&amp;"!B"&amp;ROW(B149))</f>
        <v/>
      </c>
      <c r="Q168" s="164" t="str">
        <f t="array" ref="Q168">INDIRECT("Update"&amp;Projections!$AG$11&amp;"!C"&amp;ROW(B149))</f>
        <v>Obi Toppin</v>
      </c>
      <c r="R168" s="163">
        <f>UpdateBBM!F149</f>
        <v>77</v>
      </c>
      <c r="S168" s="165" t="str">
        <f t="array" ref="S168">INDIRECT("Update"&amp;Projections!$AG$11&amp;"!D"&amp;ROW(B149))</f>
        <v>F</v>
      </c>
      <c r="T168" s="144">
        <f t="shared" si="5"/>
        <v>-2.114559677</v>
      </c>
      <c r="U168" s="144">
        <f>SUM(AF168:AN168)-IFERROR(IFS(Projections!$I$11,AO168,Projections!$J$11,AP168),"")</f>
        <v>-2.222600451</v>
      </c>
      <c r="V168" s="144">
        <f t="shared" si="6"/>
        <v>-0.1080407738</v>
      </c>
      <c r="W168" s="144">
        <f t="array" ref="W168">INDIRECT("Update"&amp;Projections!$AG$11&amp;"!M"&amp;ROW(B149))</f>
        <v>13.43558</v>
      </c>
      <c r="X168" s="144">
        <f t="array" ref="X168">INDIRECT("Update"&amp;Projections!$AG$11&amp;"!L"&amp;ROW(B149))</f>
        <v>1.759221</v>
      </c>
      <c r="Y168" s="144">
        <f t="array" ref="Y168">INDIRECT("Update"&amp;Projections!$AG$11&amp;"!N"&amp;ROW(B149))</f>
        <v>5.05</v>
      </c>
      <c r="Z168" s="144">
        <f t="array" ref="Z168">INDIRECT("Update"&amp;Projections!$AG$11&amp;"!O"&amp;ROW(B149))</f>
        <v>2.373506</v>
      </c>
      <c r="AA168" s="144">
        <f t="array" ref="AA168">INDIRECT("Update"&amp;Projections!$AG$11&amp;"!P"&amp;ROW(B149))</f>
        <v>0.555455</v>
      </c>
      <c r="AB168" s="144">
        <f t="array" ref="AB168">INDIRECT("Update"&amp;Projections!$AG$11&amp;"!Q"&amp;ROW(B149))</f>
        <v>0.446883</v>
      </c>
      <c r="AC168" s="166">
        <f t="array" ref="AC168">INDIRECT("Update"&amp;Projections!$AG$11&amp;"!I"&amp;ROW(B149))</f>
        <v>0.522329</v>
      </c>
      <c r="AD168" s="166">
        <f t="array" ref="AD168">INDIRECT("Update"&amp;Projections!$AG$11&amp;"!K"&amp;ROW(B149))</f>
        <v>0.76202</v>
      </c>
      <c r="AE168" s="144">
        <f t="array" ref="AE168">INDIRECT("Update"&amp;Projections!$AG$11&amp;"!R"&amp;ROW(B149))</f>
        <v>1.312987</v>
      </c>
      <c r="AF168" s="144">
        <f t="shared" si="7"/>
        <v>-0.6559848884</v>
      </c>
      <c r="AG168" s="144">
        <f t="shared" si="8"/>
        <v>-0.009979630725</v>
      </c>
      <c r="AH168" s="144">
        <f t="shared" si="9"/>
        <v>-0.4363613827</v>
      </c>
      <c r="AI168" s="144">
        <f t="shared" si="10"/>
        <v>-0.7148883751</v>
      </c>
      <c r="AJ168" s="144">
        <f t="shared" si="11"/>
        <v>-1.492328241</v>
      </c>
      <c r="AK168" s="144">
        <f t="shared" si="12"/>
        <v>-0.5151085565</v>
      </c>
      <c r="AL168" s="144">
        <f t="shared" si="13"/>
        <v>0.4259448066</v>
      </c>
      <c r="AM168" s="144">
        <f t="shared" si="14"/>
        <v>-0.3162224238</v>
      </c>
      <c r="AN168" s="144">
        <f t="shared" si="15"/>
        <v>0</v>
      </c>
      <c r="AO168" s="167">
        <f t="shared" si="16"/>
        <v>-1.492328241</v>
      </c>
      <c r="AP168" s="167">
        <f t="shared" si="17"/>
        <v>-2.207216616</v>
      </c>
      <c r="AQ168" s="167">
        <f t="array" ref="AQ168">INDIRECT("Update"&amp;Projections!$AG$11&amp;"!S"&amp;ROW(B149))</f>
        <v>0.522329</v>
      </c>
      <c r="AR168" s="167">
        <f t="array" ref="AR168">INDIRECT("Update"&amp;Projections!$AG$11&amp;"!T"&amp;ROW(B149))</f>
        <v>0.76202</v>
      </c>
    </row>
    <row r="169">
      <c r="A169" s="50" t="str">
        <f>IF(UpdateHashtag!C167="",ROW(UpdateHashtag!C167),UpdateHashtag!C167)</f>
        <v>Jaden McDaniels</v>
      </c>
      <c r="B169" s="53">
        <f>IF(TYPE($A169)=1,"",(UpdateHashtag!M167-B$1)/B$2)</f>
        <v>-1.01311236</v>
      </c>
      <c r="C169" s="53">
        <f>IF(TYPE($A169)=1,"",(UpdateHashtag!L167-C$1)/C$2)</f>
        <v>-0.4535106288</v>
      </c>
      <c r="D169" s="53">
        <f>IF(TYPE($A169)=1,"",(UpdateHashtag!N167-D$1)/D$2)</f>
        <v>-1.064659472</v>
      </c>
      <c r="E169" s="53">
        <f>IF(TYPE($A169)=1,"",(UpdateHashtag!O167-E$1)/E$2)</f>
        <v>-1.04390582</v>
      </c>
      <c r="F169" s="53">
        <f>IF(TYPE($A169)=1,"",(UpdateHashtag!P167-F$1)/F$2)</f>
        <v>-0.442420367</v>
      </c>
      <c r="G169" s="53">
        <f>IF(TYPE($A169)=1,"",(UpdateHashtag!Q167-G$1)/G$2)</f>
        <v>0.126855404</v>
      </c>
      <c r="H169" s="53">
        <f>IF(TYPE($A169)=1,"",(UpdateHashtag!I167-H$1)/H$2*I169/$I$1)</f>
        <v>2.383854193</v>
      </c>
      <c r="I169" s="53">
        <f>UpdateHashtag!S167</f>
        <v>9</v>
      </c>
      <c r="J169" s="58">
        <f>IF(TYPE($A169)=1,"",(UpdateHashtag!K167-J$1)/J$2*K169/$K$1)</f>
        <v>-1.341045666</v>
      </c>
      <c r="K169" s="59">
        <f>UpdateHashtag!T167</f>
        <v>1.5</v>
      </c>
      <c r="L169" s="53">
        <f>IF(TYPE($A169)=1,"",-(UpdateHashtag!R167-L$1)/L$2)</f>
        <v>0.4450452712</v>
      </c>
      <c r="N169" s="106">
        <f t="shared" si="3"/>
        <v>-1.841686126</v>
      </c>
      <c r="O169" s="106">
        <f t="shared" si="4"/>
        <v>177</v>
      </c>
      <c r="P169" s="163" t="str">
        <f t="array" ref="P169">INDIRECT("Update"&amp;Projections!$AG$11&amp;"!B"&amp;ROW(B150))</f>
        <v/>
      </c>
      <c r="Q169" s="164" t="str">
        <f t="array" ref="Q169">INDIRECT("Update"&amp;Projections!$AG$11&amp;"!C"&amp;ROW(B150))</f>
        <v>Zaccharie Risacher</v>
      </c>
      <c r="R169" s="163">
        <f>UpdateBBM!F150</f>
        <v>77</v>
      </c>
      <c r="S169" s="165" t="str">
        <f t="array" ref="S169">INDIRECT("Update"&amp;Projections!$AG$11&amp;"!D"&amp;ROW(B150))</f>
        <v>F</v>
      </c>
      <c r="T169" s="144">
        <f t="shared" si="5"/>
        <v>-2.680170397</v>
      </c>
      <c r="U169" s="144">
        <f>SUM(AF169:AN169)-IFERROR(IFS(Projections!$I$11,AO169,Projections!$J$11,AP169),"")</f>
        <v>-2.775328994</v>
      </c>
      <c r="V169" s="144">
        <f t="shared" si="6"/>
        <v>-0.09515859787</v>
      </c>
      <c r="W169" s="144">
        <f t="array" ref="W169">INDIRECT("Update"&amp;Projections!$AG$11&amp;"!M"&amp;ROW(B150))</f>
        <v>16.85221</v>
      </c>
      <c r="X169" s="144">
        <f t="array" ref="X169">INDIRECT("Update"&amp;Projections!$AG$11&amp;"!L"&amp;ROW(B150))</f>
        <v>2.316234</v>
      </c>
      <c r="Y169" s="144">
        <f t="array" ref="Y169">INDIRECT("Update"&amp;Projections!$AG$11&amp;"!N"&amp;ROW(B150))</f>
        <v>3.9</v>
      </c>
      <c r="Z169" s="144">
        <f t="array" ref="Z169">INDIRECT("Update"&amp;Projections!$AG$11&amp;"!O"&amp;ROW(B150))</f>
        <v>1.537143</v>
      </c>
      <c r="AA169" s="144">
        <f t="array" ref="AA169">INDIRECT("Update"&amp;Projections!$AG$11&amp;"!P"&amp;ROW(B150))</f>
        <v>0.788701</v>
      </c>
      <c r="AB169" s="144">
        <f t="array" ref="AB169">INDIRECT("Update"&amp;Projections!$AG$11&amp;"!Q"&amp;ROW(B150))</f>
        <v>0.454935</v>
      </c>
      <c r="AC169" s="166">
        <f t="array" ref="AC169">INDIRECT("Update"&amp;Projections!$AG$11&amp;"!I"&amp;ROW(B150))</f>
        <v>0.499267</v>
      </c>
      <c r="AD169" s="166">
        <f t="array" ref="AD169">INDIRECT("Update"&amp;Projections!$AG$11&amp;"!K"&amp;ROW(B150))</f>
        <v>0.683006</v>
      </c>
      <c r="AE169" s="144">
        <f t="array" ref="AE169">INDIRECT("Update"&amp;Projections!$AG$11&amp;"!R"&amp;ROW(B150))</f>
        <v>1.364935</v>
      </c>
      <c r="AF169" s="144">
        <f t="shared" si="7"/>
        <v>-0.05656239717</v>
      </c>
      <c r="AG169" s="144">
        <f t="shared" si="8"/>
        <v>0.5280021511</v>
      </c>
      <c r="AH169" s="144">
        <f t="shared" si="9"/>
        <v>-0.9025180299</v>
      </c>
      <c r="AI169" s="144">
        <f t="shared" si="10"/>
        <v>-1.123463825</v>
      </c>
      <c r="AJ169" s="144">
        <f t="shared" si="11"/>
        <v>-0.7815740231</v>
      </c>
      <c r="AK169" s="144">
        <f t="shared" si="12"/>
        <v>-0.5004700831</v>
      </c>
      <c r="AL169" s="144">
        <f t="shared" si="13"/>
        <v>0.06125721329</v>
      </c>
      <c r="AM169" s="144">
        <f t="shared" si="14"/>
        <v>-1.144625053</v>
      </c>
      <c r="AN169" s="144">
        <f t="shared" si="15"/>
        <v>0</v>
      </c>
      <c r="AO169" s="167">
        <f t="shared" si="16"/>
        <v>-1.144625053</v>
      </c>
      <c r="AP169" s="167">
        <f t="shared" si="17"/>
        <v>-2.268088878</v>
      </c>
      <c r="AQ169" s="167">
        <f t="array" ref="AQ169">INDIRECT("Update"&amp;Projections!$AG$11&amp;"!S"&amp;ROW(B150))</f>
        <v>0.499267</v>
      </c>
      <c r="AR169" s="167">
        <f t="array" ref="AR169">INDIRECT("Update"&amp;Projections!$AG$11&amp;"!T"&amp;ROW(B150))</f>
        <v>0.683006</v>
      </c>
    </row>
    <row r="170">
      <c r="A170" s="50" t="str">
        <f>IF(UpdateHashtag!C168="",ROW(UpdateHashtag!C168),UpdateHashtag!C168)</f>
        <v>Patrick Williams</v>
      </c>
      <c r="B170" s="53">
        <f>IF(TYPE($A170)=1,"",(UpdateHashtag!M168-B$1)/B$2)</f>
        <v>-1.206099234</v>
      </c>
      <c r="C170" s="53">
        <f>IF(TYPE($A170)=1,"",(UpdateHashtag!L168-C$1)/C$2)</f>
        <v>-0.3569272848</v>
      </c>
      <c r="D170" s="53">
        <f>IF(TYPE($A170)=1,"",(UpdateHashtag!N168-D$1)/D$2)</f>
        <v>-0.8619826693</v>
      </c>
      <c r="E170" s="53">
        <f>IF(TYPE($A170)=1,"",(UpdateHashtag!O168-E$1)/E$2)</f>
        <v>-1.190460169</v>
      </c>
      <c r="F170" s="53">
        <f>IF(TYPE($A170)=1,"",(UpdateHashtag!P168-F$1)/F$2)</f>
        <v>-0.442420367</v>
      </c>
      <c r="G170" s="53">
        <f>IF(TYPE($A170)=1,"",(UpdateHashtag!Q168-G$1)/G$2)</f>
        <v>0.126855404</v>
      </c>
      <c r="H170" s="53">
        <f>IF(TYPE($A170)=1,"",(UpdateHashtag!I168-H$1)/H$2*I170/$I$1)</f>
        <v>-9.749483798</v>
      </c>
      <c r="I170" s="53">
        <f>UpdateHashtag!S168</f>
        <v>8.5</v>
      </c>
      <c r="J170" s="58">
        <f>IF(TYPE($A170)=1,"",(UpdateHashtag!K168-J$1)/J$2*K170/$K$1)</f>
        <v>0.9154181237</v>
      </c>
      <c r="K170" s="59">
        <f>UpdateHashtag!T168</f>
        <v>1.4</v>
      </c>
      <c r="L170" s="53">
        <f>IF(TYPE($A170)=1,"",-(UpdateHashtag!R168-L$1)/L$2)</f>
        <v>0.4450452712</v>
      </c>
      <c r="N170" s="106">
        <f t="shared" si="3"/>
        <v>-1.861685159</v>
      </c>
      <c r="O170" s="106">
        <f t="shared" si="4"/>
        <v>122</v>
      </c>
      <c r="P170" s="163" t="str">
        <f t="array" ref="P170">INDIRECT("Update"&amp;Projections!$AG$11&amp;"!B"&amp;ROW(B151))</f>
        <v/>
      </c>
      <c r="Q170" s="164" t="str">
        <f t="array" ref="Q170">INDIRECT("Update"&amp;Projections!$AG$11&amp;"!C"&amp;ROW(B151))</f>
        <v>C.J. McCollum</v>
      </c>
      <c r="R170" s="163">
        <f>UpdateBBM!F151</f>
        <v>57</v>
      </c>
      <c r="S170" s="165" t="str">
        <f t="array" ref="S170">INDIRECT("Update"&amp;Projections!$AG$11&amp;"!D"&amp;ROW(B151))</f>
        <v>G</v>
      </c>
      <c r="T170" s="144">
        <f t="shared" si="5"/>
        <v>-0.777264915</v>
      </c>
      <c r="U170" s="144">
        <f>SUM(AF170:AN170)-IFERROR(IFS(Projections!$I$11,AO170,Projections!$J$11,AP170),"")</f>
        <v>-0.6202269218</v>
      </c>
      <c r="V170" s="144">
        <f t="shared" si="6"/>
        <v>0.1570379933</v>
      </c>
      <c r="W170" s="144">
        <f t="array" ref="W170">INDIRECT("Update"&amp;Projections!$AG$11&amp;"!M"&amp;ROW(B151))</f>
        <v>19.45105</v>
      </c>
      <c r="X170" s="144">
        <f t="array" ref="X170">INDIRECT("Update"&amp;Projections!$AG$11&amp;"!L"&amp;ROW(B151))</f>
        <v>2.874386</v>
      </c>
      <c r="Y170" s="144">
        <f t="array" ref="Y170">INDIRECT("Update"&amp;Projections!$AG$11&amp;"!N"&amp;ROW(B151))</f>
        <v>3.862456</v>
      </c>
      <c r="Z170" s="144">
        <f t="array" ref="Z170">INDIRECT("Update"&amp;Projections!$AG$11&amp;"!O"&amp;ROW(B151))</f>
        <v>4.699298</v>
      </c>
      <c r="AA170" s="144">
        <f t="array" ref="AA170">INDIRECT("Update"&amp;Projections!$AG$11&amp;"!P"&amp;ROW(B151))</f>
        <v>0.694737</v>
      </c>
      <c r="AB170" s="144">
        <f t="array" ref="AB170">INDIRECT("Update"&amp;Projections!$AG$11&amp;"!Q"&amp;ROW(B151))</f>
        <v>0.391228</v>
      </c>
      <c r="AC170" s="166">
        <f t="array" ref="AC170">INDIRECT("Update"&amp;Projections!$AG$11&amp;"!I"&amp;ROW(B151))</f>
        <v>0.438001</v>
      </c>
      <c r="AD170" s="166">
        <f t="array" ref="AD170">INDIRECT("Update"&amp;Projections!$AG$11&amp;"!K"&amp;ROW(B151))</f>
        <v>0.76999</v>
      </c>
      <c r="AE170" s="144">
        <f t="array" ref="AE170">INDIRECT("Update"&amp;Projections!$AG$11&amp;"!R"&amp;ROW(B151))</f>
        <v>2.38193</v>
      </c>
      <c r="AF170" s="144">
        <f t="shared" si="7"/>
        <v>0.3993848805</v>
      </c>
      <c r="AG170" s="144">
        <f t="shared" si="8"/>
        <v>1.067084017</v>
      </c>
      <c r="AH170" s="144">
        <f t="shared" si="9"/>
        <v>-0.9177366257</v>
      </c>
      <c r="AI170" s="144">
        <f t="shared" si="10"/>
        <v>0.4212947341</v>
      </c>
      <c r="AJ170" s="144">
        <f t="shared" si="11"/>
        <v>-1.067903946</v>
      </c>
      <c r="AK170" s="144">
        <f t="shared" si="12"/>
        <v>-0.6162889138</v>
      </c>
      <c r="AL170" s="144">
        <f t="shared" si="13"/>
        <v>-0.7523649732</v>
      </c>
      <c r="AM170" s="144">
        <f t="shared" si="14"/>
        <v>-0.2216000407</v>
      </c>
      <c r="AN170" s="144">
        <f t="shared" si="15"/>
        <v>0</v>
      </c>
      <c r="AO170" s="167">
        <f t="shared" si="16"/>
        <v>-1.067903946</v>
      </c>
      <c r="AP170" s="167">
        <f t="shared" si="17"/>
        <v>-1.985640572</v>
      </c>
      <c r="AQ170" s="167">
        <f t="array" ref="AQ170">INDIRECT("Update"&amp;Projections!$AG$11&amp;"!S"&amp;ROW(B151))</f>
        <v>0.438001</v>
      </c>
      <c r="AR170" s="167">
        <f t="array" ref="AR170">INDIRECT("Update"&amp;Projections!$AG$11&amp;"!T"&amp;ROW(B151))</f>
        <v>0.76999</v>
      </c>
    </row>
    <row r="171">
      <c r="A171" s="50" t="str">
        <f>IF(UpdateHashtag!C169="",ROW(UpdateHashtag!C169),UpdateHashtag!C169)</f>
        <v>Karlo Matkovic</v>
      </c>
      <c r="B171" s="53">
        <f>IF(TYPE($A171)=1,"",(UpdateHashtag!M169-B$1)/B$2)</f>
        <v>-1.311364801</v>
      </c>
      <c r="C171" s="53">
        <f>IF(TYPE($A171)=1,"",(UpdateHashtag!L169-C$1)/C$2)</f>
        <v>-0.6466773167</v>
      </c>
      <c r="D171" s="53">
        <f>IF(TYPE($A171)=1,"",(UpdateHashtag!N169-D$1)/D$2)</f>
        <v>-0.6187705055</v>
      </c>
      <c r="E171" s="53">
        <f>IF(TYPE($A171)=1,"",(UpdateHashtag!O169-E$1)/E$2)</f>
        <v>-1.141608719</v>
      </c>
      <c r="F171" s="53">
        <f>IF(TYPE($A171)=1,"",(UpdateHashtag!P169-F$1)/F$2)</f>
        <v>-1.051866375</v>
      </c>
      <c r="G171" s="53">
        <f>IF(TYPE($A171)=1,"",(UpdateHashtag!Q169-G$1)/G$2)</f>
        <v>0.854052294</v>
      </c>
      <c r="H171" s="53">
        <f>IF(TYPE($A171)=1,"",(UpdateHashtag!I169-H$1)/H$2*I171/$I$1)</f>
        <v>-1.596654886</v>
      </c>
      <c r="I171" s="53">
        <f>UpdateHashtag!S169</f>
        <v>7.4</v>
      </c>
      <c r="J171" s="58">
        <f>IF(TYPE($A171)=1,"",(UpdateHashtag!K169-J$1)/J$2*K171/$K$1)</f>
        <v>-1.122583521</v>
      </c>
      <c r="K171" s="59">
        <f>UpdateHashtag!T169</f>
        <v>1.9</v>
      </c>
      <c r="L171" s="53">
        <f>IF(TYPE($A171)=1,"",-(UpdateHashtag!R169-L$1)/L$2)</f>
        <v>0.3458524173</v>
      </c>
      <c r="N171" s="106">
        <f t="shared" si="3"/>
        <v>-1.867279628</v>
      </c>
      <c r="O171" s="106">
        <f t="shared" si="4"/>
        <v>144</v>
      </c>
      <c r="P171" s="163" t="str">
        <f t="array" ref="P171">INDIRECT("Update"&amp;Projections!$AG$11&amp;"!B"&amp;ROW(B152))</f>
        <v/>
      </c>
      <c r="Q171" s="164" t="str">
        <f t="array" ref="Q171">INDIRECT("Update"&amp;Projections!$AG$11&amp;"!C"&amp;ROW(B152))</f>
        <v>Goga Bitadze</v>
      </c>
      <c r="R171" s="163">
        <f>UpdateBBM!F152</f>
        <v>68</v>
      </c>
      <c r="S171" s="165" t="str">
        <f t="array" ref="S171">INDIRECT("Update"&amp;Projections!$AG$11&amp;"!D"&amp;ROW(B152))</f>
        <v>C</v>
      </c>
      <c r="T171" s="144">
        <f t="shared" si="5"/>
        <v>-1.567382915</v>
      </c>
      <c r="U171" s="144">
        <f>SUM(AF171:AN171)-IFERROR(IFS(Projections!$I$11,AO171,Projections!$J$11,AP171),"")</f>
        <v>-1.777727727</v>
      </c>
      <c r="V171" s="144">
        <f t="shared" si="6"/>
        <v>-0.2103448116</v>
      </c>
      <c r="W171" s="144">
        <f t="array" ref="W171">INDIRECT("Update"&amp;Projections!$AG$11&amp;"!M"&amp;ROW(B152))</f>
        <v>7.173088</v>
      </c>
      <c r="X171" s="144">
        <f t="array" ref="X171">INDIRECT("Update"&amp;Projections!$AG$11&amp;"!L"&amp;ROW(B152))</f>
        <v>0.102794</v>
      </c>
      <c r="Y171" s="144">
        <f t="array" ref="Y171">INDIRECT("Update"&amp;Projections!$AG$11&amp;"!N"&amp;ROW(B152))</f>
        <v>6.431176</v>
      </c>
      <c r="Z171" s="144">
        <f t="array" ref="Z171">INDIRECT("Update"&amp;Projections!$AG$11&amp;"!O"&amp;ROW(B152))</f>
        <v>1.715</v>
      </c>
      <c r="AA171" s="144">
        <f t="array" ref="AA171">INDIRECT("Update"&amp;Projections!$AG$11&amp;"!P"&amp;ROW(B152))</f>
        <v>0.723676</v>
      </c>
      <c r="AB171" s="144">
        <f t="array" ref="AB171">INDIRECT("Update"&amp;Projections!$AG$11&amp;"!Q"&amp;ROW(B152))</f>
        <v>1.329118</v>
      </c>
      <c r="AC171" s="166">
        <f t="array" ref="AC171">INDIRECT("Update"&amp;Projections!$AG$11&amp;"!I"&amp;ROW(B152))</f>
        <v>0.600416</v>
      </c>
      <c r="AD171" s="166">
        <f t="array" ref="AD171">INDIRECT("Update"&amp;Projections!$AG$11&amp;"!K"&amp;ROW(B152))</f>
        <v>0.669994</v>
      </c>
      <c r="AE171" s="144">
        <f t="array" ref="AE171">INDIRECT("Update"&amp;Projections!$AG$11&amp;"!R"&amp;ROW(B152))</f>
        <v>0.900441</v>
      </c>
      <c r="AF171" s="144">
        <f t="shared" si="7"/>
        <v>-1.754692842</v>
      </c>
      <c r="AG171" s="144">
        <f t="shared" si="8"/>
        <v>-1.609812218</v>
      </c>
      <c r="AH171" s="144">
        <f t="shared" si="9"/>
        <v>0.1235032898</v>
      </c>
      <c r="AI171" s="144">
        <f t="shared" si="10"/>
        <v>-1.036578103</v>
      </c>
      <c r="AJ171" s="144">
        <f t="shared" si="11"/>
        <v>-0.9797201563</v>
      </c>
      <c r="AK171" s="144">
        <f t="shared" si="12"/>
        <v>1.088787814</v>
      </c>
      <c r="AL171" s="144">
        <f t="shared" si="13"/>
        <v>1.898029306</v>
      </c>
      <c r="AM171" s="144">
        <f t="shared" si="14"/>
        <v>-1.26193766</v>
      </c>
      <c r="AN171" s="144">
        <f t="shared" si="15"/>
        <v>0</v>
      </c>
      <c r="AO171" s="167">
        <f t="shared" si="16"/>
        <v>-1.754692842</v>
      </c>
      <c r="AP171" s="167">
        <f t="shared" si="17"/>
        <v>-3.36450506</v>
      </c>
      <c r="AQ171" s="167">
        <f t="array" ref="AQ171">INDIRECT("Update"&amp;Projections!$AG$11&amp;"!S"&amp;ROW(B152))</f>
        <v>0.600416</v>
      </c>
      <c r="AR171" s="167">
        <f t="array" ref="AR171">INDIRECT("Update"&amp;Projections!$AG$11&amp;"!T"&amp;ROW(B152))</f>
        <v>0.669994</v>
      </c>
    </row>
    <row r="172">
      <c r="A172" s="50" t="str">
        <f>IF(UpdateHashtag!C170="",ROW(UpdateHashtag!C170),UpdateHashtag!C170)</f>
        <v>Max Strus</v>
      </c>
      <c r="B172" s="53">
        <f>IF(TYPE($A172)=1,"",(UpdateHashtag!M170-B$1)/B$2)</f>
        <v>-0.9604795768</v>
      </c>
      <c r="C172" s="53">
        <f>IF(TYPE($A172)=1,"",(UpdateHashtag!L170-C$1)/C$2)</f>
        <v>0.608906155</v>
      </c>
      <c r="D172" s="53">
        <f>IF(TYPE($A172)=1,"",(UpdateHashtag!N170-D$1)/D$2)</f>
        <v>-0.9025180299</v>
      </c>
      <c r="E172" s="53">
        <f>IF(TYPE($A172)=1,"",(UpdateHashtag!O170-E$1)/E$2)</f>
        <v>-0.213431175</v>
      </c>
      <c r="F172" s="53">
        <f>IF(TYPE($A172)=1,"",(UpdateHashtag!P170-F$1)/F$2)</f>
        <v>-0.7471433709</v>
      </c>
      <c r="G172" s="53">
        <f>IF(TYPE($A172)=1,"",(UpdateHashtag!Q170-G$1)/G$2)</f>
        <v>-0.7821407085</v>
      </c>
      <c r="H172" s="53">
        <f>IF(TYPE($A172)=1,"",(UpdateHashtag!I170-H$1)/H$2*I172/$I$1)</f>
        <v>-24.3870966</v>
      </c>
      <c r="I172" s="53">
        <f>UpdateHashtag!S170</f>
        <v>10</v>
      </c>
      <c r="J172" s="58">
        <f>IF(TYPE($A172)=1,"",(UpdateHashtag!K170-J$1)/J$2*K172/$K$1)</f>
        <v>0.784644106</v>
      </c>
      <c r="K172" s="59">
        <f>UpdateHashtag!T170</f>
        <v>1.2</v>
      </c>
      <c r="L172" s="53">
        <f>IF(TYPE($A172)=1,"",-(UpdateHashtag!R170-L$1)/L$2)</f>
        <v>0.5442381251</v>
      </c>
      <c r="N172" s="106">
        <f t="shared" si="3"/>
        <v>-1.904441365</v>
      </c>
      <c r="O172" s="106">
        <f t="shared" si="4"/>
        <v>93</v>
      </c>
      <c r="P172" s="163" t="str">
        <f t="array" ref="P172">INDIRECT("Update"&amp;Projections!$AG$11&amp;"!B"&amp;ROW(B153))</f>
        <v/>
      </c>
      <c r="Q172" s="164" t="str">
        <f t="array" ref="Q172">INDIRECT("Update"&amp;Projections!$AG$11&amp;"!C"&amp;ROW(B153))</f>
        <v>Anfernee Simons</v>
      </c>
      <c r="R172" s="163">
        <f>UpdateBBM!F153</f>
        <v>61</v>
      </c>
      <c r="S172" s="165" t="str">
        <f t="array" ref="S172">INDIRECT("Update"&amp;Projections!$AG$11&amp;"!D"&amp;ROW(B153))</f>
        <v>G</v>
      </c>
      <c r="T172" s="144">
        <f t="shared" si="5"/>
        <v>0.2650008858</v>
      </c>
      <c r="U172" s="144">
        <f>SUM(AF172:AN172)-IFERROR(IFS(Projections!$I$11,AO172,Projections!$J$11,AP172),"")</f>
        <v>0.4220073853</v>
      </c>
      <c r="V172" s="144">
        <f t="shared" si="6"/>
        <v>0.1570064995</v>
      </c>
      <c r="W172" s="144">
        <f t="array" ref="W172">INDIRECT("Update"&amp;Projections!$AG$11&amp;"!M"&amp;ROW(B153))</f>
        <v>18.41</v>
      </c>
      <c r="X172" s="144">
        <f t="array" ref="X172">INDIRECT("Update"&amp;Projections!$AG$11&amp;"!L"&amp;ROW(B153))</f>
        <v>3.131803</v>
      </c>
      <c r="Y172" s="144">
        <f t="array" ref="Y172">INDIRECT("Update"&amp;Projections!$AG$11&amp;"!N"&amp;ROW(B153))</f>
        <v>2.510656</v>
      </c>
      <c r="Z172" s="144">
        <f t="array" ref="Z172">INDIRECT("Update"&amp;Projections!$AG$11&amp;"!O"&amp;ROW(B153))</f>
        <v>5.021311</v>
      </c>
      <c r="AA172" s="144">
        <f t="array" ref="AA172">INDIRECT("Update"&amp;Projections!$AG$11&amp;"!P"&amp;ROW(B153))</f>
        <v>0.64377</v>
      </c>
      <c r="AB172" s="144">
        <f t="array" ref="AB172">INDIRECT("Update"&amp;Projections!$AG$11&amp;"!Q"&amp;ROW(B153))</f>
        <v>0.06459</v>
      </c>
      <c r="AC172" s="166">
        <f t="array" ref="AC172">INDIRECT("Update"&amp;Projections!$AG$11&amp;"!I"&amp;ROW(B153))</f>
        <v>0.426504</v>
      </c>
      <c r="AD172" s="166">
        <f t="array" ref="AD172">INDIRECT("Update"&amp;Projections!$AG$11&amp;"!K"&amp;ROW(B153))</f>
        <v>0.900991</v>
      </c>
      <c r="AE172" s="144">
        <f t="array" ref="AE172">INDIRECT("Update"&amp;Projections!$AG$11&amp;"!R"&amp;ROW(B153))</f>
        <v>2.381803</v>
      </c>
      <c r="AF172" s="144">
        <f t="shared" si="7"/>
        <v>0.2167403493</v>
      </c>
      <c r="AG172" s="144">
        <f t="shared" si="8"/>
        <v>1.315705964</v>
      </c>
      <c r="AH172" s="144">
        <f t="shared" si="9"/>
        <v>-1.465693631</v>
      </c>
      <c r="AI172" s="144">
        <f t="shared" si="10"/>
        <v>0.5786027528</v>
      </c>
      <c r="AJ172" s="144">
        <f t="shared" si="11"/>
        <v>-1.22321212</v>
      </c>
      <c r="AK172" s="144">
        <f t="shared" si="12"/>
        <v>-1.210114258</v>
      </c>
      <c r="AL172" s="144">
        <f t="shared" si="13"/>
        <v>-0.8799169702</v>
      </c>
      <c r="AM172" s="144">
        <f t="shared" si="14"/>
        <v>1.624201668</v>
      </c>
      <c r="AN172" s="144">
        <f t="shared" si="15"/>
        <v>0</v>
      </c>
      <c r="AO172" s="167">
        <f t="shared" si="16"/>
        <v>-1.465693631</v>
      </c>
      <c r="AP172" s="167">
        <f t="shared" si="17"/>
        <v>-2.68890575</v>
      </c>
      <c r="AQ172" s="167">
        <f t="array" ref="AQ172">INDIRECT("Update"&amp;Projections!$AG$11&amp;"!S"&amp;ROW(B153))</f>
        <v>0.426504</v>
      </c>
      <c r="AR172" s="167">
        <f t="array" ref="AR172">INDIRECT("Update"&amp;Projections!$AG$11&amp;"!T"&amp;ROW(B153))</f>
        <v>0.900991</v>
      </c>
    </row>
    <row r="173">
      <c r="A173" s="50" t="str">
        <f>IF(UpdateHashtag!C171="",ROW(UpdateHashtag!C171),UpdateHashtag!C171)</f>
        <v>T.J. McConnell</v>
      </c>
      <c r="B173" s="53">
        <f>IF(TYPE($A173)=1,"",(UpdateHashtag!M171-B$1)/B$2)</f>
        <v>-1.399086107</v>
      </c>
      <c r="C173" s="53">
        <f>IF(TYPE($A173)=1,"",(UpdateHashtag!L171-C$1)/C$2)</f>
        <v>-1.419344069</v>
      </c>
      <c r="D173" s="53">
        <f>IF(TYPE($A173)=1,"",(UpdateHashtag!N171-D$1)/D$2)</f>
        <v>-1.348406997</v>
      </c>
      <c r="E173" s="53">
        <f>IF(TYPE($A173)=1,"",(UpdateHashtag!O171-E$1)/E$2)</f>
        <v>0.7147463695</v>
      </c>
      <c r="F173" s="53">
        <f>IF(TYPE($A173)=1,"",(UpdateHashtag!P171-F$1)/F$2)</f>
        <v>-0.1376973632</v>
      </c>
      <c r="G173" s="53">
        <f>IF(TYPE($A173)=1,"",(UpdateHashtag!Q171-G$1)/G$2)</f>
        <v>-1.145739154</v>
      </c>
      <c r="H173" s="53">
        <f>IF(TYPE($A173)=1,"",(UpdateHashtag!I171-H$1)/H$2*I173/$I$1)</f>
        <v>12.18560713</v>
      </c>
      <c r="I173" s="53">
        <f>UpdateHashtag!S171</f>
        <v>7.4</v>
      </c>
      <c r="J173" s="58">
        <f>IF(TYPE($A173)=1,"",(UpdateHashtag!K171-J$1)/J$2*K173/$K$1)</f>
        <v>0.4017775514</v>
      </c>
      <c r="K173" s="59">
        <f>UpdateHashtag!T171</f>
        <v>0.9</v>
      </c>
      <c r="L173" s="53">
        <f>IF(TYPE($A173)=1,"",-(UpdateHashtag!R171-L$1)/L$2)</f>
        <v>0.04827385557</v>
      </c>
      <c r="N173" s="106">
        <f t="shared" si="3"/>
        <v>-1.926715775</v>
      </c>
      <c r="O173" s="106">
        <f t="shared" si="4"/>
        <v>179</v>
      </c>
      <c r="P173" s="163" t="str">
        <f t="array" ref="P173">INDIRECT("Update"&amp;Projections!$AG$11&amp;"!B"&amp;ROW(B154))</f>
        <v/>
      </c>
      <c r="Q173" s="164" t="str">
        <f t="array" ref="Q173">INDIRECT("Update"&amp;Projections!$AG$11&amp;"!C"&amp;ROW(B154))</f>
        <v>Caris LeVert</v>
      </c>
      <c r="R173" s="163">
        <f>UpdateBBM!F154</f>
        <v>68</v>
      </c>
      <c r="S173" s="165" t="str">
        <f t="array" ref="S173">INDIRECT("Update"&amp;Projections!$AG$11&amp;"!D"&amp;ROW(B154))</f>
        <v>G,F</v>
      </c>
      <c r="T173" s="144">
        <f t="shared" si="5"/>
        <v>-2.805388362</v>
      </c>
      <c r="U173" s="144">
        <f>SUM(AF173:AN173)-IFERROR(IFS(Projections!$I$11,AO173,Projections!$J$11,AP173),"")</f>
        <v>-2.946808771</v>
      </c>
      <c r="V173" s="144">
        <f t="shared" si="6"/>
        <v>-0.1414204091</v>
      </c>
      <c r="W173" s="144">
        <f t="array" ref="W173">INDIRECT("Update"&amp;Projections!$AG$11&amp;"!M"&amp;ROW(B154))</f>
        <v>13.20162</v>
      </c>
      <c r="X173" s="144">
        <f t="array" ref="X173">INDIRECT("Update"&amp;Projections!$AG$11&amp;"!L"&amp;ROW(B154))</f>
        <v>1.781618</v>
      </c>
      <c r="Y173" s="144">
        <f t="array" ref="Y173">INDIRECT("Update"&amp;Projections!$AG$11&amp;"!N"&amp;ROW(B154))</f>
        <v>3.711765</v>
      </c>
      <c r="Z173" s="144">
        <f t="array" ref="Z173">INDIRECT("Update"&amp;Projections!$AG$11&amp;"!O"&amp;ROW(B154))</f>
        <v>3.181471</v>
      </c>
      <c r="AA173" s="144">
        <f t="array" ref="AA173">INDIRECT("Update"&amp;Projections!$AG$11&amp;"!P"&amp;ROW(B154))</f>
        <v>1.015882</v>
      </c>
      <c r="AB173" s="144">
        <f t="array" ref="AB173">INDIRECT("Update"&amp;Projections!$AG$11&amp;"!Q"&amp;ROW(B154))</f>
        <v>0.412353</v>
      </c>
      <c r="AC173" s="166">
        <f t="array" ref="AC173">INDIRECT("Update"&amp;Projections!$AG$11&amp;"!I"&amp;ROW(B154))</f>
        <v>0.448395</v>
      </c>
      <c r="AD173" s="166">
        <f t="array" ref="AD173">INDIRECT("Update"&amp;Projections!$AG$11&amp;"!K"&amp;ROW(B154))</f>
        <v>0.73298</v>
      </c>
      <c r="AE173" s="144">
        <f t="array" ref="AE173">INDIRECT("Update"&amp;Projections!$AG$11&amp;"!R"&amp;ROW(B154))</f>
        <v>1.178382</v>
      </c>
      <c r="AF173" s="144">
        <f t="shared" si="7"/>
        <v>-0.6970314419</v>
      </c>
      <c r="AG173" s="144">
        <f t="shared" si="8"/>
        <v>0.01165214083</v>
      </c>
      <c r="AH173" s="144">
        <f t="shared" si="9"/>
        <v>-0.978819766</v>
      </c>
      <c r="AI173" s="144">
        <f t="shared" si="10"/>
        <v>-0.3201857595</v>
      </c>
      <c r="AJ173" s="144">
        <f t="shared" si="11"/>
        <v>-0.08930125575</v>
      </c>
      <c r="AK173" s="144">
        <f t="shared" si="12"/>
        <v>-0.5778838281</v>
      </c>
      <c r="AL173" s="144">
        <f t="shared" si="13"/>
        <v>-0.6302149604</v>
      </c>
      <c r="AM173" s="144">
        <f t="shared" si="14"/>
        <v>-0.6438436663</v>
      </c>
      <c r="AN173" s="144">
        <f t="shared" si="15"/>
        <v>0</v>
      </c>
      <c r="AO173" s="167">
        <f t="shared" si="16"/>
        <v>-0.978819766</v>
      </c>
      <c r="AP173" s="167">
        <f t="shared" si="17"/>
        <v>-1.675851208</v>
      </c>
      <c r="AQ173" s="167">
        <f t="array" ref="AQ173">INDIRECT("Update"&amp;Projections!$AG$11&amp;"!S"&amp;ROW(B154))</f>
        <v>0.448395</v>
      </c>
      <c r="AR173" s="167">
        <f t="array" ref="AR173">INDIRECT("Update"&amp;Projections!$AG$11&amp;"!T"&amp;ROW(B154))</f>
        <v>0.73298</v>
      </c>
    </row>
    <row r="174">
      <c r="A174" s="50" t="str">
        <f>IF(UpdateHashtag!C172="",ROW(UpdateHashtag!C172),UpdateHashtag!C172)</f>
        <v>Miles McBride</v>
      </c>
      <c r="B174" s="53">
        <f>IF(TYPE($A174)=1,"",(UpdateHashtag!M172-B$1)/B$2)</f>
        <v>-1.118377928</v>
      </c>
      <c r="C174" s="53">
        <f>IF(TYPE($A174)=1,"",(UpdateHashtag!L172-C$1)/C$2)</f>
        <v>0.3191561231</v>
      </c>
      <c r="D174" s="53">
        <f>IF(TYPE($A174)=1,"",(UpdateHashtag!N172-D$1)/D$2)</f>
        <v>-1.632154521</v>
      </c>
      <c r="E174" s="53">
        <f>IF(TYPE($A174)=1,"",(UpdateHashtag!O172-E$1)/E$2)</f>
        <v>-0.6042427726</v>
      </c>
      <c r="F174" s="53">
        <f>IF(TYPE($A174)=1,"",(UpdateHashtag!P172-F$1)/F$2)</f>
        <v>0.4717486444</v>
      </c>
      <c r="G174" s="53">
        <f>IF(TYPE($A174)=1,"",(UpdateHashtag!Q172-G$1)/G$2)</f>
        <v>-0.963939931</v>
      </c>
      <c r="H174" s="53">
        <f>IF(TYPE($A174)=1,"",(UpdateHashtag!I172-H$1)/H$2*I174/$I$1)</f>
        <v>-12.85369265</v>
      </c>
      <c r="I174" s="53">
        <f>UpdateHashtag!S172</f>
        <v>8.7</v>
      </c>
      <c r="J174" s="58">
        <f>IF(TYPE($A174)=1,"",(UpdateHashtag!K172-J$1)/J$2*K174/$K$1)</f>
        <v>1.091032665</v>
      </c>
      <c r="K174" s="59">
        <f>UpdateHashtag!T172</f>
        <v>1.2</v>
      </c>
      <c r="L174" s="53">
        <f>IF(TYPE($A174)=1,"",-(UpdateHashtag!R172-L$1)/L$2)</f>
        <v>0.9410095407</v>
      </c>
      <c r="N174" s="106">
        <f t="shared" si="3"/>
        <v>-2.005858089</v>
      </c>
      <c r="O174" s="106">
        <f t="shared" si="4"/>
        <v>167</v>
      </c>
      <c r="P174" s="163" t="str">
        <f t="array" ref="P174">INDIRECT("Update"&amp;Projections!$AG$11&amp;"!B"&amp;ROW(B155))</f>
        <v/>
      </c>
      <c r="Q174" s="164" t="str">
        <f t="array" ref="Q174">INDIRECT("Update"&amp;Projections!$AG$11&amp;"!C"&amp;ROW(B155))</f>
        <v>Buddy Hield</v>
      </c>
      <c r="R174" s="163">
        <f>UpdateBBM!F155</f>
        <v>77</v>
      </c>
      <c r="S174" s="165" t="str">
        <f t="array" ref="S174">INDIRECT("Update"&amp;Projections!$AG$11&amp;"!D"&amp;ROW(B155))</f>
        <v>G,F</v>
      </c>
      <c r="T174" s="144">
        <f t="shared" si="5"/>
        <v>-2.2720898</v>
      </c>
      <c r="U174" s="144">
        <f>SUM(AF174:AN174)-IFERROR(IFS(Projections!$I$11,AO174,Projections!$J$11,AP174),"")</f>
        <v>-2.505731789</v>
      </c>
      <c r="V174" s="144">
        <f t="shared" si="6"/>
        <v>-0.2336419892</v>
      </c>
      <c r="W174" s="144">
        <f t="array" ref="W174">INDIRECT("Update"&amp;Projections!$AG$11&amp;"!M"&amp;ROW(B155))</f>
        <v>11.99987</v>
      </c>
      <c r="X174" s="144">
        <f t="array" ref="X174">INDIRECT("Update"&amp;Projections!$AG$11&amp;"!L"&amp;ROW(B155))</f>
        <v>2.832468</v>
      </c>
      <c r="Y174" s="144">
        <f t="array" ref="Y174">INDIRECT("Update"&amp;Projections!$AG$11&amp;"!N"&amp;ROW(B155))</f>
        <v>3.225714</v>
      </c>
      <c r="Z174" s="144">
        <f t="array" ref="Z174">INDIRECT("Update"&amp;Projections!$AG$11&amp;"!O"&amp;ROW(B155))</f>
        <v>1.423117</v>
      </c>
      <c r="AA174" s="144">
        <f t="array" ref="AA174">INDIRECT("Update"&amp;Projections!$AG$11&amp;"!P"&amp;ROW(B155))</f>
        <v>0.859091</v>
      </c>
      <c r="AB174" s="144">
        <f t="array" ref="AB174">INDIRECT("Update"&amp;Projections!$AG$11&amp;"!Q"&amp;ROW(B155))</f>
        <v>0.283506</v>
      </c>
      <c r="AC174" s="166">
        <f t="array" ref="AC174">INDIRECT("Update"&amp;Projections!$AG$11&amp;"!I"&amp;ROW(B155))</f>
        <v>0.433015</v>
      </c>
      <c r="AD174" s="166">
        <f t="array" ref="AD174">INDIRECT("Update"&amp;Projections!$AG$11&amp;"!K"&amp;ROW(B155))</f>
        <v>0.842979</v>
      </c>
      <c r="AE174" s="144">
        <f t="array" ref="AE174">INDIRECT("Update"&amp;Projections!$AG$11&amp;"!R"&amp;ROW(B155))</f>
        <v>0.806494</v>
      </c>
      <c r="AF174" s="144">
        <f t="shared" si="7"/>
        <v>-0.9078696008</v>
      </c>
      <c r="AG174" s="144">
        <f t="shared" si="8"/>
        <v>1.026598211</v>
      </c>
      <c r="AH174" s="144">
        <f t="shared" si="9"/>
        <v>-1.175842292</v>
      </c>
      <c r="AI174" s="144">
        <f t="shared" si="10"/>
        <v>-1.17916718</v>
      </c>
      <c r="AJ174" s="144">
        <f t="shared" si="11"/>
        <v>-0.5670795007</v>
      </c>
      <c r="AK174" s="144">
        <f t="shared" si="12"/>
        <v>-0.8121266723</v>
      </c>
      <c r="AL174" s="144">
        <f t="shared" si="13"/>
        <v>-0.8086567205</v>
      </c>
      <c r="AM174" s="144">
        <f t="shared" si="14"/>
        <v>0.7392447862</v>
      </c>
      <c r="AN174" s="144">
        <f t="shared" si="15"/>
        <v>0</v>
      </c>
      <c r="AO174" s="167">
        <f t="shared" si="16"/>
        <v>-1.17916718</v>
      </c>
      <c r="AP174" s="167">
        <f t="shared" si="17"/>
        <v>-2.355009471</v>
      </c>
      <c r="AQ174" s="167">
        <f t="array" ref="AQ174">INDIRECT("Update"&amp;Projections!$AG$11&amp;"!S"&amp;ROW(B155))</f>
        <v>0.433015</v>
      </c>
      <c r="AR174" s="167">
        <f t="array" ref="AR174">INDIRECT("Update"&amp;Projections!$AG$11&amp;"!T"&amp;ROW(B155))</f>
        <v>0.842979</v>
      </c>
    </row>
    <row r="175">
      <c r="A175" s="50" t="str">
        <f>IF(UpdateHashtag!C173="",ROW(UpdateHashtag!C173),UpdateHashtag!C173)</f>
        <v>Deni Avdija</v>
      </c>
      <c r="B175" s="53">
        <f>IF(TYPE($A175)=1,"",(UpdateHashtag!M173-B$1)/B$2)</f>
        <v>-0.9253910545</v>
      </c>
      <c r="C175" s="53">
        <f>IF(TYPE($A175)=1,"",(UpdateHashtag!L173-C$1)/C$2)</f>
        <v>-0.7432606607</v>
      </c>
      <c r="D175" s="53">
        <f>IF(TYPE($A175)=1,"",(UpdateHashtag!N173-D$1)/D$2)</f>
        <v>0.1514013464</v>
      </c>
      <c r="E175" s="53">
        <f>IF(TYPE($A175)=1,"",(UpdateHashtag!O173-E$1)/E$2)</f>
        <v>-0.2622826247</v>
      </c>
      <c r="F175" s="53">
        <f>IF(TYPE($A175)=1,"",(UpdateHashtag!P173-F$1)/F$2)</f>
        <v>-0.7471433709</v>
      </c>
      <c r="G175" s="53">
        <f>IF(TYPE($A175)=1,"",(UpdateHashtag!Q173-G$1)/G$2)</f>
        <v>-0.600341486</v>
      </c>
      <c r="H175" s="53">
        <f>IF(TYPE($A175)=1,"",(UpdateHashtag!I173-H$1)/H$2*I175/$I$1)</f>
        <v>-4.970438349</v>
      </c>
      <c r="I175" s="53">
        <f>UpdateHashtag!S173</f>
        <v>9.1</v>
      </c>
      <c r="J175" s="58">
        <f>IF(TYPE($A175)=1,"",(UpdateHashtag!K173-J$1)/J$2*K175/$K$1)</f>
        <v>-2.315023655</v>
      </c>
      <c r="K175" s="59">
        <f>UpdateHashtag!T173</f>
        <v>2.9</v>
      </c>
      <c r="L175" s="53">
        <f>IF(TYPE($A175)=1,"",-(UpdateHashtag!R173-L$1)/L$2)</f>
        <v>-0.1501118522</v>
      </c>
      <c r="N175" s="106">
        <f t="shared" si="3"/>
        <v>-2.014658179</v>
      </c>
      <c r="O175" s="106">
        <f t="shared" si="4"/>
        <v>155</v>
      </c>
      <c r="P175" s="163" t="str">
        <f t="array" ref="P175">INDIRECT("Update"&amp;Projections!$AG$11&amp;"!B"&amp;ROW(B156))</f>
        <v/>
      </c>
      <c r="Q175" s="164" t="str">
        <f t="array" ref="Q175">INDIRECT("Update"&amp;Projections!$AG$11&amp;"!C"&amp;ROW(B156))</f>
        <v>Kentavious Caldwell-Pope</v>
      </c>
      <c r="R175" s="163">
        <f>UpdateBBM!F156</f>
        <v>77</v>
      </c>
      <c r="S175" s="165" t="str">
        <f t="array" ref="S175">INDIRECT("Update"&amp;Projections!$AG$11&amp;"!D"&amp;ROW(B156))</f>
        <v>G,F</v>
      </c>
      <c r="T175" s="144">
        <f t="shared" si="5"/>
        <v>-2.014658179</v>
      </c>
      <c r="U175" s="144">
        <f>SUM(AF175:AN175)-IFERROR(IFS(Projections!$I$11,AO175,Projections!$J$11,AP175),"")</f>
        <v>-2.25232591</v>
      </c>
      <c r="V175" s="144">
        <f t="shared" si="6"/>
        <v>-0.2376677312</v>
      </c>
      <c r="W175" s="144">
        <f t="array" ref="W175">INDIRECT("Update"&amp;Projections!$AG$11&amp;"!M"&amp;ROW(B156))</f>
        <v>9.322078</v>
      </c>
      <c r="X175" s="144">
        <f t="array" ref="X175">INDIRECT("Update"&amp;Projections!$AG$11&amp;"!L"&amp;ROW(B156))</f>
        <v>1.835714</v>
      </c>
      <c r="Y175" s="144">
        <f t="array" ref="Y175">INDIRECT("Update"&amp;Projections!$AG$11&amp;"!N"&amp;ROW(B156))</f>
        <v>2.669351</v>
      </c>
      <c r="Z175" s="144">
        <f t="array" ref="Z175">INDIRECT("Update"&amp;Projections!$AG$11&amp;"!O"&amp;ROW(B156))</f>
        <v>1.880649</v>
      </c>
      <c r="AA175" s="144">
        <f t="array" ref="AA175">INDIRECT("Update"&amp;Projections!$AG$11&amp;"!P"&amp;ROW(B156))</f>
        <v>1.148442</v>
      </c>
      <c r="AB175" s="144">
        <f t="array" ref="AB175">INDIRECT("Update"&amp;Projections!$AG$11&amp;"!Q"&amp;ROW(B156))</f>
        <v>0.364935</v>
      </c>
      <c r="AC175" s="166">
        <f t="array" ref="AC175">INDIRECT("Update"&amp;Projections!$AG$11&amp;"!I"&amp;ROW(B156))</f>
        <v>0.436349</v>
      </c>
      <c r="AD175" s="166">
        <f t="array" ref="AD175">INDIRECT("Update"&amp;Projections!$AG$11&amp;"!K"&amp;ROW(B156))</f>
        <v>0.869977</v>
      </c>
      <c r="AE175" s="144">
        <f t="array" ref="AE175">INDIRECT("Update"&amp;Projections!$AG$11&amp;"!R"&amp;ROW(B156))</f>
        <v>0.79026</v>
      </c>
      <c r="AF175" s="144">
        <f t="shared" si="7"/>
        <v>-1.377668424</v>
      </c>
      <c r="AG175" s="144">
        <f t="shared" si="8"/>
        <v>0.06389986659</v>
      </c>
      <c r="AH175" s="144">
        <f t="shared" si="9"/>
        <v>-1.40136604</v>
      </c>
      <c r="AI175" s="144">
        <f t="shared" si="10"/>
        <v>-0.9556561646</v>
      </c>
      <c r="AJ175" s="144">
        <f t="shared" si="11"/>
        <v>0.3146395581</v>
      </c>
      <c r="AK175" s="144">
        <f t="shared" si="12"/>
        <v>-0.6640893834</v>
      </c>
      <c r="AL175" s="144">
        <f t="shared" si="13"/>
        <v>-0.7711814417</v>
      </c>
      <c r="AM175" s="144">
        <f t="shared" si="14"/>
        <v>1.137730078</v>
      </c>
      <c r="AN175" s="144">
        <f t="shared" si="15"/>
        <v>0</v>
      </c>
      <c r="AO175" s="167">
        <f t="shared" si="16"/>
        <v>-1.40136604</v>
      </c>
      <c r="AP175" s="167">
        <f t="shared" si="17"/>
        <v>-2.779034464</v>
      </c>
      <c r="AQ175" s="167">
        <f t="array" ref="AQ175">INDIRECT("Update"&amp;Projections!$AG$11&amp;"!S"&amp;ROW(B156))</f>
        <v>0.436349</v>
      </c>
      <c r="AR175" s="167">
        <f t="array" ref="AR175">INDIRECT("Update"&amp;Projections!$AG$11&amp;"!T"&amp;ROW(B156))</f>
        <v>0.869977</v>
      </c>
    </row>
    <row r="176">
      <c r="A176" s="50" t="str">
        <f>IF(UpdateHashtag!C174="",ROW(UpdateHashtag!C174),UpdateHashtag!C174)</f>
        <v>Shaedon Sharpe</v>
      </c>
      <c r="B176" s="53">
        <f>IF(TYPE($A176)=1,"",(UpdateHashtag!M174-B$1)/B$2)</f>
        <v>-0.2236206067</v>
      </c>
      <c r="C176" s="53">
        <f>IF(TYPE($A176)=1,"",(UpdateHashtag!L174-C$1)/C$2)</f>
        <v>0.1259894351</v>
      </c>
      <c r="D176" s="53">
        <f>IF(TYPE($A176)=1,"",(UpdateHashtag!N174-D$1)/D$2)</f>
        <v>-0.6187705055</v>
      </c>
      <c r="E176" s="53">
        <f>IF(TYPE($A176)=1,"",(UpdateHashtag!O174-E$1)/E$2)</f>
        <v>-0.7996485715</v>
      </c>
      <c r="F176" s="53">
        <f>IF(TYPE($A176)=1,"",(UpdateHashtag!P174-F$1)/F$2)</f>
        <v>-0.7471433709</v>
      </c>
      <c r="G176" s="53">
        <f>IF(TYPE($A176)=1,"",(UpdateHashtag!Q174-G$1)/G$2)</f>
        <v>-0.600341486</v>
      </c>
      <c r="H176" s="53">
        <f>IF(TYPE($A176)=1,"",(UpdateHashtag!I174-H$1)/H$2*I176/$I$1)</f>
        <v>-23.70908522</v>
      </c>
      <c r="I176" s="53">
        <f>UpdateHashtag!S174</f>
        <v>12.9</v>
      </c>
      <c r="J176" s="58">
        <f>IF(TYPE($A176)=1,"",(UpdateHashtag!K174-J$1)/J$2*K176/$K$1)</f>
        <v>1.339059931</v>
      </c>
      <c r="K176" s="59">
        <f>UpdateHashtag!T174</f>
        <v>3.5</v>
      </c>
      <c r="L176" s="53">
        <f>IF(TYPE($A176)=1,"",-(UpdateHashtag!R174-L$1)/L$2)</f>
        <v>-0.05091899834</v>
      </c>
      <c r="N176" s="106">
        <f t="shared" si="3"/>
        <v>-2.035167924</v>
      </c>
      <c r="O176" s="106">
        <f t="shared" si="4"/>
        <v>162</v>
      </c>
      <c r="P176" s="163" t="str">
        <f t="array" ref="P176">INDIRECT("Update"&amp;Projections!$AG$11&amp;"!B"&amp;ROW(B157))</f>
        <v/>
      </c>
      <c r="Q176" s="164" t="str">
        <f t="array" ref="Q176">INDIRECT("Update"&amp;Projections!$AG$11&amp;"!C"&amp;ROW(B157))</f>
        <v>Jay Huff</v>
      </c>
      <c r="R176" s="163">
        <f>UpdateBBM!F157</f>
        <v>68</v>
      </c>
      <c r="S176" s="165" t="str">
        <f t="array" ref="S176">INDIRECT("Update"&amp;Projections!$AG$11&amp;"!D"&amp;ROW(B157))</f>
        <v>C</v>
      </c>
      <c r="T176" s="144">
        <f t="shared" si="5"/>
        <v>-2.201372517</v>
      </c>
      <c r="U176" s="144">
        <f>SUM(AF176:AN176)-IFERROR(IFS(Projections!$I$11,AO176,Projections!$J$11,AP176),"")</f>
        <v>-2.414926465</v>
      </c>
      <c r="V176" s="144">
        <f t="shared" si="6"/>
        <v>-0.2135539484</v>
      </c>
      <c r="W176" s="144">
        <f t="array" ref="W176">INDIRECT("Update"&amp;Projections!$AG$11&amp;"!M"&amp;ROW(B157))</f>
        <v>9.1975</v>
      </c>
      <c r="X176" s="144">
        <f t="array" ref="X176">INDIRECT("Update"&amp;Projections!$AG$11&amp;"!L"&amp;ROW(B157))</f>
        <v>1.536765</v>
      </c>
      <c r="Y176" s="144">
        <f t="array" ref="Y176">INDIRECT("Update"&amp;Projections!$AG$11&amp;"!N"&amp;ROW(B157))</f>
        <v>4.443971</v>
      </c>
      <c r="Z176" s="144">
        <f t="array" ref="Z176">INDIRECT("Update"&amp;Projections!$AG$11&amp;"!O"&amp;ROW(B157))</f>
        <v>1.018382</v>
      </c>
      <c r="AA176" s="144">
        <f t="array" ref="AA176">INDIRECT("Update"&amp;Projections!$AG$11&amp;"!P"&amp;ROW(B157))</f>
        <v>0.554412</v>
      </c>
      <c r="AB176" s="144">
        <f t="array" ref="AB176">INDIRECT("Update"&amp;Projections!$AG$11&amp;"!Q"&amp;ROW(B157))</f>
        <v>1.203529</v>
      </c>
      <c r="AC176" s="166">
        <f t="array" ref="AC176">INDIRECT("Update"&amp;Projections!$AG$11&amp;"!I"&amp;ROW(B157))</f>
        <v>0.490804</v>
      </c>
      <c r="AD176" s="166">
        <f t="array" ref="AD176">INDIRECT("Update"&amp;Projections!$AG$11&amp;"!K"&amp;ROW(B157))</f>
        <v>0.823955</v>
      </c>
      <c r="AE176" s="144">
        <f t="array" ref="AE176">INDIRECT("Update"&amp;Projections!$AG$11&amp;"!R"&amp;ROW(B157))</f>
        <v>0.8875</v>
      </c>
      <c r="AF176" s="144">
        <f t="shared" si="7"/>
        <v>-1.399524713</v>
      </c>
      <c r="AG176" s="144">
        <f t="shared" si="8"/>
        <v>-0.2248350744</v>
      </c>
      <c r="AH176" s="144">
        <f t="shared" si="9"/>
        <v>-0.6820174234</v>
      </c>
      <c r="AI176" s="144">
        <f t="shared" si="10"/>
        <v>-1.376886094</v>
      </c>
      <c r="AJ176" s="144">
        <f t="shared" si="11"/>
        <v>-1.495506501</v>
      </c>
      <c r="AK176" s="144">
        <f t="shared" si="12"/>
        <v>0.8604679885</v>
      </c>
      <c r="AL176" s="144">
        <f t="shared" si="13"/>
        <v>-0.06455670842</v>
      </c>
      <c r="AM176" s="144">
        <f t="shared" si="14"/>
        <v>0.4724255603</v>
      </c>
      <c r="AN176" s="144">
        <f t="shared" si="15"/>
        <v>0</v>
      </c>
      <c r="AO176" s="167">
        <f t="shared" si="16"/>
        <v>-1.495506501</v>
      </c>
      <c r="AP176" s="167">
        <f t="shared" si="17"/>
        <v>-2.895031215</v>
      </c>
      <c r="AQ176" s="167">
        <f t="array" ref="AQ176">INDIRECT("Update"&amp;Projections!$AG$11&amp;"!S"&amp;ROW(B157))</f>
        <v>0.490804</v>
      </c>
      <c r="AR176" s="167">
        <f t="array" ref="AR176">INDIRECT("Update"&amp;Projections!$AG$11&amp;"!T"&amp;ROW(B157))</f>
        <v>0.823955</v>
      </c>
    </row>
    <row r="177">
      <c r="A177" s="50" t="str">
        <f>IF(UpdateHashtag!C175="",ROW(UpdateHashtag!C175),UpdateHashtag!C175)</f>
        <v>Ben Simmons</v>
      </c>
      <c r="B177" s="53">
        <f>IF(TYPE($A177)=1,"",(UpdateHashtag!M175-B$1)/B$2)</f>
        <v>-1.855236898</v>
      </c>
      <c r="C177" s="53">
        <f>IF(TYPE($A177)=1,"",(UpdateHashtag!L175-C$1)/C$2)</f>
        <v>-1.709094101</v>
      </c>
      <c r="D177" s="53">
        <f>IF(TYPE($A177)=1,"",(UpdateHashtag!N175-D$1)/D$2)</f>
        <v>0.191936707</v>
      </c>
      <c r="E177" s="53">
        <f>IF(TYPE($A177)=1,"",(UpdateHashtag!O175-E$1)/E$2)</f>
        <v>1.007855068</v>
      </c>
      <c r="F177" s="53">
        <f>IF(TYPE($A177)=1,"",(UpdateHashtag!P175-F$1)/F$2)</f>
        <v>0.1670256406</v>
      </c>
      <c r="G177" s="53">
        <f>IF(TYPE($A177)=1,"",(UpdateHashtag!Q175-G$1)/G$2)</f>
        <v>-0.236743041</v>
      </c>
      <c r="H177" s="53">
        <f>IF(TYPE($A177)=1,"",(UpdateHashtag!I175-H$1)/H$2*I177/$I$1)</f>
        <v>11.75253768</v>
      </c>
      <c r="I177" s="53">
        <f>UpdateHashtag!S175</f>
        <v>5.3</v>
      </c>
      <c r="J177" s="58">
        <f>IF(TYPE($A177)=1,"",(UpdateHashtag!K175-J$1)/J$2*K177/$K$1)</f>
        <v>-6.913368437</v>
      </c>
      <c r="K177" s="59">
        <f>UpdateHashtag!T175</f>
        <v>1.2</v>
      </c>
      <c r="L177" s="53">
        <f>IF(TYPE($A177)=1,"",-(UpdateHashtag!R175-L$1)/L$2)</f>
        <v>-0.34849756</v>
      </c>
      <c r="N177" s="106">
        <f t="shared" si="3"/>
        <v>-2.074678353</v>
      </c>
      <c r="O177" s="106">
        <f t="shared" si="4"/>
        <v>132</v>
      </c>
      <c r="P177" s="163" t="str">
        <f t="array" ref="P177">INDIRECT("Update"&amp;Projections!$AG$11&amp;"!B"&amp;ROW(B158))</f>
        <v/>
      </c>
      <c r="Q177" s="164" t="str">
        <f t="array" ref="Q177">INDIRECT("Update"&amp;Projections!$AG$11&amp;"!C"&amp;ROW(B158))</f>
        <v>Malik Monk</v>
      </c>
      <c r="R177" s="163">
        <f>UpdateBBM!F158</f>
        <v>68</v>
      </c>
      <c r="S177" s="165" t="str">
        <f t="array" ref="S177">INDIRECT("Update"&amp;Projections!$AG$11&amp;"!D"&amp;ROW(B158))</f>
        <v>G</v>
      </c>
      <c r="T177" s="144">
        <f t="shared" si="5"/>
        <v>-1.163789804</v>
      </c>
      <c r="U177" s="144">
        <f>SUM(AF177:AN177)-IFERROR(IFS(Projections!$I$11,AO177,Projections!$J$11,AP177),"")</f>
        <v>-1.083266203</v>
      </c>
      <c r="V177" s="144">
        <f t="shared" si="6"/>
        <v>0.08052360155</v>
      </c>
      <c r="W177" s="144">
        <f t="array" ref="W177">INDIRECT("Update"&amp;Projections!$AG$11&amp;"!M"&amp;ROW(B158))</f>
        <v>14.88412</v>
      </c>
      <c r="X177" s="144">
        <f t="array" ref="X177">INDIRECT("Update"&amp;Projections!$AG$11&amp;"!L"&amp;ROW(B158))</f>
        <v>1.971618</v>
      </c>
      <c r="Y177" s="144">
        <f t="array" ref="Y177">INDIRECT("Update"&amp;Projections!$AG$11&amp;"!N"&amp;ROW(B158))</f>
        <v>3.11</v>
      </c>
      <c r="Z177" s="144">
        <f t="array" ref="Z177">INDIRECT("Update"&amp;Projections!$AG$11&amp;"!O"&amp;ROW(B158))</f>
        <v>4.365</v>
      </c>
      <c r="AA177" s="144">
        <f t="array" ref="AA177">INDIRECT("Update"&amp;Projections!$AG$11&amp;"!P"&amp;ROW(B158))</f>
        <v>0.737206</v>
      </c>
      <c r="AB177" s="144">
        <f t="array" ref="AB177">INDIRECT("Update"&amp;Projections!$AG$11&amp;"!Q"&amp;ROW(B158))</f>
        <v>0.502794</v>
      </c>
      <c r="AC177" s="166">
        <f t="array" ref="AC177">INDIRECT("Update"&amp;Projections!$AG$11&amp;"!I"&amp;ROW(B158))</f>
        <v>0.462743</v>
      </c>
      <c r="AD177" s="166">
        <f t="array" ref="AD177">INDIRECT("Update"&amp;Projections!$AG$11&amp;"!K"&amp;ROW(B158))</f>
        <v>0.838002</v>
      </c>
      <c r="AE177" s="144">
        <f t="array" ref="AE177">INDIRECT("Update"&amp;Projections!$AG$11&amp;"!R"&amp;ROW(B158))</f>
        <v>2.073382</v>
      </c>
      <c r="AF177" s="144">
        <f t="shared" si="7"/>
        <v>-0.4018492473</v>
      </c>
      <c r="AG177" s="144">
        <f t="shared" si="8"/>
        <v>0.1951604944</v>
      </c>
      <c r="AH177" s="144">
        <f t="shared" si="9"/>
        <v>-1.222747379</v>
      </c>
      <c r="AI177" s="144">
        <f t="shared" si="10"/>
        <v>0.2579853147</v>
      </c>
      <c r="AJ177" s="144">
        <f t="shared" si="11"/>
        <v>-0.9384911339</v>
      </c>
      <c r="AK177" s="144">
        <f t="shared" si="12"/>
        <v>-0.4134627932</v>
      </c>
      <c r="AL177" s="144">
        <f t="shared" si="13"/>
        <v>-0.4509335674</v>
      </c>
      <c r="AM177" s="144">
        <f t="shared" si="14"/>
        <v>0.6683247301</v>
      </c>
      <c r="AN177" s="144">
        <f t="shared" si="15"/>
        <v>0</v>
      </c>
      <c r="AO177" s="167">
        <f t="shared" si="16"/>
        <v>-1.222747379</v>
      </c>
      <c r="AP177" s="167">
        <f t="shared" si="17"/>
        <v>-2.161238513</v>
      </c>
      <c r="AQ177" s="167">
        <f t="array" ref="AQ177">INDIRECT("Update"&amp;Projections!$AG$11&amp;"!S"&amp;ROW(B158))</f>
        <v>0.462743</v>
      </c>
      <c r="AR177" s="167">
        <f t="array" ref="AR177">INDIRECT("Update"&amp;Projections!$AG$11&amp;"!T"&amp;ROW(B158))</f>
        <v>0.838002</v>
      </c>
    </row>
    <row r="178">
      <c r="A178" s="50" t="str">
        <f>IF(UpdateHashtag!C176="",ROW(UpdateHashtag!C176),UpdateHashtag!C176)</f>
        <v>Jonathan Isaac</v>
      </c>
      <c r="B178" s="53">
        <f>IF(TYPE($A178)=1,"",(UpdateHashtag!M176-B$1)/B$2)</f>
        <v>-1.697338547</v>
      </c>
      <c r="C178" s="53">
        <f>IF(TYPE($A178)=1,"",(UpdateHashtag!L176-C$1)/C$2)</f>
        <v>-0.9364273487</v>
      </c>
      <c r="D178" s="53">
        <f>IF(TYPE($A178)=1,"",(UpdateHashtag!N176-D$1)/D$2)</f>
        <v>-0.4160937024</v>
      </c>
      <c r="E178" s="53">
        <f>IF(TYPE($A178)=1,"",(UpdateHashtag!O176-E$1)/E$2)</f>
        <v>-1.581271767</v>
      </c>
      <c r="F178" s="53">
        <f>IF(TYPE($A178)=1,"",(UpdateHashtag!P176-F$1)/F$2)</f>
        <v>-0.1376973632</v>
      </c>
      <c r="G178" s="53">
        <f>IF(TYPE($A178)=1,"",(UpdateHashtag!Q176-G$1)/G$2)</f>
        <v>0.854052294</v>
      </c>
      <c r="H178" s="53">
        <f>IF(TYPE($A178)=1,"",(UpdateHashtag!I176-H$1)/H$2*I178/$I$1)</f>
        <v>0.1399592659</v>
      </c>
      <c r="I178" s="53">
        <f>UpdateHashtag!S176</f>
        <v>5.7</v>
      </c>
      <c r="J178" s="58">
        <f>IF(TYPE($A178)=1,"",(UpdateHashtag!K176-J$1)/J$2*K178/$K$1)</f>
        <v>-2.011270638</v>
      </c>
      <c r="K178" s="59">
        <f>UpdateHashtag!T176</f>
        <v>1.5</v>
      </c>
      <c r="L178" s="53">
        <f>IF(TYPE($A178)=1,"",-(UpdateHashtag!R176-L$1)/L$2)</f>
        <v>1.238588102</v>
      </c>
      <c r="N178" s="106">
        <f t="shared" si="3"/>
        <v>-2.107942798</v>
      </c>
      <c r="O178" s="106">
        <f t="shared" si="4"/>
        <v>178</v>
      </c>
      <c r="P178" s="163" t="str">
        <f t="array" ref="P178">INDIRECT("Update"&amp;Projections!$AG$11&amp;"!B"&amp;ROW(B159))</f>
        <v/>
      </c>
      <c r="Q178" s="164" t="str">
        <f t="array" ref="Q178">INDIRECT("Update"&amp;Projections!$AG$11&amp;"!C"&amp;ROW(B159))</f>
        <v>Aaron Wiggins</v>
      </c>
      <c r="R178" s="163">
        <f>UpdateBBM!F159</f>
        <v>73</v>
      </c>
      <c r="S178" s="165" t="str">
        <f t="array" ref="S178">INDIRECT("Update"&amp;Projections!$AG$11&amp;"!D"&amp;ROW(B159))</f>
        <v>G,F</v>
      </c>
      <c r="T178" s="144">
        <f t="shared" si="5"/>
        <v>-2.766549203</v>
      </c>
      <c r="U178" s="144">
        <f>SUM(AF178:AN178)-IFERROR(IFS(Projections!$I$11,AO178,Projections!$J$11,AP178),"")</f>
        <v>-2.978362069</v>
      </c>
      <c r="V178" s="144">
        <f t="shared" si="6"/>
        <v>-0.2118128658</v>
      </c>
      <c r="W178" s="144">
        <f t="array" ref="W178">INDIRECT("Update"&amp;Projections!$AG$11&amp;"!M"&amp;ROW(B159))</f>
        <v>12.71849</v>
      </c>
      <c r="X178" s="144">
        <f t="array" ref="X178">INDIRECT("Update"&amp;Projections!$AG$11&amp;"!L"&amp;ROW(B159))</f>
        <v>1.837808</v>
      </c>
      <c r="Y178" s="144">
        <f t="array" ref="Y178">INDIRECT("Update"&amp;Projections!$AG$11&amp;"!N"&amp;ROW(B159))</f>
        <v>3.693288</v>
      </c>
      <c r="Z178" s="144">
        <f t="array" ref="Z178">INDIRECT("Update"&amp;Projections!$AG$11&amp;"!O"&amp;ROW(B159))</f>
        <v>1.716164</v>
      </c>
      <c r="AA178" s="144">
        <f t="array" ref="AA178">INDIRECT("Update"&amp;Projections!$AG$11&amp;"!P"&amp;ROW(B159))</f>
        <v>0.784247</v>
      </c>
      <c r="AB178" s="144">
        <f t="array" ref="AB178">INDIRECT("Update"&amp;Projections!$AG$11&amp;"!Q"&amp;ROW(B159))</f>
        <v>0.235753</v>
      </c>
      <c r="AC178" s="166">
        <f t="array" ref="AC178">INDIRECT("Update"&amp;Projections!$AG$11&amp;"!I"&amp;ROW(B159))</f>
        <v>0.492403</v>
      </c>
      <c r="AD178" s="166">
        <f t="array" ref="AD178">INDIRECT("Update"&amp;Projections!$AG$11&amp;"!K"&amp;ROW(B159))</f>
        <v>0.822977</v>
      </c>
      <c r="AE178" s="144">
        <f t="array" ref="AE178">INDIRECT("Update"&amp;Projections!$AG$11&amp;"!R"&amp;ROW(B159))</f>
        <v>0.894521</v>
      </c>
      <c r="AF178" s="144">
        <f t="shared" si="7"/>
        <v>-0.781793031</v>
      </c>
      <c r="AG178" s="144">
        <f t="shared" si="8"/>
        <v>0.06592232181</v>
      </c>
      <c r="AH178" s="144">
        <f t="shared" si="9"/>
        <v>-0.9863094846</v>
      </c>
      <c r="AI178" s="144">
        <f t="shared" si="10"/>
        <v>-1.036009472</v>
      </c>
      <c r="AJ178" s="144">
        <f t="shared" si="11"/>
        <v>-0.7951463857</v>
      </c>
      <c r="AK178" s="144">
        <f t="shared" si="12"/>
        <v>-0.898941255</v>
      </c>
      <c r="AL178" s="144">
        <f t="shared" si="13"/>
        <v>-0.0411151174</v>
      </c>
      <c r="AM178" s="144">
        <f t="shared" si="14"/>
        <v>0.4590208828</v>
      </c>
      <c r="AN178" s="144">
        <f t="shared" si="15"/>
        <v>0</v>
      </c>
      <c r="AO178" s="167">
        <f t="shared" si="16"/>
        <v>-1.036009472</v>
      </c>
      <c r="AP178" s="167">
        <f t="shared" si="17"/>
        <v>-2.022318956</v>
      </c>
      <c r="AQ178" s="167">
        <f t="array" ref="AQ178">INDIRECT("Update"&amp;Projections!$AG$11&amp;"!S"&amp;ROW(B159))</f>
        <v>0.492403</v>
      </c>
      <c r="AR178" s="167">
        <f t="array" ref="AR178">INDIRECT("Update"&amp;Projections!$AG$11&amp;"!T"&amp;ROW(B159))</f>
        <v>0.822977</v>
      </c>
    </row>
    <row r="179">
      <c r="A179" s="50" t="str">
        <f>IF(UpdateHashtag!C177="",ROW(UpdateHashtag!C177),UpdateHashtag!C177)</f>
        <v>Jaime Jaquez Jr.</v>
      </c>
      <c r="B179" s="53">
        <f>IF(TYPE($A179)=1,"",(UpdateHashtag!M177-B$1)/B$2)</f>
        <v>-0.9253910545</v>
      </c>
      <c r="C179" s="53">
        <f>IF(TYPE($A179)=1,"",(UpdateHashtag!L177-C$1)/C$2)</f>
        <v>-0.8398440047</v>
      </c>
      <c r="D179" s="53">
        <f>IF(TYPE($A179)=1,"",(UpdateHashtag!N177-D$1)/D$2)</f>
        <v>-0.9430533905</v>
      </c>
      <c r="E179" s="53">
        <f>IF(TYPE($A179)=1,"",(UpdateHashtag!O177-E$1)/E$2)</f>
        <v>-0.6042427726</v>
      </c>
      <c r="F179" s="53">
        <f>IF(TYPE($A179)=1,"",(UpdateHashtag!P177-F$1)/F$2)</f>
        <v>-0.1376973632</v>
      </c>
      <c r="G179" s="53">
        <f>IF(TYPE($A179)=1,"",(UpdateHashtag!Q177-G$1)/G$2)</f>
        <v>-0.7821407085</v>
      </c>
      <c r="H179" s="53">
        <f>IF(TYPE($A179)=1,"",(UpdateHashtag!I177-H$1)/H$2*I179/$I$1)</f>
        <v>-1.72723664</v>
      </c>
      <c r="I179" s="53">
        <f>UpdateHashtag!S177</f>
        <v>9.3</v>
      </c>
      <c r="J179" s="58">
        <f>IF(TYPE($A179)=1,"",(UpdateHashtag!K177-J$1)/J$2*K179/$K$1)</f>
        <v>0.8799536691</v>
      </c>
      <c r="K179" s="59">
        <f>UpdateHashtag!T177</f>
        <v>2.3</v>
      </c>
      <c r="L179" s="53">
        <f>IF(TYPE($A179)=1,"",-(UpdateHashtag!R177-L$1)/L$2)</f>
        <v>0.2466595634</v>
      </c>
      <c r="N179" s="106">
        <f t="shared" si="3"/>
        <v>-2.114559677</v>
      </c>
      <c r="O179" s="106">
        <f t="shared" si="4"/>
        <v>150</v>
      </c>
      <c r="P179" s="163" t="str">
        <f t="array" ref="P179">INDIRECT("Update"&amp;Projections!$AG$11&amp;"!B"&amp;ROW(B160))</f>
        <v/>
      </c>
      <c r="Q179" s="164" t="str">
        <f t="array" ref="Q179">INDIRECT("Update"&amp;Projections!$AG$11&amp;"!C"&amp;ROW(B160))</f>
        <v>Jabari Smith Jr.</v>
      </c>
      <c r="R179" s="163">
        <f>UpdateBBM!F160</f>
        <v>70</v>
      </c>
      <c r="S179" s="165" t="str">
        <f t="array" ref="S179">INDIRECT("Update"&amp;Projections!$AG$11&amp;"!D"&amp;ROW(B160))</f>
        <v>F</v>
      </c>
      <c r="T179" s="144">
        <f t="shared" si="5"/>
        <v>-1.861685159</v>
      </c>
      <c r="U179" s="144">
        <f>SUM(AF179:AN179)-IFERROR(IFS(Projections!$I$11,AO179,Projections!$J$11,AP179),"")</f>
        <v>-2.016910238</v>
      </c>
      <c r="V179" s="144">
        <f t="shared" si="6"/>
        <v>-0.1552250785</v>
      </c>
      <c r="W179" s="144">
        <f t="array" ref="W179">INDIRECT("Update"&amp;Projections!$AG$11&amp;"!M"&amp;ROW(B160))</f>
        <v>13.27057</v>
      </c>
      <c r="X179" s="144">
        <f t="array" ref="X179">INDIRECT("Update"&amp;Projections!$AG$11&amp;"!L"&amp;ROW(B160))</f>
        <v>1.990571</v>
      </c>
      <c r="Y179" s="144">
        <f t="array" ref="Y179">INDIRECT("Update"&amp;Projections!$AG$11&amp;"!N"&amp;ROW(B160))</f>
        <v>7.07</v>
      </c>
      <c r="Z179" s="144">
        <f t="array" ref="Z179">INDIRECT("Update"&amp;Projections!$AG$11&amp;"!O"&amp;ROW(B160))</f>
        <v>1.105143</v>
      </c>
      <c r="AA179" s="144">
        <f t="array" ref="AA179">INDIRECT("Update"&amp;Projections!$AG$11&amp;"!P"&amp;ROW(B160))</f>
        <v>0.468857</v>
      </c>
      <c r="AB179" s="144">
        <f t="array" ref="AB179">INDIRECT("Update"&amp;Projections!$AG$11&amp;"!Q"&amp;ROW(B160))</f>
        <v>0.530286</v>
      </c>
      <c r="AC179" s="166">
        <f t="array" ref="AC179">INDIRECT("Update"&amp;Projections!$AG$11&amp;"!I"&amp;ROW(B160))</f>
        <v>0.446872</v>
      </c>
      <c r="AD179" s="166">
        <f t="array" ref="AD179">INDIRECT("Update"&amp;Projections!$AG$11&amp;"!K"&amp;ROW(B160))</f>
        <v>0.820015</v>
      </c>
      <c r="AE179" s="144">
        <f t="array" ref="AE179">INDIRECT("Update"&amp;Projections!$AG$11&amp;"!R"&amp;ROW(B160))</f>
        <v>1.122714</v>
      </c>
      <c r="AF179" s="144">
        <f t="shared" si="7"/>
        <v>-0.6849346738</v>
      </c>
      <c r="AG179" s="144">
        <f t="shared" si="8"/>
        <v>0.2134659356</v>
      </c>
      <c r="AH179" s="144">
        <f t="shared" si="9"/>
        <v>0.3824529019</v>
      </c>
      <c r="AI179" s="144">
        <f t="shared" si="10"/>
        <v>-1.334502088</v>
      </c>
      <c r="AJ179" s="144">
        <f t="shared" si="11"/>
        <v>-1.756212267</v>
      </c>
      <c r="AK179" s="144">
        <f t="shared" si="12"/>
        <v>-0.363482551</v>
      </c>
      <c r="AL179" s="144">
        <f t="shared" si="13"/>
        <v>-0.6485190698</v>
      </c>
      <c r="AM179" s="144">
        <f t="shared" si="14"/>
        <v>0.4186093076</v>
      </c>
      <c r="AN179" s="144">
        <f t="shared" si="15"/>
        <v>0</v>
      </c>
      <c r="AO179" s="167">
        <f t="shared" si="16"/>
        <v>-1.756212267</v>
      </c>
      <c r="AP179" s="167">
        <f t="shared" si="17"/>
        <v>-3.090714356</v>
      </c>
      <c r="AQ179" s="167">
        <f t="array" ref="AQ179">INDIRECT("Update"&amp;Projections!$AG$11&amp;"!S"&amp;ROW(B160))</f>
        <v>0.446872</v>
      </c>
      <c r="AR179" s="167">
        <f t="array" ref="AR179">INDIRECT("Update"&amp;Projections!$AG$11&amp;"!T"&amp;ROW(B160))</f>
        <v>0.820015</v>
      </c>
    </row>
    <row r="180">
      <c r="A180" s="50" t="str">
        <f>IF(UpdateHashtag!C178="",ROW(UpdateHashtag!C178),UpdateHashtag!C178)</f>
        <v>Kevin Huerter</v>
      </c>
      <c r="B180" s="53">
        <f>IF(TYPE($A180)=1,"",(UpdateHashtag!M178-B$1)/B$2)</f>
        <v>-0.9078467933</v>
      </c>
      <c r="C180" s="53">
        <f>IF(TYPE($A180)=1,"",(UpdateHashtag!L178-C$1)/C$2)</f>
        <v>0.415739467</v>
      </c>
      <c r="D180" s="53">
        <f>IF(TYPE($A180)=1,"",(UpdateHashtag!N178-D$1)/D$2)</f>
        <v>-1.186265554</v>
      </c>
      <c r="E180" s="53">
        <f>IF(TYPE($A180)=1,"",(UpdateHashtag!O178-E$1)/E$2)</f>
        <v>-0.6042427726</v>
      </c>
      <c r="F180" s="53">
        <f>IF(TYPE($A180)=1,"",(UpdateHashtag!P178-F$1)/F$2)</f>
        <v>-0.7471433709</v>
      </c>
      <c r="G180" s="53">
        <f>IF(TYPE($A180)=1,"",(UpdateHashtag!Q178-G$1)/G$2)</f>
        <v>-0.7821407085</v>
      </c>
      <c r="H180" s="53">
        <f>IF(TYPE($A180)=1,"",(UpdateHashtag!I178-H$1)/H$2*I180/$I$1)</f>
        <v>-7.757322387</v>
      </c>
      <c r="I180" s="53">
        <f>UpdateHashtag!S178</f>
        <v>9.5</v>
      </c>
      <c r="J180" s="58">
        <f>IF(TYPE($A180)=1,"",(UpdateHashtag!K178-J$1)/J$2*K180/$K$1)</f>
        <v>-0.7281494037</v>
      </c>
      <c r="K180" s="59">
        <f>UpdateHashtag!T178</f>
        <v>1.2</v>
      </c>
      <c r="L180" s="53">
        <f>IF(TYPE($A180)=1,"",-(UpdateHashtag!R178-L$1)/L$2)</f>
        <v>0.7426238329</v>
      </c>
      <c r="N180" s="106">
        <f t="shared" si="3"/>
        <v>-2.173753403</v>
      </c>
      <c r="O180" s="106">
        <f t="shared" si="4"/>
        <v>77</v>
      </c>
      <c r="P180" s="163" t="str">
        <f t="array" ref="P180">INDIRECT("Update"&amp;Projections!$AG$11&amp;"!B"&amp;ROW(B161))</f>
        <v/>
      </c>
      <c r="Q180" s="164" t="str">
        <f t="array" ref="Q180">INDIRECT("Update"&amp;Projections!$AG$11&amp;"!C"&amp;ROW(B161))</f>
        <v>Adem Bona</v>
      </c>
      <c r="R180" s="163">
        <f>UpdateBBM!F161</f>
        <v>66</v>
      </c>
      <c r="S180" s="165" t="str">
        <f t="array" ref="S180">INDIRECT("Update"&amp;Projections!$AG$11&amp;"!D"&amp;ROW(B161))</f>
        <v>C</v>
      </c>
      <c r="T180" s="144">
        <f t="shared" si="5"/>
        <v>0.8120745123</v>
      </c>
      <c r="U180" s="144">
        <f>SUM(AF180:AN180)-IFERROR(IFS(Projections!$I$11,AO180,Projections!$J$11,AP180),"")</f>
        <v>0.7513864231</v>
      </c>
      <c r="V180" s="144">
        <f t="shared" si="6"/>
        <v>-0.06068808921</v>
      </c>
      <c r="W180" s="144">
        <f t="array" ref="W180">INDIRECT("Update"&amp;Projections!$AG$11&amp;"!M"&amp;ROW(B161))</f>
        <v>8.162424</v>
      </c>
      <c r="X180" s="144">
        <f t="array" ref="X180">INDIRECT("Update"&amp;Projections!$AG$11&amp;"!L"&amp;ROW(B161))</f>
        <v>0.008182</v>
      </c>
      <c r="Y180" s="144">
        <f t="array" ref="Y180">INDIRECT("Update"&amp;Projections!$AG$11&amp;"!N"&amp;ROW(B161))</f>
        <v>5.944091</v>
      </c>
      <c r="Z180" s="144">
        <f t="array" ref="Z180">INDIRECT("Update"&amp;Projections!$AG$11&amp;"!O"&amp;ROW(B161))</f>
        <v>0.619848</v>
      </c>
      <c r="AA180" s="144">
        <f t="array" ref="AA180">INDIRECT("Update"&amp;Projections!$AG$11&amp;"!P"&amp;ROW(B161))</f>
        <v>0.629697</v>
      </c>
      <c r="AB180" s="144">
        <f t="array" ref="AB180">INDIRECT("Update"&amp;Projections!$AG$11&amp;"!Q"&amp;ROW(B161))</f>
        <v>1.733182</v>
      </c>
      <c r="AC180" s="166">
        <f t="array" ref="AC180">INDIRECT("Update"&amp;Projections!$AG$11&amp;"!I"&amp;ROW(B161))</f>
        <v>0.713611</v>
      </c>
      <c r="AD180" s="166">
        <f t="array" ref="AD180">INDIRECT("Update"&amp;Projections!$AG$11&amp;"!K"&amp;ROW(B161))</f>
        <v>0.670027</v>
      </c>
      <c r="AE180" s="144">
        <f t="array" ref="AE180">INDIRECT("Update"&amp;Projections!$AG$11&amp;"!R"&amp;ROW(B161))</f>
        <v>1.503939</v>
      </c>
      <c r="AF180" s="144">
        <f t="shared" si="7"/>
        <v>-1.58112115</v>
      </c>
      <c r="AG180" s="144">
        <f t="shared" si="8"/>
        <v>-1.701191651</v>
      </c>
      <c r="AH180" s="144">
        <f t="shared" si="9"/>
        <v>-0.07393837154</v>
      </c>
      <c r="AI180" s="144">
        <f t="shared" si="10"/>
        <v>-1.571575731</v>
      </c>
      <c r="AJ180" s="144">
        <f t="shared" si="11"/>
        <v>-1.266095788</v>
      </c>
      <c r="AK180" s="144">
        <f t="shared" si="12"/>
        <v>1.823373024</v>
      </c>
      <c r="AL180" s="144">
        <f t="shared" si="13"/>
        <v>4.682391415</v>
      </c>
      <c r="AM180" s="144">
        <f t="shared" si="14"/>
        <v>-1.261646976</v>
      </c>
      <c r="AN180" s="144">
        <f t="shared" si="15"/>
        <v>0</v>
      </c>
      <c r="AO180" s="167">
        <f t="shared" si="16"/>
        <v>-1.701191651</v>
      </c>
      <c r="AP180" s="167">
        <f t="shared" si="17"/>
        <v>-3.282312802</v>
      </c>
      <c r="AQ180" s="167">
        <f t="array" ref="AQ180">INDIRECT("Update"&amp;Projections!$AG$11&amp;"!S"&amp;ROW(B161))</f>
        <v>0.713611</v>
      </c>
      <c r="AR180" s="167">
        <f t="array" ref="AR180">INDIRECT("Update"&amp;Projections!$AG$11&amp;"!T"&amp;ROW(B161))</f>
        <v>0.670027</v>
      </c>
    </row>
    <row r="181">
      <c r="A181" s="50" t="str">
        <f>IF(UpdateHashtag!C179="",ROW(UpdateHashtag!C179),UpdateHashtag!C179)</f>
        <v>Lonzo Ball</v>
      </c>
      <c r="B181" s="53">
        <f>IF(TYPE($A181)=1,"",(UpdateHashtag!M179-B$1)/B$2)</f>
        <v>-1.679794286</v>
      </c>
      <c r="C181" s="53">
        <f>IF(TYPE($A181)=1,"",(UpdateHashtag!L179-C$1)/C$2)</f>
        <v>0.02940609112</v>
      </c>
      <c r="D181" s="53">
        <f>IF(TYPE($A181)=1,"",(UpdateHashtag!N179-D$1)/D$2)</f>
        <v>-1.186265554</v>
      </c>
      <c r="E181" s="53">
        <f>IF(TYPE($A181)=1,"",(UpdateHashtag!O179-E$1)/E$2)</f>
        <v>-0.1645797253</v>
      </c>
      <c r="F181" s="53">
        <f>IF(TYPE($A181)=1,"",(UpdateHashtag!P179-F$1)/F$2)</f>
        <v>0.1670256406</v>
      </c>
      <c r="G181" s="53">
        <f>IF(TYPE($A181)=1,"",(UpdateHashtag!Q179-G$1)/G$2)</f>
        <v>-0.4185422635</v>
      </c>
      <c r="H181" s="53">
        <f>IF(TYPE($A181)=1,"",(UpdateHashtag!I179-H$1)/H$2*I181/$I$1)</f>
        <v>-13.87744912</v>
      </c>
      <c r="I181" s="53">
        <f>UpdateHashtag!S179</f>
        <v>6.4</v>
      </c>
      <c r="J181" s="58">
        <f>IF(TYPE($A181)=1,"",(UpdateHashtag!K179-J$1)/J$2*K181/$K$1)</f>
        <v>-0.2156280289</v>
      </c>
      <c r="K181" s="59">
        <f>UpdateHashtag!T179</f>
        <v>0.5</v>
      </c>
      <c r="L181" s="53">
        <f>IF(TYPE($A181)=1,"",-(UpdateHashtag!R179-L$1)/L$2)</f>
        <v>0.3458524173</v>
      </c>
      <c r="N181" s="106">
        <f t="shared" si="3"/>
        <v>-2.177303973</v>
      </c>
      <c r="O181" s="106">
        <f t="shared" si="4"/>
        <v>127</v>
      </c>
      <c r="P181" s="163" t="str">
        <f t="array" ref="P181">INDIRECT("Update"&amp;Projections!$AG$11&amp;"!B"&amp;ROW(B162))</f>
        <v/>
      </c>
      <c r="Q181" s="164" t="str">
        <f t="array" ref="Q181">INDIRECT("Update"&amp;Projections!$AG$11&amp;"!C"&amp;ROW(B162))</f>
        <v>D'Angelo Russell</v>
      </c>
      <c r="R181" s="163">
        <f>UpdateBBM!F162</f>
        <v>73</v>
      </c>
      <c r="S181" s="165" t="str">
        <f t="array" ref="S181">INDIRECT("Update"&amp;Projections!$AG$11&amp;"!D"&amp;ROW(B162))</f>
        <v>G</v>
      </c>
      <c r="T181" s="144">
        <f t="shared" si="5"/>
        <v>-0.9404382326</v>
      </c>
      <c r="U181" s="144">
        <f>SUM(AF181:AN181)-IFERROR(IFS(Projections!$I$11,AO181,Projections!$J$11,AP181),"")</f>
        <v>-0.8693478714</v>
      </c>
      <c r="V181" s="144">
        <f t="shared" si="6"/>
        <v>0.07109036114</v>
      </c>
      <c r="W181" s="144">
        <f t="array" ref="W181">INDIRECT("Update"&amp;Projections!$AG$11&amp;"!M"&amp;ROW(B162))</f>
        <v>12.91973</v>
      </c>
      <c r="X181" s="144">
        <f t="array" ref="X181">INDIRECT("Update"&amp;Projections!$AG$11&amp;"!L"&amp;ROW(B162))</f>
        <v>2.306986</v>
      </c>
      <c r="Y181" s="144">
        <f t="array" ref="Y181">INDIRECT("Update"&amp;Projections!$AG$11&amp;"!N"&amp;ROW(B162))</f>
        <v>2.499726</v>
      </c>
      <c r="Z181" s="144">
        <f t="array" ref="Z181">INDIRECT("Update"&amp;Projections!$AG$11&amp;"!O"&amp;ROW(B162))</f>
        <v>5.635205</v>
      </c>
      <c r="AA181" s="144">
        <f t="array" ref="AA181">INDIRECT("Update"&amp;Projections!$AG$11&amp;"!P"&amp;ROW(B162))</f>
        <v>0.852192</v>
      </c>
      <c r="AB181" s="144">
        <f t="array" ref="AB181">INDIRECT("Update"&amp;Projections!$AG$11&amp;"!Q"&amp;ROW(B162))</f>
        <v>0.451918</v>
      </c>
      <c r="AC181" s="166">
        <f t="array" ref="AC181">INDIRECT("Update"&amp;Projections!$AG$11&amp;"!I"&amp;ROW(B162))</f>
        <v>0.418053</v>
      </c>
      <c r="AD181" s="166">
        <f t="array" ref="AD181">INDIRECT("Update"&amp;Projections!$AG$11&amp;"!K"&amp;ROW(B162))</f>
        <v>0.829013</v>
      </c>
      <c r="AE181" s="144">
        <f t="array" ref="AE181">INDIRECT("Update"&amp;Projections!$AG$11&amp;"!R"&amp;ROW(B162))</f>
        <v>2.035342</v>
      </c>
      <c r="AF181" s="144">
        <f t="shared" si="7"/>
        <v>-0.7464869598</v>
      </c>
      <c r="AG181" s="144">
        <f t="shared" si="8"/>
        <v>0.5190701234</v>
      </c>
      <c r="AH181" s="144">
        <f t="shared" si="9"/>
        <v>-1.470124146</v>
      </c>
      <c r="AI181" s="144">
        <f t="shared" si="10"/>
        <v>0.8784988715</v>
      </c>
      <c r="AJ181" s="144">
        <f t="shared" si="11"/>
        <v>-0.5881023407</v>
      </c>
      <c r="AK181" s="144">
        <f t="shared" si="12"/>
        <v>-0.5059549657</v>
      </c>
      <c r="AL181" s="144">
        <f t="shared" si="13"/>
        <v>-0.968611383</v>
      </c>
      <c r="AM181" s="144">
        <f t="shared" si="14"/>
        <v>0.5422387828</v>
      </c>
      <c r="AN181" s="144">
        <f t="shared" si="15"/>
        <v>0</v>
      </c>
      <c r="AO181" s="167">
        <f t="shared" si="16"/>
        <v>-1.470124146</v>
      </c>
      <c r="AP181" s="167">
        <f t="shared" si="17"/>
        <v>-2.438735529</v>
      </c>
      <c r="AQ181" s="167">
        <f t="array" ref="AQ181">INDIRECT("Update"&amp;Projections!$AG$11&amp;"!S"&amp;ROW(B162))</f>
        <v>0.418053</v>
      </c>
      <c r="AR181" s="167">
        <f t="array" ref="AR181">INDIRECT("Update"&amp;Projections!$AG$11&amp;"!T"&amp;ROW(B162))</f>
        <v>0.829013</v>
      </c>
    </row>
    <row r="182">
      <c r="A182" s="50" t="str">
        <f>IF(UpdateHashtag!C180="",ROW(UpdateHashtag!C180),UpdateHashtag!C180)</f>
        <v>Vince Williams Jr.</v>
      </c>
      <c r="B182" s="53">
        <f>IF(TYPE($A182)=1,"",(UpdateHashtag!M180-B$1)/B$2)</f>
        <v>-1.434174629</v>
      </c>
      <c r="C182" s="53">
        <f>IF(TYPE($A182)=1,"",(UpdateHashtag!L180-C$1)/C$2)</f>
        <v>-0.4535106288</v>
      </c>
      <c r="D182" s="53">
        <f>IF(TYPE($A182)=1,"",(UpdateHashtag!N180-D$1)/D$2)</f>
        <v>-0.5376997843</v>
      </c>
      <c r="E182" s="53">
        <f>IF(TYPE($A182)=1,"",(UpdateHashtag!O180-E$1)/E$2)</f>
        <v>-0.5065398732</v>
      </c>
      <c r="F182" s="53">
        <f>IF(TYPE($A182)=1,"",(UpdateHashtag!P180-F$1)/F$2)</f>
        <v>-0.7471433709</v>
      </c>
      <c r="G182" s="53">
        <f>IF(TYPE($A182)=1,"",(UpdateHashtag!Q180-G$1)/G$2)</f>
        <v>-0.236743041</v>
      </c>
      <c r="H182" s="53">
        <f>IF(TYPE($A182)=1,"",(UpdateHashtag!I180-H$1)/H$2*I182/$I$1)</f>
        <v>-8.164975536</v>
      </c>
      <c r="I182" s="53">
        <f>UpdateHashtag!S180</f>
        <v>6.6</v>
      </c>
      <c r="J182" s="58">
        <f>IF(TYPE($A182)=1,"",(UpdateHashtag!K180-J$1)/J$2*K182/$K$1)</f>
        <v>0.5018347211</v>
      </c>
      <c r="K182" s="59">
        <f>UpdateHashtag!T180</f>
        <v>2.1</v>
      </c>
      <c r="L182" s="53">
        <f>IF(TYPE($A182)=1,"",-(UpdateHashtag!R180-L$1)/L$2)</f>
        <v>0.2466595634</v>
      </c>
      <c r="N182" s="106">
        <f t="shared" si="3"/>
        <v>-2.201372517</v>
      </c>
      <c r="O182" s="106">
        <f t="shared" si="4"/>
        <v>166</v>
      </c>
      <c r="P182" s="163" t="str">
        <f t="array" ref="P182">INDIRECT("Update"&amp;Projections!$AG$11&amp;"!B"&amp;ROW(B163))</f>
        <v/>
      </c>
      <c r="Q182" s="164" t="str">
        <f t="array" ref="Q182">INDIRECT("Update"&amp;Projections!$AG$11&amp;"!C"&amp;ROW(B163))</f>
        <v>Davion Mitchell</v>
      </c>
      <c r="R182" s="163">
        <f>UpdateBBM!F163</f>
        <v>73</v>
      </c>
      <c r="S182" s="165" t="str">
        <f t="array" ref="S182">INDIRECT("Update"&amp;Projections!$AG$11&amp;"!D"&amp;ROW(B163))</f>
        <v>G</v>
      </c>
      <c r="T182" s="144">
        <f t="shared" si="5"/>
        <v>-2.267709179</v>
      </c>
      <c r="U182" s="144">
        <f>SUM(AF182:AN182)-IFERROR(IFS(Projections!$I$11,AO182,Projections!$J$11,AP182),"")</f>
        <v>-2.251072967</v>
      </c>
      <c r="V182" s="144">
        <f t="shared" si="6"/>
        <v>0.01663621215</v>
      </c>
      <c r="W182" s="144">
        <f t="array" ref="W182">INDIRECT("Update"&amp;Projections!$AG$11&amp;"!M"&amp;ROW(B163))</f>
        <v>8.566027</v>
      </c>
      <c r="X182" s="144">
        <f t="array" ref="X182">INDIRECT("Update"&amp;Projections!$AG$11&amp;"!L"&amp;ROW(B163))</f>
        <v>1.06137</v>
      </c>
      <c r="Y182" s="144">
        <f t="array" ref="Y182">INDIRECT("Update"&amp;Projections!$AG$11&amp;"!N"&amp;ROW(B163))</f>
        <v>2.817534</v>
      </c>
      <c r="Z182" s="144">
        <f t="array" ref="Z182">INDIRECT("Update"&amp;Projections!$AG$11&amp;"!O"&amp;ROW(B163))</f>
        <v>5.88</v>
      </c>
      <c r="AA182" s="144">
        <f t="array" ref="AA182">INDIRECT("Update"&amp;Projections!$AG$11&amp;"!P"&amp;ROW(B163))</f>
        <v>1.347534</v>
      </c>
      <c r="AB182" s="144">
        <f t="array" ref="AB182">INDIRECT("Update"&amp;Projections!$AG$11&amp;"!Q"&amp;ROW(B163))</f>
        <v>0.25137</v>
      </c>
      <c r="AC182" s="166">
        <f t="array" ref="AC182">INDIRECT("Update"&amp;Projections!$AG$11&amp;"!I"&amp;ROW(B163))</f>
        <v>0.470345</v>
      </c>
      <c r="AD182" s="166">
        <f t="array" ref="AD182">INDIRECT("Update"&amp;Projections!$AG$11&amp;"!K"&amp;ROW(B163))</f>
        <v>0.70604</v>
      </c>
      <c r="AE182" s="144">
        <f t="array" ref="AE182">INDIRECT("Update"&amp;Projections!$AG$11&amp;"!R"&amp;ROW(B163))</f>
        <v>1.815753</v>
      </c>
      <c r="AF182" s="144">
        <f t="shared" si="7"/>
        <v>-1.510311986</v>
      </c>
      <c r="AG182" s="144">
        <f t="shared" si="8"/>
        <v>-0.6839874625</v>
      </c>
      <c r="AH182" s="144">
        <f t="shared" si="9"/>
        <v>-1.341299527</v>
      </c>
      <c r="AI182" s="144">
        <f t="shared" si="10"/>
        <v>0.9980847778</v>
      </c>
      <c r="AJ182" s="144">
        <f t="shared" si="11"/>
        <v>0.9213186809</v>
      </c>
      <c r="AK182" s="144">
        <f t="shared" si="12"/>
        <v>-0.8705496704</v>
      </c>
      <c r="AL182" s="144">
        <f t="shared" si="13"/>
        <v>-0.3509323586</v>
      </c>
      <c r="AM182" s="144">
        <f t="shared" si="14"/>
        <v>-0.9237074071</v>
      </c>
      <c r="AN182" s="144">
        <f t="shared" si="15"/>
        <v>0</v>
      </c>
      <c r="AO182" s="167">
        <f t="shared" si="16"/>
        <v>-1.510311986</v>
      </c>
      <c r="AP182" s="167">
        <f t="shared" si="17"/>
        <v>-2.851611512</v>
      </c>
      <c r="AQ182" s="167">
        <f t="array" ref="AQ182">INDIRECT("Update"&amp;Projections!$AG$11&amp;"!S"&amp;ROW(B163))</f>
        <v>0.470345</v>
      </c>
      <c r="AR182" s="167">
        <f t="array" ref="AR182">INDIRECT("Update"&amp;Projections!$AG$11&amp;"!T"&amp;ROW(B163))</f>
        <v>0.70604</v>
      </c>
    </row>
    <row r="183">
      <c r="A183" s="50" t="str">
        <f>IF(UpdateHashtag!C181="",ROW(UpdateHashtag!C181),UpdateHashtag!C181)</f>
        <v>Gary Trent Jr.</v>
      </c>
      <c r="B183" s="53">
        <f>IF(TYPE($A183)=1,"",(UpdateHashtag!M181-B$1)/B$2)</f>
        <v>-0.4692402634</v>
      </c>
      <c r="C183" s="53">
        <f>IF(TYPE($A183)=1,"",(UpdateHashtag!L181-C$1)/C$2)</f>
        <v>0.608906155</v>
      </c>
      <c r="D183" s="53">
        <f>IF(TYPE($A183)=1,"",(UpdateHashtag!N181-D$1)/D$2)</f>
        <v>-1.470013079</v>
      </c>
      <c r="E183" s="53">
        <f>IF(TYPE($A183)=1,"",(UpdateHashtag!O181-E$1)/E$2)</f>
        <v>-1.09275727</v>
      </c>
      <c r="F183" s="53">
        <f>IF(TYPE($A183)=1,"",(UpdateHashtag!P181-F$1)/F$2)</f>
        <v>0.4717486444</v>
      </c>
      <c r="G183" s="53">
        <f>IF(TYPE($A183)=1,"",(UpdateHashtag!Q181-G$1)/G$2)</f>
        <v>-0.963939931</v>
      </c>
      <c r="H183" s="53">
        <f>IF(TYPE($A183)=1,"",(UpdateHashtag!I181-H$1)/H$2*I183/$I$1)</f>
        <v>-24.45378501</v>
      </c>
      <c r="I183" s="53">
        <f>UpdateHashtag!S181</f>
        <v>12.3</v>
      </c>
      <c r="J183" s="58">
        <f>IF(TYPE($A183)=1,"",(UpdateHashtag!K181-J$1)/J$2*K183/$K$1)</f>
        <v>0.1332109861</v>
      </c>
      <c r="K183" s="59">
        <f>UpdateHashtag!T181</f>
        <v>2.1</v>
      </c>
      <c r="L183" s="53">
        <f>IF(TYPE($A183)=1,"",-(UpdateHashtag!R181-L$1)/L$2)</f>
        <v>1.040202395</v>
      </c>
      <c r="N183" s="106">
        <f t="shared" si="3"/>
        <v>-2.209287546</v>
      </c>
      <c r="O183" s="106">
        <f t="shared" si="4"/>
        <v>165</v>
      </c>
      <c r="P183" s="163" t="str">
        <f t="array" ref="P183">INDIRECT("Update"&amp;Projections!$AG$11&amp;"!B"&amp;ROW(B164))</f>
        <v/>
      </c>
      <c r="Q183" s="164" t="str">
        <f t="array" ref="Q183">INDIRECT("Update"&amp;Projections!$AG$11&amp;"!C"&amp;ROW(B164))</f>
        <v>Bilal Coulibaly</v>
      </c>
      <c r="R183" s="163">
        <f>UpdateBBM!F164</f>
        <v>63</v>
      </c>
      <c r="S183" s="165" t="str">
        <f t="array" ref="S183">INDIRECT("Update"&amp;Projections!$AG$11&amp;"!D"&amp;ROW(B164))</f>
        <v>F</v>
      </c>
      <c r="T183" s="144">
        <f t="shared" si="5"/>
        <v>-2.240050529</v>
      </c>
      <c r="U183" s="144">
        <f>SUM(AF183:AN183)-IFERROR(IFS(Projections!$I$11,AO183,Projections!$J$11,AP183),"")</f>
        <v>-2.178157329</v>
      </c>
      <c r="V183" s="144">
        <f t="shared" si="6"/>
        <v>0.06189319973</v>
      </c>
      <c r="W183" s="144">
        <f t="array" ref="W183">INDIRECT("Update"&amp;Projections!$AG$11&amp;"!M"&amp;ROW(B164))</f>
        <v>12.67698</v>
      </c>
      <c r="X183" s="144">
        <f t="array" ref="X183">INDIRECT("Update"&amp;Projections!$AG$11&amp;"!L"&amp;ROW(B164))</f>
        <v>1.154444</v>
      </c>
      <c r="Y183" s="144">
        <f t="array" ref="Y183">INDIRECT("Update"&amp;Projections!$AG$11&amp;"!N"&amp;ROW(B164))</f>
        <v>4.989048</v>
      </c>
      <c r="Z183" s="144">
        <f t="array" ref="Z183">INDIRECT("Update"&amp;Projections!$AG$11&amp;"!O"&amp;ROW(B164))</f>
        <v>3.592063</v>
      </c>
      <c r="AA183" s="144">
        <f t="array" ref="AA183">INDIRECT("Update"&amp;Projections!$AG$11&amp;"!P"&amp;ROW(B164))</f>
        <v>1.194603</v>
      </c>
      <c r="AB183" s="144">
        <f t="array" ref="AB183">INDIRECT("Update"&amp;Projections!$AG$11&amp;"!Q"&amp;ROW(B164))</f>
        <v>0.666349</v>
      </c>
      <c r="AC183" s="166">
        <f t="array" ref="AC183">INDIRECT("Update"&amp;Projections!$AG$11&amp;"!I"&amp;ROW(B164))</f>
        <v>0.446249</v>
      </c>
      <c r="AD183" s="166">
        <f t="array" ref="AD183">INDIRECT("Update"&amp;Projections!$AG$11&amp;"!K"&amp;ROW(B164))</f>
        <v>0.729004</v>
      </c>
      <c r="AE183" s="144">
        <f t="array" ref="AE183">INDIRECT("Update"&amp;Projections!$AG$11&amp;"!R"&amp;ROW(B164))</f>
        <v>1.998254</v>
      </c>
      <c r="AF183" s="144">
        <f t="shared" si="7"/>
        <v>-0.7890756538</v>
      </c>
      <c r="AG183" s="144">
        <f t="shared" si="8"/>
        <v>-0.5940934809</v>
      </c>
      <c r="AH183" s="144">
        <f t="shared" si="9"/>
        <v>-0.4610684957</v>
      </c>
      <c r="AI183" s="144">
        <f t="shared" si="10"/>
        <v>-0.1196056151</v>
      </c>
      <c r="AJ183" s="144">
        <f t="shared" si="11"/>
        <v>0.4553027439</v>
      </c>
      <c r="AK183" s="144">
        <f t="shared" si="12"/>
        <v>-0.1161210749</v>
      </c>
      <c r="AL183" s="144">
        <f t="shared" si="13"/>
        <v>-0.6559664063</v>
      </c>
      <c r="AM183" s="144">
        <f t="shared" si="14"/>
        <v>-0.6866049999</v>
      </c>
      <c r="AN183" s="144">
        <f t="shared" si="15"/>
        <v>0</v>
      </c>
      <c r="AO183" s="167">
        <f t="shared" si="16"/>
        <v>-0.7890756538</v>
      </c>
      <c r="AP183" s="167">
        <f t="shared" si="17"/>
        <v>-1.475680654</v>
      </c>
      <c r="AQ183" s="167">
        <f t="array" ref="AQ183">INDIRECT("Update"&amp;Projections!$AG$11&amp;"!S"&amp;ROW(B164))</f>
        <v>0.446249</v>
      </c>
      <c r="AR183" s="167">
        <f t="array" ref="AR183">INDIRECT("Update"&amp;Projections!$AG$11&amp;"!T"&amp;ROW(B164))</f>
        <v>0.729004</v>
      </c>
    </row>
    <row r="184">
      <c r="A184" s="50" t="str">
        <f>IF(UpdateHashtag!C182="",ROW(UpdateHashtag!C182),UpdateHashtag!C182)</f>
        <v>Keldon Johnson</v>
      </c>
      <c r="B184" s="53">
        <f>IF(TYPE($A184)=1,"",(UpdateHashtag!M182-B$1)/B$2)</f>
        <v>-0.08326651713</v>
      </c>
      <c r="C184" s="53">
        <f>IF(TYPE($A184)=1,"",(UpdateHashtag!L182-C$1)/C$2)</f>
        <v>0.02940609112</v>
      </c>
      <c r="D184" s="53">
        <f>IF(TYPE($A184)=1,"",(UpdateHashtag!N182-D$1)/D$2)</f>
        <v>-0.5782351449</v>
      </c>
      <c r="E184" s="53">
        <f>IF(TYPE($A184)=1,"",(UpdateHashtag!O182-E$1)/E$2)</f>
        <v>-0.6042427726</v>
      </c>
      <c r="F184" s="53">
        <f>IF(TYPE($A184)=1,"",(UpdateHashtag!P182-F$1)/F$2)</f>
        <v>-1.051866375</v>
      </c>
      <c r="G184" s="53">
        <f>IF(TYPE($A184)=1,"",(UpdateHashtag!Q182-G$1)/G$2)</f>
        <v>-0.963939931</v>
      </c>
      <c r="H184" s="53">
        <f>IF(TYPE($A184)=1,"",(UpdateHashtag!I182-H$1)/H$2*I184/$I$1)</f>
        <v>-16.97990795</v>
      </c>
      <c r="I184" s="53">
        <f>UpdateHashtag!S182</f>
        <v>13.4</v>
      </c>
      <c r="J184" s="58">
        <f>IF(TYPE($A184)=1,"",(UpdateHashtag!K182-J$1)/J$2*K184/$K$1)</f>
        <v>0.5730488193</v>
      </c>
      <c r="K184" s="59">
        <f>UpdateHashtag!T182</f>
        <v>3.6</v>
      </c>
      <c r="L184" s="53">
        <f>IF(TYPE($A184)=1,"",-(UpdateHashtag!R182-L$1)/L$2)</f>
        <v>0.1474667095</v>
      </c>
      <c r="N184" s="106">
        <f t="shared" si="3"/>
        <v>-2.239299646</v>
      </c>
      <c r="O184" s="106">
        <f t="shared" si="4"/>
        <v>183</v>
      </c>
      <c r="P184" s="163" t="str">
        <f t="array" ref="P184">INDIRECT("Update"&amp;Projections!$AG$11&amp;"!B"&amp;ROW(B165))</f>
        <v/>
      </c>
      <c r="Q184" s="164" t="str">
        <f t="array" ref="Q184">INDIRECT("Update"&amp;Projections!$AG$11&amp;"!C"&amp;ROW(B165))</f>
        <v>Ryan Dunn</v>
      </c>
      <c r="R184" s="163">
        <f>UpdateBBM!F165</f>
        <v>73</v>
      </c>
      <c r="S184" s="165" t="str">
        <f t="array" ref="S184">INDIRECT("Update"&amp;Projections!$AG$11&amp;"!D"&amp;ROW(B165))</f>
        <v>F</v>
      </c>
      <c r="T184" s="144">
        <f t="shared" si="5"/>
        <v>-3.152521238</v>
      </c>
      <c r="U184" s="144">
        <f>SUM(AF184:AN184)-IFERROR(IFS(Projections!$I$11,AO184,Projections!$J$11,AP184),"")</f>
        <v>-3.404452901</v>
      </c>
      <c r="V184" s="144">
        <f t="shared" si="6"/>
        <v>-0.2519316636</v>
      </c>
      <c r="W184" s="144">
        <f t="array" ref="W184">INDIRECT("Update"&amp;Projections!$AG$11&amp;"!M"&amp;ROW(B165))</f>
        <v>9.960822</v>
      </c>
      <c r="X184" s="144">
        <f t="array" ref="X184">INDIRECT("Update"&amp;Projections!$AG$11&amp;"!L"&amp;ROW(B165))</f>
        <v>1.803288</v>
      </c>
      <c r="Y184" s="144">
        <f t="array" ref="Y184">INDIRECT("Update"&amp;Projections!$AG$11&amp;"!N"&amp;ROW(B165))</f>
        <v>5.737808</v>
      </c>
      <c r="Z184" s="144">
        <f t="array" ref="Z184">INDIRECT("Update"&amp;Projections!$AG$11&amp;"!O"&amp;ROW(B165))</f>
        <v>0.857945</v>
      </c>
      <c r="AA184" s="144">
        <f t="array" ref="AA184">INDIRECT("Update"&amp;Projections!$AG$11&amp;"!P"&amp;ROW(B165))</f>
        <v>1.286986</v>
      </c>
      <c r="AB184" s="144">
        <f t="array" ref="AB184">INDIRECT("Update"&amp;Projections!$AG$11&amp;"!Q"&amp;ROW(B165))</f>
        <v>0.677534</v>
      </c>
      <c r="AC184" s="166">
        <f t="array" ref="AC184">INDIRECT("Update"&amp;Projections!$AG$11&amp;"!I"&amp;ROW(B165))</f>
        <v>0.393764</v>
      </c>
      <c r="AD184" s="166">
        <f t="array" ref="AD184">INDIRECT("Update"&amp;Projections!$AG$11&amp;"!K"&amp;ROW(B165))</f>
        <v>0.518968</v>
      </c>
      <c r="AE184" s="144">
        <f t="array" ref="AE184">INDIRECT("Update"&amp;Projections!$AG$11&amp;"!R"&amp;ROW(B165))</f>
        <v>0.73274</v>
      </c>
      <c r="AF184" s="144">
        <f t="shared" si="7"/>
        <v>-1.265605508</v>
      </c>
      <c r="AG184" s="144">
        <f t="shared" si="8"/>
        <v>0.03258175147</v>
      </c>
      <c r="AH184" s="144">
        <f t="shared" si="9"/>
        <v>-0.1575559295</v>
      </c>
      <c r="AI184" s="144">
        <f t="shared" si="10"/>
        <v>-1.455261895</v>
      </c>
      <c r="AJ184" s="144">
        <f t="shared" si="11"/>
        <v>0.7368149965</v>
      </c>
      <c r="AK184" s="144">
        <f t="shared" si="12"/>
        <v>-0.09578683186</v>
      </c>
      <c r="AL184" s="144">
        <f t="shared" si="13"/>
        <v>-1.199639485</v>
      </c>
      <c r="AM184" s="144">
        <f t="shared" si="14"/>
        <v>-2.228209434</v>
      </c>
      <c r="AN184" s="144">
        <f t="shared" si="15"/>
        <v>0</v>
      </c>
      <c r="AO184" s="167">
        <f t="shared" si="16"/>
        <v>-2.228209434</v>
      </c>
      <c r="AP184" s="167">
        <f t="shared" si="17"/>
        <v>-3.683471329</v>
      </c>
      <c r="AQ184" s="167">
        <f t="array" ref="AQ184">INDIRECT("Update"&amp;Projections!$AG$11&amp;"!S"&amp;ROW(B165))</f>
        <v>0.393764</v>
      </c>
      <c r="AR184" s="167">
        <f t="array" ref="AR184">INDIRECT("Update"&amp;Projections!$AG$11&amp;"!T"&amp;ROW(B165))</f>
        <v>0.518968</v>
      </c>
    </row>
    <row r="185">
      <c r="A185" s="50" t="str">
        <f>IF(UpdateHashtag!C183="",ROW(UpdateHashtag!C183),UpdateHashtag!C183)</f>
        <v>Christian Braun</v>
      </c>
      <c r="B185" s="53">
        <f>IF(TYPE($A185)=1,"",(UpdateHashtag!M183-B$1)/B$2)</f>
        <v>-1.083289405</v>
      </c>
      <c r="C185" s="53">
        <f>IF(TYPE($A185)=1,"",(UpdateHashtag!L183-C$1)/C$2)</f>
        <v>-0.6466773167</v>
      </c>
      <c r="D185" s="53">
        <f>IF(TYPE($A185)=1,"",(UpdateHashtag!N183-D$1)/D$2)</f>
        <v>-0.2539522599</v>
      </c>
      <c r="E185" s="53">
        <f>IF(TYPE($A185)=1,"",(UpdateHashtag!O183-E$1)/E$2)</f>
        <v>-0.7996485715</v>
      </c>
      <c r="F185" s="53">
        <f>IF(TYPE($A185)=1,"",(UpdateHashtag!P183-F$1)/F$2)</f>
        <v>-0.442420367</v>
      </c>
      <c r="G185" s="53">
        <f>IF(TYPE($A185)=1,"",(UpdateHashtag!Q183-G$1)/G$2)</f>
        <v>-0.236743041</v>
      </c>
      <c r="H185" s="53">
        <f>IF(TYPE($A185)=1,"",(UpdateHashtag!I183-H$1)/H$2*I185/$I$1)</f>
        <v>-7.185730211</v>
      </c>
      <c r="I185" s="53">
        <f>UpdateHashtag!S183</f>
        <v>8.8</v>
      </c>
      <c r="J185" s="58">
        <f>IF(TYPE($A185)=1,"",(UpdateHashtag!K183-J$1)/J$2*K185/$K$1)</f>
        <v>-2.001973999</v>
      </c>
      <c r="K185" s="59">
        <f>UpdateHashtag!T183</f>
        <v>2.2</v>
      </c>
      <c r="L185" s="53">
        <f>IF(TYPE($A185)=1,"",-(UpdateHashtag!R183-L$1)/L$2)</f>
        <v>0.7426238329</v>
      </c>
      <c r="N185" s="106">
        <f t="shared" si="3"/>
        <v>-2.240050529</v>
      </c>
      <c r="O185" s="106">
        <f t="shared" si="4"/>
        <v>142</v>
      </c>
      <c r="P185" s="163" t="str">
        <f t="array" ref="P185">INDIRECT("Update"&amp;Projections!$AG$11&amp;"!B"&amp;ROW(B166))</f>
        <v/>
      </c>
      <c r="Q185" s="164" t="str">
        <f t="array" ref="Q185">INDIRECT("Update"&amp;Projections!$AG$11&amp;"!C"&amp;ROW(B166))</f>
        <v>Jerami Grant</v>
      </c>
      <c r="R185" s="163">
        <f>UpdateBBM!F166</f>
        <v>57</v>
      </c>
      <c r="S185" s="165" t="str">
        <f t="array" ref="S185">INDIRECT("Update"&amp;Projections!$AG$11&amp;"!D"&amp;ROW(B166))</f>
        <v>F</v>
      </c>
      <c r="T185" s="144">
        <f t="shared" si="5"/>
        <v>-1.532987902</v>
      </c>
      <c r="U185" s="144">
        <f>SUM(AF185:AN185)-IFERROR(IFS(Projections!$I$11,AO185,Projections!$J$11,AP185),"")</f>
        <v>-1.618363357</v>
      </c>
      <c r="V185" s="144">
        <f t="shared" si="6"/>
        <v>-0.08537545468</v>
      </c>
      <c r="W185" s="144">
        <f t="array" ref="W185">INDIRECT("Update"&amp;Projections!$AG$11&amp;"!M"&amp;ROW(B166))</f>
        <v>14.33965</v>
      </c>
      <c r="X185" s="144">
        <f t="array" ref="X185">INDIRECT("Update"&amp;Projections!$AG$11&amp;"!L"&amp;ROW(B166))</f>
        <v>2.362456</v>
      </c>
      <c r="Y185" s="144">
        <f t="array" ref="Y185">INDIRECT("Update"&amp;Projections!$AG$11&amp;"!N"&amp;ROW(B166))</f>
        <v>3.251228</v>
      </c>
      <c r="Z185" s="144">
        <f t="array" ref="Z185">INDIRECT("Update"&amp;Projections!$AG$11&amp;"!O"&amp;ROW(B166))</f>
        <v>1.784912</v>
      </c>
      <c r="AA185" s="144">
        <f t="array" ref="AA185">INDIRECT("Update"&amp;Projections!$AG$11&amp;"!P"&amp;ROW(B166))</f>
        <v>0.826842</v>
      </c>
      <c r="AB185" s="144">
        <f t="array" ref="AB185">INDIRECT("Update"&amp;Projections!$AG$11&amp;"!Q"&amp;ROW(B166))</f>
        <v>0.83</v>
      </c>
      <c r="AC185" s="166">
        <f t="array" ref="AC185">INDIRECT("Update"&amp;Projections!$AG$11&amp;"!I"&amp;ROW(B166))</f>
        <v>0.388123</v>
      </c>
      <c r="AD185" s="166">
        <f t="array" ref="AD185">INDIRECT("Update"&amp;Projections!$AG$11&amp;"!K"&amp;ROW(B166))</f>
        <v>0.858011</v>
      </c>
      <c r="AE185" s="144">
        <f t="array" ref="AE185">INDIRECT("Update"&amp;Projections!$AG$11&amp;"!R"&amp;ROW(B166))</f>
        <v>1.404386</v>
      </c>
      <c r="AF185" s="144">
        <f t="shared" si="7"/>
        <v>-0.4973724862</v>
      </c>
      <c r="AG185" s="144">
        <f t="shared" si="8"/>
        <v>0.5726449043</v>
      </c>
      <c r="AH185" s="144">
        <f t="shared" si="9"/>
        <v>-1.1655001</v>
      </c>
      <c r="AI185" s="144">
        <f t="shared" si="10"/>
        <v>-1.002425077</v>
      </c>
      <c r="AJ185" s="144">
        <f t="shared" si="11"/>
        <v>-0.6653496222</v>
      </c>
      <c r="AK185" s="144">
        <f t="shared" si="12"/>
        <v>0.1813951707</v>
      </c>
      <c r="AL185" s="144">
        <f t="shared" si="13"/>
        <v>-1.248222844</v>
      </c>
      <c r="AM185" s="144">
        <f t="shared" si="14"/>
        <v>0.9582438531</v>
      </c>
      <c r="AN185" s="144">
        <f t="shared" si="15"/>
        <v>0</v>
      </c>
      <c r="AO185" s="167">
        <f t="shared" si="16"/>
        <v>-1.248222844</v>
      </c>
      <c r="AP185" s="167">
        <f t="shared" si="17"/>
        <v>-2.413722944</v>
      </c>
      <c r="AQ185" s="167">
        <f t="array" ref="AQ185">INDIRECT("Update"&amp;Projections!$AG$11&amp;"!S"&amp;ROW(B166))</f>
        <v>0.388123</v>
      </c>
      <c r="AR185" s="167">
        <f t="array" ref="AR185">INDIRECT("Update"&amp;Projections!$AG$11&amp;"!T"&amp;ROW(B166))</f>
        <v>0.858011</v>
      </c>
    </row>
    <row r="186">
      <c r="A186" s="50" t="str">
        <f>IF(UpdateHashtag!C184="",ROW(UpdateHashtag!C184),UpdateHashtag!C184)</f>
        <v>Zaccharie Risacher</v>
      </c>
      <c r="B186" s="53">
        <f>IF(TYPE($A186)=1,"",(UpdateHashtag!M184-B$1)/B$2)</f>
        <v>-0.6271386142</v>
      </c>
      <c r="C186" s="53">
        <f>IF(TYPE($A186)=1,"",(UpdateHashtag!L184-C$1)/C$2)</f>
        <v>-0.3569272848</v>
      </c>
      <c r="D186" s="53">
        <f>IF(TYPE($A186)=1,"",(UpdateHashtag!N184-D$1)/D$2)</f>
        <v>-0.8214473087</v>
      </c>
      <c r="E186" s="53">
        <f>IF(TYPE($A186)=1,"",(UpdateHashtag!O184-E$1)/E$2)</f>
        <v>-1.141608719</v>
      </c>
      <c r="F186" s="53">
        <f>IF(TYPE($A186)=1,"",(UpdateHashtag!P184-F$1)/F$2)</f>
        <v>0.1670256406</v>
      </c>
      <c r="G186" s="53">
        <f>IF(TYPE($A186)=1,"",(UpdateHashtag!Q184-G$1)/G$2)</f>
        <v>-0.05494381853</v>
      </c>
      <c r="H186" s="53">
        <f>IF(TYPE($A186)=1,"",(UpdateHashtag!I184-H$1)/H$2*I186/$I$1)</f>
        <v>-14.52860767</v>
      </c>
      <c r="I186" s="53">
        <f>UpdateHashtag!S184</f>
        <v>11.2</v>
      </c>
      <c r="J186" s="58">
        <f>IF(TYPE($A186)=1,"",(UpdateHashtag!K184-J$1)/J$2*K186/$K$1)</f>
        <v>-2.145831924</v>
      </c>
      <c r="K186" s="59">
        <f>UpdateHashtag!T184</f>
        <v>2.8</v>
      </c>
      <c r="L186" s="53">
        <f>IF(TYPE($A186)=1,"",-(UpdateHashtag!R184-L$1)/L$2)</f>
        <v>0.1474667095</v>
      </c>
      <c r="N186" s="106">
        <f t="shared" si="3"/>
        <v>-2.267709179</v>
      </c>
      <c r="O186" s="106">
        <f t="shared" si="4"/>
        <v>172</v>
      </c>
      <c r="P186" s="163" t="str">
        <f t="array" ref="P186">INDIRECT("Update"&amp;Projections!$AG$11&amp;"!B"&amp;ROW(B167))</f>
        <v/>
      </c>
      <c r="Q186" s="164" t="str">
        <f t="array" ref="Q186">INDIRECT("Update"&amp;Projections!$AG$11&amp;"!C"&amp;ROW(B167))</f>
        <v>Josh Minott</v>
      </c>
      <c r="R186" s="163">
        <f>UpdateBBM!F167</f>
        <v>73</v>
      </c>
      <c r="S186" s="165" t="str">
        <f t="array" ref="S186">INDIRECT("Update"&amp;Projections!$AG$11&amp;"!D"&amp;ROW(B167))</f>
        <v>F</v>
      </c>
      <c r="T186" s="144">
        <f t="shared" si="5"/>
        <v>-2.412167099</v>
      </c>
      <c r="U186" s="144">
        <f>SUM(AF186:AN186)-IFERROR(IFS(Projections!$I$11,AO186,Projections!$J$11,AP186),"")</f>
        <v>-2.667869579</v>
      </c>
      <c r="V186" s="144">
        <f t="shared" si="6"/>
        <v>-0.2557024799</v>
      </c>
      <c r="W186" s="144">
        <f t="array" ref="W186">INDIRECT("Update"&amp;Projections!$AG$11&amp;"!M"&amp;ROW(B167))</f>
        <v>8.201096</v>
      </c>
      <c r="X186" s="144">
        <f t="array" ref="X186">INDIRECT("Update"&amp;Projections!$AG$11&amp;"!L"&amp;ROW(B167))</f>
        <v>1.034932</v>
      </c>
      <c r="Y186" s="144">
        <f t="array" ref="Y186">INDIRECT("Update"&amp;Projections!$AG$11&amp;"!N"&amp;ROW(B167))</f>
        <v>3.550959</v>
      </c>
      <c r="Z186" s="144">
        <f t="array" ref="Z186">INDIRECT("Update"&amp;Projections!$AG$11&amp;"!O"&amp;ROW(B167))</f>
        <v>1.153425</v>
      </c>
      <c r="AA186" s="144">
        <f t="array" ref="AA186">INDIRECT("Update"&amp;Projections!$AG$11&amp;"!P"&amp;ROW(B167))</f>
        <v>0.948493</v>
      </c>
      <c r="AB186" s="144">
        <f t="array" ref="AB186">INDIRECT("Update"&amp;Projections!$AG$11&amp;"!Q"&amp;ROW(B167))</f>
        <v>0.736301</v>
      </c>
      <c r="AC186" s="166">
        <f t="array" ref="AC186">INDIRECT("Update"&amp;Projections!$AG$11&amp;"!I"&amp;ROW(B167))</f>
        <v>0.492009</v>
      </c>
      <c r="AD186" s="166">
        <f t="array" ref="AD186">INDIRECT("Update"&amp;Projections!$AG$11&amp;"!K"&amp;ROW(B167))</f>
        <v>0.842129</v>
      </c>
      <c r="AE186" s="144">
        <f t="array" ref="AE186">INDIRECT("Update"&amp;Projections!$AG$11&amp;"!R"&amp;ROW(B167))</f>
        <v>0.717534</v>
      </c>
      <c r="AF186" s="144">
        <f t="shared" si="7"/>
        <v>-1.574336434</v>
      </c>
      <c r="AG186" s="144">
        <f t="shared" si="8"/>
        <v>-0.709522167</v>
      </c>
      <c r="AH186" s="144">
        <f t="shared" si="9"/>
        <v>-1.044003058</v>
      </c>
      <c r="AI186" s="144">
        <f t="shared" si="10"/>
        <v>-1.310915631</v>
      </c>
      <c r="AJ186" s="144">
        <f t="shared" si="11"/>
        <v>-0.2946510408</v>
      </c>
      <c r="AK186" s="144">
        <f t="shared" si="12"/>
        <v>0.01105111723</v>
      </c>
      <c r="AL186" s="144">
        <f t="shared" si="13"/>
        <v>-0.04690548125</v>
      </c>
      <c r="AM186" s="144">
        <f t="shared" si="14"/>
        <v>0.7270766819</v>
      </c>
      <c r="AN186" s="144">
        <f t="shared" si="15"/>
        <v>0</v>
      </c>
      <c r="AO186" s="167">
        <f t="shared" si="16"/>
        <v>-1.574336434</v>
      </c>
      <c r="AP186" s="167">
        <f t="shared" si="17"/>
        <v>-2.885252065</v>
      </c>
      <c r="AQ186" s="167">
        <f t="array" ref="AQ186">INDIRECT("Update"&amp;Projections!$AG$11&amp;"!S"&amp;ROW(B167))</f>
        <v>0.492009</v>
      </c>
      <c r="AR186" s="167">
        <f t="array" ref="AR186">INDIRECT("Update"&amp;Projections!$AG$11&amp;"!T"&amp;ROW(B167))</f>
        <v>0.842129</v>
      </c>
    </row>
    <row r="187">
      <c r="A187" s="50" t="str">
        <f>IF(UpdateHashtag!C185="",ROW(UpdateHashtag!C185),UpdateHashtag!C185)</f>
        <v>Jordan Clarkson</v>
      </c>
      <c r="B187" s="53">
        <f>IF(TYPE($A187)=1,"",(UpdateHashtag!M185-B$1)/B$2)</f>
        <v>0.03954331123</v>
      </c>
      <c r="C187" s="53">
        <f>IF(TYPE($A187)=1,"",(UpdateHashtag!L185-C$1)/C$2)</f>
        <v>0.1259894351</v>
      </c>
      <c r="D187" s="53">
        <f>IF(TYPE($A187)=1,"",(UpdateHashtag!N185-D$1)/D$2)</f>
        <v>-1.105194833</v>
      </c>
      <c r="E187" s="53">
        <f>IF(TYPE($A187)=1,"",(UpdateHashtag!O185-E$1)/E$2)</f>
        <v>0.2262318724</v>
      </c>
      <c r="F187" s="53">
        <f>IF(TYPE($A187)=1,"",(UpdateHashtag!P185-F$1)/F$2)</f>
        <v>-1.661312382</v>
      </c>
      <c r="G187" s="53">
        <f>IF(TYPE($A187)=1,"",(UpdateHashtag!Q185-G$1)/G$2)</f>
        <v>-0.963939931</v>
      </c>
      <c r="H187" s="53">
        <f>IF(TYPE($A187)=1,"",(UpdateHashtag!I185-H$1)/H$2*I187/$I$1)</f>
        <v>-27.95647842</v>
      </c>
      <c r="I187" s="53">
        <f>UpdateHashtag!S185</f>
        <v>14.5</v>
      </c>
      <c r="J187" s="58">
        <f>IF(TYPE($A187)=1,"",(UpdateHashtag!K185-J$1)/J$2*K187/$K$1)</f>
        <v>3.238030687</v>
      </c>
      <c r="K187" s="59">
        <f>UpdateHashtag!T185</f>
        <v>3.5</v>
      </c>
      <c r="L187" s="53">
        <f>IF(TYPE($A187)=1,"",-(UpdateHashtag!R185-L$1)/L$2)</f>
        <v>-0.8444618296</v>
      </c>
      <c r="N187" s="106">
        <f t="shared" si="3"/>
        <v>-2.2720898</v>
      </c>
      <c r="O187" s="106">
        <f t="shared" si="4"/>
        <v>181</v>
      </c>
      <c r="P187" s="163" t="str">
        <f t="array" ref="P187">INDIRECT("Update"&amp;Projections!$AG$11&amp;"!B"&amp;ROW(B168))</f>
        <v/>
      </c>
      <c r="Q187" s="164" t="str">
        <f t="array" ref="Q187">INDIRECT("Update"&amp;Projections!$AG$11&amp;"!C"&amp;ROW(B168))</f>
        <v>Wendell Carter Jr.</v>
      </c>
      <c r="R187" s="163">
        <f>UpdateBBM!F168</f>
        <v>68</v>
      </c>
      <c r="S187" s="165" t="str">
        <f t="array" ref="S187">INDIRECT("Update"&amp;Projections!$AG$11&amp;"!D"&amp;ROW(B168))</f>
        <v>C</v>
      </c>
      <c r="T187" s="144">
        <f t="shared" si="5"/>
        <v>-2.893819075</v>
      </c>
      <c r="U187" s="144">
        <f>SUM(AF187:AN187)-IFERROR(IFS(Projections!$I$11,AO187,Projections!$J$11,AP187),"")</f>
        <v>-3.026705923</v>
      </c>
      <c r="V187" s="144">
        <f t="shared" si="6"/>
        <v>-0.1328868478</v>
      </c>
      <c r="W187" s="144">
        <f t="array" ref="W187">INDIRECT("Update"&amp;Projections!$AG$11&amp;"!M"&amp;ROW(B168))</f>
        <v>8.797647</v>
      </c>
      <c r="X187" s="144">
        <f t="array" ref="X187">INDIRECT("Update"&amp;Projections!$AG$11&amp;"!L"&amp;ROW(B168))</f>
        <v>0.743676</v>
      </c>
      <c r="Y187" s="144">
        <f t="array" ref="Y187">INDIRECT("Update"&amp;Projections!$AG$11&amp;"!N"&amp;ROW(B168))</f>
        <v>7.166176</v>
      </c>
      <c r="Z187" s="144">
        <f t="array" ref="Z187">INDIRECT("Update"&amp;Projections!$AG$11&amp;"!O"&amp;ROW(B168))</f>
        <v>1.598676</v>
      </c>
      <c r="AA187" s="144">
        <f t="array" ref="AA187">INDIRECT("Update"&amp;Projections!$AG$11&amp;"!P"&amp;ROW(B168))</f>
        <v>0.831618</v>
      </c>
      <c r="AB187" s="144">
        <f t="array" ref="AB187">INDIRECT("Update"&amp;Projections!$AG$11&amp;"!Q"&amp;ROW(B168))</f>
        <v>0.716618</v>
      </c>
      <c r="AC187" s="166">
        <f t="array" ref="AC187">INDIRECT("Update"&amp;Projections!$AG$11&amp;"!I"&amp;ROW(B168))</f>
        <v>0.498602</v>
      </c>
      <c r="AD187" s="166">
        <f t="array" ref="AD187">INDIRECT("Update"&amp;Projections!$AG$11&amp;"!K"&amp;ROW(B168))</f>
        <v>0.72401</v>
      </c>
      <c r="AE187" s="144">
        <f t="array" ref="AE187">INDIRECT("Update"&amp;Projections!$AG$11&amp;"!R"&amp;ROW(B168))</f>
        <v>1.212794</v>
      </c>
      <c r="AF187" s="144">
        <f t="shared" si="7"/>
        <v>-1.469675968</v>
      </c>
      <c r="AG187" s="144">
        <f t="shared" si="8"/>
        <v>-0.9908269513</v>
      </c>
      <c r="AH187" s="144">
        <f t="shared" si="9"/>
        <v>0.4214381904</v>
      </c>
      <c r="AI187" s="144">
        <f t="shared" si="10"/>
        <v>-1.093404063</v>
      </c>
      <c r="AJ187" s="144">
        <f t="shared" si="11"/>
        <v>-0.6507960515</v>
      </c>
      <c r="AK187" s="144">
        <f t="shared" si="12"/>
        <v>-0.02473242374</v>
      </c>
      <c r="AL187" s="144">
        <f t="shared" si="13"/>
        <v>0.0512153139</v>
      </c>
      <c r="AM187" s="144">
        <f t="shared" si="14"/>
        <v>-0.7395999379</v>
      </c>
      <c r="AN187" s="144">
        <f t="shared" si="15"/>
        <v>0</v>
      </c>
      <c r="AO187" s="167">
        <f t="shared" si="16"/>
        <v>-1.469675968</v>
      </c>
      <c r="AP187" s="167">
        <f t="shared" si="17"/>
        <v>-2.563080031</v>
      </c>
      <c r="AQ187" s="167">
        <f t="array" ref="AQ187">INDIRECT("Update"&amp;Projections!$AG$11&amp;"!S"&amp;ROW(B168))</f>
        <v>0.498602</v>
      </c>
      <c r="AR187" s="167">
        <f t="array" ref="AR187">INDIRECT("Update"&amp;Projections!$AG$11&amp;"!T"&amp;ROW(B168))</f>
        <v>0.72401</v>
      </c>
    </row>
    <row r="188">
      <c r="A188" s="50" t="str">
        <f>IF(UpdateHashtag!C186="",ROW(UpdateHashtag!C186),UpdateHashtag!C186)</f>
        <v>Luke Kennard</v>
      </c>
      <c r="B188" s="53">
        <f>IF(TYPE($A188)=1,"",(UpdateHashtag!M186-B$1)/B$2)</f>
        <v>-1.118377928</v>
      </c>
      <c r="C188" s="53">
        <f>IF(TYPE($A188)=1,"",(UpdateHashtag!L186-C$1)/C$2)</f>
        <v>0.8986561869</v>
      </c>
      <c r="D188" s="53">
        <f>IF(TYPE($A188)=1,"",(UpdateHashtag!N186-D$1)/D$2)</f>
        <v>-1.267336276</v>
      </c>
      <c r="E188" s="53">
        <f>IF(TYPE($A188)=1,"",(UpdateHashtag!O186-E$1)/E$2)</f>
        <v>-0.6530942224</v>
      </c>
      <c r="F188" s="53">
        <f>IF(TYPE($A188)=1,"",(UpdateHashtag!P186-F$1)/F$2)</f>
        <v>-1.356589379</v>
      </c>
      <c r="G188" s="53">
        <f>IF(TYPE($A188)=1,"",(UpdateHashtag!Q186-G$1)/G$2)</f>
        <v>-1.145739154</v>
      </c>
      <c r="H188" s="53">
        <f>IF(TYPE($A188)=1,"",(UpdateHashtag!I186-H$1)/H$2*I188/$I$1)</f>
        <v>-5.362287976</v>
      </c>
      <c r="I188" s="53">
        <f>UpdateHashtag!S186</f>
        <v>7.7</v>
      </c>
      <c r="J188" s="58">
        <f>IF(TYPE($A188)=1,"",(UpdateHashtag!K186-J$1)/J$2*K188/$K$1)</f>
        <v>1.809249994</v>
      </c>
      <c r="K188" s="59">
        <f>UpdateHashtag!T186</f>
        <v>0.9</v>
      </c>
      <c r="L188" s="53">
        <f>IF(TYPE($A188)=1,"",-(UpdateHashtag!R186-L$1)/L$2)</f>
        <v>0.643430979</v>
      </c>
      <c r="N188" s="106">
        <f t="shared" si="3"/>
        <v>-2.289068176</v>
      </c>
      <c r="O188" s="106">
        <f t="shared" si="4"/>
        <v>168</v>
      </c>
      <c r="P188" s="163" t="str">
        <f t="array" ref="P188">INDIRECT("Update"&amp;Projections!$AG$11&amp;"!B"&amp;ROW(B169))</f>
        <v/>
      </c>
      <c r="Q188" s="164" t="str">
        <f t="array" ref="Q188">INDIRECT("Update"&amp;Projections!$AG$11&amp;"!C"&amp;ROW(B169))</f>
        <v>Dillon Brooks</v>
      </c>
      <c r="R188" s="163">
        <f>UpdateBBM!F169</f>
        <v>73</v>
      </c>
      <c r="S188" s="165" t="str">
        <f t="array" ref="S188">INDIRECT("Update"&amp;Projections!$AG$11&amp;"!D"&amp;ROW(B169))</f>
        <v>G,F</v>
      </c>
      <c r="T188" s="144">
        <f t="shared" si="5"/>
        <v>-2.289068176</v>
      </c>
      <c r="U188" s="144">
        <f>SUM(AF188:AN188)-IFERROR(IFS(Projections!$I$11,AO188,Projections!$J$11,AP188),"")</f>
        <v>-2.358036637</v>
      </c>
      <c r="V188" s="144">
        <f t="shared" si="6"/>
        <v>-0.06896846068</v>
      </c>
      <c r="W188" s="144">
        <f t="array" ref="W188">INDIRECT("Update"&amp;Projections!$AG$11&amp;"!M"&amp;ROW(B169))</f>
        <v>14.13068</v>
      </c>
      <c r="X188" s="144">
        <f t="array" ref="X188">INDIRECT("Update"&amp;Projections!$AG$11&amp;"!L"&amp;ROW(B169))</f>
        <v>2.45274</v>
      </c>
      <c r="Y188" s="144">
        <f t="array" ref="Y188">INDIRECT("Update"&amp;Projections!$AG$11&amp;"!N"&amp;ROW(B169))</f>
        <v>3.452603</v>
      </c>
      <c r="Z188" s="144">
        <f t="array" ref="Z188">INDIRECT("Update"&amp;Projections!$AG$11&amp;"!O"&amp;ROW(B169))</f>
        <v>2.685342</v>
      </c>
      <c r="AA188" s="144">
        <f t="array" ref="AA188">INDIRECT("Update"&amp;Projections!$AG$11&amp;"!P"&amp;ROW(B169))</f>
        <v>0.959041</v>
      </c>
      <c r="AB188" s="144">
        <f t="array" ref="AB188">INDIRECT("Update"&amp;Projections!$AG$11&amp;"!Q"&amp;ROW(B169))</f>
        <v>0.192192</v>
      </c>
      <c r="AC188" s="166">
        <f t="array" ref="AC188">INDIRECT("Update"&amp;Projections!$AG$11&amp;"!I"&amp;ROW(B169))</f>
        <v>0.429553</v>
      </c>
      <c r="AD188" s="166">
        <f t="array" ref="AD188">INDIRECT("Update"&amp;Projections!$AG$11&amp;"!K"&amp;ROW(B169))</f>
        <v>0.801028</v>
      </c>
      <c r="AE188" s="144">
        <f t="array" ref="AE188">INDIRECT("Update"&amp;Projections!$AG$11&amp;"!R"&amp;ROW(B169))</f>
        <v>1.470548</v>
      </c>
      <c r="AF188" s="144">
        <f t="shared" si="7"/>
        <v>-0.5340347288</v>
      </c>
      <c r="AG188" s="144">
        <f t="shared" si="8"/>
        <v>0.6598442106</v>
      </c>
      <c r="AH188" s="144">
        <f t="shared" si="9"/>
        <v>-1.083872017</v>
      </c>
      <c r="AI188" s="144">
        <f t="shared" si="10"/>
        <v>-0.5625519684</v>
      </c>
      <c r="AJ188" s="144">
        <f t="shared" si="11"/>
        <v>-0.2625088584</v>
      </c>
      <c r="AK188" s="144">
        <f t="shared" si="12"/>
        <v>-0.9781348143</v>
      </c>
      <c r="AL188" s="144">
        <f t="shared" si="13"/>
        <v>-0.8468639933</v>
      </c>
      <c r="AM188" s="144">
        <f t="shared" si="14"/>
        <v>0.1662135155</v>
      </c>
      <c r="AN188" s="144">
        <f t="shared" si="15"/>
        <v>0</v>
      </c>
      <c r="AO188" s="167">
        <f t="shared" si="16"/>
        <v>-1.083872017</v>
      </c>
      <c r="AP188" s="167">
        <f t="shared" si="17"/>
        <v>-2.062006832</v>
      </c>
      <c r="AQ188" s="167">
        <f t="array" ref="AQ188">INDIRECT("Update"&amp;Projections!$AG$11&amp;"!S"&amp;ROW(B169))</f>
        <v>0.429553</v>
      </c>
      <c r="AR188" s="167">
        <f t="array" ref="AR188">INDIRECT("Update"&amp;Projections!$AG$11&amp;"!T"&amp;ROW(B169))</f>
        <v>0.801028</v>
      </c>
    </row>
    <row r="189">
      <c r="A189" s="50" t="str">
        <f>IF(UpdateHashtag!C187="",ROW(UpdateHashtag!C187),UpdateHashtag!C187)</f>
        <v>Andre Drummond</v>
      </c>
      <c r="B189" s="53">
        <f>IF(TYPE($A189)=1,"",(UpdateHashtag!M187-B$1)/B$2)</f>
        <v>-1.29382054</v>
      </c>
      <c r="C189" s="53">
        <f>IF(TYPE($A189)=1,"",(UpdateHashtag!L187-C$1)/C$2)</f>
        <v>-1.709094101</v>
      </c>
      <c r="D189" s="53">
        <f>IF(TYPE($A189)=1,"",(UpdateHashtag!N187-D$1)/D$2)</f>
        <v>1.813351132</v>
      </c>
      <c r="E189" s="53">
        <f>IF(TYPE($A189)=1,"",(UpdateHashtag!O187-E$1)/E$2)</f>
        <v>-1.581271767</v>
      </c>
      <c r="F189" s="53">
        <f>IF(TYPE($A189)=1,"",(UpdateHashtag!P187-F$1)/F$2)</f>
        <v>0.1670256406</v>
      </c>
      <c r="G189" s="53">
        <f>IF(TYPE($A189)=1,"",(UpdateHashtag!Q187-G$1)/G$2)</f>
        <v>-0.05494381853</v>
      </c>
      <c r="H189" s="53">
        <f>IF(TYPE($A189)=1,"",(UpdateHashtag!I187-H$1)/H$2*I189/$I$1)</f>
        <v>16.33684682</v>
      </c>
      <c r="I189" s="53">
        <f>UpdateHashtag!S187</f>
        <v>6.9</v>
      </c>
      <c r="J189" s="58">
        <f>IF(TYPE($A189)=1,"",(UpdateHashtag!K187-J$1)/J$2*K189/$K$1)</f>
        <v>-8.80986251</v>
      </c>
      <c r="K189" s="59">
        <f>UpdateHashtag!T187</f>
        <v>3</v>
      </c>
      <c r="L189" s="53">
        <f>IF(TYPE($A189)=1,"",-(UpdateHashtag!R187-L$1)/L$2)</f>
        <v>0.3458524173</v>
      </c>
      <c r="N189" s="106">
        <f t="shared" si="3"/>
        <v>-2.314296678</v>
      </c>
      <c r="O189" s="106">
        <f t="shared" si="4"/>
        <v>147</v>
      </c>
      <c r="P189" s="163" t="str">
        <f t="array" ref="P189">INDIRECT("Update"&amp;Projections!$AG$11&amp;"!B"&amp;ROW(B170))</f>
        <v/>
      </c>
      <c r="Q189" s="164" t="str">
        <f t="array" ref="Q189">INDIRECT("Update"&amp;Projections!$AG$11&amp;"!C"&amp;ROW(B170))</f>
        <v>Sam Merrill</v>
      </c>
      <c r="R189" s="163">
        <f>UpdateBBM!F170</f>
        <v>73</v>
      </c>
      <c r="S189" s="165" t="str">
        <f t="array" ref="S189">INDIRECT("Update"&amp;Projections!$AG$11&amp;"!D"&amp;ROW(B170))</f>
        <v>G</v>
      </c>
      <c r="T189" s="144">
        <f t="shared" si="5"/>
        <v>-1.654921201</v>
      </c>
      <c r="U189" s="144">
        <f>SUM(AF189:AN189)-IFERROR(IFS(Projections!$I$11,AO189,Projections!$J$11,AP189),"")</f>
        <v>-1.957706313</v>
      </c>
      <c r="V189" s="144">
        <f t="shared" si="6"/>
        <v>-0.302785112</v>
      </c>
      <c r="W189" s="144">
        <f t="array" ref="W189">INDIRECT("Update"&amp;Projections!$AG$11&amp;"!M"&amp;ROW(B170))</f>
        <v>9.584795</v>
      </c>
      <c r="X189" s="144">
        <f t="array" ref="X189">INDIRECT("Update"&amp;Projections!$AG$11&amp;"!L"&amp;ROW(B170))</f>
        <v>2.766575</v>
      </c>
      <c r="Y189" s="144">
        <f t="array" ref="Y189">INDIRECT("Update"&amp;Projections!$AG$11&amp;"!N"&amp;ROW(B170))</f>
        <v>2.661781</v>
      </c>
      <c r="Z189" s="144">
        <f t="array" ref="Z189">INDIRECT("Update"&amp;Projections!$AG$11&amp;"!O"&amp;ROW(B170))</f>
        <v>1.973014</v>
      </c>
      <c r="AA189" s="144">
        <f t="array" ref="AA189">INDIRECT("Update"&amp;Projections!$AG$11&amp;"!P"&amp;ROW(B170))</f>
        <v>0.836849</v>
      </c>
      <c r="AB189" s="144">
        <f t="array" ref="AB189">INDIRECT("Update"&amp;Projections!$AG$11&amp;"!Q"&amp;ROW(B170))</f>
        <v>0.191644</v>
      </c>
      <c r="AC189" s="166">
        <f t="array" ref="AC189">INDIRECT("Update"&amp;Projections!$AG$11&amp;"!I"&amp;ROW(B170))</f>
        <v>0.421071</v>
      </c>
      <c r="AD189" s="166">
        <f t="array" ref="AD189">INDIRECT("Update"&amp;Projections!$AG$11&amp;"!K"&amp;ROW(B170))</f>
        <v>0.916133</v>
      </c>
      <c r="AE189" s="144">
        <f t="array" ref="AE189">INDIRECT("Update"&amp;Projections!$AG$11&amp;"!R"&amp;ROW(B170))</f>
        <v>0.527671</v>
      </c>
      <c r="AF189" s="144">
        <f t="shared" si="7"/>
        <v>-1.331576667</v>
      </c>
      <c r="AG189" s="144">
        <f t="shared" si="8"/>
        <v>0.9629565482</v>
      </c>
      <c r="AH189" s="144">
        <f t="shared" si="9"/>
        <v>-1.404434567</v>
      </c>
      <c r="AI189" s="144">
        <f t="shared" si="10"/>
        <v>-0.9105345231</v>
      </c>
      <c r="AJ189" s="144">
        <f t="shared" si="11"/>
        <v>-0.6348559912</v>
      </c>
      <c r="AK189" s="144">
        <f t="shared" si="12"/>
        <v>-0.979131074</v>
      </c>
      <c r="AL189" s="144">
        <f t="shared" si="13"/>
        <v>-0.9374296124</v>
      </c>
      <c r="AM189" s="144">
        <f t="shared" si="14"/>
        <v>1.872865007</v>
      </c>
      <c r="AN189" s="144">
        <f t="shared" si="15"/>
        <v>0</v>
      </c>
      <c r="AO189" s="167">
        <f t="shared" si="16"/>
        <v>-1.404434567</v>
      </c>
      <c r="AP189" s="167">
        <f t="shared" si="17"/>
        <v>-2.736011234</v>
      </c>
      <c r="AQ189" s="167">
        <f t="array" ref="AQ189">INDIRECT("Update"&amp;Projections!$AG$11&amp;"!S"&amp;ROW(B170))</f>
        <v>0.421071</v>
      </c>
      <c r="AR189" s="167">
        <f t="array" ref="AR189">INDIRECT("Update"&amp;Projections!$AG$11&amp;"!T"&amp;ROW(B170))</f>
        <v>0.916133</v>
      </c>
    </row>
    <row r="190">
      <c r="A190" s="50" t="str">
        <f>IF(UpdateHashtag!C188="",ROW(UpdateHashtag!C188),UpdateHashtag!C188)</f>
        <v>Cole Anthony</v>
      </c>
      <c r="B190" s="53">
        <f>IF(TYPE($A190)=1,"",(UpdateHashtag!M188-B$1)/B$2)</f>
        <v>-0.9955680992</v>
      </c>
      <c r="C190" s="53">
        <f>IF(TYPE($A190)=1,"",(UpdateHashtag!L188-C$1)/C$2)</f>
        <v>-0.4535106288</v>
      </c>
      <c r="D190" s="53">
        <f>IF(TYPE($A190)=1,"",(UpdateHashtag!N188-D$1)/D$2)</f>
        <v>-0.9025180299</v>
      </c>
      <c r="E190" s="53">
        <f>IF(TYPE($A190)=1,"",(UpdateHashtag!O188-E$1)/E$2)</f>
        <v>-0.3599855241</v>
      </c>
      <c r="F190" s="53">
        <f>IF(TYPE($A190)=1,"",(UpdateHashtag!P188-F$1)/F$2)</f>
        <v>-1.051866375</v>
      </c>
      <c r="G190" s="53">
        <f>IF(TYPE($A190)=1,"",(UpdateHashtag!Q188-G$1)/G$2)</f>
        <v>-0.4185422635</v>
      </c>
      <c r="H190" s="53">
        <f>IF(TYPE($A190)=1,"",(UpdateHashtag!I188-H$1)/H$2*I190/$I$1)</f>
        <v>-13.8376399</v>
      </c>
      <c r="I190" s="53">
        <f>UpdateHashtag!S188</f>
        <v>9</v>
      </c>
      <c r="J190" s="58">
        <f>IF(TYPE($A190)=1,"",(UpdateHashtag!K188-J$1)/J$2*K190/$K$1)</f>
        <v>2.778805281</v>
      </c>
      <c r="K190" s="59">
        <f>UpdateHashtag!T188</f>
        <v>2.6</v>
      </c>
      <c r="L190" s="53">
        <f>IF(TYPE($A190)=1,"",-(UpdateHashtag!R188-L$1)/L$2)</f>
        <v>0.3458524173</v>
      </c>
      <c r="N190" s="106">
        <f t="shared" si="3"/>
        <v>-2.326643611</v>
      </c>
      <c r="O190" s="106">
        <f t="shared" si="4"/>
        <v>176</v>
      </c>
      <c r="P190" s="163" t="str">
        <f t="array" ref="P190">INDIRECT("Update"&amp;Projections!$AG$11&amp;"!B"&amp;ROW(B171))</f>
        <v/>
      </c>
      <c r="Q190" s="164" t="str">
        <f t="array" ref="Q190">INDIRECT("Update"&amp;Projections!$AG$11&amp;"!C"&amp;ROW(B171))</f>
        <v>Ziaire Williams</v>
      </c>
      <c r="R190" s="163">
        <f>UpdateBBM!F171</f>
        <v>68</v>
      </c>
      <c r="S190" s="165" t="str">
        <f t="array" ref="S190">INDIRECT("Update"&amp;Projections!$AG$11&amp;"!D"&amp;ROW(B171))</f>
        <v>F</v>
      </c>
      <c r="T190" s="144">
        <f t="shared" si="5"/>
        <v>-2.567518083</v>
      </c>
      <c r="U190" s="144">
        <f>SUM(AF190:AN190)-IFERROR(IFS(Projections!$I$11,AO190,Projections!$J$11,AP190),"")</f>
        <v>-2.732496795</v>
      </c>
      <c r="V190" s="144">
        <f t="shared" si="6"/>
        <v>-0.1649787119</v>
      </c>
      <c r="W190" s="144">
        <f t="array" ref="W190">INDIRECT("Update"&amp;Projections!$AG$11&amp;"!M"&amp;ROW(B171))</f>
        <v>11.76338</v>
      </c>
      <c r="X190" s="144">
        <f t="array" ref="X190">INDIRECT("Update"&amp;Projections!$AG$11&amp;"!L"&amp;ROW(B171))</f>
        <v>2.120147</v>
      </c>
      <c r="Y190" s="144">
        <f t="array" ref="Y190">INDIRECT("Update"&amp;Projections!$AG$11&amp;"!N"&amp;ROW(B171))</f>
        <v>3.9</v>
      </c>
      <c r="Z190" s="144">
        <f t="array" ref="Z190">INDIRECT("Update"&amp;Projections!$AG$11&amp;"!O"&amp;ROW(B171))</f>
        <v>1.191618</v>
      </c>
      <c r="AA190" s="144">
        <f t="array" ref="AA190">INDIRECT("Update"&amp;Projections!$AG$11&amp;"!P"&amp;ROW(B171))</f>
        <v>0.975</v>
      </c>
      <c r="AB190" s="144">
        <f t="array" ref="AB190">INDIRECT("Update"&amp;Projections!$AG$11&amp;"!Q"&amp;ROW(B171))</f>
        <v>0.435882</v>
      </c>
      <c r="AC190" s="166">
        <f t="array" ref="AC190">INDIRECT("Update"&amp;Projections!$AG$11&amp;"!I"&amp;ROW(B171))</f>
        <v>0.420521</v>
      </c>
      <c r="AD190" s="166">
        <f t="array" ref="AD190">INDIRECT("Update"&amp;Projections!$AG$11&amp;"!K"&amp;ROW(B171))</f>
        <v>0.82399</v>
      </c>
      <c r="AE190" s="144">
        <f t="array" ref="AE190">INDIRECT("Update"&amp;Projections!$AG$11&amp;"!R"&amp;ROW(B171))</f>
        <v>1.083382</v>
      </c>
      <c r="AF190" s="144">
        <f t="shared" si="7"/>
        <v>-0.9493600241</v>
      </c>
      <c r="AG190" s="144">
        <f t="shared" si="8"/>
        <v>0.3386147694</v>
      </c>
      <c r="AH190" s="144">
        <f t="shared" si="9"/>
        <v>-0.9025180299</v>
      </c>
      <c r="AI190" s="144">
        <f t="shared" si="10"/>
        <v>-1.292257797</v>
      </c>
      <c r="AJ190" s="144">
        <f t="shared" si="11"/>
        <v>-0.2138781142</v>
      </c>
      <c r="AK190" s="144">
        <f t="shared" si="12"/>
        <v>-0.535108289</v>
      </c>
      <c r="AL190" s="144">
        <f t="shared" si="13"/>
        <v>-0.943152951</v>
      </c>
      <c r="AM190" s="144">
        <f t="shared" si="14"/>
        <v>0.4729058436</v>
      </c>
      <c r="AN190" s="144">
        <f t="shared" si="15"/>
        <v>0</v>
      </c>
      <c r="AO190" s="167">
        <f t="shared" si="16"/>
        <v>-1.292257797</v>
      </c>
      <c r="AP190" s="167">
        <f t="shared" si="17"/>
        <v>-2.241617821</v>
      </c>
      <c r="AQ190" s="167">
        <f t="array" ref="AQ190">INDIRECT("Update"&amp;Projections!$AG$11&amp;"!S"&amp;ROW(B171))</f>
        <v>0.420521</v>
      </c>
      <c r="AR190" s="167">
        <f t="array" ref="AR190">INDIRECT("Update"&amp;Projections!$AG$11&amp;"!T"&amp;ROW(B171))</f>
        <v>0.82399</v>
      </c>
    </row>
    <row r="191">
      <c r="A191" s="50" t="str">
        <f>IF(UpdateHashtag!C189="",ROW(UpdateHashtag!C189),UpdateHashtag!C189)</f>
        <v>Reed Sheppard</v>
      </c>
      <c r="B191" s="53">
        <f>IF(TYPE($A191)=1,"",(UpdateHashtag!M189-B$1)/B$2)</f>
        <v>-1.837692637</v>
      </c>
      <c r="C191" s="53">
        <f>IF(TYPE($A191)=1,"",(UpdateHashtag!L189-C$1)/C$2)</f>
        <v>-0.4535106288</v>
      </c>
      <c r="D191" s="53">
        <f>IF(TYPE($A191)=1,"",(UpdateHashtag!N189-D$1)/D$2)</f>
        <v>-1.470013079</v>
      </c>
      <c r="E191" s="53">
        <f>IF(TYPE($A191)=1,"",(UpdateHashtag!O189-E$1)/E$2)</f>
        <v>-0.7019456721</v>
      </c>
      <c r="F191" s="53">
        <f>IF(TYPE($A191)=1,"",(UpdateHashtag!P189-F$1)/F$2)</f>
        <v>0.7764716483</v>
      </c>
      <c r="G191" s="53">
        <f>IF(TYPE($A191)=1,"",(UpdateHashtag!Q189-G$1)/G$2)</f>
        <v>-0.600341486</v>
      </c>
      <c r="H191" s="53">
        <f>IF(TYPE($A191)=1,"",(UpdateHashtag!I189-H$1)/H$2*I191/$I$1)</f>
        <v>-3.342724972</v>
      </c>
      <c r="I191" s="53">
        <f>UpdateHashtag!S189</f>
        <v>4.8</v>
      </c>
      <c r="J191" s="58">
        <f>IF(TYPE($A191)=1,"",(UpdateHashtag!K189-J$1)/J$2*K191/$K$1)</f>
        <v>0.749616513</v>
      </c>
      <c r="K191" s="59">
        <f>UpdateHashtag!T189</f>
        <v>1</v>
      </c>
      <c r="L191" s="53">
        <f>IF(TYPE($A191)=1,"",-(UpdateHashtag!R189-L$1)/L$2)</f>
        <v>0.643430979</v>
      </c>
      <c r="N191" s="106">
        <f t="shared" si="3"/>
        <v>-2.364841751</v>
      </c>
      <c r="O191" s="106">
        <f t="shared" si="4"/>
        <v>149</v>
      </c>
      <c r="P191" s="163" t="str">
        <f t="array" ref="P191">INDIRECT("Update"&amp;Projections!$AG$11&amp;"!B"&amp;ROW(B172))</f>
        <v/>
      </c>
      <c r="Q191" s="164" t="str">
        <f t="array" ref="Q191">INDIRECT("Update"&amp;Projections!$AG$11&amp;"!C"&amp;ROW(B172))</f>
        <v>Isaiah Stewart</v>
      </c>
      <c r="R191" s="163">
        <f>UpdateBBM!F172</f>
        <v>73</v>
      </c>
      <c r="S191" s="165" t="str">
        <f t="array" ref="S191">INDIRECT("Update"&amp;Projections!$AG$11&amp;"!D"&amp;ROW(B172))</f>
        <v>C</v>
      </c>
      <c r="T191" s="144">
        <f t="shared" si="5"/>
        <v>-1.841686126</v>
      </c>
      <c r="U191" s="144">
        <f>SUM(AF191:AN191)-IFERROR(IFS(Projections!$I$11,AO191,Projections!$J$11,AP191),"")</f>
        <v>-2.035868702</v>
      </c>
      <c r="V191" s="144">
        <f t="shared" si="6"/>
        <v>-0.1941825759</v>
      </c>
      <c r="W191" s="144">
        <f t="array" ref="W191">INDIRECT("Update"&amp;Projections!$AG$11&amp;"!M"&amp;ROW(B172))</f>
        <v>6.928356</v>
      </c>
      <c r="X191" s="144">
        <f t="array" ref="X191">INDIRECT("Update"&amp;Projections!$AG$11&amp;"!L"&amp;ROW(B172))</f>
        <v>0.30411</v>
      </c>
      <c r="Y191" s="144">
        <f t="array" ref="Y191">INDIRECT("Update"&amp;Projections!$AG$11&amp;"!N"&amp;ROW(B172))</f>
        <v>5.647534</v>
      </c>
      <c r="Z191" s="144">
        <f t="array" ref="Z191">INDIRECT("Update"&amp;Projections!$AG$11&amp;"!O"&amp;ROW(B172))</f>
        <v>1.527671</v>
      </c>
      <c r="AA191" s="144">
        <f t="array" ref="AA191">INDIRECT("Update"&amp;Projections!$AG$11&amp;"!P"&amp;ROW(B172))</f>
        <v>0.375068</v>
      </c>
      <c r="AB191" s="144">
        <f t="array" ref="AB191">INDIRECT("Update"&amp;Projections!$AG$11&amp;"!Q"&amp;ROW(B172))</f>
        <v>1.573973</v>
      </c>
      <c r="AC191" s="166">
        <f t="array" ref="AC191">INDIRECT("Update"&amp;Projections!$AG$11&amp;"!I"&amp;ROW(B172))</f>
        <v>0.583253</v>
      </c>
      <c r="AD191" s="166">
        <f t="array" ref="AD191">INDIRECT("Update"&amp;Projections!$AG$11&amp;"!K"&amp;ROW(B172))</f>
        <v>0.739047</v>
      </c>
      <c r="AE191" s="144">
        <f t="array" ref="AE191">INDIRECT("Update"&amp;Projections!$AG$11&amp;"!R"&amp;ROW(B172))</f>
        <v>0.965616</v>
      </c>
      <c r="AF191" s="144">
        <f t="shared" si="7"/>
        <v>-1.797629263</v>
      </c>
      <c r="AG191" s="144">
        <f t="shared" si="8"/>
        <v>-1.415374493</v>
      </c>
      <c r="AH191" s="144">
        <f t="shared" si="9"/>
        <v>-0.1941488209</v>
      </c>
      <c r="AI191" s="144">
        <f t="shared" si="10"/>
        <v>-1.128091035</v>
      </c>
      <c r="AJ191" s="144">
        <f t="shared" si="11"/>
        <v>-2.042008925</v>
      </c>
      <c r="AK191" s="144">
        <f t="shared" si="12"/>
        <v>1.5339323</v>
      </c>
      <c r="AL191" s="144">
        <f t="shared" si="13"/>
        <v>1.543064206</v>
      </c>
      <c r="AM191" s="144">
        <f t="shared" si="14"/>
        <v>-0.5776215961</v>
      </c>
      <c r="AN191" s="144">
        <f t="shared" si="15"/>
        <v>0</v>
      </c>
      <c r="AO191" s="167">
        <f t="shared" si="16"/>
        <v>-2.042008925</v>
      </c>
      <c r="AP191" s="167">
        <f t="shared" si="17"/>
        <v>-3.839638189</v>
      </c>
      <c r="AQ191" s="167">
        <f t="array" ref="AQ191">INDIRECT("Update"&amp;Projections!$AG$11&amp;"!S"&amp;ROW(B172))</f>
        <v>0.583253</v>
      </c>
      <c r="AR191" s="167">
        <f t="array" ref="AR191">INDIRECT("Update"&amp;Projections!$AG$11&amp;"!T"&amp;ROW(B172))</f>
        <v>0.739047</v>
      </c>
    </row>
    <row r="192">
      <c r="A192" s="50" t="str">
        <f>IF(UpdateHashtag!C190="",ROW(UpdateHashtag!C190),UpdateHashtag!C190)</f>
        <v>Andrew Wiggins</v>
      </c>
      <c r="B192" s="53">
        <f>IF(TYPE($A192)=1,"",(UpdateHashtag!M190-B$1)/B$2)</f>
        <v>-0.4516960022</v>
      </c>
      <c r="C192" s="53">
        <f>IF(TYPE($A192)=1,"",(UpdateHashtag!L190-C$1)/C$2)</f>
        <v>-0.06717725286</v>
      </c>
      <c r="D192" s="53">
        <f>IF(TYPE($A192)=1,"",(UpdateHashtag!N190-D$1)/D$2)</f>
        <v>-0.5782351449</v>
      </c>
      <c r="E192" s="53">
        <f>IF(TYPE($A192)=1,"",(UpdateHashtag!O190-E$1)/E$2)</f>
        <v>-0.9462029206</v>
      </c>
      <c r="F192" s="53">
        <f>IF(TYPE($A192)=1,"",(UpdateHashtag!P190-F$1)/F$2)</f>
        <v>-0.7471433709</v>
      </c>
      <c r="G192" s="53">
        <f>IF(TYPE($A192)=1,"",(UpdateHashtag!Q190-G$1)/G$2)</f>
        <v>-0.236743041</v>
      </c>
      <c r="H192" s="53">
        <f>IF(TYPE($A192)=1,"",(UpdateHashtag!I190-H$1)/H$2*I192/$I$1)</f>
        <v>-12.42475043</v>
      </c>
      <c r="I192" s="53">
        <f>UpdateHashtag!S190</f>
        <v>12.1</v>
      </c>
      <c r="J192" s="58">
        <f>IF(TYPE($A192)=1,"",(UpdateHashtag!K190-J$1)/J$2*K192/$K$1)</f>
        <v>-2.949943032</v>
      </c>
      <c r="K192" s="59">
        <f>UpdateHashtag!T190</f>
        <v>2.4</v>
      </c>
      <c r="L192" s="53">
        <f>IF(TYPE($A192)=1,"",-(UpdateHashtag!R190-L$1)/L$2)</f>
        <v>0.4450452712</v>
      </c>
      <c r="N192" s="106">
        <f t="shared" si="3"/>
        <v>-2.412167099</v>
      </c>
      <c r="O192" s="106">
        <f t="shared" si="4"/>
        <v>146</v>
      </c>
      <c r="P192" s="163" t="str">
        <f t="array" ref="P192">INDIRECT("Update"&amp;Projections!$AG$11&amp;"!B"&amp;ROW(B173))</f>
        <v/>
      </c>
      <c r="Q192" s="164" t="str">
        <f t="array" ref="Q192">INDIRECT("Update"&amp;Projections!$AG$11&amp;"!C"&amp;ROW(B173))</f>
        <v>Chris Paul</v>
      </c>
      <c r="R192" s="163">
        <f>UpdateBBM!F173</f>
        <v>58</v>
      </c>
      <c r="S192" s="165" t="str">
        <f t="array" ref="S192">INDIRECT("Update"&amp;Projections!$AG$11&amp;"!D"&amp;ROW(B173))</f>
        <v>G</v>
      </c>
      <c r="T192" s="144">
        <f t="shared" si="5"/>
        <v>-1.629197567</v>
      </c>
      <c r="U192" s="144">
        <f>SUM(AF192:AN192)-IFERROR(IFS(Projections!$I$11,AO192,Projections!$J$11,AP192),"")</f>
        <v>-1.736995567</v>
      </c>
      <c r="V192" s="144">
        <f t="shared" si="6"/>
        <v>-0.1077979993</v>
      </c>
      <c r="W192" s="144">
        <f t="array" ref="W192">INDIRECT("Update"&amp;Projections!$AG$11&amp;"!M"&amp;ROW(B173))</f>
        <v>7.233966</v>
      </c>
      <c r="X192" s="144">
        <f t="array" ref="X192">INDIRECT("Update"&amp;Projections!$AG$11&amp;"!L"&amp;ROW(B173))</f>
        <v>1.517414</v>
      </c>
      <c r="Y192" s="144">
        <f t="array" ref="Y192">INDIRECT("Update"&amp;Projections!$AG$11&amp;"!N"&amp;ROW(B173))</f>
        <v>3.055517</v>
      </c>
      <c r="Z192" s="144">
        <f t="array" ref="Z192">INDIRECT("Update"&amp;Projections!$AG$11&amp;"!O"&amp;ROW(B173))</f>
        <v>5.043966</v>
      </c>
      <c r="AA192" s="144">
        <f t="array" ref="AA192">INDIRECT("Update"&amp;Projections!$AG$11&amp;"!P"&amp;ROW(B173))</f>
        <v>1.012241</v>
      </c>
      <c r="AB192" s="144">
        <f t="array" ref="AB192">INDIRECT("Update"&amp;Projections!$AG$11&amp;"!Q"&amp;ROW(B173))</f>
        <v>0.243448</v>
      </c>
      <c r="AC192" s="166">
        <f t="array" ref="AC192">INDIRECT("Update"&amp;Projections!$AG$11&amp;"!I"&amp;ROW(B173))</f>
        <v>0.424589</v>
      </c>
      <c r="AD192" s="166">
        <f t="array" ref="AD192">INDIRECT("Update"&amp;Projections!$AG$11&amp;"!K"&amp;ROW(B173))</f>
        <v>0.863995</v>
      </c>
      <c r="AE192" s="144">
        <f t="array" ref="AE192">INDIRECT("Update"&amp;Projections!$AG$11&amp;"!R"&amp;ROW(B173))</f>
        <v>1.313966</v>
      </c>
      <c r="AF192" s="144">
        <f t="shared" si="7"/>
        <v>-1.744012247</v>
      </c>
      <c r="AG192" s="144">
        <f t="shared" si="8"/>
        <v>-0.2435249173</v>
      </c>
      <c r="AH192" s="144">
        <f t="shared" si="9"/>
        <v>-1.244832259</v>
      </c>
      <c r="AI192" s="144">
        <f t="shared" si="10"/>
        <v>0.5896700487</v>
      </c>
      <c r="AJ192" s="144">
        <f t="shared" si="11"/>
        <v>-0.1003962203</v>
      </c>
      <c r="AK192" s="144">
        <f t="shared" si="12"/>
        <v>-0.8849518048</v>
      </c>
      <c r="AL192" s="144">
        <f t="shared" si="13"/>
        <v>-0.9003911512</v>
      </c>
      <c r="AM192" s="144">
        <f t="shared" si="14"/>
        <v>1.047430738</v>
      </c>
      <c r="AN192" s="144">
        <f t="shared" si="15"/>
        <v>0</v>
      </c>
      <c r="AO192" s="167">
        <f t="shared" si="16"/>
        <v>-1.744012247</v>
      </c>
      <c r="AP192" s="167">
        <f t="shared" si="17"/>
        <v>-2.988844506</v>
      </c>
      <c r="AQ192" s="167">
        <f t="array" ref="AQ192">INDIRECT("Update"&amp;Projections!$AG$11&amp;"!S"&amp;ROW(B173))</f>
        <v>0.424589</v>
      </c>
      <c r="AR192" s="167">
        <f t="array" ref="AR192">INDIRECT("Update"&amp;Projections!$AG$11&amp;"!T"&amp;ROW(B173))</f>
        <v>0.863995</v>
      </c>
    </row>
    <row r="193">
      <c r="A193" s="50" t="str">
        <f>IF(UpdateHashtag!C191="",ROW(UpdateHashtag!C191),UpdateHashtag!C191)</f>
        <v>Jarred Vanderbilt</v>
      </c>
      <c r="B193" s="53">
        <f>IF(TYPE($A193)=1,"",(UpdateHashtag!M191-B$1)/B$2)</f>
        <v>-1.679794286</v>
      </c>
      <c r="C193" s="53">
        <f>IF(TYPE($A193)=1,"",(UpdateHashtag!L191-C$1)/C$2)</f>
        <v>-1.322760725</v>
      </c>
      <c r="D193" s="53">
        <f>IF(TYPE($A193)=1,"",(UpdateHashtag!N191-D$1)/D$2)</f>
        <v>0.3946135101</v>
      </c>
      <c r="E193" s="53">
        <f>IF(TYPE($A193)=1,"",(UpdateHashtag!O191-E$1)/E$2)</f>
        <v>-0.7996485715</v>
      </c>
      <c r="F193" s="53">
        <f>IF(TYPE($A193)=1,"",(UpdateHashtag!P191-F$1)/F$2)</f>
        <v>0.4717486444</v>
      </c>
      <c r="G193" s="53">
        <f>IF(TYPE($A193)=1,"",(UpdateHashtag!Q191-G$1)/G$2)</f>
        <v>-0.7821407085</v>
      </c>
      <c r="H193" s="53">
        <f>IF(TYPE($A193)=1,"",(UpdateHashtag!I191-H$1)/H$2*I193/$I$1)</f>
        <v>7.875757318</v>
      </c>
      <c r="I193" s="53">
        <f>UpdateHashtag!S191</f>
        <v>5.6</v>
      </c>
      <c r="J193" s="58">
        <f>IF(TYPE($A193)=1,"",(UpdateHashtag!K191-J$1)/J$2*K193/$K$1)</f>
        <v>-2.713490515</v>
      </c>
      <c r="K193" s="59">
        <f>UpdateHashtag!T191</f>
        <v>1.7</v>
      </c>
      <c r="L193" s="53">
        <f>IF(TYPE($A193)=1,"",-(UpdateHashtag!R191-L$1)/L$2)</f>
        <v>0.5442381251</v>
      </c>
      <c r="N193" s="106">
        <f t="shared" si="3"/>
        <v>-2.427968308</v>
      </c>
      <c r="O193" s="106">
        <f t="shared" si="4"/>
        <v>174</v>
      </c>
      <c r="P193" s="163" t="str">
        <f t="array" ref="P193">INDIRECT("Update"&amp;Projections!$AG$11&amp;"!B"&amp;ROW(B174))</f>
        <v/>
      </c>
      <c r="Q193" s="164" t="str">
        <f t="array" ref="Q193">INDIRECT("Update"&amp;Projections!$AG$11&amp;"!C"&amp;ROW(B174))</f>
        <v>Ayo Dosunmu</v>
      </c>
      <c r="R193" s="163">
        <f>UpdateBBM!F174</f>
        <v>68</v>
      </c>
      <c r="S193" s="165" t="str">
        <f t="array" ref="S193">INDIRECT("Update"&amp;Projections!$AG$11&amp;"!D"&amp;ROW(B174))</f>
        <v>G,F</v>
      </c>
      <c r="T193" s="144">
        <f t="shared" si="5"/>
        <v>-2.469138806</v>
      </c>
      <c r="U193" s="144">
        <f>SUM(AF193:AN193)-IFERROR(IFS(Projections!$I$11,AO193,Projections!$J$11,AP193),"")</f>
        <v>-2.52558888</v>
      </c>
      <c r="V193" s="144">
        <f t="shared" si="6"/>
        <v>-0.05645007453</v>
      </c>
      <c r="W193" s="144">
        <f t="array" ref="W193">INDIRECT("Update"&amp;Projections!$AG$11&amp;"!M"&amp;ROW(B174))</f>
        <v>11.45897</v>
      </c>
      <c r="X193" s="144">
        <f t="array" ref="X193">INDIRECT("Update"&amp;Projections!$AG$11&amp;"!L"&amp;ROW(B174))</f>
        <v>1.364853</v>
      </c>
      <c r="Y193" s="144">
        <f t="array" ref="Y193">INDIRECT("Update"&amp;Projections!$AG$11&amp;"!N"&amp;ROW(B174))</f>
        <v>2.760294</v>
      </c>
      <c r="Z193" s="144">
        <f t="array" ref="Z193">INDIRECT("Update"&amp;Projections!$AG$11&amp;"!O"&amp;ROW(B174))</f>
        <v>3.603235</v>
      </c>
      <c r="AA193" s="144">
        <f t="array" ref="AA193">INDIRECT("Update"&amp;Projections!$AG$11&amp;"!P"&amp;ROW(B174))</f>
        <v>0.873824</v>
      </c>
      <c r="AB193" s="144">
        <f t="array" ref="AB193">INDIRECT("Update"&amp;Projections!$AG$11&amp;"!Q"&amp;ROW(B174))</f>
        <v>0.345</v>
      </c>
      <c r="AC193" s="166">
        <f t="array" ref="AC193">INDIRECT("Update"&amp;Projections!$AG$11&amp;"!I"&amp;ROW(B174))</f>
        <v>0.506948</v>
      </c>
      <c r="AD193" s="166">
        <f t="array" ref="AD193">INDIRECT("Update"&amp;Projections!$AG$11&amp;"!K"&amp;ROW(B174))</f>
        <v>0.790051</v>
      </c>
      <c r="AE193" s="144">
        <f t="array" ref="AE193">INDIRECT("Update"&amp;Projections!$AG$11&amp;"!R"&amp;ROW(B174))</f>
        <v>1.521029</v>
      </c>
      <c r="AF193" s="144">
        <f t="shared" si="7"/>
        <v>-1.00276651</v>
      </c>
      <c r="AG193" s="144">
        <f t="shared" si="8"/>
        <v>-0.3908734327</v>
      </c>
      <c r="AH193" s="144">
        <f t="shared" si="9"/>
        <v>-1.364501967</v>
      </c>
      <c r="AI193" s="144">
        <f t="shared" si="10"/>
        <v>-0.1141479312</v>
      </c>
      <c r="AJ193" s="144">
        <f t="shared" si="11"/>
        <v>-0.5221846605</v>
      </c>
      <c r="AK193" s="144">
        <f t="shared" si="12"/>
        <v>-0.7003310584</v>
      </c>
      <c r="AL193" s="144">
        <f t="shared" si="13"/>
        <v>0.1791706468</v>
      </c>
      <c r="AM193" s="144">
        <f t="shared" si="14"/>
        <v>0.02554406532</v>
      </c>
      <c r="AN193" s="144">
        <f t="shared" si="15"/>
        <v>0</v>
      </c>
      <c r="AO193" s="167">
        <f t="shared" si="16"/>
        <v>-1.364501967</v>
      </c>
      <c r="AP193" s="167">
        <f t="shared" si="17"/>
        <v>-2.367268477</v>
      </c>
      <c r="AQ193" s="167">
        <f t="array" ref="AQ193">INDIRECT("Update"&amp;Projections!$AG$11&amp;"!S"&amp;ROW(B174))</f>
        <v>0.506948</v>
      </c>
      <c r="AR193" s="167">
        <f t="array" ref="AR193">INDIRECT("Update"&amp;Projections!$AG$11&amp;"!T"&amp;ROW(B174))</f>
        <v>0.790051</v>
      </c>
    </row>
    <row r="194">
      <c r="A194" s="50" t="str">
        <f>IF(UpdateHashtag!C192="",ROW(UpdateHashtag!C192),UpdateHashtag!C192)</f>
        <v>Caleb Martin</v>
      </c>
      <c r="B194" s="53">
        <f>IF(TYPE($A194)=1,"",(UpdateHashtag!M192-B$1)/B$2)</f>
        <v>-1.171010711</v>
      </c>
      <c r="C194" s="53">
        <f>IF(TYPE($A194)=1,"",(UpdateHashtag!L192-C$1)/C$2)</f>
        <v>-0.4535106288</v>
      </c>
      <c r="D194" s="53">
        <f>IF(TYPE($A194)=1,"",(UpdateHashtag!N192-D$1)/D$2)</f>
        <v>-0.4971644236</v>
      </c>
      <c r="E194" s="53">
        <f>IF(TYPE($A194)=1,"",(UpdateHashtag!O192-E$1)/E$2)</f>
        <v>-0.8485000212</v>
      </c>
      <c r="F194" s="53">
        <f>IF(TYPE($A194)=1,"",(UpdateHashtag!P192-F$1)/F$2)</f>
        <v>-0.442420367</v>
      </c>
      <c r="G194" s="53">
        <f>IF(TYPE($A194)=1,"",(UpdateHashtag!Q192-G$1)/G$2)</f>
        <v>-0.4185422635</v>
      </c>
      <c r="H194" s="53">
        <f>IF(TYPE($A194)=1,"",(UpdateHashtag!I192-H$1)/H$2*I194/$I$1)</f>
        <v>-12.73708597</v>
      </c>
      <c r="I194" s="53">
        <f>UpdateHashtag!S192</f>
        <v>8.8</v>
      </c>
      <c r="J194" s="58">
        <f>IF(TYPE($A194)=1,"",(UpdateHashtag!K192-J$1)/J$2*K194/$K$1)</f>
        <v>0.2163500796</v>
      </c>
      <c r="K194" s="59">
        <f>UpdateHashtag!T192</f>
        <v>1.7</v>
      </c>
      <c r="L194" s="53">
        <f>IF(TYPE($A194)=1,"",-(UpdateHashtag!R192-L$1)/L$2)</f>
        <v>0.5442381251</v>
      </c>
      <c r="N194" s="106">
        <f t="shared" si="3"/>
        <v>-2.469138806</v>
      </c>
      <c r="O194" s="106">
        <f t="shared" si="4"/>
        <v>185</v>
      </c>
      <c r="P194" s="163" t="str">
        <f t="array" ref="P194">INDIRECT("Update"&amp;Projections!$AG$11&amp;"!B"&amp;ROW(B175))</f>
        <v/>
      </c>
      <c r="Q194" s="164" t="str">
        <f t="array" ref="Q194">INDIRECT("Update"&amp;Projections!$AG$11&amp;"!C"&amp;ROW(B175))</f>
        <v>Day'Ron Sharpe</v>
      </c>
      <c r="R194" s="163">
        <f>UpdateBBM!F175</f>
        <v>68</v>
      </c>
      <c r="S194" s="165" t="str">
        <f t="array" ref="S194">INDIRECT("Update"&amp;Projections!$AG$11&amp;"!D"&amp;ROW(B175))</f>
        <v>C</v>
      </c>
      <c r="T194" s="144">
        <f t="shared" si="5"/>
        <v>-3.241734832</v>
      </c>
      <c r="U194" s="144">
        <f>SUM(AF194:AN194)-IFERROR(IFS(Projections!$I$11,AO194,Projections!$J$11,AP194),"")</f>
        <v>-3.361274289</v>
      </c>
      <c r="V194" s="144">
        <f t="shared" si="6"/>
        <v>-0.1195394574</v>
      </c>
      <c r="W194" s="144">
        <f t="array" ref="W194">INDIRECT("Update"&amp;Projections!$AG$11&amp;"!M"&amp;ROW(B175))</f>
        <v>8.641471</v>
      </c>
      <c r="X194" s="144">
        <f t="array" ref="X194">INDIRECT("Update"&amp;Projections!$AG$11&amp;"!L"&amp;ROW(B175))</f>
        <v>0.304412</v>
      </c>
      <c r="Y194" s="144">
        <f t="array" ref="Y194">INDIRECT("Update"&amp;Projections!$AG$11&amp;"!N"&amp;ROW(B175))</f>
        <v>7.3625</v>
      </c>
      <c r="Z194" s="144">
        <f t="array" ref="Z194">INDIRECT("Update"&amp;Projections!$AG$11&amp;"!O"&amp;ROW(B175))</f>
        <v>1.903971</v>
      </c>
      <c r="AA194" s="144">
        <f t="array" ref="AA194">INDIRECT("Update"&amp;Projections!$AG$11&amp;"!P"&amp;ROW(B175))</f>
        <v>0.593824</v>
      </c>
      <c r="AB194" s="144">
        <f t="array" ref="AB194">INDIRECT("Update"&amp;Projections!$AG$11&amp;"!Q"&amp;ROW(B175))</f>
        <v>0.940735</v>
      </c>
      <c r="AC194" s="166">
        <f t="array" ref="AC194">INDIRECT("Update"&amp;Projections!$AG$11&amp;"!I"&amp;ROW(B175))</f>
        <v>0.529218</v>
      </c>
      <c r="AD194" s="166">
        <f t="array" ref="AD194">INDIRECT("Update"&amp;Projections!$AG$11&amp;"!K"&amp;ROW(B175))</f>
        <v>0.69295</v>
      </c>
      <c r="AE194" s="144">
        <f t="array" ref="AE194">INDIRECT("Update"&amp;Projections!$AG$11&amp;"!R"&amp;ROW(B175))</f>
        <v>1.266618</v>
      </c>
      <c r="AF194" s="144">
        <f t="shared" si="7"/>
        <v>-1.497075893</v>
      </c>
      <c r="AG194" s="144">
        <f t="shared" si="8"/>
        <v>-1.415082811</v>
      </c>
      <c r="AH194" s="144">
        <f t="shared" si="9"/>
        <v>0.5010188318</v>
      </c>
      <c r="AI194" s="144">
        <f t="shared" si="10"/>
        <v>-0.9442630295</v>
      </c>
      <c r="AJ194" s="144">
        <f t="shared" si="11"/>
        <v>-1.375409071</v>
      </c>
      <c r="AK194" s="144">
        <f t="shared" si="12"/>
        <v>0.3827105397</v>
      </c>
      <c r="AL194" s="144">
        <f t="shared" si="13"/>
        <v>0.5410811953</v>
      </c>
      <c r="AM194" s="144">
        <f t="shared" si="14"/>
        <v>-1.051329944</v>
      </c>
      <c r="AN194" s="144">
        <f t="shared" si="15"/>
        <v>0</v>
      </c>
      <c r="AO194" s="167">
        <f t="shared" si="16"/>
        <v>-1.497075893</v>
      </c>
      <c r="AP194" s="167">
        <f t="shared" si="17"/>
        <v>-2.912158705</v>
      </c>
      <c r="AQ194" s="167">
        <f t="array" ref="AQ194">INDIRECT("Update"&amp;Projections!$AG$11&amp;"!S"&amp;ROW(B175))</f>
        <v>0.529218</v>
      </c>
      <c r="AR194" s="167">
        <f t="array" ref="AR194">INDIRECT("Update"&amp;Projections!$AG$11&amp;"!T"&amp;ROW(B175))</f>
        <v>0.69295</v>
      </c>
    </row>
    <row r="195">
      <c r="A195" s="50" t="str">
        <f>IF(UpdateHashtag!C193="",ROW(UpdateHashtag!C193),UpdateHashtag!C193)</f>
        <v>Russell Westbrook</v>
      </c>
      <c r="B195" s="53">
        <f>IF(TYPE($A195)=1,"",(UpdateHashtag!M193-B$1)/B$2)</f>
        <v>-0.4166074798</v>
      </c>
      <c r="C195" s="53">
        <f>IF(TYPE($A195)=1,"",(UpdateHashtag!L193-C$1)/C$2)</f>
        <v>-0.7432606607</v>
      </c>
      <c r="D195" s="53">
        <f>IF(TYPE($A195)=1,"",(UpdateHashtag!N193-D$1)/D$2)</f>
        <v>-0.09181081739</v>
      </c>
      <c r="E195" s="53">
        <f>IF(TYPE($A195)=1,"",(UpdateHashtag!O193-E$1)/E$2)</f>
        <v>0.7635978192</v>
      </c>
      <c r="F195" s="53">
        <f>IF(TYPE($A195)=1,"",(UpdateHashtag!P193-F$1)/F$2)</f>
        <v>0.4717486444</v>
      </c>
      <c r="G195" s="53">
        <f>IF(TYPE($A195)=1,"",(UpdateHashtag!Q193-G$1)/G$2)</f>
        <v>-0.600341486</v>
      </c>
      <c r="H195" s="53">
        <f>IF(TYPE($A195)=1,"",(UpdateHashtag!I193-H$1)/H$2*I195/$I$1)</f>
        <v>-19.68019897</v>
      </c>
      <c r="I195" s="53">
        <f>UpdateHashtag!S193</f>
        <v>12.8</v>
      </c>
      <c r="J195" s="58">
        <f>IF(TYPE($A195)=1,"",(UpdateHashtag!K193-J$1)/J$2*K195/$K$1)</f>
        <v>-7.086704869</v>
      </c>
      <c r="K195" s="59">
        <f>UpdateHashtag!T193</f>
        <v>3.7</v>
      </c>
      <c r="L195" s="53">
        <f>IF(TYPE($A195)=1,"",-(UpdateHashtag!R193-L$1)/L$2)</f>
        <v>-1.340426099</v>
      </c>
      <c r="N195" s="106">
        <f t="shared" si="3"/>
        <v>-2.530993451</v>
      </c>
      <c r="O195" s="106">
        <f t="shared" si="4"/>
        <v>186</v>
      </c>
      <c r="P195" s="163" t="str">
        <f t="array" ref="P195">INDIRECT("Update"&amp;Projections!$AG$11&amp;"!B"&amp;ROW(B176))</f>
        <v/>
      </c>
      <c r="Q195" s="164" t="str">
        <f t="array" ref="Q195">INDIRECT("Update"&amp;Projections!$AG$11&amp;"!C"&amp;ROW(B176))</f>
        <v>Larry Nance Jr.</v>
      </c>
      <c r="R195" s="163">
        <f>UpdateBBM!F176</f>
        <v>59</v>
      </c>
      <c r="S195" s="165" t="str">
        <f t="array" ref="S195">INDIRECT("Update"&amp;Projections!$AG$11&amp;"!D"&amp;ROW(B176))</f>
        <v>F,C</v>
      </c>
      <c r="T195" s="144">
        <f t="shared" si="5"/>
        <v>-3.491714828</v>
      </c>
      <c r="U195" s="144">
        <f>SUM(AF195:AN195)-IFERROR(IFS(Projections!$I$11,AO195,Projections!$J$11,AP195),"")</f>
        <v>-3.731380551</v>
      </c>
      <c r="V195" s="144">
        <f t="shared" si="6"/>
        <v>-0.2396657232</v>
      </c>
      <c r="W195" s="144">
        <f t="array" ref="W195">INDIRECT("Update"&amp;Projections!$AG$11&amp;"!M"&amp;ROW(B176))</f>
        <v>7.270169</v>
      </c>
      <c r="X195" s="144">
        <f t="array" ref="X195">INDIRECT("Update"&amp;Projections!$AG$11&amp;"!L"&amp;ROW(B176))</f>
        <v>0.89322</v>
      </c>
      <c r="Y195" s="144">
        <f t="array" ref="Y195">INDIRECT("Update"&amp;Projections!$AG$11&amp;"!N"&amp;ROW(B176))</f>
        <v>4.767966</v>
      </c>
      <c r="Z195" s="144">
        <f t="array" ref="Z195">INDIRECT("Update"&amp;Projections!$AG$11&amp;"!O"&amp;ROW(B176))</f>
        <v>1.897966</v>
      </c>
      <c r="AA195" s="144">
        <f t="array" ref="AA195">INDIRECT("Update"&amp;Projections!$AG$11&amp;"!P"&amp;ROW(B176))</f>
        <v>1.030169</v>
      </c>
      <c r="AB195" s="144">
        <f t="array" ref="AB195">INDIRECT("Update"&amp;Projections!$AG$11&amp;"!Q"&amp;ROW(B176))</f>
        <v>0.413729</v>
      </c>
      <c r="AC195" s="166">
        <f t="array" ref="AC195">INDIRECT("Update"&amp;Projections!$AG$11&amp;"!I"&amp;ROW(B176))</f>
        <v>0.476707</v>
      </c>
      <c r="AD195" s="166">
        <f t="array" ref="AD195">INDIRECT("Update"&amp;Projections!$AG$11&amp;"!K"&amp;ROW(B176))</f>
        <v>0.745902</v>
      </c>
      <c r="AE195" s="144">
        <f t="array" ref="AE195">INDIRECT("Update"&amp;Projections!$AG$11&amp;"!R"&amp;ROW(B176))</f>
        <v>0.782203</v>
      </c>
      <c r="AF195" s="144">
        <f t="shared" si="7"/>
        <v>-1.737660698</v>
      </c>
      <c r="AG195" s="144">
        <f t="shared" si="8"/>
        <v>-0.8463923554</v>
      </c>
      <c r="AH195" s="144">
        <f t="shared" si="9"/>
        <v>-0.5506848817</v>
      </c>
      <c r="AI195" s="144">
        <f t="shared" si="10"/>
        <v>-0.9471965591</v>
      </c>
      <c r="AJ195" s="144">
        <f t="shared" si="11"/>
        <v>-0.04576548019</v>
      </c>
      <c r="AK195" s="144">
        <f t="shared" si="12"/>
        <v>-0.5753822708</v>
      </c>
      <c r="AL195" s="144">
        <f t="shared" si="13"/>
        <v>-0.2645741388</v>
      </c>
      <c r="AM195" s="144">
        <f t="shared" si="14"/>
        <v>-0.5013848652</v>
      </c>
      <c r="AN195" s="144">
        <f t="shared" si="15"/>
        <v>0</v>
      </c>
      <c r="AO195" s="167">
        <f t="shared" si="16"/>
        <v>-1.737660698</v>
      </c>
      <c r="AP195" s="167">
        <f t="shared" si="17"/>
        <v>-2.684857257</v>
      </c>
      <c r="AQ195" s="167">
        <f t="array" ref="AQ195">INDIRECT("Update"&amp;Projections!$AG$11&amp;"!S"&amp;ROW(B176))</f>
        <v>0.476707</v>
      </c>
      <c r="AR195" s="167">
        <f t="array" ref="AR195">INDIRECT("Update"&amp;Projections!$AG$11&amp;"!T"&amp;ROW(B176))</f>
        <v>0.745902</v>
      </c>
    </row>
    <row r="196">
      <c r="A196" s="50" t="str">
        <f>IF(UpdateHashtag!C194="",ROW(UpdateHashtag!C194),UpdateHashtag!C194)</f>
        <v>Malcolm Brogdon</v>
      </c>
      <c r="B196" s="53">
        <f>IF(TYPE($A196)=1,"",(UpdateHashtag!M194-B$1)/B$2)</f>
        <v>-0.8903025321</v>
      </c>
      <c r="C196" s="53">
        <f>IF(TYPE($A196)=1,"",(UpdateHashtag!L194-C$1)/C$2)</f>
        <v>-0.1637605968</v>
      </c>
      <c r="D196" s="53">
        <f>IF(TYPE($A196)=1,"",(UpdateHashtag!N194-D$1)/D$2)</f>
        <v>-1.186265554</v>
      </c>
      <c r="E196" s="53">
        <f>IF(TYPE($A196)=1,"",(UpdateHashtag!O194-E$1)/E$2)</f>
        <v>-0.1645797253</v>
      </c>
      <c r="F196" s="53">
        <f>IF(TYPE($A196)=1,"",(UpdateHashtag!P194-F$1)/F$2)</f>
        <v>-1.661312382</v>
      </c>
      <c r="G196" s="53">
        <f>IF(TYPE($A196)=1,"",(UpdateHashtag!Q194-G$1)/G$2)</f>
        <v>-0.963939931</v>
      </c>
      <c r="H196" s="53">
        <f>IF(TYPE($A196)=1,"",(UpdateHashtag!I194-H$1)/H$2*I196/$I$1)</f>
        <v>-8.065086703</v>
      </c>
      <c r="I196" s="53">
        <f>UpdateHashtag!S194</f>
        <v>9.2</v>
      </c>
      <c r="J196" s="58">
        <f>IF(TYPE($A196)=1,"",(UpdateHashtag!K194-J$1)/J$2*K196/$K$1)</f>
        <v>2.237957126</v>
      </c>
      <c r="K196" s="59">
        <f>UpdateHashtag!T194</f>
        <v>2.3</v>
      </c>
      <c r="L196" s="53">
        <f>IF(TYPE($A196)=1,"",-(UpdateHashtag!R194-L$1)/L$2)</f>
        <v>0.5442381251</v>
      </c>
      <c r="N196" s="106">
        <f t="shared" si="3"/>
        <v>-2.567518083</v>
      </c>
      <c r="O196" s="106">
        <f t="shared" si="4"/>
        <v>171</v>
      </c>
      <c r="P196" s="163" t="str">
        <f t="array" ref="P196">INDIRECT("Update"&amp;Projections!$AG$11&amp;"!B"&amp;ROW(B177))</f>
        <v/>
      </c>
      <c r="Q196" s="164" t="str">
        <f t="array" ref="Q196">INDIRECT("Update"&amp;Projections!$AG$11&amp;"!C"&amp;ROW(B177))</f>
        <v>Ben Sheppard</v>
      </c>
      <c r="R196" s="163">
        <f>UpdateBBM!F177</f>
        <v>73</v>
      </c>
      <c r="S196" s="165" t="str">
        <f t="array" ref="S196">INDIRECT("Update"&amp;Projections!$AG$11&amp;"!D"&amp;ROW(B177))</f>
        <v>G</v>
      </c>
      <c r="T196" s="144">
        <f t="shared" si="5"/>
        <v>-2.364841751</v>
      </c>
      <c r="U196" s="144">
        <f>SUM(AF196:AN196)-IFERROR(IFS(Projections!$I$11,AO196,Projections!$J$11,AP196),"")</f>
        <v>-2.623159946</v>
      </c>
      <c r="V196" s="144">
        <f t="shared" si="6"/>
        <v>-0.2583181955</v>
      </c>
      <c r="W196" s="144">
        <f t="array" ref="W196">INDIRECT("Update"&amp;Projections!$AG$11&amp;"!M"&amp;ROW(B177))</f>
        <v>8.527945</v>
      </c>
      <c r="X196" s="144">
        <f t="array" ref="X196">INDIRECT("Update"&amp;Projections!$AG$11&amp;"!L"&amp;ROW(B177))</f>
        <v>1.66726</v>
      </c>
      <c r="Y196" s="144">
        <f t="array" ref="Y196">INDIRECT("Update"&amp;Projections!$AG$11&amp;"!N"&amp;ROW(B177))</f>
        <v>4.04</v>
      </c>
      <c r="Z196" s="144">
        <f t="array" ref="Z196">INDIRECT("Update"&amp;Projections!$AG$11&amp;"!O"&amp;ROW(B177))</f>
        <v>2.171507</v>
      </c>
      <c r="AA196" s="144">
        <f t="array" ref="AA196">INDIRECT("Update"&amp;Projections!$AG$11&amp;"!P"&amp;ROW(B177))</f>
        <v>0.833562</v>
      </c>
      <c r="AB196" s="144">
        <f t="array" ref="AB196">INDIRECT("Update"&amp;Projections!$AG$11&amp;"!Q"&amp;ROW(B177))</f>
        <v>0.247671</v>
      </c>
      <c r="AC196" s="166">
        <f t="array" ref="AC196">INDIRECT("Update"&amp;Projections!$AG$11&amp;"!I"&amp;ROW(B177))</f>
        <v>0.437345</v>
      </c>
      <c r="AD196" s="166">
        <f t="array" ref="AD196">INDIRECT("Update"&amp;Projections!$AG$11&amp;"!K"&amp;ROW(B177))</f>
        <v>0.888018</v>
      </c>
      <c r="AE196" s="144">
        <f t="array" ref="AE196">INDIRECT("Update"&amp;Projections!$AG$11&amp;"!R"&amp;ROW(B177))</f>
        <v>0.706986</v>
      </c>
      <c r="AF196" s="144">
        <f t="shared" si="7"/>
        <v>-1.516993191</v>
      </c>
      <c r="AG196" s="144">
        <f t="shared" si="8"/>
        <v>-0.09879863968</v>
      </c>
      <c r="AH196" s="144">
        <f t="shared" si="9"/>
        <v>-0.845768525</v>
      </c>
      <c r="AI196" s="144">
        <f t="shared" si="10"/>
        <v>-0.813567815</v>
      </c>
      <c r="AJ196" s="144">
        <f t="shared" si="11"/>
        <v>-0.6448722363</v>
      </c>
      <c r="AK196" s="144">
        <f t="shared" si="12"/>
        <v>-0.8772744237</v>
      </c>
      <c r="AL196" s="144">
        <f t="shared" si="13"/>
        <v>-0.7598565153</v>
      </c>
      <c r="AM196" s="144">
        <f t="shared" si="14"/>
        <v>1.416978209</v>
      </c>
      <c r="AN196" s="144">
        <f t="shared" si="15"/>
        <v>0</v>
      </c>
      <c r="AO196" s="167">
        <f t="shared" si="16"/>
        <v>-1.516993191</v>
      </c>
      <c r="AP196" s="167">
        <f t="shared" si="17"/>
        <v>-2.394267615</v>
      </c>
      <c r="AQ196" s="167">
        <f t="array" ref="AQ196">INDIRECT("Update"&amp;Projections!$AG$11&amp;"!S"&amp;ROW(B177))</f>
        <v>0.437345</v>
      </c>
      <c r="AR196" s="167">
        <f t="array" ref="AR196">INDIRECT("Update"&amp;Projections!$AG$11&amp;"!T"&amp;ROW(B177))</f>
        <v>0.888018</v>
      </c>
    </row>
    <row r="197">
      <c r="A197" s="50" t="str">
        <f>IF(UpdateHashtag!C195="",ROW(UpdateHashtag!C195),UpdateHashtag!C195)</f>
        <v>Caris LeVert</v>
      </c>
      <c r="B197" s="53">
        <f>IF(TYPE($A197)=1,"",(UpdateHashtag!M195-B$1)/B$2)</f>
        <v>-0.8727582709</v>
      </c>
      <c r="C197" s="53">
        <f>IF(TYPE($A197)=1,"",(UpdateHashtag!L195-C$1)/C$2)</f>
        <v>-0.1637605968</v>
      </c>
      <c r="D197" s="53">
        <f>IF(TYPE($A197)=1,"",(UpdateHashtag!N195-D$1)/D$2)</f>
        <v>-0.9835887512</v>
      </c>
      <c r="E197" s="53">
        <f>IF(TYPE($A197)=1,"",(UpdateHashtag!O195-E$1)/E$2)</f>
        <v>0.1773804227</v>
      </c>
      <c r="F197" s="53">
        <f>IF(TYPE($A197)=1,"",(UpdateHashtag!P195-F$1)/F$2)</f>
        <v>-0.1376973632</v>
      </c>
      <c r="G197" s="53">
        <f>IF(TYPE($A197)=1,"",(UpdateHashtag!Q195-G$1)/G$2)</f>
        <v>-0.600341486</v>
      </c>
      <c r="H197" s="53">
        <f>IF(TYPE($A197)=1,"",(UpdateHashtag!I195-H$1)/H$2*I197/$I$1)</f>
        <v>-21.40578974</v>
      </c>
      <c r="I197" s="53">
        <f>UpdateHashtag!S195</f>
        <v>10.3</v>
      </c>
      <c r="J197" s="58">
        <f>IF(TYPE($A197)=1,"",(UpdateHashtag!K195-J$1)/J$2*K197/$K$1)</f>
        <v>-1.676555299</v>
      </c>
      <c r="K197" s="59">
        <f>UpdateHashtag!T195</f>
        <v>2.5</v>
      </c>
      <c r="L197" s="53">
        <f>IF(TYPE($A197)=1,"",-(UpdateHashtag!R195-L$1)/L$2)</f>
        <v>0.2466595634</v>
      </c>
      <c r="N197" s="106">
        <f t="shared" si="3"/>
        <v>-2.680170397</v>
      </c>
      <c r="O197" s="106">
        <f t="shared" si="4"/>
        <v>118</v>
      </c>
      <c r="P197" s="163" t="str">
        <f t="array" ref="P197">INDIRECT("Update"&amp;Projections!$AG$11&amp;"!B"&amp;ROW(B178))</f>
        <v/>
      </c>
      <c r="Q197" s="164" t="str">
        <f t="array" ref="Q197">INDIRECT("Update"&amp;Projections!$AG$11&amp;"!C"&amp;ROW(B178))</f>
        <v>Scoot Henderson</v>
      </c>
      <c r="R197" s="163">
        <f>UpdateBBM!F178</f>
        <v>51</v>
      </c>
      <c r="S197" s="165" t="str">
        <f t="array" ref="S197">INDIRECT("Update"&amp;Projections!$AG$11&amp;"!D"&amp;ROW(B178))</f>
        <v>G</v>
      </c>
      <c r="T197" s="144">
        <f t="shared" si="5"/>
        <v>-0.6834697755</v>
      </c>
      <c r="U197" s="144">
        <f>SUM(AF197:AN197)-IFERROR(IFS(Projections!$I$11,AO197,Projections!$J$11,AP197),"")</f>
        <v>-0.2982805308</v>
      </c>
      <c r="V197" s="144">
        <f t="shared" si="6"/>
        <v>0.3851892447</v>
      </c>
      <c r="W197" s="144">
        <f t="array" ref="W197">INDIRECT("Update"&amp;Projections!$AG$11&amp;"!M"&amp;ROW(B178))</f>
        <v>16.64647</v>
      </c>
      <c r="X197" s="144">
        <f t="array" ref="X197">INDIRECT("Update"&amp;Projections!$AG$11&amp;"!L"&amp;ROW(B178))</f>
        <v>2.28902</v>
      </c>
      <c r="Y197" s="144">
        <f t="array" ref="Y197">INDIRECT("Update"&amp;Projections!$AG$11&amp;"!N"&amp;ROW(B178))</f>
        <v>3.491373</v>
      </c>
      <c r="Z197" s="144">
        <f t="array" ref="Z197">INDIRECT("Update"&amp;Projections!$AG$11&amp;"!O"&amp;ROW(B178))</f>
        <v>6.531176</v>
      </c>
      <c r="AA197" s="144">
        <f t="array" ref="AA197">INDIRECT("Update"&amp;Projections!$AG$11&amp;"!P"&amp;ROW(B178))</f>
        <v>0.988039</v>
      </c>
      <c r="AB197" s="144">
        <f t="array" ref="AB197">INDIRECT("Update"&amp;Projections!$AG$11&amp;"!Q"&amp;ROW(B178))</f>
        <v>0.193529</v>
      </c>
      <c r="AC197" s="166">
        <f t="array" ref="AC197">INDIRECT("Update"&amp;Projections!$AG$11&amp;"!I"&amp;ROW(B178))</f>
        <v>0.433899</v>
      </c>
      <c r="AD197" s="166">
        <f t="array" ref="AD197">INDIRECT("Update"&amp;Projections!$AG$11&amp;"!K"&amp;ROW(B178))</f>
        <v>0.782023</v>
      </c>
      <c r="AE197" s="144">
        <f t="array" ref="AE197">INDIRECT("Update"&amp;Projections!$AG$11&amp;"!R"&amp;ROW(B178))</f>
        <v>3.301961</v>
      </c>
      <c r="AF197" s="144">
        <f t="shared" si="7"/>
        <v>-0.09265796015</v>
      </c>
      <c r="AG197" s="144">
        <f t="shared" si="8"/>
        <v>0.5017179598</v>
      </c>
      <c r="AH197" s="144">
        <f t="shared" si="9"/>
        <v>-1.068156458</v>
      </c>
      <c r="AI197" s="144">
        <f t="shared" si="10"/>
        <v>1.316193694</v>
      </c>
      <c r="AJ197" s="144">
        <f t="shared" si="11"/>
        <v>-0.1741452817</v>
      </c>
      <c r="AK197" s="144">
        <f t="shared" si="12"/>
        <v>-0.9757041587</v>
      </c>
      <c r="AL197" s="144">
        <f t="shared" si="13"/>
        <v>-0.7987853241</v>
      </c>
      <c r="AM197" s="144">
        <f t="shared" si="14"/>
        <v>-0.07489945994</v>
      </c>
      <c r="AN197" s="144">
        <f t="shared" si="15"/>
        <v>0</v>
      </c>
      <c r="AO197" s="167">
        <f t="shared" si="16"/>
        <v>-1.068156458</v>
      </c>
      <c r="AP197" s="167">
        <f t="shared" si="17"/>
        <v>-2.043860617</v>
      </c>
      <c r="AQ197" s="167">
        <f t="array" ref="AQ197">INDIRECT("Update"&amp;Projections!$AG$11&amp;"!S"&amp;ROW(B178))</f>
        <v>0.433899</v>
      </c>
      <c r="AR197" s="167">
        <f t="array" ref="AR197">INDIRECT("Update"&amp;Projections!$AG$11&amp;"!T"&amp;ROW(B178))</f>
        <v>0.782023</v>
      </c>
    </row>
    <row r="198">
      <c r="A198" s="50" t="str">
        <f>IF(UpdateHashtag!C196="",ROW(UpdateHashtag!C196),UpdateHashtag!C196)</f>
        <v>Duncan Robinson</v>
      </c>
      <c r="B198" s="53">
        <f>IF(TYPE($A198)=1,"",(UpdateHashtag!M196-B$1)/B$2)</f>
        <v>-0.8201254873</v>
      </c>
      <c r="C198" s="53">
        <f>IF(TYPE($A198)=1,"",(UpdateHashtag!L196-C$1)/C$2)</f>
        <v>0.802072843</v>
      </c>
      <c r="D198" s="53">
        <f>IF(TYPE($A198)=1,"",(UpdateHashtag!N196-D$1)/D$2)</f>
        <v>-1.470013079</v>
      </c>
      <c r="E198" s="53">
        <f>IF(TYPE($A198)=1,"",(UpdateHashtag!O196-E$1)/E$2)</f>
        <v>-0.6530942224</v>
      </c>
      <c r="F198" s="53">
        <f>IF(TYPE($A198)=1,"",(UpdateHashtag!P196-F$1)/F$2)</f>
        <v>-1.356589379</v>
      </c>
      <c r="G198" s="53">
        <f>IF(TYPE($A198)=1,"",(UpdateHashtag!Q196-G$1)/G$2)</f>
        <v>-0.963939931</v>
      </c>
      <c r="H198" s="53">
        <f>IF(TYPE($A198)=1,"",(UpdateHashtag!I196-H$1)/H$2*I198/$I$1)</f>
        <v>-14.1844821</v>
      </c>
      <c r="I198" s="53">
        <f>UpdateHashtag!S196</f>
        <v>9.8</v>
      </c>
      <c r="J198" s="58">
        <f>IF(TYPE($A198)=1,"",(UpdateHashtag!K196-J$1)/J$2*K198/$K$1)</f>
        <v>2.094734636</v>
      </c>
      <c r="K198" s="59">
        <f>UpdateHashtag!T196</f>
        <v>1.3</v>
      </c>
      <c r="L198" s="53">
        <f>IF(TYPE($A198)=1,"",-(UpdateHashtag!R196-L$1)/L$2)</f>
        <v>0.4450452712</v>
      </c>
      <c r="N198" s="106">
        <f t="shared" si="3"/>
        <v>-2.766549203</v>
      </c>
      <c r="O198" s="106">
        <f t="shared" si="4"/>
        <v>173</v>
      </c>
      <c r="P198" s="163" t="str">
        <f t="array" ref="P198">INDIRECT("Update"&amp;Projections!$AG$11&amp;"!B"&amp;ROW(B179))</f>
        <v/>
      </c>
      <c r="Q198" s="164" t="str">
        <f t="array" ref="Q198">INDIRECT("Update"&amp;Projections!$AG$11&amp;"!C"&amp;ROW(B179))</f>
        <v>Nikola Jovic</v>
      </c>
      <c r="R198" s="163">
        <f>UpdateBBM!F179</f>
        <v>68</v>
      </c>
      <c r="S198" s="165" t="str">
        <f t="array" ref="S198">INDIRECT("Update"&amp;Projections!$AG$11&amp;"!D"&amp;ROW(B179))</f>
        <v>F</v>
      </c>
      <c r="T198" s="144">
        <f t="shared" si="5"/>
        <v>-2.427968308</v>
      </c>
      <c r="U198" s="144">
        <f>SUM(AF198:AN198)-IFERROR(IFS(Projections!$I$11,AO198,Projections!$J$11,AP198),"")</f>
        <v>-2.479859727</v>
      </c>
      <c r="V198" s="144">
        <f t="shared" si="6"/>
        <v>-0.05189141895</v>
      </c>
      <c r="W198" s="144">
        <f t="array" ref="W198">INDIRECT("Update"&amp;Projections!$AG$11&amp;"!M"&amp;ROW(B179))</f>
        <v>10.05279</v>
      </c>
      <c r="X198" s="144">
        <f t="array" ref="X198">INDIRECT("Update"&amp;Projections!$AG$11&amp;"!L"&amp;ROW(B179))</f>
        <v>1.708676</v>
      </c>
      <c r="Y198" s="144">
        <f t="array" ref="Y198">INDIRECT("Update"&amp;Projections!$AG$11&amp;"!N"&amp;ROW(B179))</f>
        <v>4.299706</v>
      </c>
      <c r="Z198" s="144">
        <f t="array" ref="Z198">INDIRECT("Update"&amp;Projections!$AG$11&amp;"!O"&amp;ROW(B179))</f>
        <v>3.025735</v>
      </c>
      <c r="AA198" s="144">
        <f t="array" ref="AA198">INDIRECT("Update"&amp;Projections!$AG$11&amp;"!P"&amp;ROW(B179))</f>
        <v>0.828235</v>
      </c>
      <c r="AB198" s="144">
        <f t="array" ref="AB198">INDIRECT("Update"&amp;Projections!$AG$11&amp;"!Q"&amp;ROW(B179))</f>
        <v>0.323529</v>
      </c>
      <c r="AC198" s="166">
        <f t="array" ref="AC198">INDIRECT("Update"&amp;Projections!$AG$11&amp;"!I"&amp;ROW(B179))</f>
        <v>0.464708</v>
      </c>
      <c r="AD198" s="166">
        <f t="array" ref="AD198">INDIRECT("Update"&amp;Projections!$AG$11&amp;"!K"&amp;ROW(B179))</f>
        <v>0.828966</v>
      </c>
      <c r="AE198" s="144">
        <f t="array" ref="AE198">INDIRECT("Update"&amp;Projections!$AG$11&amp;"!R"&amp;ROW(B179))</f>
        <v>1.539412</v>
      </c>
      <c r="AF198" s="144">
        <f t="shared" si="7"/>
        <v>-1.249470402</v>
      </c>
      <c r="AG198" s="144">
        <f t="shared" si="8"/>
        <v>-0.05879768194</v>
      </c>
      <c r="AH198" s="144">
        <f t="shared" si="9"/>
        <v>-0.7404957614</v>
      </c>
      <c r="AI198" s="144">
        <f t="shared" si="10"/>
        <v>-0.3962650532</v>
      </c>
      <c r="AJ198" s="144">
        <f t="shared" si="11"/>
        <v>-0.6611048307</v>
      </c>
      <c r="AK198" s="144">
        <f t="shared" si="12"/>
        <v>-0.7393651695</v>
      </c>
      <c r="AL198" s="144">
        <f t="shared" si="13"/>
        <v>-0.425417536</v>
      </c>
      <c r="AM198" s="144">
        <f t="shared" si="14"/>
        <v>0.5415863053</v>
      </c>
      <c r="AN198" s="144">
        <f t="shared" si="15"/>
        <v>0</v>
      </c>
      <c r="AO198" s="167">
        <f t="shared" si="16"/>
        <v>-1.249470402</v>
      </c>
      <c r="AP198" s="167">
        <f t="shared" si="17"/>
        <v>-1.989966163</v>
      </c>
      <c r="AQ198" s="167">
        <f t="array" ref="AQ198">INDIRECT("Update"&amp;Projections!$AG$11&amp;"!S"&amp;ROW(B179))</f>
        <v>0.464708</v>
      </c>
      <c r="AR198" s="167">
        <f t="array" ref="AR198">INDIRECT("Update"&amp;Projections!$AG$11&amp;"!T"&amp;ROW(B179))</f>
        <v>0.828966</v>
      </c>
    </row>
    <row r="199">
      <c r="A199" s="50" t="str">
        <f>IF(UpdateHashtag!C197="",ROW(UpdateHashtag!C197),UpdateHashtag!C197)</f>
        <v>Nikola Jovic</v>
      </c>
      <c r="B199" s="53">
        <f>IF(TYPE($A199)=1,"",(UpdateHashtag!M197-B$1)/B$2)</f>
        <v>-1.188554972</v>
      </c>
      <c r="C199" s="53">
        <f>IF(TYPE($A199)=1,"",(UpdateHashtag!L197-C$1)/C$2)</f>
        <v>0.02940609112</v>
      </c>
      <c r="D199" s="53">
        <f>IF(TYPE($A199)=1,"",(UpdateHashtag!N197-D$1)/D$2)</f>
        <v>-0.3350229811</v>
      </c>
      <c r="E199" s="53">
        <f>IF(TYPE($A199)=1,"",(UpdateHashtag!O197-E$1)/E$2)</f>
        <v>-0.7019456721</v>
      </c>
      <c r="F199" s="53">
        <f>IF(TYPE($A199)=1,"",(UpdateHashtag!P197-F$1)/F$2)</f>
        <v>-0.7471433709</v>
      </c>
      <c r="G199" s="53">
        <f>IF(TYPE($A199)=1,"",(UpdateHashtag!Q197-G$1)/G$2)</f>
        <v>-0.600341486</v>
      </c>
      <c r="H199" s="53">
        <f>IF(TYPE($A199)=1,"",(UpdateHashtag!I197-H$1)/H$2*I199/$I$1)</f>
        <v>-13.16746492</v>
      </c>
      <c r="I199" s="53">
        <f>UpdateHashtag!S197</f>
        <v>8.4</v>
      </c>
      <c r="J199" s="58">
        <f>IF(TYPE($A199)=1,"",(UpdateHashtag!K197-J$1)/J$2*K199/$K$1)</f>
        <v>-0.562347793</v>
      </c>
      <c r="K199" s="59">
        <f>UpdateHashtag!T197</f>
        <v>1.6</v>
      </c>
      <c r="L199" s="53">
        <f>IF(TYPE($A199)=1,"",-(UpdateHashtag!R197-L$1)/L$2)</f>
        <v>0.5442381251</v>
      </c>
      <c r="N199" s="106">
        <f t="shared" si="3"/>
        <v>-2.805388362</v>
      </c>
      <c r="O199" s="106">
        <f t="shared" si="4"/>
        <v>163</v>
      </c>
      <c r="P199" s="163" t="str">
        <f t="array" ref="P199">INDIRECT("Update"&amp;Projections!$AG$11&amp;"!B"&amp;ROW(B180))</f>
        <v/>
      </c>
      <c r="Q199" s="164" t="str">
        <f t="array" ref="Q199">INDIRECT("Update"&amp;Projections!$AG$11&amp;"!C"&amp;ROW(B180))</f>
        <v>R.J. Barrett</v>
      </c>
      <c r="R199" s="163">
        <f>UpdateBBM!F180</f>
        <v>73</v>
      </c>
      <c r="S199" s="165" t="str">
        <f t="array" ref="S199">INDIRECT("Update"&amp;Projections!$AG$11&amp;"!D"&amp;ROW(B180))</f>
        <v>G,F</v>
      </c>
      <c r="T199" s="144">
        <f t="shared" si="5"/>
        <v>-2.209287546</v>
      </c>
      <c r="U199" s="144">
        <f>SUM(AF199:AN199)-IFERROR(IFS(Projections!$I$11,AO199,Projections!$J$11,AP199),"")</f>
        <v>-2.131538864</v>
      </c>
      <c r="V199" s="144">
        <f t="shared" si="6"/>
        <v>0.07774868146</v>
      </c>
      <c r="W199" s="144">
        <f t="array" ref="W199">INDIRECT("Update"&amp;Projections!$AG$11&amp;"!M"&amp;ROW(B180))</f>
        <v>17.68466</v>
      </c>
      <c r="X199" s="144">
        <f t="array" ref="X199">INDIRECT("Update"&amp;Projections!$AG$11&amp;"!L"&amp;ROW(B180))</f>
        <v>1.590822</v>
      </c>
      <c r="Y199" s="144">
        <f t="array" ref="Y199">INDIRECT("Update"&amp;Projections!$AG$11&amp;"!N"&amp;ROW(B180))</f>
        <v>5.986849</v>
      </c>
      <c r="Z199" s="144">
        <f t="array" ref="Z199">INDIRECT("Update"&amp;Projections!$AG$11&amp;"!O"&amp;ROW(B180))</f>
        <v>3.991233</v>
      </c>
      <c r="AA199" s="144">
        <f t="array" ref="AA199">INDIRECT("Update"&amp;Projections!$AG$11&amp;"!P"&amp;ROW(B180))</f>
        <v>0.797671</v>
      </c>
      <c r="AB199" s="144">
        <f t="array" ref="AB199">INDIRECT("Update"&amp;Projections!$AG$11&amp;"!Q"&amp;ROW(B180))</f>
        <v>0.266164</v>
      </c>
      <c r="AC199" s="166">
        <f t="array" ref="AC199">INDIRECT("Update"&amp;Projections!$AG$11&amp;"!I"&amp;ROW(B180))</f>
        <v>0.461318</v>
      </c>
      <c r="AD199" s="166">
        <f t="array" ref="AD199">INDIRECT("Update"&amp;Projections!$AG$11&amp;"!K"&amp;ROW(B180))</f>
        <v>0.704995</v>
      </c>
      <c r="AE199" s="144">
        <f t="array" ref="AE199">INDIRECT("Update"&amp;Projections!$AG$11&amp;"!R"&amp;ROW(B180))</f>
        <v>2.062192</v>
      </c>
      <c r="AF199" s="144">
        <f t="shared" si="7"/>
        <v>0.08948480515</v>
      </c>
      <c r="AG199" s="144">
        <f t="shared" si="8"/>
        <v>-0.1726250162</v>
      </c>
      <c r="AH199" s="144">
        <f t="shared" si="9"/>
        <v>-0.05660626204</v>
      </c>
      <c r="AI199" s="144">
        <f t="shared" si="10"/>
        <v>0.07539471668</v>
      </c>
      <c r="AJ199" s="144">
        <f t="shared" si="11"/>
        <v>-0.7542403696</v>
      </c>
      <c r="AK199" s="144">
        <f t="shared" si="12"/>
        <v>-0.8436542934</v>
      </c>
      <c r="AL199" s="144">
        <f t="shared" si="13"/>
        <v>-0.4692924448</v>
      </c>
      <c r="AM199" s="144">
        <f t="shared" si="14"/>
        <v>-0.9340966213</v>
      </c>
      <c r="AN199" s="144">
        <f t="shared" si="15"/>
        <v>0</v>
      </c>
      <c r="AO199" s="167">
        <f t="shared" si="16"/>
        <v>-0.9340966213</v>
      </c>
      <c r="AP199" s="167">
        <f t="shared" si="17"/>
        <v>-1.777750915</v>
      </c>
      <c r="AQ199" s="167">
        <f t="array" ref="AQ199">INDIRECT("Update"&amp;Projections!$AG$11&amp;"!S"&amp;ROW(B180))</f>
        <v>0.461318</v>
      </c>
      <c r="AR199" s="167">
        <f t="array" ref="AR199">INDIRECT("Update"&amp;Projections!$AG$11&amp;"!T"&amp;ROW(B180))</f>
        <v>0.704995</v>
      </c>
    </row>
    <row r="200">
      <c r="A200" s="50" t="str">
        <f>IF(UpdateHashtag!C198="",ROW(UpdateHashtag!C198),UpdateHashtag!C198)</f>
        <v>Josh Richardson</v>
      </c>
      <c r="B200" s="53">
        <f>IF(TYPE($A200)=1,"",(UpdateHashtag!M198-B$1)/B$2)</f>
        <v>-1.188554972</v>
      </c>
      <c r="C200" s="53">
        <f>IF(TYPE($A200)=1,"",(UpdateHashtag!L198-C$1)/C$2)</f>
        <v>-0.06717725286</v>
      </c>
      <c r="D200" s="53">
        <f>IF(TYPE($A200)=1,"",(UpdateHashtag!N198-D$1)/D$2)</f>
        <v>-1.307871636</v>
      </c>
      <c r="E200" s="53">
        <f>IF(TYPE($A200)=1,"",(UpdateHashtag!O198-E$1)/E$2)</f>
        <v>-0.5553913229</v>
      </c>
      <c r="F200" s="53">
        <f>IF(TYPE($A200)=1,"",(UpdateHashtag!P198-F$1)/F$2)</f>
        <v>-0.442420367</v>
      </c>
      <c r="G200" s="53">
        <f>IF(TYPE($A200)=1,"",(UpdateHashtag!Q198-G$1)/G$2)</f>
        <v>-0.7821407085</v>
      </c>
      <c r="H200" s="53">
        <f>IF(TYPE($A200)=1,"",(UpdateHashtag!I198-H$1)/H$2*I200/$I$1)</f>
        <v>-15.46715558</v>
      </c>
      <c r="I200" s="53">
        <f>UpdateHashtag!S198</f>
        <v>8.7</v>
      </c>
      <c r="J200" s="58">
        <f>IF(TYPE($A200)=1,"",(UpdateHashtag!K198-J$1)/J$2*K200/$K$1)</f>
        <v>2.011754401</v>
      </c>
      <c r="K200" s="59">
        <f>UpdateHashtag!T198</f>
        <v>1.3</v>
      </c>
      <c r="L200" s="53">
        <f>IF(TYPE($A200)=1,"",-(UpdateHashtag!R198-L$1)/L$2)</f>
        <v>0.5442381251</v>
      </c>
      <c r="N200" s="106">
        <f t="shared" si="3"/>
        <v>-2.891465914</v>
      </c>
      <c r="O200" s="106">
        <f t="shared" si="4"/>
        <v>187</v>
      </c>
      <c r="P200" s="163" t="str">
        <f t="array" ref="P200">INDIRECT("Update"&amp;Projections!$AG$11&amp;"!B"&amp;ROW(B181))</f>
        <v/>
      </c>
      <c r="Q200" s="164" t="str">
        <f t="array" ref="Q200">INDIRECT("Update"&amp;Projections!$AG$11&amp;"!C"&amp;ROW(B181))</f>
        <v>Dorian Finney-Smith</v>
      </c>
      <c r="R200" s="163">
        <f>UpdateBBM!F181</f>
        <v>73</v>
      </c>
      <c r="S200" s="165" t="str">
        <f t="array" ref="S200">INDIRECT("Update"&amp;Projections!$AG$11&amp;"!D"&amp;ROW(B181))</f>
        <v>F</v>
      </c>
      <c r="T200" s="144">
        <f t="shared" si="5"/>
        <v>-4.039627784</v>
      </c>
      <c r="U200" s="144">
        <f>SUM(AF200:AN200)-IFERROR(IFS(Projections!$I$11,AO200,Projections!$J$11,AP200),"")</f>
        <v>-4.235270975</v>
      </c>
      <c r="V200" s="144">
        <f t="shared" si="6"/>
        <v>-0.1956431907</v>
      </c>
      <c r="W200" s="144">
        <f t="array" ref="W200">INDIRECT("Update"&amp;Projections!$AG$11&amp;"!M"&amp;ROW(B181))</f>
        <v>9.590411</v>
      </c>
      <c r="X200" s="144">
        <f t="array" ref="X200">INDIRECT("Update"&amp;Projections!$AG$11&amp;"!L"&amp;ROW(B181))</f>
        <v>2.227534</v>
      </c>
      <c r="Y200" s="144">
        <f t="array" ref="Y200">INDIRECT("Update"&amp;Projections!$AG$11&amp;"!N"&amp;ROW(B181))</f>
        <v>3.787534</v>
      </c>
      <c r="Z200" s="144">
        <f t="array" ref="Z200">INDIRECT("Update"&amp;Projections!$AG$11&amp;"!O"&amp;ROW(B181))</f>
        <v>1.325616</v>
      </c>
      <c r="AA200" s="144">
        <f t="array" ref="AA200">INDIRECT("Update"&amp;Projections!$AG$11&amp;"!P"&amp;ROW(B181))</f>
        <v>0.98589</v>
      </c>
      <c r="AB200" s="144">
        <f t="array" ref="AB200">INDIRECT("Update"&amp;Projections!$AG$11&amp;"!Q"&amp;ROW(B181))</f>
        <v>0.384795</v>
      </c>
      <c r="AC200" s="166">
        <f t="array" ref="AC200">INDIRECT("Update"&amp;Projections!$AG$11&amp;"!I"&amp;ROW(B181))</f>
        <v>0.423442</v>
      </c>
      <c r="AD200" s="166">
        <f t="array" ref="AD200">INDIRECT("Update"&amp;Projections!$AG$11&amp;"!K"&amp;ROW(B181))</f>
        <v>0.72001</v>
      </c>
      <c r="AE200" s="144">
        <f t="array" ref="AE200">INDIRECT("Update"&amp;Projections!$AG$11&amp;"!R"&amp;ROW(B181))</f>
        <v>0.959726</v>
      </c>
      <c r="AF200" s="144">
        <f t="shared" si="7"/>
        <v>-1.330591381</v>
      </c>
      <c r="AG200" s="144">
        <f t="shared" si="8"/>
        <v>0.442332725</v>
      </c>
      <c r="AH200" s="144">
        <f t="shared" si="9"/>
        <v>-0.9481065286</v>
      </c>
      <c r="AI200" s="144">
        <f t="shared" si="10"/>
        <v>-1.226797831</v>
      </c>
      <c r="AJ200" s="144">
        <f t="shared" si="11"/>
        <v>-0.1806937791</v>
      </c>
      <c r="AK200" s="144">
        <f t="shared" si="12"/>
        <v>-0.6279840578</v>
      </c>
      <c r="AL200" s="144">
        <f t="shared" si="13"/>
        <v>-0.9125487737</v>
      </c>
      <c r="AM200" s="144">
        <f t="shared" si="14"/>
        <v>-0.781472729</v>
      </c>
      <c r="AN200" s="144">
        <f t="shared" si="15"/>
        <v>0</v>
      </c>
      <c r="AO200" s="167">
        <f t="shared" si="16"/>
        <v>-1.330591381</v>
      </c>
      <c r="AP200" s="167">
        <f t="shared" si="17"/>
        <v>-2.557389213</v>
      </c>
      <c r="AQ200" s="167">
        <f t="array" ref="AQ200">INDIRECT("Update"&amp;Projections!$AG$11&amp;"!S"&amp;ROW(B181))</f>
        <v>0.423442</v>
      </c>
      <c r="AR200" s="167">
        <f t="array" ref="AR200">INDIRECT("Update"&amp;Projections!$AG$11&amp;"!T"&amp;ROW(B181))</f>
        <v>0.72001</v>
      </c>
    </row>
    <row r="201">
      <c r="A201" s="50" t="str">
        <f>IF(UpdateHashtag!C199="",ROW(UpdateHashtag!C199),UpdateHashtag!C199)</f>
        <v>Kris Dunn</v>
      </c>
      <c r="B201" s="53">
        <f>IF(TYPE($A201)=1,"",(UpdateHashtag!M199-B$1)/B$2)</f>
        <v>-1.749971331</v>
      </c>
      <c r="C201" s="53">
        <f>IF(TYPE($A201)=1,"",(UpdateHashtag!L199-C$1)/C$2)</f>
        <v>-1.129594037</v>
      </c>
      <c r="D201" s="53">
        <f>IF(TYPE($A201)=1,"",(UpdateHashtag!N199-D$1)/D$2)</f>
        <v>-1.186265554</v>
      </c>
      <c r="E201" s="53">
        <f>IF(TYPE($A201)=1,"",(UpdateHashtag!O199-E$1)/E$2)</f>
        <v>0.1773804227</v>
      </c>
      <c r="F201" s="53">
        <f>IF(TYPE($A201)=1,"",(UpdateHashtag!P199-F$1)/F$2)</f>
        <v>-0.1376973632</v>
      </c>
      <c r="G201" s="53">
        <f>IF(TYPE($A201)=1,"",(UpdateHashtag!Q199-G$1)/G$2)</f>
        <v>-0.600341486</v>
      </c>
      <c r="H201" s="53">
        <f>IF(TYPE($A201)=1,"",(UpdateHashtag!I199-H$1)/H$2*I201/$I$1)</f>
        <v>0.499339803</v>
      </c>
      <c r="I201" s="53">
        <f>UpdateHashtag!S199</f>
        <v>5.9</v>
      </c>
      <c r="J201" s="58">
        <f>IF(TYPE($A201)=1,"",(UpdateHashtag!K199-J$1)/J$2*K201/$K$1)</f>
        <v>-0.775903472</v>
      </c>
      <c r="K201" s="59">
        <f>UpdateHashtag!T199</f>
        <v>0.9</v>
      </c>
      <c r="L201" s="53">
        <f>IF(TYPE($A201)=1,"",-(UpdateHashtag!R199-L$1)/L$2)</f>
        <v>0.4450452712</v>
      </c>
      <c r="N201" s="106">
        <f t="shared" si="3"/>
        <v>-2.893819075</v>
      </c>
      <c r="O201" s="106">
        <f t="shared" si="4"/>
        <v>151</v>
      </c>
      <c r="P201" s="163" t="str">
        <f t="array" ref="P201">INDIRECT("Update"&amp;Projections!$AG$11&amp;"!B"&amp;ROW(B182))</f>
        <v/>
      </c>
      <c r="Q201" s="164" t="str">
        <f t="array" ref="Q201">INDIRECT("Update"&amp;Projections!$AG$11&amp;"!C"&amp;ROW(B182))</f>
        <v>Moussa Diabate</v>
      </c>
      <c r="R201" s="163">
        <f>UpdateBBM!F182</f>
        <v>73</v>
      </c>
      <c r="S201" s="165" t="str">
        <f t="array" ref="S201">INDIRECT("Update"&amp;Projections!$AG$11&amp;"!D"&amp;ROW(B182))</f>
        <v>C</v>
      </c>
      <c r="T201" s="144">
        <f t="shared" si="5"/>
        <v>-1.867279628</v>
      </c>
      <c r="U201" s="144">
        <f>SUM(AF201:AN201)-IFERROR(IFS(Projections!$I$11,AO201,Projections!$J$11,AP201),"")</f>
        <v>-2.032315624</v>
      </c>
      <c r="V201" s="144">
        <f t="shared" si="6"/>
        <v>-0.1650359957</v>
      </c>
      <c r="W201" s="144">
        <f t="array" ref="W201">INDIRECT("Update"&amp;Projections!$AG$11&amp;"!M"&amp;ROW(B182))</f>
        <v>9.221233</v>
      </c>
      <c r="X201" s="144">
        <f t="array" ref="X201">INDIRECT("Update"&amp;Projections!$AG$11&amp;"!L"&amp;ROW(B182))</f>
        <v>0.032466</v>
      </c>
      <c r="Y201" s="144">
        <f t="array" ref="Y201">INDIRECT("Update"&amp;Projections!$AG$11&amp;"!N"&amp;ROW(B182))</f>
        <v>7.562466</v>
      </c>
      <c r="Z201" s="144">
        <f t="array" ref="Z201">INDIRECT("Update"&amp;Projections!$AG$11&amp;"!O"&amp;ROW(B182))</f>
        <v>0.916712</v>
      </c>
      <c r="AA201" s="144">
        <f t="array" ref="AA201">INDIRECT("Update"&amp;Projections!$AG$11&amp;"!P"&amp;ROW(B182))</f>
        <v>0.897808</v>
      </c>
      <c r="AB201" s="144">
        <f t="array" ref="AB201">INDIRECT("Update"&amp;Projections!$AG$11&amp;"!Q"&amp;ROW(B182))</f>
        <v>0.641644</v>
      </c>
      <c r="AC201" s="166">
        <f t="array" ref="AC201">INDIRECT("Update"&amp;Projections!$AG$11&amp;"!I"&amp;ROW(B182))</f>
        <v>0.620212</v>
      </c>
      <c r="AD201" s="166">
        <f t="array" ref="AD201">INDIRECT("Update"&amp;Projections!$AG$11&amp;"!K"&amp;ROW(B182))</f>
        <v>0.64</v>
      </c>
      <c r="AE201" s="144">
        <f t="array" ref="AE201">INDIRECT("Update"&amp;Projections!$AG$11&amp;"!R"&amp;ROW(B182))</f>
        <v>1.083151</v>
      </c>
      <c r="AF201" s="144">
        <f t="shared" si="7"/>
        <v>-1.395360934</v>
      </c>
      <c r="AG201" s="144">
        <f t="shared" si="8"/>
        <v>-1.677737352</v>
      </c>
      <c r="AH201" s="144">
        <f t="shared" si="9"/>
        <v>0.582075771</v>
      </c>
      <c r="AI201" s="144">
        <f t="shared" si="10"/>
        <v>-1.426553363</v>
      </c>
      <c r="AJ201" s="144">
        <f t="shared" si="11"/>
        <v>-0.4490998953</v>
      </c>
      <c r="AK201" s="144">
        <f t="shared" si="12"/>
        <v>-0.1610345728</v>
      </c>
      <c r="AL201" s="144">
        <f t="shared" si="13"/>
        <v>2.329428435</v>
      </c>
      <c r="AM201" s="144">
        <f t="shared" si="14"/>
        <v>-1.511771065</v>
      </c>
      <c r="AN201" s="144">
        <f t="shared" si="15"/>
        <v>0</v>
      </c>
      <c r="AO201" s="167">
        <f t="shared" si="16"/>
        <v>-1.677737352</v>
      </c>
      <c r="AP201" s="167">
        <f t="shared" si="17"/>
        <v>-3.189508417</v>
      </c>
      <c r="AQ201" s="167">
        <f t="array" ref="AQ201">INDIRECT("Update"&amp;Projections!$AG$11&amp;"!S"&amp;ROW(B182))</f>
        <v>0.620212</v>
      </c>
      <c r="AR201" s="167">
        <f t="array" ref="AR201">INDIRECT("Update"&amp;Projections!$AG$11&amp;"!T"&amp;ROW(B182))</f>
        <v>0.64</v>
      </c>
    </row>
    <row r="202">
      <c r="A202" s="50" t="str">
        <f>IF(UpdateHashtag!C200="",ROW(UpdateHashtag!C200),UpdateHashtag!C200)</f>
        <v>Ayo Dosunmu</v>
      </c>
      <c r="B202" s="53">
        <f>IF(TYPE($A202)=1,"",(UpdateHashtag!M200-B$1)/B$2)</f>
        <v>-1.223643495</v>
      </c>
      <c r="C202" s="53">
        <f>IF(TYPE($A202)=1,"",(UpdateHashtag!L200-C$1)/C$2)</f>
        <v>-0.6466773167</v>
      </c>
      <c r="D202" s="53">
        <f>IF(TYPE($A202)=1,"",(UpdateHashtag!N200-D$1)/D$2)</f>
        <v>-1.348406997</v>
      </c>
      <c r="E202" s="53">
        <f>IF(TYPE($A202)=1,"",(UpdateHashtag!O200-E$1)/E$2)</f>
        <v>-0.5065398732</v>
      </c>
      <c r="F202" s="53">
        <f>IF(TYPE($A202)=1,"",(UpdateHashtag!P200-F$1)/F$2)</f>
        <v>-0.7471433709</v>
      </c>
      <c r="G202" s="53">
        <f>IF(TYPE($A202)=1,"",(UpdateHashtag!Q200-G$1)/G$2)</f>
        <v>-0.600341486</v>
      </c>
      <c r="H202" s="53">
        <f>IF(TYPE($A202)=1,"",(UpdateHashtag!I200-H$1)/H$2*I202/$I$1)</f>
        <v>0.6939976923</v>
      </c>
      <c r="I202" s="53">
        <f>UpdateHashtag!S200</f>
        <v>8.2</v>
      </c>
      <c r="J202" s="58">
        <f>IF(TYPE($A202)=1,"",(UpdateHashtag!K200-J$1)/J$2*K202/$K$1)</f>
        <v>0.497404832</v>
      </c>
      <c r="K202" s="59">
        <f>UpdateHashtag!T200</f>
        <v>1.2</v>
      </c>
      <c r="L202" s="53">
        <f>IF(TYPE($A202)=1,"",-(UpdateHashtag!R200-L$1)/L$2)</f>
        <v>0.4450452712</v>
      </c>
      <c r="N202" s="106">
        <f t="shared" si="3"/>
        <v>-3.034401316</v>
      </c>
      <c r="O202" s="106">
        <f t="shared" si="4"/>
        <v>157</v>
      </c>
      <c r="P202" s="163" t="str">
        <f t="array" ref="P202">INDIRECT("Update"&amp;Projections!$AG$11&amp;"!B"&amp;ROW(B183))</f>
        <v/>
      </c>
      <c r="Q202" s="164" t="str">
        <f t="array" ref="Q202">INDIRECT("Update"&amp;Projections!$AG$11&amp;"!C"&amp;ROW(B183))</f>
        <v>Dennis Schroder</v>
      </c>
      <c r="R202" s="163">
        <f>UpdateBBM!F183</f>
        <v>73</v>
      </c>
      <c r="S202" s="165" t="str">
        <f t="array" ref="S202">INDIRECT("Update"&amp;Projections!$AG$11&amp;"!D"&amp;ROW(B183))</f>
        <v>G</v>
      </c>
      <c r="T202" s="144">
        <f t="shared" si="5"/>
        <v>-2.074678353</v>
      </c>
      <c r="U202" s="144">
        <f>SUM(AF202:AN202)-IFERROR(IFS(Projections!$I$11,AO202,Projections!$J$11,AP202),"")</f>
        <v>-2.049345655</v>
      </c>
      <c r="V202" s="144">
        <f t="shared" si="6"/>
        <v>0.02533269764</v>
      </c>
      <c r="W202" s="144">
        <f t="array" ref="W202">INDIRECT("Update"&amp;Projections!$AG$11&amp;"!M"&amp;ROW(B183))</f>
        <v>13.20507</v>
      </c>
      <c r="X202" s="144">
        <f t="array" ref="X202">INDIRECT("Update"&amp;Projections!$AG$11&amp;"!L"&amp;ROW(B183))</f>
        <v>1.514795</v>
      </c>
      <c r="Y202" s="144">
        <f t="array" ref="Y202">INDIRECT("Update"&amp;Projections!$AG$11&amp;"!N"&amp;ROW(B183))</f>
        <v>3.006986</v>
      </c>
      <c r="Z202" s="144">
        <f t="array" ref="Z202">INDIRECT("Update"&amp;Projections!$AG$11&amp;"!O"&amp;ROW(B183))</f>
        <v>6.230137</v>
      </c>
      <c r="AA202" s="144">
        <f t="array" ref="AA202">INDIRECT("Update"&amp;Projections!$AG$11&amp;"!P"&amp;ROW(B183))</f>
        <v>0.814384</v>
      </c>
      <c r="AB202" s="144">
        <f t="array" ref="AB202">INDIRECT("Update"&amp;Projections!$AG$11&amp;"!Q"&amp;ROW(B183))</f>
        <v>0.184521</v>
      </c>
      <c r="AC202" s="166">
        <f t="array" ref="AC202">INDIRECT("Update"&amp;Projections!$AG$11&amp;"!I"&amp;ROW(B183))</f>
        <v>0.409561</v>
      </c>
      <c r="AD202" s="166">
        <f t="array" ref="AD202">INDIRECT("Update"&amp;Projections!$AG$11&amp;"!K"&amp;ROW(B183))</f>
        <v>0.823983</v>
      </c>
      <c r="AE202" s="144">
        <f t="array" ref="AE202">INDIRECT("Update"&amp;Projections!$AG$11&amp;"!R"&amp;ROW(B183))</f>
        <v>1.850822</v>
      </c>
      <c r="AF202" s="144">
        <f t="shared" si="7"/>
        <v>-0.6964261649</v>
      </c>
      <c r="AG202" s="144">
        <f t="shared" si="8"/>
        <v>-0.2460544351</v>
      </c>
      <c r="AH202" s="144">
        <f t="shared" si="9"/>
        <v>-1.264504475</v>
      </c>
      <c r="AI202" s="144">
        <f t="shared" si="10"/>
        <v>1.169131778</v>
      </c>
      <c r="AJ202" s="144">
        <f t="shared" si="11"/>
        <v>-0.703312014</v>
      </c>
      <c r="AK202" s="144">
        <f t="shared" si="12"/>
        <v>-0.9920806327</v>
      </c>
      <c r="AL202" s="144">
        <f t="shared" si="13"/>
        <v>-1.053413971</v>
      </c>
      <c r="AM202" s="144">
        <f t="shared" si="14"/>
        <v>0.4728097838</v>
      </c>
      <c r="AN202" s="144">
        <f t="shared" si="15"/>
        <v>0</v>
      </c>
      <c r="AO202" s="167">
        <f t="shared" si="16"/>
        <v>-1.264504475</v>
      </c>
      <c r="AP202" s="167">
        <f t="shared" si="17"/>
        <v>-2.317918446</v>
      </c>
      <c r="AQ202" s="167">
        <f t="array" ref="AQ202">INDIRECT("Update"&amp;Projections!$AG$11&amp;"!S"&amp;ROW(B183))</f>
        <v>0.409561</v>
      </c>
      <c r="AR202" s="167">
        <f t="array" ref="AR202">INDIRECT("Update"&amp;Projections!$AG$11&amp;"!T"&amp;ROW(B183))</f>
        <v>0.823983</v>
      </c>
    </row>
    <row r="203">
      <c r="A203" s="50" t="str">
        <f>IF(UpdateHashtag!C201="",ROW(UpdateHashtag!C201),UpdateHashtag!C201)</f>
        <v>Bennedict Mathurin</v>
      </c>
      <c r="B203" s="53">
        <f>IF(TYPE($A203)=1,"",(UpdateHashtag!M201-B$1)/B$2)</f>
        <v>-0.06572225594</v>
      </c>
      <c r="C203" s="53">
        <f>IF(TYPE($A203)=1,"",(UpdateHashtag!L201-C$1)/C$2)</f>
        <v>-0.3569272848</v>
      </c>
      <c r="D203" s="53">
        <f>IF(TYPE($A203)=1,"",(UpdateHashtag!N201-D$1)/D$2)</f>
        <v>-0.7403765874</v>
      </c>
      <c r="E203" s="53">
        <f>IF(TYPE($A203)=1,"",(UpdateHashtag!O201-E$1)/E$2)</f>
        <v>-0.9950543703</v>
      </c>
      <c r="F203" s="53">
        <f>IF(TYPE($A203)=1,"",(UpdateHashtag!P201-F$1)/F$2)</f>
        <v>-1.051866375</v>
      </c>
      <c r="G203" s="53">
        <f>IF(TYPE($A203)=1,"",(UpdateHashtag!Q201-G$1)/G$2)</f>
        <v>-0.963939931</v>
      </c>
      <c r="H203" s="53">
        <f>IF(TYPE($A203)=1,"",(UpdateHashtag!I201-H$1)/H$2*I203/$I$1)</f>
        <v>-19.59444185</v>
      </c>
      <c r="I203" s="53">
        <f>UpdateHashtag!S201</f>
        <v>12.5</v>
      </c>
      <c r="J203" s="58">
        <f>IF(TYPE($A203)=1,"",(UpdateHashtag!K201-J$1)/J$2*K203/$K$1)</f>
        <v>3.211783443</v>
      </c>
      <c r="K203" s="59">
        <f>UpdateHashtag!T201</f>
        <v>5.3</v>
      </c>
      <c r="L203" s="53">
        <f>IF(TYPE($A203)=1,"",-(UpdateHashtag!R201-L$1)/L$2)</f>
        <v>-0.1501118522</v>
      </c>
      <c r="N203" s="106">
        <f t="shared" si="3"/>
        <v>-3.152521238</v>
      </c>
      <c r="O203" s="106">
        <f t="shared" si="4"/>
        <v>180</v>
      </c>
      <c r="P203" s="163" t="str">
        <f t="array" ref="P203">INDIRECT("Update"&amp;Projections!$AG$11&amp;"!B"&amp;ROW(B184))</f>
        <v/>
      </c>
      <c r="Q203" s="164" t="str">
        <f t="array" ref="Q203">INDIRECT("Update"&amp;Projections!$AG$11&amp;"!C"&amp;ROW(B184))</f>
        <v>Jalen Smith</v>
      </c>
      <c r="R203" s="163">
        <f>UpdateBBM!F184</f>
        <v>59</v>
      </c>
      <c r="S203" s="165" t="str">
        <f t="array" ref="S203">INDIRECT("Update"&amp;Projections!$AG$11&amp;"!D"&amp;ROW(B184))</f>
        <v>C</v>
      </c>
      <c r="T203" s="144">
        <f t="shared" si="5"/>
        <v>-2.891465914</v>
      </c>
      <c r="U203" s="144">
        <f>SUM(AF203:AN203)-IFERROR(IFS(Projections!$I$11,AO203,Projections!$J$11,AP203),"")</f>
        <v>-3.178962679</v>
      </c>
      <c r="V203" s="144">
        <f t="shared" si="6"/>
        <v>-0.2874967654</v>
      </c>
      <c r="W203" s="144">
        <f t="array" ref="W203">INDIRECT("Update"&amp;Projections!$AG$11&amp;"!M"&amp;ROW(B184))</f>
        <v>9.186271</v>
      </c>
      <c r="X203" s="144">
        <f t="array" ref="X203">INDIRECT("Update"&amp;Projections!$AG$11&amp;"!L"&amp;ROW(B184))</f>
        <v>1.094068</v>
      </c>
      <c r="Y203" s="144">
        <f t="array" ref="Y203">INDIRECT("Update"&amp;Projections!$AG$11&amp;"!N"&amp;ROW(B184))</f>
        <v>6.482712</v>
      </c>
      <c r="Z203" s="144">
        <f t="array" ref="Z203">INDIRECT("Update"&amp;Projections!$AG$11&amp;"!O"&amp;ROW(B184))</f>
        <v>1.17678</v>
      </c>
      <c r="AA203" s="144">
        <f t="array" ref="AA203">INDIRECT("Update"&amp;Projections!$AG$11&amp;"!P"&amp;ROW(B184))</f>
        <v>0.297966</v>
      </c>
      <c r="AB203" s="144">
        <f t="array" ref="AB203">INDIRECT("Update"&amp;Projections!$AG$11&amp;"!Q"&amp;ROW(B184))</f>
        <v>0.732034</v>
      </c>
      <c r="AC203" s="166">
        <f t="array" ref="AC203">INDIRECT("Update"&amp;Projections!$AG$11&amp;"!I"&amp;ROW(B184))</f>
        <v>0.499502</v>
      </c>
      <c r="AD203" s="166">
        <f t="array" ref="AD203">INDIRECT("Update"&amp;Projections!$AG$11&amp;"!K"&amp;ROW(B184))</f>
        <v>0.784987</v>
      </c>
      <c r="AE203" s="144">
        <f t="array" ref="AE203">INDIRECT("Update"&amp;Projections!$AG$11&amp;"!R"&amp;ROW(B184))</f>
        <v>0.589322</v>
      </c>
      <c r="AF203" s="144">
        <f t="shared" si="7"/>
        <v>-1.401494758</v>
      </c>
      <c r="AG203" s="144">
        <f t="shared" si="8"/>
        <v>-0.6524066407</v>
      </c>
      <c r="AH203" s="144">
        <f t="shared" si="9"/>
        <v>0.1443935932</v>
      </c>
      <c r="AI203" s="144">
        <f t="shared" si="10"/>
        <v>-1.299506375</v>
      </c>
      <c r="AJ203" s="144">
        <f t="shared" si="11"/>
        <v>-2.276956456</v>
      </c>
      <c r="AK203" s="144">
        <f t="shared" si="12"/>
        <v>0.003293744404</v>
      </c>
      <c r="AL203" s="144">
        <f t="shared" si="13"/>
        <v>0.06481220785</v>
      </c>
      <c r="AM203" s="144">
        <f t="shared" si="14"/>
        <v>-0.03805445047</v>
      </c>
      <c r="AN203" s="144">
        <f t="shared" si="15"/>
        <v>0</v>
      </c>
      <c r="AO203" s="167">
        <f t="shared" si="16"/>
        <v>-2.276956456</v>
      </c>
      <c r="AP203" s="167">
        <f t="shared" si="17"/>
        <v>-3.678451214</v>
      </c>
      <c r="AQ203" s="167">
        <f t="array" ref="AQ203">INDIRECT("Update"&amp;Projections!$AG$11&amp;"!S"&amp;ROW(B184))</f>
        <v>0.499502</v>
      </c>
      <c r="AR203" s="167">
        <f t="array" ref="AR203">INDIRECT("Update"&amp;Projections!$AG$11&amp;"!T"&amp;ROW(B184))</f>
        <v>0.784987</v>
      </c>
    </row>
    <row r="204">
      <c r="A204" s="50" t="str">
        <f>IF(UpdateHashtag!C202="",ROW(UpdateHashtag!C202),UpdateHashtag!C202)</f>
        <v>Josh Green</v>
      </c>
      <c r="B204" s="53">
        <f>IF(TYPE($A204)=1,"",(UpdateHashtag!M202-B$1)/B$2)</f>
        <v>-1.083289405</v>
      </c>
      <c r="C204" s="53">
        <f>IF(TYPE($A204)=1,"",(UpdateHashtag!L202-C$1)/C$2)</f>
        <v>-0.1637605968</v>
      </c>
      <c r="D204" s="53">
        <f>IF(TYPE($A204)=1,"",(UpdateHashtag!N202-D$1)/D$2)</f>
        <v>-1.024124112</v>
      </c>
      <c r="E204" s="53">
        <f>IF(TYPE($A204)=1,"",(UpdateHashtag!O202-E$1)/E$2)</f>
        <v>-0.7507971218</v>
      </c>
      <c r="F204" s="53">
        <f>IF(TYPE($A204)=1,"",(UpdateHashtag!P202-F$1)/F$2)</f>
        <v>-0.1376973632</v>
      </c>
      <c r="G204" s="53">
        <f>IF(TYPE($A204)=1,"",(UpdateHashtag!Q202-G$1)/G$2)</f>
        <v>-0.7821407085</v>
      </c>
      <c r="H204" s="53">
        <f>IF(TYPE($A204)=1,"",(UpdateHashtag!I202-H$1)/H$2*I204/$I$1)</f>
        <v>-6.197969218</v>
      </c>
      <c r="I204" s="53">
        <f>UpdateHashtag!S202</f>
        <v>8.9</v>
      </c>
      <c r="J204" s="58">
        <f>IF(TYPE($A204)=1,"",(UpdateHashtag!K202-J$1)/J$2*K204/$K$1)</f>
        <v>-1.891587607</v>
      </c>
      <c r="K204" s="59">
        <f>UpdateHashtag!T202</f>
        <v>1.5</v>
      </c>
      <c r="L204" s="53">
        <f>IF(TYPE($A204)=1,"",-(UpdateHashtag!R202-L$1)/L$2)</f>
        <v>0.4450452712</v>
      </c>
      <c r="N204" s="106">
        <f t="shared" si="3"/>
        <v>-3.182556473</v>
      </c>
      <c r="O204" s="106">
        <f t="shared" si="4"/>
        <v>140</v>
      </c>
      <c r="P204" s="163" t="str">
        <f t="array" ref="P204">INDIRECT("Update"&amp;Projections!$AG$11&amp;"!B"&amp;ROW(B185))</f>
        <v/>
      </c>
      <c r="Q204" s="164" t="str">
        <f t="array" ref="Q204">INDIRECT("Update"&amp;Projections!$AG$11&amp;"!C"&amp;ROW(B185))</f>
        <v>Keyonte George</v>
      </c>
      <c r="R204" s="163">
        <f>UpdateBBM!F185</f>
        <v>68</v>
      </c>
      <c r="S204" s="165" t="str">
        <f t="array" ref="S204">INDIRECT("Update"&amp;Projections!$AG$11&amp;"!D"&amp;ROW(B185))</f>
        <v>G</v>
      </c>
      <c r="T204" s="144">
        <f t="shared" si="5"/>
        <v>-1.496270549</v>
      </c>
      <c r="U204" s="144">
        <f>SUM(AF204:AN204)-IFERROR(IFS(Projections!$I$11,AO204,Projections!$J$11,AP204),"")</f>
        <v>-1.419065445</v>
      </c>
      <c r="V204" s="144">
        <f t="shared" si="6"/>
        <v>0.07720510462</v>
      </c>
      <c r="W204" s="144">
        <f t="array" ref="W204">INDIRECT("Update"&amp;Projections!$AG$11&amp;"!M"&amp;ROW(B185))</f>
        <v>17.63132</v>
      </c>
      <c r="X204" s="144">
        <f t="array" ref="X204">INDIRECT("Update"&amp;Projections!$AG$11&amp;"!L"&amp;ROW(B185))</f>
        <v>2.700588</v>
      </c>
      <c r="Y204" s="144">
        <f t="array" ref="Y204">INDIRECT("Update"&amp;Projections!$AG$11&amp;"!N"&amp;ROW(B185))</f>
        <v>3.3475</v>
      </c>
      <c r="Z204" s="144">
        <f t="array" ref="Z204">INDIRECT("Update"&amp;Projections!$AG$11&amp;"!O"&amp;ROW(B185))</f>
        <v>4.506176</v>
      </c>
      <c r="AA204" s="144">
        <f t="array" ref="AA204">INDIRECT("Update"&amp;Projections!$AG$11&amp;"!P"&amp;ROW(B185))</f>
        <v>0.574559</v>
      </c>
      <c r="AB204" s="144">
        <f t="array" ref="AB204">INDIRECT("Update"&amp;Projections!$AG$11&amp;"!Q"&amp;ROW(B185))</f>
        <v>0.129412</v>
      </c>
      <c r="AC204" s="166">
        <f t="array" ref="AC204">INDIRECT("Update"&amp;Projections!$AG$11&amp;"!I"&amp;ROW(B185))</f>
        <v>0.410038</v>
      </c>
      <c r="AD204" s="166">
        <f t="array" ref="AD204">INDIRECT("Update"&amp;Projections!$AG$11&amp;"!K"&amp;ROW(B185))</f>
        <v>0.829006</v>
      </c>
      <c r="AE204" s="144">
        <f t="array" ref="AE204">INDIRECT("Update"&amp;Projections!$AG$11&amp;"!R"&amp;ROW(B185))</f>
        <v>2.06</v>
      </c>
      <c r="AF204" s="144">
        <f t="shared" si="7"/>
        <v>0.08012669623</v>
      </c>
      <c r="AG204" s="144">
        <f t="shared" si="8"/>
        <v>0.899224097</v>
      </c>
      <c r="AH204" s="144">
        <f t="shared" si="9"/>
        <v>-1.126475897</v>
      </c>
      <c r="AI204" s="144">
        <f t="shared" si="10"/>
        <v>0.3269518373</v>
      </c>
      <c r="AJ204" s="144">
        <f t="shared" si="11"/>
        <v>-1.434113958</v>
      </c>
      <c r="AK204" s="144">
        <f t="shared" si="12"/>
        <v>-1.092268366</v>
      </c>
      <c r="AL204" s="144">
        <f t="shared" si="13"/>
        <v>-1.048765413</v>
      </c>
      <c r="AM204" s="144">
        <f t="shared" si="14"/>
        <v>0.5421416008</v>
      </c>
      <c r="AN204" s="144">
        <f t="shared" si="15"/>
        <v>0</v>
      </c>
      <c r="AO204" s="167">
        <f t="shared" si="16"/>
        <v>-1.434113958</v>
      </c>
      <c r="AP204" s="167">
        <f t="shared" si="17"/>
        <v>-2.560589855</v>
      </c>
      <c r="AQ204" s="167">
        <f t="array" ref="AQ204">INDIRECT("Update"&amp;Projections!$AG$11&amp;"!S"&amp;ROW(B185))</f>
        <v>0.410038</v>
      </c>
      <c r="AR204" s="167">
        <f t="array" ref="AR204">INDIRECT("Update"&amp;Projections!$AG$11&amp;"!T"&amp;ROW(B185))</f>
        <v>0.829006</v>
      </c>
    </row>
    <row r="205">
      <c r="A205" s="50" t="str">
        <f>IF(UpdateHashtag!C203="",ROW(UpdateHashtag!C203),UpdateHashtag!C203)</f>
        <v>Peyton Watson</v>
      </c>
      <c r="B205" s="53">
        <f>IF(TYPE($A205)=1,"",(UpdateHashtag!M203-B$1)/B$2)</f>
        <v>-1.346453323</v>
      </c>
      <c r="C205" s="53">
        <f>IF(TYPE($A205)=1,"",(UpdateHashtag!L203-C$1)/C$2)</f>
        <v>-0.9364273487</v>
      </c>
      <c r="D205" s="53">
        <f>IF(TYPE($A205)=1,"",(UpdateHashtag!N203-D$1)/D$2)</f>
        <v>-0.6187705055</v>
      </c>
      <c r="E205" s="53">
        <f>IF(TYPE($A205)=1,"",(UpdateHashtag!O203-E$1)/E$2)</f>
        <v>-1.141608719</v>
      </c>
      <c r="F205" s="53">
        <f>IF(TYPE($A205)=1,"",(UpdateHashtag!P203-F$1)/F$2)</f>
        <v>-1.051866375</v>
      </c>
      <c r="G205" s="53">
        <f>IF(TYPE($A205)=1,"",(UpdateHashtag!Q203-G$1)/G$2)</f>
        <v>1.399449961</v>
      </c>
      <c r="H205" s="53">
        <f>IF(TYPE($A205)=1,"",(UpdateHashtag!I203-H$1)/H$2*I205/$I$1)</f>
        <v>-6.688140436</v>
      </c>
      <c r="I205" s="53">
        <f>UpdateHashtag!S203</f>
        <v>7.9</v>
      </c>
      <c r="J205" s="58">
        <f>IF(TYPE($A205)=1,"",(UpdateHashtag!K203-J$1)/J$2*K205/$K$1)</f>
        <v>-4.405129828</v>
      </c>
      <c r="K205" s="59">
        <f>UpdateHashtag!T203</f>
        <v>2</v>
      </c>
      <c r="L205" s="53">
        <f>IF(TYPE($A205)=1,"",-(UpdateHashtag!R203-L$1)/L$2)</f>
        <v>0.7426238329</v>
      </c>
      <c r="N205" s="106">
        <f t="shared" si="3"/>
        <v>-3.241734832</v>
      </c>
      <c r="O205" s="106">
        <f t="shared" si="4"/>
        <v>188</v>
      </c>
      <c r="P205" s="163" t="str">
        <f t="array" ref="P205">INDIRECT("Update"&amp;Projections!$AG$11&amp;"!B"&amp;ROW(B186))</f>
        <v/>
      </c>
      <c r="Q205" s="164" t="str">
        <f t="array" ref="Q205">INDIRECT("Update"&amp;Projections!$AG$11&amp;"!C"&amp;ROW(B186))</f>
        <v>Rui Hachimura</v>
      </c>
      <c r="R205" s="163">
        <f>UpdateBBM!F186</f>
        <v>73</v>
      </c>
      <c r="S205" s="165" t="str">
        <f t="array" ref="S205">INDIRECT("Update"&amp;Projections!$AG$11&amp;"!D"&amp;ROW(B186))</f>
        <v>F</v>
      </c>
      <c r="T205" s="144">
        <f t="shared" si="5"/>
        <v>-4.094563673</v>
      </c>
      <c r="U205" s="144">
        <f>SUM(AF205:AN205)-IFERROR(IFS(Projections!$I$11,AO205,Projections!$J$11,AP205),"")</f>
        <v>-4.381382703</v>
      </c>
      <c r="V205" s="144">
        <f t="shared" si="6"/>
        <v>-0.2868190302</v>
      </c>
      <c r="W205" s="144">
        <f t="array" ref="W205">INDIRECT("Update"&amp;Projections!$AG$11&amp;"!M"&amp;ROW(B186))</f>
        <v>11.69219</v>
      </c>
      <c r="X205" s="144">
        <f t="array" ref="X205">INDIRECT("Update"&amp;Projections!$AG$11&amp;"!L"&amp;ROW(B186))</f>
        <v>1.546712</v>
      </c>
      <c r="Y205" s="144">
        <f t="array" ref="Y205">INDIRECT("Update"&amp;Projections!$AG$11&amp;"!N"&amp;ROW(B186))</f>
        <v>4.203836</v>
      </c>
      <c r="Z205" s="144">
        <f t="array" ref="Z205">INDIRECT("Update"&amp;Projections!$AG$11&amp;"!O"&amp;ROW(B186))</f>
        <v>1.006575</v>
      </c>
      <c r="AA205" s="144">
        <f t="array" ref="AA205">INDIRECT("Update"&amp;Projections!$AG$11&amp;"!P"&amp;ROW(B186))</f>
        <v>0.582466</v>
      </c>
      <c r="AB205" s="144">
        <f t="array" ref="AB205">INDIRECT("Update"&amp;Projections!$AG$11&amp;"!Q"&amp;ROW(B186))</f>
        <v>0.359178</v>
      </c>
      <c r="AC205" s="166">
        <f t="array" ref="AC205">INDIRECT("Update"&amp;Projections!$AG$11&amp;"!I"&amp;ROW(B186))</f>
        <v>0.508259</v>
      </c>
      <c r="AD205" s="166">
        <f t="array" ref="AD205">INDIRECT("Update"&amp;Projections!$AG$11&amp;"!K"&amp;ROW(B186))</f>
        <v>0.739975</v>
      </c>
      <c r="AE205" s="144">
        <f t="array" ref="AE205">INDIRECT("Update"&amp;Projections!$AG$11&amp;"!R"&amp;ROW(B186))</f>
        <v>0.592055</v>
      </c>
      <c r="AF205" s="144">
        <f t="shared" si="7"/>
        <v>-0.9618497836</v>
      </c>
      <c r="AG205" s="144">
        <f t="shared" si="8"/>
        <v>-0.2152279292</v>
      </c>
      <c r="AH205" s="144">
        <f t="shared" si="9"/>
        <v>-0.7793570116</v>
      </c>
      <c r="AI205" s="144">
        <f t="shared" si="10"/>
        <v>-1.382653985</v>
      </c>
      <c r="AJ205" s="144">
        <f t="shared" si="11"/>
        <v>-1.41001951</v>
      </c>
      <c r="AK205" s="144">
        <f t="shared" si="12"/>
        <v>-0.6745555646</v>
      </c>
      <c r="AL205" s="144">
        <f t="shared" si="13"/>
        <v>0.1996503425</v>
      </c>
      <c r="AM205" s="144">
        <f t="shared" si="14"/>
        <v>-0.5673887717</v>
      </c>
      <c r="AN205" s="144">
        <f t="shared" si="15"/>
        <v>0</v>
      </c>
      <c r="AO205" s="167">
        <f t="shared" si="16"/>
        <v>-1.41001951</v>
      </c>
      <c r="AP205" s="167">
        <f t="shared" si="17"/>
        <v>-2.792673495</v>
      </c>
      <c r="AQ205" s="167">
        <f t="array" ref="AQ205">INDIRECT("Update"&amp;Projections!$AG$11&amp;"!S"&amp;ROW(B186))</f>
        <v>0.508259</v>
      </c>
      <c r="AR205" s="167">
        <f t="array" ref="AR205">INDIRECT("Update"&amp;Projections!$AG$11&amp;"!T"&amp;ROW(B186))</f>
        <v>0.739975</v>
      </c>
    </row>
    <row r="206">
      <c r="A206" s="50" t="str">
        <f>IF(UpdateHashtag!C204="",ROW(UpdateHashtag!C204),UpdateHashtag!C204)</f>
        <v>Daniel Theis</v>
      </c>
      <c r="B206" s="53">
        <f>IF(TYPE($A206)=1,"",(UpdateHashtag!M204-B$1)/B$2)</f>
        <v>-1.521895935</v>
      </c>
      <c r="C206" s="53">
        <f>IF(TYPE($A206)=1,"",(UpdateHashtag!L204-C$1)/C$2)</f>
        <v>-1.129594037</v>
      </c>
      <c r="D206" s="53">
        <f>IF(TYPE($A206)=1,"",(UpdateHashtag!N204-D$1)/D$2)</f>
        <v>-0.3755583418</v>
      </c>
      <c r="E206" s="53">
        <f>IF(TYPE($A206)=1,"",(UpdateHashtag!O204-E$1)/E$2)</f>
        <v>-1.190460169</v>
      </c>
      <c r="F206" s="53">
        <f>IF(TYPE($A206)=1,"",(UpdateHashtag!P204-F$1)/F$2)</f>
        <v>-1.661312382</v>
      </c>
      <c r="G206" s="53">
        <f>IF(TYPE($A206)=1,"",(UpdateHashtag!Q204-G$1)/G$2)</f>
        <v>0.490453849</v>
      </c>
      <c r="H206" s="53">
        <f>IF(TYPE($A206)=1,"",(UpdateHashtag!I204-H$1)/H$2*I206/$I$1)</f>
        <v>5.79998073</v>
      </c>
      <c r="I206" s="53">
        <f>UpdateHashtag!S204</f>
        <v>6.7</v>
      </c>
      <c r="J206" s="58">
        <f>IF(TYPE($A206)=1,"",(UpdateHashtag!K204-J$1)/J$2*K206/$K$1)</f>
        <v>-0.4983579845</v>
      </c>
      <c r="K206" s="59">
        <f>UpdateHashtag!T204</f>
        <v>1.2</v>
      </c>
      <c r="L206" s="53">
        <f>IF(TYPE($A206)=1,"",-(UpdateHashtag!R204-L$1)/L$2)</f>
        <v>0.8418166868</v>
      </c>
      <c r="N206" s="106">
        <f t="shared" si="3"/>
        <v>-3.491714828</v>
      </c>
      <c r="O206" s="106">
        <f t="shared" si="4"/>
        <v>170</v>
      </c>
      <c r="P206" s="163" t="str">
        <f t="array" ref="P206">INDIRECT("Update"&amp;Projections!$AG$11&amp;"!B"&amp;ROW(B187))</f>
        <v/>
      </c>
      <c r="Q206" s="164" t="str">
        <f t="array" ref="Q206">INDIRECT("Update"&amp;Projections!$AG$11&amp;"!C"&amp;ROW(B187))</f>
        <v>Brook Lopez</v>
      </c>
      <c r="R206" s="163">
        <f>UpdateBBM!F187</f>
        <v>73</v>
      </c>
      <c r="S206" s="165" t="str">
        <f t="array" ref="S206">INDIRECT("Update"&amp;Projections!$AG$11&amp;"!D"&amp;ROW(B187))</f>
        <v>C</v>
      </c>
      <c r="T206" s="144">
        <f t="shared" si="5"/>
        <v>-2.326643611</v>
      </c>
      <c r="U206" s="144">
        <f>SUM(AF206:AN206)-IFERROR(IFS(Projections!$I$11,AO206,Projections!$J$11,AP206),"")</f>
        <v>-2.585607055</v>
      </c>
      <c r="V206" s="144">
        <f t="shared" si="6"/>
        <v>-0.258963445</v>
      </c>
      <c r="W206" s="144">
        <f t="array" ref="W206">INDIRECT("Update"&amp;Projections!$AG$11&amp;"!M"&amp;ROW(B187))</f>
        <v>9.180137</v>
      </c>
      <c r="X206" s="144">
        <f t="array" ref="X206">INDIRECT("Update"&amp;Projections!$AG$11&amp;"!L"&amp;ROW(B187))</f>
        <v>1.169452</v>
      </c>
      <c r="Y206" s="144">
        <f t="array" ref="Y206">INDIRECT("Update"&amp;Projections!$AG$11&amp;"!N"&amp;ROW(B187))</f>
        <v>3.310137</v>
      </c>
      <c r="Z206" s="144">
        <f t="array" ref="Z206">INDIRECT("Update"&amp;Projections!$AG$11&amp;"!O"&amp;ROW(B187))</f>
        <v>1.004521</v>
      </c>
      <c r="AA206" s="144">
        <f t="array" ref="AA206">INDIRECT("Update"&amp;Projections!$AG$11&amp;"!P"&amp;ROW(B187))</f>
        <v>0.317534</v>
      </c>
      <c r="AB206" s="144">
        <f t="array" ref="AB206">INDIRECT("Update"&amp;Projections!$AG$11&amp;"!Q"&amp;ROW(B187))</f>
        <v>1.315616</v>
      </c>
      <c r="AC206" s="166">
        <f t="array" ref="AC206">INDIRECT("Update"&amp;Projections!$AG$11&amp;"!I"&amp;ROW(B187))</f>
        <v>0.507592</v>
      </c>
      <c r="AD206" s="166">
        <f t="array" ref="AD206">INDIRECT("Update"&amp;Projections!$AG$11&amp;"!K"&amp;ROW(B187))</f>
        <v>0.838006</v>
      </c>
      <c r="AE206" s="144">
        <f t="array" ref="AE206">INDIRECT("Update"&amp;Projections!$AG$11&amp;"!R"&amp;ROW(B187))</f>
        <v>0.704384</v>
      </c>
      <c r="AF206" s="144">
        <f t="shared" si="7"/>
        <v>-1.402570923</v>
      </c>
      <c r="AG206" s="144">
        <f t="shared" si="8"/>
        <v>-0.5795982527</v>
      </c>
      <c r="AH206" s="144">
        <f t="shared" si="9"/>
        <v>-1.141621124</v>
      </c>
      <c r="AI206" s="144">
        <f t="shared" si="10"/>
        <v>-1.383657394</v>
      </c>
      <c r="AJ206" s="144">
        <f t="shared" si="11"/>
        <v>-2.217328258</v>
      </c>
      <c r="AK206" s="144">
        <f t="shared" si="12"/>
        <v>1.064241283</v>
      </c>
      <c r="AL206" s="144">
        <f t="shared" si="13"/>
        <v>0.1892179447</v>
      </c>
      <c r="AM206" s="144">
        <f t="shared" si="14"/>
        <v>0.6683814109</v>
      </c>
      <c r="AN206" s="144">
        <f t="shared" si="15"/>
        <v>0</v>
      </c>
      <c r="AO206" s="167">
        <f t="shared" si="16"/>
        <v>-2.217328258</v>
      </c>
      <c r="AP206" s="167">
        <f t="shared" si="17"/>
        <v>-3.619899182</v>
      </c>
      <c r="AQ206" s="167">
        <f t="array" ref="AQ206">INDIRECT("Update"&amp;Projections!$AG$11&amp;"!S"&amp;ROW(B187))</f>
        <v>0.507592</v>
      </c>
      <c r="AR206" s="167">
        <f t="array" ref="AR206">INDIRECT("Update"&amp;Projections!$AG$11&amp;"!T"&amp;ROW(B187))</f>
        <v>0.838006</v>
      </c>
    </row>
    <row r="207">
      <c r="A207" s="50" t="str">
        <f>IF(UpdateHashtag!C205="",ROW(UpdateHashtag!C205),UpdateHashtag!C205)</f>
        <v>Nickeil Alexander-Walker</v>
      </c>
      <c r="B207" s="53">
        <f>IF(TYPE($A207)=1,"",(UpdateHashtag!M205-B$1)/B$2)</f>
        <v>-1.346453323</v>
      </c>
      <c r="C207" s="53">
        <f>IF(TYPE($A207)=1,"",(UpdateHashtag!L205-C$1)/C$2)</f>
        <v>0.02940609112</v>
      </c>
      <c r="D207" s="53">
        <f>IF(TYPE($A207)=1,"",(UpdateHashtag!N205-D$1)/D$2)</f>
        <v>-1.470013079</v>
      </c>
      <c r="E207" s="53">
        <f>IF(TYPE($A207)=1,"",(UpdateHashtag!O205-E$1)/E$2)</f>
        <v>-0.4576884235</v>
      </c>
      <c r="F207" s="53">
        <f>IF(TYPE($A207)=1,"",(UpdateHashtag!P205-F$1)/F$2)</f>
        <v>-0.442420367</v>
      </c>
      <c r="G207" s="53">
        <f>IF(TYPE($A207)=1,"",(UpdateHashtag!Q205-G$1)/G$2)</f>
        <v>-0.236743041</v>
      </c>
      <c r="H207" s="53">
        <f>IF(TYPE($A207)=1,"",(UpdateHashtag!I205-H$1)/H$2*I207/$I$1)</f>
        <v>-12.53278916</v>
      </c>
      <c r="I207" s="53">
        <f>UpdateHashtag!S205</f>
        <v>7.7</v>
      </c>
      <c r="J207" s="58">
        <f>IF(TYPE($A207)=1,"",(UpdateHashtag!K205-J$1)/J$2*K207/$K$1)</f>
        <v>-1.053687248</v>
      </c>
      <c r="K207" s="59">
        <f>UpdateHashtag!T205</f>
        <v>1.2</v>
      </c>
      <c r="L207" s="53">
        <f>IF(TYPE($A207)=1,"",-(UpdateHashtag!R205-L$1)/L$2)</f>
        <v>0.5442381251</v>
      </c>
      <c r="N207" s="106">
        <f t="shared" si="3"/>
        <v>-4.039627784</v>
      </c>
      <c r="O207" s="106">
        <f t="shared" si="4"/>
        <v>184</v>
      </c>
      <c r="P207" s="163" t="str">
        <f t="array" ref="P207">INDIRECT("Update"&amp;Projections!$AG$11&amp;"!B"&amp;ROW(B188))</f>
        <v/>
      </c>
      <c r="Q207" s="164" t="str">
        <f t="array" ref="Q207">INDIRECT("Update"&amp;Projections!$AG$11&amp;"!C"&amp;ROW(B188))</f>
        <v>Jaylen Wells</v>
      </c>
      <c r="R207" s="163">
        <f>UpdateBBM!F188</f>
        <v>73</v>
      </c>
      <c r="S207" s="165" t="str">
        <f t="array" ref="S207">INDIRECT("Update"&amp;Projections!$AG$11&amp;"!D"&amp;ROW(B188))</f>
        <v>G,F</v>
      </c>
      <c r="T207" s="144">
        <f t="shared" si="5"/>
        <v>-3.182556473</v>
      </c>
      <c r="U207" s="144">
        <f>SUM(AF207:AN207)-IFERROR(IFS(Projections!$I$11,AO207,Projections!$J$11,AP207),"")</f>
        <v>-3.366887711</v>
      </c>
      <c r="V207" s="144">
        <f t="shared" si="6"/>
        <v>-0.1843312377</v>
      </c>
      <c r="W207" s="144">
        <f t="array" ref="W207">INDIRECT("Update"&amp;Projections!$AG$11&amp;"!M"&amp;ROW(B188))</f>
        <v>11.57014</v>
      </c>
      <c r="X207" s="144">
        <f t="array" ref="X207">INDIRECT("Update"&amp;Projections!$AG$11&amp;"!L"&amp;ROW(B188))</f>
        <v>2.028356</v>
      </c>
      <c r="Y207" s="144">
        <f t="array" ref="Y207">INDIRECT("Update"&amp;Projections!$AG$11&amp;"!N"&amp;ROW(B188))</f>
        <v>4.398356</v>
      </c>
      <c r="Z207" s="144">
        <f t="array" ref="Z207">INDIRECT("Update"&amp;Projections!$AG$11&amp;"!O"&amp;ROW(B188))</f>
        <v>2.262055</v>
      </c>
      <c r="AA207" s="144">
        <f t="array" ref="AA207">INDIRECT("Update"&amp;Projections!$AG$11&amp;"!P"&amp;ROW(B188))</f>
        <v>0.635068</v>
      </c>
      <c r="AB207" s="144">
        <f t="array" ref="AB207">INDIRECT("Update"&amp;Projections!$AG$11&amp;"!Q"&amp;ROW(B188))</f>
        <v>0.124795</v>
      </c>
      <c r="AC207" s="166">
        <f t="array" ref="AC207">INDIRECT("Update"&amp;Projections!$AG$11&amp;"!I"&amp;ROW(B188))</f>
        <v>0.437379</v>
      </c>
      <c r="AD207" s="166">
        <f t="array" ref="AD207">INDIRECT("Update"&amp;Projections!$AG$11&amp;"!K"&amp;ROW(B188))</f>
        <v>0.839978</v>
      </c>
      <c r="AE207" s="144">
        <f t="array" ref="AE207">INDIRECT("Update"&amp;Projections!$AG$11&amp;"!R"&amp;ROW(B188))</f>
        <v>1.005342</v>
      </c>
      <c r="AF207" s="144">
        <f t="shared" si="7"/>
        <v>-0.9832625544</v>
      </c>
      <c r="AG207" s="144">
        <f t="shared" si="8"/>
        <v>0.2499599521</v>
      </c>
      <c r="AH207" s="144">
        <f t="shared" si="9"/>
        <v>-0.7005076281</v>
      </c>
      <c r="AI207" s="144">
        <f t="shared" si="10"/>
        <v>-0.7693338044</v>
      </c>
      <c r="AJ207" s="144">
        <f t="shared" si="11"/>
        <v>-1.249729116</v>
      </c>
      <c r="AK207" s="144">
        <f t="shared" si="12"/>
        <v>-1.100662036</v>
      </c>
      <c r="AL207" s="144">
        <f t="shared" si="13"/>
        <v>-0.7594688695</v>
      </c>
      <c r="AM207" s="144">
        <f t="shared" si="14"/>
        <v>0.69638723</v>
      </c>
      <c r="AN207" s="144">
        <f t="shared" si="15"/>
        <v>0</v>
      </c>
      <c r="AO207" s="167">
        <f t="shared" si="16"/>
        <v>-1.249729116</v>
      </c>
      <c r="AP207" s="167">
        <f t="shared" si="17"/>
        <v>-2.350391152</v>
      </c>
      <c r="AQ207" s="167">
        <f t="array" ref="AQ207">INDIRECT("Update"&amp;Projections!$AG$11&amp;"!S"&amp;ROW(B188))</f>
        <v>0.437379</v>
      </c>
      <c r="AR207" s="167">
        <f t="array" ref="AR207">INDIRECT("Update"&amp;Projections!$AG$11&amp;"!T"&amp;ROW(B188))</f>
        <v>0.839978</v>
      </c>
    </row>
    <row r="208">
      <c r="A208" s="50" t="str">
        <f>IF(UpdateHashtag!C206="",ROW(UpdateHashtag!C206),UpdateHashtag!C206)</f>
        <v>Isaiah Jackson</v>
      </c>
      <c r="B208" s="53">
        <f>IF(TYPE($A208)=1,"",(UpdateHashtag!M206-B$1)/B$2)</f>
        <v>-1.662250025</v>
      </c>
      <c r="C208" s="53">
        <f>IF(TYPE($A208)=1,"",(UpdateHashtag!L206-C$1)/C$2)</f>
        <v>-1.709094101</v>
      </c>
      <c r="D208" s="53">
        <f>IF(TYPE($A208)=1,"",(UpdateHashtag!N206-D$1)/D$2)</f>
        <v>-0.5376997843</v>
      </c>
      <c r="E208" s="53">
        <f>IF(TYPE($A208)=1,"",(UpdateHashtag!O206-E$1)/E$2)</f>
        <v>-1.434717418</v>
      </c>
      <c r="F208" s="53">
        <f>IF(TYPE($A208)=1,"",(UpdateHashtag!P206-F$1)/F$2)</f>
        <v>-1.356589379</v>
      </c>
      <c r="G208" s="53">
        <f>IF(TYPE($A208)=1,"",(UpdateHashtag!Q206-G$1)/G$2)</f>
        <v>1.217650739</v>
      </c>
      <c r="H208" s="53">
        <f>IF(TYPE($A208)=1,"",(UpdateHashtag!I206-H$1)/H$2*I208/$I$1)</f>
        <v>17.13075968</v>
      </c>
      <c r="I208" s="53">
        <f>UpdateHashtag!S206</f>
        <v>5.1</v>
      </c>
      <c r="J208" s="58">
        <f>IF(TYPE($A208)=1,"",(UpdateHashtag!K206-J$1)/J$2*K208/$K$1)</f>
        <v>-4.1483294</v>
      </c>
      <c r="K208" s="59">
        <f>UpdateHashtag!T206</f>
        <v>2.3</v>
      </c>
      <c r="L208" s="53">
        <f>IF(TYPE($A208)=1,"",-(UpdateHashtag!R206-L$1)/L$2)</f>
        <v>0.9410095407</v>
      </c>
      <c r="N208" s="106">
        <f t="shared" si="3"/>
        <v>-4.094563673</v>
      </c>
      <c r="O208" s="106">
        <f t="shared" si="4"/>
        <v>141</v>
      </c>
      <c r="P208" s="163" t="str">
        <f t="array" ref="P208">INDIRECT("Update"&amp;Projections!$AG$11&amp;"!B"&amp;ROW(B189))</f>
        <v/>
      </c>
      <c r="Q208" s="164" t="str">
        <f t="array" ref="Q208">INDIRECT("Update"&amp;Projections!$AG$11&amp;"!C"&amp;ROW(B189))</f>
        <v>Jaden Ivey</v>
      </c>
      <c r="R208" s="163">
        <f>UpdateBBM!F189</f>
        <v>68</v>
      </c>
      <c r="S208" s="165" t="str">
        <f t="array" ref="S208">INDIRECT("Update"&amp;Projections!$AG$11&amp;"!D"&amp;ROW(B189))</f>
        <v>G</v>
      </c>
      <c r="T208" s="144">
        <f t="shared" si="5"/>
        <v>-1.530304353</v>
      </c>
      <c r="U208" s="144">
        <f>SUM(AF208:AN208)-IFERROR(IFS(Projections!$I$11,AO208,Projections!$J$11,AP208),"")</f>
        <v>-1.279329487</v>
      </c>
      <c r="V208" s="144">
        <f t="shared" si="6"/>
        <v>0.2509748658</v>
      </c>
      <c r="W208" s="144">
        <f t="array" ref="W208">INDIRECT("Update"&amp;Projections!$AG$11&amp;"!M"&amp;ROW(B189))</f>
        <v>18.80382</v>
      </c>
      <c r="X208" s="144">
        <f t="array" ref="X208">INDIRECT("Update"&amp;Projections!$AG$11&amp;"!L"&amp;ROW(B189))</f>
        <v>2.082794</v>
      </c>
      <c r="Y208" s="144">
        <f t="array" ref="Y208">INDIRECT("Update"&amp;Projections!$AG$11&amp;"!N"&amp;ROW(B189))</f>
        <v>4.04</v>
      </c>
      <c r="Z208" s="144">
        <f t="array" ref="Z208">INDIRECT("Update"&amp;Projections!$AG$11&amp;"!O"&amp;ROW(B189))</f>
        <v>4.309265</v>
      </c>
      <c r="AA208" s="144">
        <f t="array" ref="AA208">INDIRECT("Update"&amp;Projections!$AG$11&amp;"!P"&amp;ROW(B189))</f>
        <v>0.955735</v>
      </c>
      <c r="AB208" s="144">
        <f t="array" ref="AB208">INDIRECT("Update"&amp;Projections!$AG$11&amp;"!Q"&amp;ROW(B189))</f>
        <v>0.400294</v>
      </c>
      <c r="AC208" s="166">
        <f t="array" ref="AC208">INDIRECT("Update"&amp;Projections!$AG$11&amp;"!I"&amp;ROW(B189))</f>
        <v>0.446003</v>
      </c>
      <c r="AD208" s="166">
        <f t="array" ref="AD208">INDIRECT("Update"&amp;Projections!$AG$11&amp;"!K"&amp;ROW(B189))</f>
        <v>0.739995</v>
      </c>
      <c r="AE208" s="144">
        <f t="array" ref="AE208">INDIRECT("Update"&amp;Projections!$AG$11&amp;"!R"&amp;ROW(B189))</f>
        <v>2.760735</v>
      </c>
      <c r="AF208" s="144">
        <f t="shared" si="7"/>
        <v>0.2858331587</v>
      </c>
      <c r="AG208" s="144">
        <f t="shared" si="8"/>
        <v>0.3025379929</v>
      </c>
      <c r="AH208" s="144">
        <f t="shared" si="9"/>
        <v>-0.845768525</v>
      </c>
      <c r="AI208" s="144">
        <f t="shared" si="10"/>
        <v>0.2307579592</v>
      </c>
      <c r="AJ208" s="144">
        <f t="shared" si="11"/>
        <v>-0.2725830009</v>
      </c>
      <c r="AK208" s="144">
        <f t="shared" si="12"/>
        <v>-0.5998069963</v>
      </c>
      <c r="AL208" s="144">
        <f t="shared" si="13"/>
        <v>-0.6589006665</v>
      </c>
      <c r="AM208" s="144">
        <f t="shared" si="14"/>
        <v>-0.5671679341</v>
      </c>
      <c r="AN208" s="144">
        <f t="shared" si="15"/>
        <v>0</v>
      </c>
      <c r="AO208" s="167">
        <f t="shared" si="16"/>
        <v>-0.845768525</v>
      </c>
      <c r="AP208" s="167">
        <f t="shared" si="17"/>
        <v>-1.504669191</v>
      </c>
      <c r="AQ208" s="167">
        <f t="array" ref="AQ208">INDIRECT("Update"&amp;Projections!$AG$11&amp;"!S"&amp;ROW(B189))</f>
        <v>0.446003</v>
      </c>
      <c r="AR208" s="167">
        <f t="array" ref="AR208">INDIRECT("Update"&amp;Projections!$AG$11&amp;"!T"&amp;ROW(B189))</f>
        <v>0.739995</v>
      </c>
    </row>
    <row r="209">
      <c r="A209" s="50" t="str">
        <f>IF(UpdateHashtag!C207="",ROW(UpdateHashtag!C207),UpdateHashtag!C207)</f>
        <v>Sam Hauser</v>
      </c>
      <c r="B209" s="53">
        <f>IF(TYPE($A209)=1,"",(UpdateHashtag!M207-B$1)/B$2)</f>
        <v>-1.328909062</v>
      </c>
      <c r="C209" s="53">
        <f>IF(TYPE($A209)=1,"",(UpdateHashtag!L207-C$1)/C$2)</f>
        <v>0.802072843</v>
      </c>
      <c r="D209" s="53">
        <f>IF(TYPE($A209)=1,"",(UpdateHashtag!N207-D$1)/D$2)</f>
        <v>-0.9430533905</v>
      </c>
      <c r="E209" s="53">
        <f>IF(TYPE($A209)=1,"",(UpdateHashtag!O207-E$1)/E$2)</f>
        <v>-1.288163069</v>
      </c>
      <c r="F209" s="53">
        <f>IF(TYPE($A209)=1,"",(UpdateHashtag!P207-F$1)/F$2)</f>
        <v>-1.661312382</v>
      </c>
      <c r="G209" s="53">
        <f>IF(TYPE($A209)=1,"",(UpdateHashtag!Q207-G$1)/G$2)</f>
        <v>-0.600341486</v>
      </c>
      <c r="H209" s="53">
        <f>IF(TYPE($A209)=1,"",(UpdateHashtag!I207-H$1)/H$2*I209/$I$1)</f>
        <v>-10.17957541</v>
      </c>
      <c r="I209" s="53">
        <f>UpdateHashtag!S207</f>
        <v>7.5</v>
      </c>
      <c r="J209" s="58">
        <f>IF(TYPE($A209)=1,"",(UpdateHashtag!K207-J$1)/J$2*K209/$K$1)</f>
        <v>0.1578624566</v>
      </c>
      <c r="K209" s="59">
        <f>UpdateHashtag!T207</f>
        <v>0.3</v>
      </c>
      <c r="L209" s="53">
        <f>IF(TYPE($A209)=1,"",-(UpdateHashtag!R207-L$1)/L$2)</f>
        <v>1.238588102</v>
      </c>
      <c r="N209" s="106"/>
      <c r="O209" s="106"/>
      <c r="P209" s="163"/>
      <c r="Q209" s="164"/>
      <c r="R209" s="163"/>
      <c r="S209" s="165"/>
      <c r="T209" s="144"/>
      <c r="U209" s="144"/>
      <c r="V209" s="144"/>
      <c r="W209" s="144"/>
      <c r="X209" s="144"/>
      <c r="Y209" s="144"/>
      <c r="Z209" s="144"/>
      <c r="AA209" s="144"/>
      <c r="AB209" s="144"/>
      <c r="AC209" s="166"/>
      <c r="AD209" s="166"/>
      <c r="AE209" s="144"/>
      <c r="AF209" s="144"/>
      <c r="AG209" s="144"/>
      <c r="AH209" s="144"/>
      <c r="AI209" s="144"/>
      <c r="AJ209" s="144"/>
      <c r="AK209" s="144"/>
      <c r="AL209" s="144"/>
      <c r="AM209" s="144"/>
      <c r="AN209" s="144"/>
      <c r="AO209" s="167"/>
      <c r="AP209" s="167"/>
      <c r="AQ209" s="167"/>
      <c r="AR209" s="167"/>
    </row>
    <row r="210">
      <c r="A210" s="50" t="str">
        <f>IF(UpdateHashtag!C208="",ROW(UpdateHashtag!C208),UpdateHashtag!C208)</f>
        <v>Eric Gordon</v>
      </c>
      <c r="B210" s="53">
        <f>IF(TYPE($A210)=1,"",(UpdateHashtag!M208-B$1)/B$2)</f>
        <v>-0.978023838</v>
      </c>
      <c r="C210" s="53">
        <f>IF(TYPE($A210)=1,"",(UpdateHashtag!L208-C$1)/C$2)</f>
        <v>0.2225727791</v>
      </c>
      <c r="D210" s="53">
        <f>IF(TYPE($A210)=1,"",(UpdateHashtag!N208-D$1)/D$2)</f>
        <v>-1.713225242</v>
      </c>
      <c r="E210" s="53">
        <f>IF(TYPE($A210)=1,"",(UpdateHashtag!O208-E$1)/E$2)</f>
        <v>-0.7507971218</v>
      </c>
      <c r="F210" s="53">
        <f>IF(TYPE($A210)=1,"",(UpdateHashtag!P208-F$1)/F$2)</f>
        <v>-0.7471433709</v>
      </c>
      <c r="G210" s="53">
        <f>IF(TYPE($A210)=1,"",(UpdateHashtag!Q208-G$1)/G$2)</f>
        <v>-0.600341486</v>
      </c>
      <c r="H210" s="53">
        <f>IF(TYPE($A210)=1,"",(UpdateHashtag!I208-H$1)/H$2*I210/$I$1)</f>
        <v>-14.14514301</v>
      </c>
      <c r="I210" s="53">
        <f>UpdateHashtag!S208</f>
        <v>9.2</v>
      </c>
      <c r="J210" s="58">
        <f>IF(TYPE($A210)=1,"",(UpdateHashtag!K208-J$1)/J$2*K210/$K$1)</f>
        <v>0.6775286917</v>
      </c>
      <c r="K210" s="59">
        <f>UpdateHashtag!T208</f>
        <v>1.7</v>
      </c>
      <c r="L210" s="53">
        <f>IF(TYPE($A210)=1,"",-(UpdateHashtag!R208-L$1)/L$2)</f>
        <v>0.4450452712</v>
      </c>
      <c r="N210" s="106"/>
      <c r="O210" s="106"/>
      <c r="P210" s="163"/>
      <c r="Q210" s="164"/>
      <c r="R210" s="163"/>
      <c r="S210" s="165"/>
      <c r="T210" s="144"/>
      <c r="U210" s="144"/>
      <c r="V210" s="144"/>
      <c r="W210" s="144"/>
      <c r="X210" s="144"/>
      <c r="Y210" s="144"/>
      <c r="Z210" s="144"/>
      <c r="AA210" s="144"/>
      <c r="AB210" s="144"/>
      <c r="AC210" s="166"/>
      <c r="AD210" s="166"/>
      <c r="AE210" s="144"/>
      <c r="AF210" s="144"/>
      <c r="AG210" s="144"/>
      <c r="AH210" s="144"/>
      <c r="AI210" s="144"/>
      <c r="AJ210" s="144"/>
      <c r="AK210" s="144"/>
      <c r="AL210" s="144"/>
      <c r="AM210" s="144"/>
      <c r="AN210" s="144"/>
      <c r="AO210" s="167"/>
      <c r="AP210" s="167"/>
      <c r="AQ210" s="167"/>
      <c r="AR210" s="167"/>
    </row>
    <row r="211">
      <c r="A211" s="50" t="str">
        <f>IF(UpdateHashtag!C209="",ROW(UpdateHashtag!C209),UpdateHashtag!C209)</f>
        <v>De'Andre Hunter</v>
      </c>
      <c r="B211" s="53">
        <f>IF(TYPE($A211)=1,"",(UpdateHashtag!M209-B$1)/B$2)</f>
        <v>-0.5043287858</v>
      </c>
      <c r="C211" s="53">
        <f>IF(TYPE($A211)=1,"",(UpdateHashtag!L209-C$1)/C$2)</f>
        <v>-0.1637605968</v>
      </c>
      <c r="D211" s="53">
        <f>IF(TYPE($A211)=1,"",(UpdateHashtag!N209-D$1)/D$2)</f>
        <v>-0.9430533905</v>
      </c>
      <c r="E211" s="53">
        <f>IF(TYPE($A211)=1,"",(UpdateHashtag!O209-E$1)/E$2)</f>
        <v>-1.190460169</v>
      </c>
      <c r="F211" s="53">
        <f>IF(TYPE($A211)=1,"",(UpdateHashtag!P209-F$1)/F$2)</f>
        <v>-1.356589379</v>
      </c>
      <c r="G211" s="53">
        <f>IF(TYPE($A211)=1,"",(UpdateHashtag!Q209-G$1)/G$2)</f>
        <v>-0.7821407085</v>
      </c>
      <c r="H211" s="53">
        <f>IF(TYPE($A211)=1,"",(UpdateHashtag!I209-H$1)/H$2*I211/$I$1)</f>
        <v>-11.6256655</v>
      </c>
      <c r="I211" s="53">
        <f>UpdateHashtag!S209</f>
        <v>11</v>
      </c>
      <c r="J211" s="58">
        <f>IF(TYPE($A211)=1,"",(UpdateHashtag!K209-J$1)/J$2*K211/$K$1)</f>
        <v>2.296722751</v>
      </c>
      <c r="K211" s="59">
        <f>UpdateHashtag!T209</f>
        <v>3</v>
      </c>
      <c r="L211" s="53">
        <f>IF(TYPE($A211)=1,"",-(UpdateHashtag!R209-L$1)/L$2)</f>
        <v>0.5442381251</v>
      </c>
      <c r="O211" s="106"/>
      <c r="P211" s="163"/>
      <c r="Q211" s="164"/>
      <c r="R211" s="163"/>
      <c r="S211" s="165"/>
      <c r="T211" s="144"/>
      <c r="U211" s="144"/>
      <c r="V211" s="144"/>
      <c r="W211" s="144"/>
      <c r="X211" s="144"/>
      <c r="Y211" s="144"/>
      <c r="Z211" s="144"/>
      <c r="AA211" s="144"/>
      <c r="AB211" s="144"/>
      <c r="AC211" s="166"/>
      <c r="AD211" s="166"/>
      <c r="AE211" s="144"/>
      <c r="AF211" s="144"/>
      <c r="AG211" s="144"/>
      <c r="AH211" s="144"/>
      <c r="AI211" s="144"/>
      <c r="AJ211" s="144"/>
      <c r="AK211" s="144"/>
      <c r="AL211" s="144"/>
      <c r="AM211" s="144"/>
      <c r="AN211" s="144"/>
      <c r="AO211" s="167"/>
      <c r="AP211" s="167"/>
      <c r="AQ211" s="167"/>
      <c r="AR211" s="167"/>
    </row>
    <row r="212">
      <c r="A212" s="50" t="str">
        <f>IF(UpdateHashtag!C210="",ROW(UpdateHashtag!C210),UpdateHashtag!C210)</f>
        <v>Cason Wallace</v>
      </c>
      <c r="B212" s="53">
        <f>IF(TYPE($A212)=1,"",(UpdateHashtag!M210-B$1)/B$2)</f>
        <v>-1.714882808</v>
      </c>
      <c r="C212" s="53">
        <f>IF(TYPE($A212)=1,"",(UpdateHashtag!L210-C$1)/C$2)</f>
        <v>-0.4535106288</v>
      </c>
      <c r="D212" s="53">
        <f>IF(TYPE($A212)=1,"",(UpdateHashtag!N210-D$1)/D$2)</f>
        <v>-1.470013079</v>
      </c>
      <c r="E212" s="53">
        <f>IF(TYPE($A212)=1,"",(UpdateHashtag!O210-E$1)/E$2)</f>
        <v>-1.09275727</v>
      </c>
      <c r="F212" s="53">
        <f>IF(TYPE($A212)=1,"",(UpdateHashtag!P210-F$1)/F$2)</f>
        <v>-0.1376973632</v>
      </c>
      <c r="G212" s="53">
        <f>IF(TYPE($A212)=1,"",(UpdateHashtag!Q210-G$1)/G$2)</f>
        <v>-0.4185422635</v>
      </c>
      <c r="H212" s="53">
        <f>IF(TYPE($A212)=1,"",(UpdateHashtag!I210-H$1)/H$2*I212/$I$1)</f>
        <v>-0.7287396207</v>
      </c>
      <c r="I212" s="53">
        <f>UpdateHashtag!S210</f>
        <v>5.8</v>
      </c>
      <c r="J212" s="58">
        <f>IF(TYPE($A212)=1,"",(UpdateHashtag!K210-J$1)/J$2*K212/$K$1)</f>
        <v>-0.0959449981</v>
      </c>
      <c r="K212" s="59">
        <f>UpdateHashtag!T210</f>
        <v>0.5</v>
      </c>
      <c r="L212" s="53">
        <f>IF(TYPE($A212)=1,"",-(UpdateHashtag!R210-L$1)/L$2)</f>
        <v>1.139395249</v>
      </c>
      <c r="N212" s="106"/>
      <c r="O212" s="106"/>
      <c r="P212" s="163"/>
      <c r="Q212" s="164"/>
      <c r="R212" s="163"/>
      <c r="S212" s="165"/>
      <c r="T212" s="144"/>
      <c r="U212" s="144"/>
      <c r="V212" s="144"/>
      <c r="W212" s="144"/>
      <c r="X212" s="144"/>
      <c r="Y212" s="144"/>
      <c r="Z212" s="144"/>
      <c r="AA212" s="144"/>
      <c r="AB212" s="144"/>
      <c r="AC212" s="166"/>
      <c r="AD212" s="166"/>
      <c r="AE212" s="144"/>
      <c r="AF212" s="144"/>
      <c r="AG212" s="144"/>
      <c r="AH212" s="144"/>
      <c r="AI212" s="144"/>
      <c r="AJ212" s="144"/>
      <c r="AK212" s="144"/>
      <c r="AL212" s="144"/>
      <c r="AM212" s="144"/>
      <c r="AN212" s="144"/>
      <c r="AO212" s="167"/>
      <c r="AP212" s="167"/>
      <c r="AQ212" s="167"/>
      <c r="AR212" s="167"/>
    </row>
    <row r="213">
      <c r="A213" s="50" t="str">
        <f>IF(UpdateHashtag!C211="",ROW(UpdateHashtag!C211),UpdateHashtag!C211)</f>
        <v>Nicolas Batum</v>
      </c>
      <c r="B213" s="53">
        <f>IF(TYPE($A213)=1,"",(UpdateHashtag!M211-B$1)/B$2)</f>
        <v>-1.925413943</v>
      </c>
      <c r="C213" s="53">
        <f>IF(TYPE($A213)=1,"",(UpdateHashtag!L211-C$1)/C$2)</f>
        <v>-0.2603439408</v>
      </c>
      <c r="D213" s="53">
        <f>IF(TYPE($A213)=1,"",(UpdateHashtag!N211-D$1)/D$2)</f>
        <v>-0.780911948</v>
      </c>
      <c r="E213" s="53">
        <f>IF(TYPE($A213)=1,"",(UpdateHashtag!O211-E$1)/E$2)</f>
        <v>-0.9462029206</v>
      </c>
      <c r="F213" s="53">
        <f>IF(TYPE($A213)=1,"",(UpdateHashtag!P211-F$1)/F$2)</f>
        <v>-0.7471433709</v>
      </c>
      <c r="G213" s="53">
        <f>IF(TYPE($A213)=1,"",(UpdateHashtag!Q211-G$1)/G$2)</f>
        <v>-0.236743041</v>
      </c>
      <c r="H213" s="53">
        <f>IF(TYPE($A213)=1,"",(UpdateHashtag!I211-H$1)/H$2*I213/$I$1)</f>
        <v>-9.300166634</v>
      </c>
      <c r="I213" s="53">
        <f>UpdateHashtag!S211</f>
        <v>4.9</v>
      </c>
      <c r="J213" s="58">
        <f>IF(TYPE($A213)=1,"",(UpdateHashtag!K211-J$1)/J$2*K213/$K$1)</f>
        <v>-0.5666982527</v>
      </c>
      <c r="K213" s="59">
        <f>UpdateHashtag!T211</f>
        <v>0.5</v>
      </c>
      <c r="L213" s="53">
        <f>IF(TYPE($A213)=1,"",-(UpdateHashtag!R211-L$1)/L$2)</f>
        <v>1.040202395</v>
      </c>
      <c r="N213" s="106"/>
      <c r="O213" s="106"/>
      <c r="P213" s="163"/>
      <c r="Q213" s="164"/>
      <c r="R213" s="163"/>
      <c r="S213" s="165"/>
      <c r="T213" s="144"/>
      <c r="U213" s="144"/>
      <c r="V213" s="144"/>
      <c r="W213" s="144"/>
      <c r="X213" s="144"/>
      <c r="Y213" s="144"/>
      <c r="Z213" s="144"/>
      <c r="AA213" s="144"/>
      <c r="AB213" s="144"/>
      <c r="AC213" s="166"/>
      <c r="AD213" s="166"/>
      <c r="AE213" s="144"/>
      <c r="AF213" s="144"/>
      <c r="AG213" s="144"/>
      <c r="AH213" s="144"/>
      <c r="AI213" s="144"/>
      <c r="AJ213" s="144"/>
      <c r="AK213" s="144"/>
      <c r="AL213" s="144"/>
      <c r="AM213" s="144"/>
      <c r="AN213" s="144"/>
      <c r="AO213" s="167"/>
      <c r="AP213" s="167"/>
      <c r="AQ213" s="167"/>
      <c r="AR213" s="167"/>
    </row>
    <row r="214">
      <c r="A214" s="50" t="str">
        <f>IF(UpdateHashtag!C212="",ROW(UpdateHashtag!C212),UpdateHashtag!C212)</f>
        <v>Harrison Barnes</v>
      </c>
      <c r="B214" s="53">
        <f>IF(TYPE($A214)=1,"",(UpdateHashtag!M212-B$1)/B$2)</f>
        <v>-0.8727582709</v>
      </c>
      <c r="C214" s="53">
        <f>IF(TYPE($A214)=1,"",(UpdateHashtag!L212-C$1)/C$2)</f>
        <v>-0.2603439408</v>
      </c>
      <c r="D214" s="53">
        <f>IF(TYPE($A214)=1,"",(UpdateHashtag!N212-D$1)/D$2)</f>
        <v>-1.105194833</v>
      </c>
      <c r="E214" s="53">
        <f>IF(TYPE($A214)=1,"",(UpdateHashtag!O212-E$1)/E$2)</f>
        <v>-1.288163069</v>
      </c>
      <c r="F214" s="53">
        <f>IF(TYPE($A214)=1,"",(UpdateHashtag!P212-F$1)/F$2)</f>
        <v>-1.356589379</v>
      </c>
      <c r="G214" s="53">
        <f>IF(TYPE($A214)=1,"",(UpdateHashtag!Q212-G$1)/G$2)</f>
        <v>-1.145739154</v>
      </c>
      <c r="H214" s="53">
        <f>IF(TYPE($A214)=1,"",(UpdateHashtag!I212-H$1)/H$2*I214/$I$1)</f>
        <v>-5.597434348</v>
      </c>
      <c r="I214" s="53">
        <f>UpdateHashtag!S212</f>
        <v>8.4</v>
      </c>
      <c r="J214" s="58">
        <f>IF(TYPE($A214)=1,"",(UpdateHashtag!K212-J$1)/J$2*K214/$K$1)</f>
        <v>2.315752892</v>
      </c>
      <c r="K214" s="59">
        <f>UpdateHashtag!T212</f>
        <v>3.3</v>
      </c>
      <c r="L214" s="53">
        <f>IF(TYPE($A214)=1,"",-(UpdateHashtag!R212-L$1)/L$2)</f>
        <v>0.9410095407</v>
      </c>
      <c r="O214" s="106"/>
      <c r="P214" s="163"/>
      <c r="Q214" s="164"/>
      <c r="R214" s="163"/>
      <c r="S214" s="165"/>
      <c r="T214" s="144"/>
      <c r="U214" s="144"/>
      <c r="V214" s="144"/>
      <c r="W214" s="144"/>
      <c r="X214" s="144"/>
      <c r="Y214" s="144"/>
      <c r="Z214" s="144"/>
      <c r="AA214" s="144"/>
      <c r="AB214" s="144"/>
      <c r="AC214" s="166"/>
      <c r="AD214" s="166"/>
      <c r="AE214" s="144"/>
      <c r="AF214" s="144"/>
      <c r="AG214" s="144"/>
      <c r="AH214" s="144"/>
      <c r="AI214" s="144"/>
      <c r="AJ214" s="144"/>
      <c r="AK214" s="144"/>
      <c r="AL214" s="144"/>
      <c r="AM214" s="144"/>
      <c r="AN214" s="144"/>
      <c r="AO214" s="167"/>
      <c r="AP214" s="167"/>
      <c r="AQ214" s="167"/>
      <c r="AR214" s="167"/>
    </row>
    <row r="215">
      <c r="A215" s="50" t="str">
        <f>IF(UpdateHashtag!C213="",ROW(UpdateHashtag!C213),UpdateHashtag!C213)</f>
        <v>Larry Nance Jr.</v>
      </c>
      <c r="B215" s="53">
        <f>IF(TYPE($A215)=1,"",(UpdateHashtag!M213-B$1)/B$2)</f>
        <v>-1.978046726</v>
      </c>
      <c r="C215" s="53">
        <f>IF(TYPE($A215)=1,"",(UpdateHashtag!L213-C$1)/C$2)</f>
        <v>-1.419344069</v>
      </c>
      <c r="D215" s="53">
        <f>IF(TYPE($A215)=1,"",(UpdateHashtag!N213-D$1)/D$2)</f>
        <v>-0.4971644236</v>
      </c>
      <c r="E215" s="53">
        <f>IF(TYPE($A215)=1,"",(UpdateHashtag!O213-E$1)/E$2)</f>
        <v>-1.04390582</v>
      </c>
      <c r="F215" s="53">
        <f>IF(TYPE($A215)=1,"",(UpdateHashtag!P213-F$1)/F$2)</f>
        <v>-0.442420367</v>
      </c>
      <c r="G215" s="53">
        <f>IF(TYPE($A215)=1,"",(UpdateHashtag!Q213-G$1)/G$2)</f>
        <v>-0.600341486</v>
      </c>
      <c r="H215" s="53">
        <f>IF(TYPE($A215)=1,"",(UpdateHashtag!I213-H$1)/H$2*I215/$I$1)</f>
        <v>12.04750245</v>
      </c>
      <c r="I215" s="53">
        <f>UpdateHashtag!S213</f>
        <v>4.1</v>
      </c>
      <c r="J215" s="58">
        <f>IF(TYPE($A215)=1,"",(UpdateHashtag!K213-J$1)/J$2*K215/$K$1)</f>
        <v>-0.686579857</v>
      </c>
      <c r="K215" s="59">
        <f>UpdateHashtag!T213</f>
        <v>1</v>
      </c>
      <c r="L215" s="53">
        <f>IF(TYPE($A215)=1,"",-(UpdateHashtag!R213-L$1)/L$2)</f>
        <v>1.040202395</v>
      </c>
      <c r="N215" s="106"/>
      <c r="O215" s="106"/>
      <c r="P215" s="163"/>
      <c r="Q215" s="164"/>
      <c r="R215" s="163"/>
      <c r="S215" s="165"/>
      <c r="T215" s="144"/>
      <c r="U215" s="144"/>
      <c r="V215" s="144"/>
      <c r="W215" s="144"/>
      <c r="X215" s="144"/>
      <c r="Y215" s="144"/>
      <c r="Z215" s="144"/>
      <c r="AA215" s="144"/>
      <c r="AB215" s="144"/>
      <c r="AC215" s="166"/>
      <c r="AD215" s="166"/>
      <c r="AE215" s="144"/>
      <c r="AF215" s="144"/>
      <c r="AG215" s="144"/>
      <c r="AH215" s="144"/>
      <c r="AI215" s="144"/>
      <c r="AJ215" s="144"/>
      <c r="AK215" s="144"/>
      <c r="AL215" s="144"/>
      <c r="AM215" s="144"/>
      <c r="AN215" s="144"/>
      <c r="AO215" s="167"/>
      <c r="AP215" s="167"/>
      <c r="AQ215" s="167"/>
      <c r="AR215" s="167"/>
    </row>
    <row r="216">
      <c r="A216" s="50" t="str">
        <f>IF(UpdateHashtag!C214="",ROW(UpdateHashtag!C214),UpdateHashtag!C214)</f>
        <v>Payton Pritchard</v>
      </c>
      <c r="B216" s="53">
        <f>IF(TYPE($A216)=1,"",(UpdateHashtag!M214-B$1)/B$2)</f>
        <v>-1.171010711</v>
      </c>
      <c r="C216" s="53">
        <f>IF(TYPE($A216)=1,"",(UpdateHashtag!L214-C$1)/C$2)</f>
        <v>0.2225727791</v>
      </c>
      <c r="D216" s="53">
        <f>IF(TYPE($A216)=1,"",(UpdateHashtag!N214-D$1)/D$2)</f>
        <v>-1.064659472</v>
      </c>
      <c r="E216" s="53">
        <f>IF(TYPE($A216)=1,"",(UpdateHashtag!O214-E$1)/E$2)</f>
        <v>-0.213431175</v>
      </c>
      <c r="F216" s="53">
        <f>IF(TYPE($A216)=1,"",(UpdateHashtag!P214-F$1)/F$2)</f>
        <v>-1.661312382</v>
      </c>
      <c r="G216" s="53">
        <f>IF(TYPE($A216)=1,"",(UpdateHashtag!Q214-G$1)/G$2)</f>
        <v>-1.145739154</v>
      </c>
      <c r="H216" s="53">
        <f>IF(TYPE($A216)=1,"",(UpdateHashtag!I214-H$1)/H$2*I216/$I$1)</f>
        <v>-11.15098432</v>
      </c>
      <c r="I216" s="53">
        <f>UpdateHashtag!S214</f>
        <v>8.8</v>
      </c>
      <c r="J216" s="58">
        <f>IF(TYPE($A216)=1,"",(UpdateHashtag!K214-J$1)/J$2*K216/$K$1)</f>
        <v>0.200789489</v>
      </c>
      <c r="K216" s="59">
        <f>UpdateHashtag!T214</f>
        <v>0.7</v>
      </c>
      <c r="L216" s="53">
        <f>IF(TYPE($A216)=1,"",-(UpdateHashtag!R214-L$1)/L$2)</f>
        <v>0.7426238329</v>
      </c>
      <c r="N216" s="106"/>
      <c r="O216" s="106"/>
      <c r="P216" s="163"/>
      <c r="Q216" s="164"/>
      <c r="R216" s="163"/>
      <c r="S216" s="165"/>
      <c r="T216" s="144"/>
      <c r="U216" s="144"/>
      <c r="V216" s="144"/>
      <c r="W216" s="144"/>
      <c r="X216" s="144"/>
      <c r="Y216" s="144"/>
      <c r="Z216" s="144"/>
      <c r="AA216" s="144"/>
      <c r="AB216" s="144"/>
      <c r="AC216" s="166"/>
      <c r="AD216" s="166"/>
      <c r="AE216" s="144"/>
      <c r="AF216" s="144"/>
      <c r="AG216" s="144"/>
      <c r="AH216" s="144"/>
      <c r="AI216" s="144"/>
      <c r="AJ216" s="144"/>
      <c r="AK216" s="144"/>
      <c r="AL216" s="144"/>
      <c r="AM216" s="144"/>
      <c r="AN216" s="144"/>
      <c r="AO216" s="167"/>
      <c r="AP216" s="167"/>
      <c r="AQ216" s="167"/>
      <c r="AR216" s="167"/>
    </row>
    <row r="217">
      <c r="A217" s="50" t="str">
        <f>IF(UpdateHashtag!C215="",ROW(UpdateHashtag!C215),UpdateHashtag!C215)</f>
        <v>Obi Toppin</v>
      </c>
      <c r="B217" s="53">
        <f>IF(TYPE($A217)=1,"",(UpdateHashtag!M215-B$1)/B$2)</f>
        <v>-1.311364801</v>
      </c>
      <c r="C217" s="53">
        <f>IF(TYPE($A217)=1,"",(UpdateHashtag!L215-C$1)/C$2)</f>
        <v>-0.3569272848</v>
      </c>
      <c r="D217" s="53">
        <f>IF(TYPE($A217)=1,"",(UpdateHashtag!N215-D$1)/D$2)</f>
        <v>-0.9835887512</v>
      </c>
      <c r="E217" s="53">
        <f>IF(TYPE($A217)=1,"",(UpdateHashtag!O215-E$1)/E$2)</f>
        <v>-1.190460169</v>
      </c>
      <c r="F217" s="53">
        <f>IF(TYPE($A217)=1,"",(UpdateHashtag!P215-F$1)/F$2)</f>
        <v>-1.661312382</v>
      </c>
      <c r="G217" s="53">
        <f>IF(TYPE($A217)=1,"",(UpdateHashtag!Q215-G$1)/G$2)</f>
        <v>-0.600341486</v>
      </c>
      <c r="H217" s="53">
        <f>IF(TYPE($A217)=1,"",(UpdateHashtag!I215-H$1)/H$2*I217/$I$1)</f>
        <v>5.442219716</v>
      </c>
      <c r="I217" s="53">
        <f>UpdateHashtag!S215</f>
        <v>7.3</v>
      </c>
      <c r="J217" s="58">
        <f>IF(TYPE($A217)=1,"",(UpdateHashtag!K215-J$1)/J$2*K217/$K$1)</f>
        <v>0.0697771832</v>
      </c>
      <c r="K217" s="59">
        <f>UpdateHashtag!T215</f>
        <v>1.1</v>
      </c>
      <c r="L217" s="53">
        <f>IF(TYPE($A217)=1,"",-(UpdateHashtag!R215-L$1)/L$2)</f>
        <v>0.9410095407</v>
      </c>
      <c r="O217" s="106"/>
      <c r="P217" s="163"/>
      <c r="Q217" s="164"/>
      <c r="R217" s="163"/>
      <c r="S217" s="165"/>
      <c r="T217" s="144"/>
      <c r="U217" s="144"/>
      <c r="V217" s="144"/>
      <c r="W217" s="144"/>
      <c r="X217" s="144"/>
      <c r="Y217" s="144"/>
      <c r="Z217" s="144"/>
      <c r="AA217" s="144"/>
      <c r="AB217" s="144"/>
      <c r="AC217" s="166"/>
      <c r="AD217" s="166"/>
      <c r="AE217" s="144"/>
      <c r="AF217" s="144"/>
      <c r="AG217" s="144"/>
      <c r="AH217" s="144"/>
      <c r="AI217" s="144"/>
      <c r="AJ217" s="144"/>
      <c r="AK217" s="144"/>
      <c r="AL217" s="144"/>
      <c r="AM217" s="144"/>
      <c r="AN217" s="144"/>
      <c r="AO217" s="167"/>
      <c r="AP217" s="167"/>
      <c r="AQ217" s="167"/>
      <c r="AR217" s="167"/>
    </row>
    <row r="218">
      <c r="A218" s="50" t="str">
        <f>IF(UpdateHashtag!C216="",ROW(UpdateHashtag!C216),UpdateHashtag!C216)</f>
        <v>Moritz Wagner</v>
      </c>
      <c r="B218" s="53">
        <f>IF(TYPE($A218)=1,"",(UpdateHashtag!M216-B$1)/B$2)</f>
        <v>-1.206099234</v>
      </c>
      <c r="C218" s="53">
        <f>IF(TYPE($A218)=1,"",(UpdateHashtag!L216-C$1)/C$2)</f>
        <v>-1.129594037</v>
      </c>
      <c r="D218" s="53">
        <f>IF(TYPE($A218)=1,"",(UpdateHashtag!N216-D$1)/D$2)</f>
        <v>-0.780911948</v>
      </c>
      <c r="E218" s="53">
        <f>IF(TYPE($A218)=1,"",(UpdateHashtag!O216-E$1)/E$2)</f>
        <v>-1.239311619</v>
      </c>
      <c r="F218" s="53">
        <f>IF(TYPE($A218)=1,"",(UpdateHashtag!P216-F$1)/F$2)</f>
        <v>-1.661312382</v>
      </c>
      <c r="G218" s="53">
        <f>IF(TYPE($A218)=1,"",(UpdateHashtag!Q216-G$1)/G$2)</f>
        <v>-0.963939931</v>
      </c>
      <c r="H218" s="53">
        <f>IF(TYPE($A218)=1,"",(UpdateHashtag!I216-H$1)/H$2*I218/$I$1)</f>
        <v>12.85087125</v>
      </c>
      <c r="I218" s="53">
        <f>UpdateHashtag!S216</f>
        <v>6.6</v>
      </c>
      <c r="J218" s="58">
        <f>IF(TYPE($A218)=1,"",(UpdateHashtag!K216-J$1)/J$2*K218/$K$1)</f>
        <v>1.636191565</v>
      </c>
      <c r="K218" s="59">
        <f>UpdateHashtag!T216</f>
        <v>2.7</v>
      </c>
      <c r="L218" s="53">
        <f>IF(TYPE($A218)=1,"",-(UpdateHashtag!R216-L$1)/L$2)</f>
        <v>0.5442381251</v>
      </c>
      <c r="N218" s="106"/>
      <c r="O218" s="106"/>
      <c r="P218" s="163"/>
      <c r="Q218" s="164"/>
      <c r="R218" s="163"/>
      <c r="S218" s="165"/>
      <c r="T218" s="144"/>
      <c r="U218" s="144"/>
      <c r="V218" s="144"/>
      <c r="W218" s="144"/>
      <c r="X218" s="144"/>
      <c r="Y218" s="144"/>
      <c r="Z218" s="144"/>
      <c r="AA218" s="144"/>
      <c r="AB218" s="144"/>
      <c r="AC218" s="166"/>
      <c r="AD218" s="166"/>
      <c r="AE218" s="144"/>
      <c r="AF218" s="144"/>
      <c r="AG218" s="144"/>
      <c r="AH218" s="144"/>
      <c r="AI218" s="144"/>
      <c r="AJ218" s="144"/>
      <c r="AK218" s="144"/>
      <c r="AL218" s="144"/>
      <c r="AM218" s="144"/>
      <c r="AN218" s="144"/>
      <c r="AO218" s="167"/>
      <c r="AP218" s="167"/>
      <c r="AQ218" s="167"/>
      <c r="AR218" s="167"/>
    </row>
    <row r="219">
      <c r="A219" s="50" t="str">
        <f>IF(UpdateHashtag!C217="",ROW(UpdateHashtag!C217),UpdateHashtag!C217)</f>
        <v>Santi Aldama</v>
      </c>
      <c r="B219" s="53">
        <f>IF(TYPE($A219)=1,"",(UpdateHashtag!M217-B$1)/B$2)</f>
        <v>-1.363997584</v>
      </c>
      <c r="C219" s="53">
        <f>IF(TYPE($A219)=1,"",(UpdateHashtag!L217-C$1)/C$2)</f>
        <v>-0.3569272848</v>
      </c>
      <c r="D219" s="53">
        <f>IF(TYPE($A219)=1,"",(UpdateHashtag!N217-D$1)/D$2)</f>
        <v>-0.4160937024</v>
      </c>
      <c r="E219" s="53">
        <f>IF(TYPE($A219)=1,"",(UpdateHashtag!O217-E$1)/E$2)</f>
        <v>-1.09275727</v>
      </c>
      <c r="F219" s="53">
        <f>IF(TYPE($A219)=1,"",(UpdateHashtag!P217-F$1)/F$2)</f>
        <v>-1.356589379</v>
      </c>
      <c r="G219" s="53">
        <f>IF(TYPE($A219)=1,"",(UpdateHashtag!Q217-G$1)/G$2)</f>
        <v>-0.05494381853</v>
      </c>
      <c r="H219" s="53">
        <f>IF(TYPE($A219)=1,"",(UpdateHashtag!I217-H$1)/H$2*I219/$I$1)</f>
        <v>-9.858698061</v>
      </c>
      <c r="I219" s="53">
        <f>UpdateHashtag!S217</f>
        <v>7.6</v>
      </c>
      <c r="J219" s="58">
        <f>IF(TYPE($A219)=1,"",(UpdateHashtag!K217-J$1)/J$2*K219/$K$1)</f>
        <v>-2.196420107</v>
      </c>
      <c r="K219" s="59">
        <f>UpdateHashtag!T217</f>
        <v>1.6</v>
      </c>
      <c r="L219" s="53">
        <f>IF(TYPE($A219)=1,"",-(UpdateHashtag!R217-L$1)/L$2)</f>
        <v>0.8418166868</v>
      </c>
      <c r="N219" s="106"/>
      <c r="O219" s="106"/>
      <c r="P219" s="163"/>
      <c r="Q219" s="164"/>
      <c r="R219" s="163"/>
      <c r="S219" s="165"/>
      <c r="T219" s="144"/>
      <c r="U219" s="144"/>
      <c r="V219" s="144"/>
      <c r="W219" s="144"/>
      <c r="X219" s="144"/>
      <c r="Y219" s="144"/>
      <c r="Z219" s="144"/>
      <c r="AA219" s="144"/>
      <c r="AB219" s="144"/>
      <c r="AC219" s="166"/>
      <c r="AD219" s="166"/>
      <c r="AE219" s="144"/>
      <c r="AF219" s="144"/>
      <c r="AG219" s="144"/>
      <c r="AH219" s="144"/>
      <c r="AI219" s="144"/>
      <c r="AJ219" s="144"/>
      <c r="AK219" s="144"/>
      <c r="AL219" s="144"/>
      <c r="AM219" s="144"/>
      <c r="AN219" s="144"/>
      <c r="AO219" s="167"/>
      <c r="AP219" s="167"/>
      <c r="AQ219" s="167"/>
      <c r="AR219" s="167"/>
    </row>
    <row r="220">
      <c r="A220" s="50" t="str">
        <f>IF(UpdateHashtag!C218="",ROW(UpdateHashtag!C218),UpdateHashtag!C218)</f>
        <v>Matisse Thybulle</v>
      </c>
      <c r="B220" s="53">
        <f>IF(TYPE($A220)=1,"",(UpdateHashtag!M218-B$1)/B$2)</f>
        <v>-2.153489338</v>
      </c>
      <c r="C220" s="53">
        <f>IF(TYPE($A220)=1,"",(UpdateHashtag!L218-C$1)/C$2)</f>
        <v>-0.7432606607</v>
      </c>
      <c r="D220" s="53">
        <f>IF(TYPE($A220)=1,"",(UpdateHashtag!N218-D$1)/D$2)</f>
        <v>-1.632154521</v>
      </c>
      <c r="E220" s="53">
        <f>IF(TYPE($A220)=1,"",(UpdateHashtag!O218-E$1)/E$2)</f>
        <v>-1.337014518</v>
      </c>
      <c r="F220" s="53">
        <f>IF(TYPE($A220)=1,"",(UpdateHashtag!P218-F$1)/F$2)</f>
        <v>1.385917656</v>
      </c>
      <c r="G220" s="53">
        <f>IF(TYPE($A220)=1,"",(UpdateHashtag!Q218-G$1)/G$2)</f>
        <v>-0.236743041</v>
      </c>
      <c r="H220" s="53">
        <f>IF(TYPE($A220)=1,"",(UpdateHashtag!I218-H$1)/H$2*I220/$I$1)</f>
        <v>-10.48645154</v>
      </c>
      <c r="I220" s="53">
        <f>UpdateHashtag!S218</f>
        <v>4.3</v>
      </c>
      <c r="J220" s="58">
        <f>IF(TYPE($A220)=1,"",(UpdateHashtag!K218-J$1)/J$2*K220/$K$1)</f>
        <v>-0.4278262223</v>
      </c>
      <c r="K220" s="59">
        <f>UpdateHashtag!T218</f>
        <v>0.4</v>
      </c>
      <c r="L220" s="53">
        <f>IF(TYPE($A220)=1,"",-(UpdateHashtag!R218-L$1)/L$2)</f>
        <v>1.238588102</v>
      </c>
      <c r="O220" s="106"/>
      <c r="P220" s="163"/>
      <c r="Q220" s="164"/>
      <c r="R220" s="163"/>
      <c r="S220" s="165"/>
      <c r="T220" s="144"/>
      <c r="U220" s="144"/>
      <c r="V220" s="144"/>
      <c r="W220" s="144"/>
      <c r="X220" s="144"/>
      <c r="Y220" s="144"/>
      <c r="Z220" s="144"/>
      <c r="AA220" s="144"/>
      <c r="AB220" s="144"/>
      <c r="AC220" s="166"/>
      <c r="AD220" s="166"/>
      <c r="AE220" s="144"/>
      <c r="AF220" s="144"/>
      <c r="AG220" s="144"/>
      <c r="AH220" s="144"/>
      <c r="AI220" s="144"/>
      <c r="AJ220" s="144"/>
      <c r="AK220" s="144"/>
      <c r="AL220" s="144"/>
      <c r="AM220" s="144"/>
      <c r="AN220" s="144"/>
      <c r="AO220" s="167"/>
      <c r="AP220" s="167"/>
      <c r="AQ220" s="167"/>
      <c r="AR220" s="167"/>
    </row>
    <row r="221">
      <c r="A221" s="50" t="str">
        <f>IF(UpdateHashtag!C219="",ROW(UpdateHashtag!C219),UpdateHashtag!C219)</f>
        <v>Robert Williams III</v>
      </c>
      <c r="B221" s="53">
        <f>IF(TYPE($A221)=1,"",(UpdateHashtag!M219-B$1)/B$2)</f>
        <v>-2.083312293</v>
      </c>
      <c r="C221" s="53">
        <f>IF(TYPE($A221)=1,"",(UpdateHashtag!L219-C$1)/C$2)</f>
        <v>-1.709094101</v>
      </c>
      <c r="D221" s="53">
        <f>IF(TYPE($A221)=1,"",(UpdateHashtag!N219-D$1)/D$2)</f>
        <v>-0.2539522599</v>
      </c>
      <c r="E221" s="53">
        <f>IF(TYPE($A221)=1,"",(UpdateHashtag!O219-E$1)/E$2)</f>
        <v>-1.434717418</v>
      </c>
      <c r="F221" s="53">
        <f>IF(TYPE($A221)=1,"",(UpdateHashtag!P219-F$1)/F$2)</f>
        <v>-1.661312382</v>
      </c>
      <c r="G221" s="53">
        <f>IF(TYPE($A221)=1,"",(UpdateHashtag!Q219-G$1)/G$2)</f>
        <v>0.3086546265</v>
      </c>
      <c r="H221" s="53">
        <f>IF(TYPE($A221)=1,"",(UpdateHashtag!I219-H$1)/H$2*I221/$I$1)</f>
        <v>23.24527037</v>
      </c>
      <c r="I221" s="53">
        <f>UpdateHashtag!S219</f>
        <v>3.2</v>
      </c>
      <c r="J221" s="58">
        <f>IF(TYPE($A221)=1,"",(UpdateHashtag!K219-J$1)/J$2*K221/$K$1)</f>
        <v>-1.902480021</v>
      </c>
      <c r="K221" s="59">
        <f>UpdateHashtag!T219</f>
        <v>0.8</v>
      </c>
      <c r="L221" s="53">
        <f>IF(TYPE($A221)=1,"",-(UpdateHashtag!R219-L$1)/L$2)</f>
        <v>1.040202395</v>
      </c>
      <c r="O221" s="106"/>
      <c r="P221" s="163"/>
      <c r="Q221" s="164"/>
      <c r="R221" s="163"/>
      <c r="S221" s="165"/>
      <c r="T221" s="144"/>
      <c r="U221" s="144"/>
      <c r="V221" s="144"/>
      <c r="W221" s="144"/>
      <c r="X221" s="144"/>
      <c r="Y221" s="144"/>
      <c r="Z221" s="144"/>
      <c r="AA221" s="144"/>
      <c r="AB221" s="144"/>
      <c r="AC221" s="166"/>
      <c r="AD221" s="166"/>
      <c r="AE221" s="144"/>
      <c r="AF221" s="144"/>
      <c r="AG221" s="144"/>
      <c r="AH221" s="144"/>
      <c r="AI221" s="144"/>
      <c r="AJ221" s="144"/>
      <c r="AK221" s="144"/>
      <c r="AL221" s="144"/>
      <c r="AM221" s="144"/>
      <c r="AN221" s="144"/>
      <c r="AO221" s="167"/>
      <c r="AP221" s="167"/>
      <c r="AQ221" s="167"/>
      <c r="AR221" s="167"/>
    </row>
    <row r="222">
      <c r="A222" s="50" t="str">
        <f>IF(UpdateHashtag!C220="",ROW(UpdateHashtag!C220),UpdateHashtag!C220)</f>
        <v>Taurean Prince</v>
      </c>
      <c r="B222" s="53">
        <f>IF(TYPE($A222)=1,"",(UpdateHashtag!M220-B$1)/B$2)</f>
        <v>-1.29382054</v>
      </c>
      <c r="C222" s="53">
        <f>IF(TYPE($A222)=1,"",(UpdateHashtag!L220-C$1)/C$2)</f>
        <v>0.02940609112</v>
      </c>
      <c r="D222" s="53">
        <f>IF(TYPE($A222)=1,"",(UpdateHashtag!N220-D$1)/D$2)</f>
        <v>-1.267336276</v>
      </c>
      <c r="E222" s="53">
        <f>IF(TYPE($A222)=1,"",(UpdateHashtag!O220-E$1)/E$2)</f>
        <v>-1.04390582</v>
      </c>
      <c r="F222" s="53">
        <f>IF(TYPE($A222)=1,"",(UpdateHashtag!P220-F$1)/F$2)</f>
        <v>-1.051866375</v>
      </c>
      <c r="G222" s="53">
        <f>IF(TYPE($A222)=1,"",(UpdateHashtag!Q220-G$1)/G$2)</f>
        <v>-0.600341486</v>
      </c>
      <c r="H222" s="53">
        <f>IF(TYPE($A222)=1,"",(UpdateHashtag!I220-H$1)/H$2*I222/$I$1)</f>
        <v>-10.01054274</v>
      </c>
      <c r="I222" s="53">
        <f>UpdateHashtag!S220</f>
        <v>7.9</v>
      </c>
      <c r="J222" s="58">
        <f>IF(TYPE($A222)=1,"",(UpdateHashtag!K220-J$1)/J$2*K222/$K$1)</f>
        <v>0.07612056349</v>
      </c>
      <c r="K222" s="59">
        <f>UpdateHashtag!T220</f>
        <v>1.2</v>
      </c>
      <c r="L222" s="53">
        <f>IF(TYPE($A222)=1,"",-(UpdateHashtag!R220-L$1)/L$2)</f>
        <v>0.5442381251</v>
      </c>
      <c r="N222" s="106"/>
      <c r="O222" s="106"/>
      <c r="P222" s="163"/>
      <c r="Q222" s="164"/>
      <c r="R222" s="163"/>
      <c r="S222" s="165"/>
      <c r="T222" s="144"/>
      <c r="U222" s="144"/>
      <c r="V222" s="144"/>
      <c r="W222" s="144"/>
      <c r="X222" s="144"/>
      <c r="Y222" s="144"/>
      <c r="Z222" s="144"/>
      <c r="AA222" s="144"/>
      <c r="AB222" s="144"/>
      <c r="AC222" s="166"/>
      <c r="AD222" s="166"/>
      <c r="AE222" s="144"/>
      <c r="AF222" s="144"/>
      <c r="AG222" s="144"/>
      <c r="AH222" s="144"/>
      <c r="AI222" s="144"/>
      <c r="AJ222" s="144"/>
      <c r="AK222" s="144"/>
      <c r="AL222" s="144"/>
      <c r="AM222" s="144"/>
      <c r="AN222" s="144"/>
      <c r="AO222" s="167"/>
      <c r="AP222" s="167"/>
      <c r="AQ222" s="167"/>
      <c r="AR222" s="167"/>
    </row>
    <row r="223">
      <c r="A223" s="50" t="str">
        <f>IF(UpdateHashtag!C221="",ROW(UpdateHashtag!C221),UpdateHashtag!C221)</f>
        <v>Spencer Dinwiddie</v>
      </c>
      <c r="B223" s="53">
        <f>IF(TYPE($A223)=1,"",(UpdateHashtag!M221-B$1)/B$2)</f>
        <v>-1.100833666</v>
      </c>
      <c r="C223" s="53">
        <f>IF(TYPE($A223)=1,"",(UpdateHashtag!L221-C$1)/C$2)</f>
        <v>-0.2603439408</v>
      </c>
      <c r="D223" s="53">
        <f>IF(TYPE($A223)=1,"",(UpdateHashtag!N221-D$1)/D$2)</f>
        <v>-1.510548439</v>
      </c>
      <c r="E223" s="53">
        <f>IF(TYPE($A223)=1,"",(UpdateHashtag!O221-E$1)/E$2)</f>
        <v>0.2750833221</v>
      </c>
      <c r="F223" s="53">
        <f>IF(TYPE($A223)=1,"",(UpdateHashtag!P221-F$1)/F$2)</f>
        <v>-1.356589379</v>
      </c>
      <c r="G223" s="53">
        <f>IF(TYPE($A223)=1,"",(UpdateHashtag!Q221-G$1)/G$2)</f>
        <v>-0.963939931</v>
      </c>
      <c r="H223" s="53">
        <f>IF(TYPE($A223)=1,"",(UpdateHashtag!I221-H$1)/H$2*I223/$I$1)</f>
        <v>-18.94166378</v>
      </c>
      <c r="I223" s="53">
        <f>UpdateHashtag!S221</f>
        <v>8.5</v>
      </c>
      <c r="J223" s="58">
        <f>IF(TYPE($A223)=1,"",(UpdateHashtag!K221-J$1)/J$2*K223/$K$1)</f>
        <v>0.9037314166</v>
      </c>
      <c r="K223" s="59">
        <f>UpdateHashtag!T221</f>
        <v>2.7</v>
      </c>
      <c r="L223" s="53">
        <f>IF(TYPE($A223)=1,"",-(UpdateHashtag!R221-L$1)/L$2)</f>
        <v>0.5442381251</v>
      </c>
      <c r="N223" s="106"/>
      <c r="O223" s="106"/>
      <c r="P223" s="163"/>
      <c r="Q223" s="164"/>
      <c r="R223" s="163"/>
      <c r="S223" s="165"/>
      <c r="T223" s="144"/>
      <c r="U223" s="144"/>
      <c r="V223" s="144"/>
      <c r="W223" s="144"/>
      <c r="X223" s="144"/>
      <c r="Y223" s="144"/>
      <c r="Z223" s="144"/>
      <c r="AA223" s="144"/>
      <c r="AB223" s="144"/>
      <c r="AC223" s="166"/>
      <c r="AD223" s="166"/>
      <c r="AE223" s="144"/>
      <c r="AF223" s="144"/>
      <c r="AG223" s="144"/>
      <c r="AH223" s="144"/>
      <c r="AI223" s="144"/>
      <c r="AJ223" s="144"/>
      <c r="AK223" s="144"/>
      <c r="AL223" s="144"/>
      <c r="AM223" s="144"/>
      <c r="AN223" s="144"/>
      <c r="AO223" s="167"/>
      <c r="AP223" s="167"/>
      <c r="AQ223" s="167"/>
      <c r="AR223" s="167"/>
    </row>
    <row r="224">
      <c r="A224" s="50" t="str">
        <f>IF(UpdateHashtag!C222="",ROW(UpdateHashtag!C222),UpdateHashtag!C222)</f>
        <v>Dillon Brooks</v>
      </c>
      <c r="B224" s="53">
        <f>IF(TYPE($A224)=1,"",(UpdateHashtag!M222-B$1)/B$2)</f>
        <v>-0.7324041813</v>
      </c>
      <c r="C224" s="53">
        <f>IF(TYPE($A224)=1,"",(UpdateHashtag!L222-C$1)/C$2)</f>
        <v>0.02940609112</v>
      </c>
      <c r="D224" s="53">
        <f>IF(TYPE($A224)=1,"",(UpdateHashtag!N222-D$1)/D$2)</f>
        <v>-1.186265554</v>
      </c>
      <c r="E224" s="53">
        <f>IF(TYPE($A224)=1,"",(UpdateHashtag!O222-E$1)/E$2)</f>
        <v>-0.8973514709</v>
      </c>
      <c r="F224" s="53">
        <f>IF(TYPE($A224)=1,"",(UpdateHashtag!P222-F$1)/F$2)</f>
        <v>-0.442420367</v>
      </c>
      <c r="G224" s="53">
        <f>IF(TYPE($A224)=1,"",(UpdateHashtag!Q222-G$1)/G$2)</f>
        <v>-0.963939931</v>
      </c>
      <c r="H224" s="53">
        <f>IF(TYPE($A224)=1,"",(UpdateHashtag!I222-H$1)/H$2*I224/$I$1)</f>
        <v>-23.61264436</v>
      </c>
      <c r="I224" s="53">
        <f>UpdateHashtag!S222</f>
        <v>11.2</v>
      </c>
      <c r="J224" s="58">
        <f>IF(TYPE($A224)=1,"",(UpdateHashtag!K222-J$1)/J$2*K224/$K$1)</f>
        <v>0.6694306789</v>
      </c>
      <c r="K224" s="59">
        <f>UpdateHashtag!T222</f>
        <v>2</v>
      </c>
      <c r="L224" s="53">
        <f>IF(TYPE($A224)=1,"",-(UpdateHashtag!R222-L$1)/L$2)</f>
        <v>0.4450452712</v>
      </c>
      <c r="O224" s="106"/>
      <c r="P224" s="163"/>
      <c r="Q224" s="164"/>
      <c r="R224" s="163"/>
      <c r="S224" s="165"/>
      <c r="T224" s="144"/>
      <c r="U224" s="144"/>
      <c r="V224" s="144"/>
      <c r="W224" s="144"/>
      <c r="X224" s="144"/>
      <c r="Y224" s="144"/>
      <c r="Z224" s="144"/>
      <c r="AA224" s="144"/>
      <c r="AB224" s="144"/>
      <c r="AC224" s="166"/>
      <c r="AD224" s="166"/>
      <c r="AE224" s="144"/>
      <c r="AF224" s="144"/>
      <c r="AG224" s="144"/>
      <c r="AH224" s="144"/>
      <c r="AI224" s="144"/>
      <c r="AJ224" s="144"/>
      <c r="AK224" s="144"/>
      <c r="AL224" s="144"/>
      <c r="AM224" s="144"/>
      <c r="AN224" s="144"/>
      <c r="AO224" s="167"/>
      <c r="AP224" s="167"/>
      <c r="AQ224" s="167"/>
      <c r="AR224" s="167"/>
    </row>
    <row r="225">
      <c r="A225" s="50" t="str">
        <f>IF(UpdateHashtag!C223="",ROW(UpdateHashtag!C223),UpdateHashtag!C223)</f>
        <v>John Konchar</v>
      </c>
      <c r="B225" s="53">
        <f>IF(TYPE($A225)=1,"",(UpdateHashtag!M223-B$1)/B$2)</f>
        <v>-2.18857786</v>
      </c>
      <c r="C225" s="53">
        <f>IF(TYPE($A225)=1,"",(UpdateHashtag!L223-C$1)/C$2)</f>
        <v>-0.9364273487</v>
      </c>
      <c r="D225" s="53">
        <f>IF(TYPE($A225)=1,"",(UpdateHashtag!N223-D$1)/D$2)</f>
        <v>-0.6998412268</v>
      </c>
      <c r="E225" s="53">
        <f>IF(TYPE($A225)=1,"",(UpdateHashtag!O223-E$1)/E$2)</f>
        <v>-1.04390582</v>
      </c>
      <c r="F225" s="53">
        <f>IF(TYPE($A225)=1,"",(UpdateHashtag!P223-F$1)/F$2)</f>
        <v>-0.1376973632</v>
      </c>
      <c r="G225" s="53">
        <f>IF(TYPE($A225)=1,"",(UpdateHashtag!Q223-G$1)/G$2)</f>
        <v>-0.236743041</v>
      </c>
      <c r="H225" s="53">
        <f>IF(TYPE($A225)=1,"",(UpdateHashtag!I223-H$1)/H$2*I225/$I$1)</f>
        <v>-8.274424865</v>
      </c>
      <c r="I225" s="53">
        <f>UpdateHashtag!S223</f>
        <v>4.1</v>
      </c>
      <c r="J225" s="58">
        <f>IF(TYPE($A225)=1,"",(UpdateHashtag!K223-J$1)/J$2*K225/$K$1)</f>
        <v>0.03171690145</v>
      </c>
      <c r="K225" s="59">
        <f>UpdateHashtag!T223</f>
        <v>0.5</v>
      </c>
      <c r="L225" s="53">
        <f>IF(TYPE($A225)=1,"",-(UpdateHashtag!R223-L$1)/L$2)</f>
        <v>1.040202395</v>
      </c>
      <c r="O225" s="106"/>
      <c r="P225" s="163"/>
      <c r="Q225" s="164"/>
      <c r="R225" s="163"/>
      <c r="S225" s="165"/>
      <c r="T225" s="144"/>
      <c r="U225" s="144"/>
      <c r="V225" s="144"/>
      <c r="W225" s="144"/>
      <c r="X225" s="144"/>
      <c r="Y225" s="144"/>
      <c r="Z225" s="144"/>
      <c r="AA225" s="144"/>
      <c r="AB225" s="144"/>
      <c r="AC225" s="166"/>
      <c r="AD225" s="166"/>
      <c r="AE225" s="144"/>
      <c r="AF225" s="144"/>
      <c r="AG225" s="144"/>
      <c r="AH225" s="144"/>
      <c r="AI225" s="144"/>
      <c r="AJ225" s="144"/>
      <c r="AK225" s="144"/>
      <c r="AL225" s="144"/>
      <c r="AM225" s="144"/>
      <c r="AN225" s="144"/>
      <c r="AO225" s="167"/>
      <c r="AP225" s="167"/>
      <c r="AQ225" s="167"/>
      <c r="AR225" s="167"/>
    </row>
    <row r="226">
      <c r="A226" s="50" t="str">
        <f>IF(UpdateHashtag!C224="",ROW(UpdateHashtag!C224),UpdateHashtag!C224)</f>
        <v>Royce O'Neale</v>
      </c>
      <c r="B226" s="53">
        <f>IF(TYPE($A226)=1,"",(UpdateHashtag!M224-B$1)/B$2)</f>
        <v>-1.749971331</v>
      </c>
      <c r="C226" s="53">
        <f>IF(TYPE($A226)=1,"",(UpdateHashtag!L224-C$1)/C$2)</f>
        <v>0.02940609112</v>
      </c>
      <c r="D226" s="53">
        <f>IF(TYPE($A226)=1,"",(UpdateHashtag!N224-D$1)/D$2)</f>
        <v>-0.7403765874</v>
      </c>
      <c r="E226" s="53">
        <f>IF(TYPE($A226)=1,"",(UpdateHashtag!O224-E$1)/E$2)</f>
        <v>-0.5065398732</v>
      </c>
      <c r="F226" s="53">
        <f>IF(TYPE($A226)=1,"",(UpdateHashtag!P224-F$1)/F$2)</f>
        <v>-1.051866375</v>
      </c>
      <c r="G226" s="53">
        <f>IF(TYPE($A226)=1,"",(UpdateHashtag!Q224-G$1)/G$2)</f>
        <v>-0.4185422635</v>
      </c>
      <c r="H226" s="53">
        <f>IF(TYPE($A226)=1,"",(UpdateHashtag!I224-H$1)/H$2*I226/$I$1)</f>
        <v>-19.71663844</v>
      </c>
      <c r="I226" s="53">
        <f>UpdateHashtag!S224</f>
        <v>6.3</v>
      </c>
      <c r="J226" s="58">
        <f>IF(TYPE($A226)=1,"",(UpdateHashtag!K224-J$1)/J$2*K226/$K$1)</f>
        <v>-0.7757843279</v>
      </c>
      <c r="K226" s="59">
        <f>UpdateHashtag!T224</f>
        <v>0.6</v>
      </c>
      <c r="L226" s="53">
        <f>IF(TYPE($A226)=1,"",-(UpdateHashtag!R224-L$1)/L$2)</f>
        <v>0.643430979</v>
      </c>
      <c r="N226" s="106"/>
      <c r="O226" s="106"/>
      <c r="P226" s="163"/>
      <c r="Q226" s="164"/>
      <c r="R226" s="163"/>
      <c r="S226" s="165"/>
      <c r="T226" s="144"/>
      <c r="U226" s="144"/>
      <c r="V226" s="144"/>
      <c r="W226" s="144"/>
      <c r="X226" s="144"/>
      <c r="Y226" s="144"/>
      <c r="Z226" s="144"/>
      <c r="AA226" s="144"/>
      <c r="AB226" s="144"/>
      <c r="AC226" s="166"/>
      <c r="AD226" s="166"/>
      <c r="AE226" s="144"/>
      <c r="AF226" s="144"/>
      <c r="AG226" s="144"/>
      <c r="AH226" s="144"/>
      <c r="AI226" s="144"/>
      <c r="AJ226" s="144"/>
      <c r="AK226" s="144"/>
      <c r="AL226" s="144"/>
      <c r="AM226" s="144"/>
      <c r="AN226" s="144"/>
      <c r="AO226" s="167"/>
      <c r="AP226" s="167"/>
      <c r="AQ226" s="167"/>
      <c r="AR226" s="167"/>
    </row>
    <row r="227">
      <c r="A227" s="50" t="str">
        <f>IF(UpdateHashtag!C225="",ROW(UpdateHashtag!C225),UpdateHashtag!C225)</f>
        <v>Kyle Anderson</v>
      </c>
      <c r="B227" s="53">
        <f>IF(TYPE($A227)=1,"",(UpdateHashtag!M225-B$1)/B$2)</f>
        <v>-1.89032542</v>
      </c>
      <c r="C227" s="53">
        <f>IF(TYPE($A227)=1,"",(UpdateHashtag!L225-C$1)/C$2)</f>
        <v>-1.419344069</v>
      </c>
      <c r="D227" s="53">
        <f>IF(TYPE($A227)=1,"",(UpdateHashtag!N225-D$1)/D$2)</f>
        <v>-1.024124112</v>
      </c>
      <c r="E227" s="53">
        <f>IF(TYPE($A227)=1,"",(UpdateHashtag!O225-E$1)/E$2)</f>
        <v>-0.06687682585</v>
      </c>
      <c r="F227" s="53">
        <f>IF(TYPE($A227)=1,"",(UpdateHashtag!P225-F$1)/F$2)</f>
        <v>-0.7471433709</v>
      </c>
      <c r="G227" s="53">
        <f>IF(TYPE($A227)=1,"",(UpdateHashtag!Q225-G$1)/G$2)</f>
        <v>-0.236743041</v>
      </c>
      <c r="H227" s="53">
        <f>IF(TYPE($A227)=1,"",(UpdateHashtag!I225-H$1)/H$2*I227/$I$1)</f>
        <v>-1.434387664</v>
      </c>
      <c r="I227" s="53">
        <f>UpdateHashtag!S225</f>
        <v>5.2</v>
      </c>
      <c r="J227" s="58">
        <f>IF(TYPE($A227)=1,"",(UpdateHashtag!K225-J$1)/J$2*K227/$K$1)</f>
        <v>-1.532538515</v>
      </c>
      <c r="K227" s="59">
        <f>UpdateHashtag!T225</f>
        <v>1.5</v>
      </c>
      <c r="L227" s="53">
        <f>IF(TYPE($A227)=1,"",-(UpdateHashtag!R225-L$1)/L$2)</f>
        <v>0.643430979</v>
      </c>
      <c r="N227" s="106"/>
      <c r="O227" s="106"/>
      <c r="P227" s="163"/>
      <c r="Q227" s="164"/>
      <c r="R227" s="163"/>
      <c r="S227" s="165"/>
      <c r="T227" s="144"/>
      <c r="U227" s="144"/>
      <c r="V227" s="144"/>
      <c r="W227" s="144"/>
      <c r="X227" s="144"/>
      <c r="Y227" s="144"/>
      <c r="Z227" s="144"/>
      <c r="AA227" s="144"/>
      <c r="AB227" s="144"/>
      <c r="AC227" s="166"/>
      <c r="AD227" s="166"/>
      <c r="AE227" s="144"/>
      <c r="AF227" s="144"/>
      <c r="AG227" s="144"/>
      <c r="AH227" s="144"/>
      <c r="AI227" s="144"/>
      <c r="AJ227" s="144"/>
      <c r="AK227" s="144"/>
      <c r="AL227" s="144"/>
      <c r="AM227" s="144"/>
      <c r="AN227" s="144"/>
      <c r="AO227" s="167"/>
      <c r="AP227" s="167"/>
      <c r="AQ227" s="167"/>
      <c r="AR227" s="167"/>
    </row>
    <row r="228">
      <c r="A228" s="50" t="str">
        <f>IF(UpdateHashtag!C226="",ROW(UpdateHashtag!C226),UpdateHashtag!C226)</f>
        <v>Luke Kornet</v>
      </c>
      <c r="B228" s="53">
        <f>IF(TYPE($A228)=1,"",(UpdateHashtag!M226-B$1)/B$2)</f>
        <v>-2.083312293</v>
      </c>
      <c r="C228" s="53">
        <f>IF(TYPE($A228)=1,"",(UpdateHashtag!L226-C$1)/C$2)</f>
        <v>-1.709094101</v>
      </c>
      <c r="D228" s="53">
        <f>IF(TYPE($A228)=1,"",(UpdateHashtag!N226-D$1)/D$2)</f>
        <v>-0.8619826693</v>
      </c>
      <c r="E228" s="53">
        <f>IF(TYPE($A228)=1,"",(UpdateHashtag!O226-E$1)/E$2)</f>
        <v>-1.337014518</v>
      </c>
      <c r="F228" s="53">
        <f>IF(TYPE($A228)=1,"",(UpdateHashtag!P226-F$1)/F$2)</f>
        <v>-2.27075839</v>
      </c>
      <c r="G228" s="53">
        <f>IF(TYPE($A228)=1,"",(UpdateHashtag!Q226-G$1)/G$2)</f>
        <v>0.3086546265</v>
      </c>
      <c r="H228" s="53">
        <f>IF(TYPE($A228)=1,"",(UpdateHashtag!I226-H$1)/H$2*I228/$I$1)</f>
        <v>18.71772337</v>
      </c>
      <c r="I228" s="53">
        <f>UpdateHashtag!S226</f>
        <v>3.3</v>
      </c>
      <c r="J228" s="58">
        <f>IF(TYPE($A228)=1,"",(UpdateHashtag!K226-J$1)/J$2*K228/$K$1)</f>
        <v>0.995445099</v>
      </c>
      <c r="K228" s="59">
        <f>UpdateHashtag!T226</f>
        <v>0.8</v>
      </c>
      <c r="L228" s="53">
        <f>IF(TYPE($A228)=1,"",-(UpdateHashtag!R226-L$1)/L$2)</f>
        <v>1.337780956</v>
      </c>
      <c r="O228" s="106"/>
      <c r="P228" s="163"/>
      <c r="Q228" s="164"/>
      <c r="R228" s="163"/>
      <c r="S228" s="165"/>
      <c r="T228" s="144"/>
      <c r="U228" s="144"/>
      <c r="V228" s="144"/>
      <c r="W228" s="144"/>
      <c r="X228" s="144"/>
      <c r="Y228" s="144"/>
      <c r="Z228" s="144"/>
      <c r="AA228" s="144"/>
      <c r="AB228" s="144"/>
      <c r="AC228" s="166"/>
      <c r="AD228" s="166"/>
      <c r="AE228" s="144"/>
      <c r="AF228" s="144"/>
      <c r="AG228" s="144"/>
      <c r="AH228" s="144"/>
      <c r="AI228" s="144"/>
      <c r="AJ228" s="144"/>
      <c r="AK228" s="144"/>
      <c r="AL228" s="144"/>
      <c r="AM228" s="144"/>
      <c r="AN228" s="144"/>
      <c r="AO228" s="167"/>
      <c r="AP228" s="167"/>
      <c r="AQ228" s="167"/>
      <c r="AR228" s="167"/>
    </row>
    <row r="229">
      <c r="A229" s="50" t="str">
        <f>IF(UpdateHashtag!C227="",ROW(UpdateHashtag!C227),UpdateHashtag!C227)</f>
        <v>Bojan Bogdanovic</v>
      </c>
      <c r="B229" s="53">
        <f>IF(TYPE($A229)=1,"",(UpdateHashtag!M227-B$1)/B$2)</f>
        <v>-0.1183550395</v>
      </c>
      <c r="C229" s="53">
        <f>IF(TYPE($A229)=1,"",(UpdateHashtag!L227-C$1)/C$2)</f>
        <v>0.415739467</v>
      </c>
      <c r="D229" s="53">
        <f>IF(TYPE($A229)=1,"",(UpdateHashtag!N227-D$1)/D$2)</f>
        <v>-1.307871636</v>
      </c>
      <c r="E229" s="53">
        <f>IF(TYPE($A229)=1,"",(UpdateHashtag!O227-E$1)/E$2)</f>
        <v>-0.9462029206</v>
      </c>
      <c r="F229" s="53">
        <f>IF(TYPE($A229)=1,"",(UpdateHashtag!P227-F$1)/F$2)</f>
        <v>-1.661312382</v>
      </c>
      <c r="G229" s="53">
        <f>IF(TYPE($A229)=1,"",(UpdateHashtag!Q227-G$1)/G$2)</f>
        <v>-1.145739154</v>
      </c>
      <c r="H229" s="53">
        <f>IF(TYPE($A229)=1,"",(UpdateHashtag!I227-H$1)/H$2*I229/$I$1)</f>
        <v>-17.75765152</v>
      </c>
      <c r="I229" s="53">
        <f>UpdateHashtag!S227</f>
        <v>12.8</v>
      </c>
      <c r="J229" s="58">
        <f>IF(TYPE($A229)=1,"",(UpdateHashtag!K227-J$1)/J$2*K229/$K$1)</f>
        <v>0.2778703912</v>
      </c>
      <c r="K229" s="59">
        <f>UpdateHashtag!T227</f>
        <v>3.5</v>
      </c>
      <c r="L229" s="53">
        <f>IF(TYPE($A229)=1,"",-(UpdateHashtag!R227-L$1)/L$2)</f>
        <v>-0.05091899834</v>
      </c>
      <c r="O229" s="106"/>
      <c r="P229" s="163"/>
      <c r="Q229" s="164"/>
      <c r="R229" s="163"/>
      <c r="S229" s="165"/>
      <c r="T229" s="144"/>
      <c r="U229" s="144"/>
      <c r="V229" s="144"/>
      <c r="W229" s="144"/>
      <c r="X229" s="144"/>
      <c r="Y229" s="144"/>
      <c r="Z229" s="144"/>
      <c r="AA229" s="144"/>
      <c r="AB229" s="144"/>
      <c r="AC229" s="166"/>
      <c r="AD229" s="166"/>
      <c r="AE229" s="144"/>
      <c r="AF229" s="144"/>
      <c r="AG229" s="144"/>
      <c r="AH229" s="144"/>
      <c r="AI229" s="144"/>
      <c r="AJ229" s="144"/>
      <c r="AK229" s="144"/>
      <c r="AL229" s="144"/>
      <c r="AM229" s="144"/>
      <c r="AN229" s="144"/>
      <c r="AO229" s="167"/>
      <c r="AP229" s="167"/>
      <c r="AQ229" s="167"/>
      <c r="AR229" s="167"/>
    </row>
    <row r="230">
      <c r="A230" s="50" t="str">
        <f>IF(UpdateHashtag!C228="",ROW(UpdateHashtag!C228),UpdateHashtag!C228)</f>
        <v>Day'Ron Sharpe</v>
      </c>
      <c r="B230" s="53">
        <f>IF(TYPE($A230)=1,"",(UpdateHashtag!M228-B$1)/B$2)</f>
        <v>-1.609617241</v>
      </c>
      <c r="C230" s="53">
        <f>IF(TYPE($A230)=1,"",(UpdateHashtag!L228-C$1)/C$2)</f>
        <v>-1.612510757</v>
      </c>
      <c r="D230" s="53">
        <f>IF(TYPE($A230)=1,"",(UpdateHashtag!N228-D$1)/D$2)</f>
        <v>0.4756842314</v>
      </c>
      <c r="E230" s="53">
        <f>IF(TYPE($A230)=1,"",(UpdateHashtag!O228-E$1)/E$2)</f>
        <v>-1.141608719</v>
      </c>
      <c r="F230" s="53">
        <f>IF(TYPE($A230)=1,"",(UpdateHashtag!P228-F$1)/F$2)</f>
        <v>-1.661312382</v>
      </c>
      <c r="G230" s="53">
        <f>IF(TYPE($A230)=1,"",(UpdateHashtag!Q228-G$1)/G$2)</f>
        <v>0.3086546265</v>
      </c>
      <c r="H230" s="53">
        <f>IF(TYPE($A230)=1,"",(UpdateHashtag!I228-H$1)/H$2*I230/$I$1)</f>
        <v>11.2697066</v>
      </c>
      <c r="I230" s="53">
        <f>UpdateHashtag!S228</f>
        <v>5.7</v>
      </c>
      <c r="J230" s="58">
        <f>IF(TYPE($A230)=1,"",(UpdateHashtag!K228-J$1)/J$2*K230/$K$1)</f>
        <v>-5.372248147</v>
      </c>
      <c r="K230" s="59">
        <f>UpdateHashtag!T228</f>
        <v>2.2</v>
      </c>
      <c r="L230" s="53">
        <f>IF(TYPE($A230)=1,"",-(UpdateHashtag!R228-L$1)/L$2)</f>
        <v>0.3458524173</v>
      </c>
      <c r="N230" s="106"/>
      <c r="O230" s="106"/>
      <c r="P230" s="163"/>
      <c r="Q230" s="164"/>
      <c r="R230" s="163"/>
      <c r="S230" s="165"/>
      <c r="T230" s="144"/>
      <c r="U230" s="144"/>
      <c r="V230" s="144"/>
      <c r="W230" s="144"/>
      <c r="X230" s="144"/>
      <c r="Y230" s="144"/>
      <c r="Z230" s="144"/>
      <c r="AA230" s="144"/>
      <c r="AB230" s="144"/>
      <c r="AC230" s="166"/>
      <c r="AD230" s="166"/>
      <c r="AE230" s="144"/>
      <c r="AF230" s="144"/>
      <c r="AG230" s="144"/>
      <c r="AH230" s="144"/>
      <c r="AI230" s="144"/>
      <c r="AJ230" s="144"/>
      <c r="AK230" s="144"/>
      <c r="AL230" s="144"/>
      <c r="AM230" s="144"/>
      <c r="AN230" s="144"/>
      <c r="AO230" s="167"/>
      <c r="AP230" s="167"/>
      <c r="AQ230" s="167"/>
      <c r="AR230" s="167"/>
    </row>
    <row r="231">
      <c r="A231" s="50" t="str">
        <f>IF(UpdateHashtag!C229="",ROW(UpdateHashtag!C229),UpdateHashtag!C229)</f>
        <v>Isaac Okoro</v>
      </c>
      <c r="B231" s="53">
        <f>IF(TYPE($A231)=1,"",(UpdateHashtag!M229-B$1)/B$2)</f>
        <v>-1.469263151</v>
      </c>
      <c r="C231" s="53">
        <f>IF(TYPE($A231)=1,"",(UpdateHashtag!L229-C$1)/C$2)</f>
        <v>-0.6466773167</v>
      </c>
      <c r="D231" s="53">
        <f>IF(TYPE($A231)=1,"",(UpdateHashtag!N229-D$1)/D$2)</f>
        <v>-1.267336276</v>
      </c>
      <c r="E231" s="53">
        <f>IF(TYPE($A231)=1,"",(UpdateHashtag!O229-E$1)/E$2)</f>
        <v>-1.04390582</v>
      </c>
      <c r="F231" s="53">
        <f>IF(TYPE($A231)=1,"",(UpdateHashtag!P229-F$1)/F$2)</f>
        <v>-0.442420367</v>
      </c>
      <c r="G231" s="53">
        <f>IF(TYPE($A231)=1,"",(UpdateHashtag!Q229-G$1)/G$2)</f>
        <v>-0.4185422635</v>
      </c>
      <c r="H231" s="53">
        <f>IF(TYPE($A231)=1,"",(UpdateHashtag!I229-H$1)/H$2*I231/$I$1)</f>
        <v>-0.804126478</v>
      </c>
      <c r="I231" s="53">
        <f>UpdateHashtag!S229</f>
        <v>6.4</v>
      </c>
      <c r="J231" s="58">
        <f>IF(TYPE($A231)=1,"",(UpdateHashtag!K229-J$1)/J$2*K231/$K$1)</f>
        <v>-2.244412464</v>
      </c>
      <c r="K231" s="59">
        <f>UpdateHashtag!T229</f>
        <v>1.9</v>
      </c>
      <c r="L231" s="53">
        <f>IF(TYPE($A231)=1,"",-(UpdateHashtag!R229-L$1)/L$2)</f>
        <v>1.040202395</v>
      </c>
      <c r="N231" s="106"/>
      <c r="O231" s="106"/>
      <c r="P231" s="163"/>
      <c r="Q231" s="164"/>
      <c r="R231" s="163"/>
      <c r="S231" s="165"/>
      <c r="T231" s="144"/>
      <c r="U231" s="144"/>
      <c r="V231" s="144"/>
      <c r="W231" s="144"/>
      <c r="X231" s="144"/>
      <c r="Y231" s="144"/>
      <c r="Z231" s="144"/>
      <c r="AA231" s="144"/>
      <c r="AB231" s="144"/>
      <c r="AC231" s="166"/>
      <c r="AD231" s="166"/>
      <c r="AE231" s="144"/>
      <c r="AF231" s="144"/>
      <c r="AG231" s="144"/>
      <c r="AH231" s="144"/>
      <c r="AI231" s="144"/>
      <c r="AJ231" s="144"/>
      <c r="AK231" s="144"/>
      <c r="AL231" s="144"/>
      <c r="AM231" s="144"/>
      <c r="AN231" s="144"/>
      <c r="AO231" s="167"/>
      <c r="AP231" s="167"/>
      <c r="AQ231" s="167"/>
      <c r="AR231" s="167"/>
    </row>
    <row r="232">
      <c r="A232" s="50" t="str">
        <f>IF(UpdateHashtag!C230="",ROW(UpdateHashtag!C230),UpdateHashtag!C230)</f>
        <v>Delon Wright</v>
      </c>
      <c r="B232" s="53">
        <f>IF(TYPE($A232)=1,"",(UpdateHashtag!M230-B$1)/B$2)</f>
        <v>-2.135945077</v>
      </c>
      <c r="C232" s="53">
        <f>IF(TYPE($A232)=1,"",(UpdateHashtag!L230-C$1)/C$2)</f>
        <v>-1.129594037</v>
      </c>
      <c r="D232" s="53">
        <f>IF(TYPE($A232)=1,"",(UpdateHashtag!N230-D$1)/D$2)</f>
        <v>-1.5510838</v>
      </c>
      <c r="E232" s="53">
        <f>IF(TYPE($A232)=1,"",(UpdateHashtag!O230-E$1)/E$2)</f>
        <v>-0.5553913229</v>
      </c>
      <c r="F232" s="53">
        <f>IF(TYPE($A232)=1,"",(UpdateHashtag!P230-F$1)/F$2)</f>
        <v>0.7764716483</v>
      </c>
      <c r="G232" s="53">
        <f>IF(TYPE($A232)=1,"",(UpdateHashtag!Q230-G$1)/G$2)</f>
        <v>-0.963939931</v>
      </c>
      <c r="H232" s="53">
        <f>IF(TYPE($A232)=1,"",(UpdateHashtag!I230-H$1)/H$2*I232/$I$1)</f>
        <v>-6.550140123</v>
      </c>
      <c r="I232" s="53">
        <f>UpdateHashtag!S230</f>
        <v>4.1</v>
      </c>
      <c r="J232" s="58">
        <f>IF(TYPE($A232)=1,"",(UpdateHashtag!K230-J$1)/J$2*K232/$K$1)</f>
        <v>0.8326364624</v>
      </c>
      <c r="K232" s="59">
        <f>UpdateHashtag!T230</f>
        <v>0.9</v>
      </c>
      <c r="L232" s="53">
        <f>IF(TYPE($A232)=1,"",-(UpdateHashtag!R230-L$1)/L$2)</f>
        <v>1.238588102</v>
      </c>
      <c r="O232" s="106"/>
      <c r="P232" s="163"/>
      <c r="Q232" s="164"/>
      <c r="R232" s="163"/>
      <c r="S232" s="165"/>
      <c r="T232" s="144"/>
      <c r="U232" s="144"/>
      <c r="V232" s="144"/>
      <c r="W232" s="144"/>
      <c r="X232" s="144"/>
      <c r="Y232" s="144"/>
      <c r="Z232" s="144"/>
      <c r="AA232" s="144"/>
      <c r="AB232" s="144"/>
      <c r="AC232" s="166"/>
      <c r="AD232" s="166"/>
      <c r="AE232" s="144"/>
      <c r="AF232" s="144"/>
      <c r="AG232" s="144"/>
      <c r="AH232" s="144"/>
      <c r="AI232" s="144"/>
      <c r="AJ232" s="144"/>
      <c r="AK232" s="144"/>
      <c r="AL232" s="144"/>
      <c r="AM232" s="144"/>
      <c r="AN232" s="144"/>
      <c r="AO232" s="167"/>
      <c r="AP232" s="167"/>
      <c r="AQ232" s="167"/>
      <c r="AR232" s="167"/>
    </row>
    <row r="233">
      <c r="A233" s="50" t="str">
        <f>IF(UpdateHashtag!C231="",ROW(UpdateHashtag!C231),UpdateHashtag!C231)</f>
        <v>Malik Beasley</v>
      </c>
      <c r="B233" s="53">
        <f>IF(TYPE($A233)=1,"",(UpdateHashtag!M231-B$1)/B$2)</f>
        <v>-1.065745144</v>
      </c>
      <c r="C233" s="53">
        <f>IF(TYPE($A233)=1,"",(UpdateHashtag!L231-C$1)/C$2)</f>
        <v>0.802072843</v>
      </c>
      <c r="D233" s="53">
        <f>IF(TYPE($A233)=1,"",(UpdateHashtag!N231-D$1)/D$2)</f>
        <v>-1.145730194</v>
      </c>
      <c r="E233" s="53">
        <f>IF(TYPE($A233)=1,"",(UpdateHashtag!O231-E$1)/E$2)</f>
        <v>-1.239311619</v>
      </c>
      <c r="F233" s="53">
        <f>IF(TYPE($A233)=1,"",(UpdateHashtag!P231-F$1)/F$2)</f>
        <v>-1.051866375</v>
      </c>
      <c r="G233" s="53">
        <f>IF(TYPE($A233)=1,"",(UpdateHashtag!Q231-G$1)/G$2)</f>
        <v>-1.145739154</v>
      </c>
      <c r="H233" s="53">
        <f>IF(TYPE($A233)=1,"",(UpdateHashtag!I231-H$1)/H$2*I233/$I$1)</f>
        <v>-20.02858227</v>
      </c>
      <c r="I233" s="53">
        <f>UpdateHashtag!S231</f>
        <v>9.5</v>
      </c>
      <c r="J233" s="58">
        <f>IF(TYPE($A233)=1,"",(UpdateHashtag!K231-J$1)/J$2*K233/$K$1)</f>
        <v>-0.325776132</v>
      </c>
      <c r="K233" s="59">
        <f>UpdateHashtag!T231</f>
        <v>0.6</v>
      </c>
      <c r="L233" s="53">
        <f>IF(TYPE($A233)=1,"",-(UpdateHashtag!R231-L$1)/L$2)</f>
        <v>0.9410095407</v>
      </c>
      <c r="O233" s="106"/>
      <c r="P233" s="163"/>
      <c r="Q233" s="164"/>
      <c r="R233" s="163"/>
      <c r="S233" s="165"/>
      <c r="T233" s="144"/>
      <c r="U233" s="144"/>
      <c r="V233" s="144"/>
      <c r="W233" s="144"/>
      <c r="X233" s="144"/>
      <c r="Y233" s="144"/>
      <c r="Z233" s="144"/>
      <c r="AA233" s="144"/>
      <c r="AB233" s="144"/>
      <c r="AC233" s="166"/>
      <c r="AD233" s="166"/>
      <c r="AE233" s="144"/>
      <c r="AF233" s="144"/>
      <c r="AG233" s="144"/>
      <c r="AH233" s="144"/>
      <c r="AI233" s="144"/>
      <c r="AJ233" s="144"/>
      <c r="AK233" s="144"/>
      <c r="AL233" s="144"/>
      <c r="AM233" s="144"/>
      <c r="AN233" s="144"/>
      <c r="AO233" s="167"/>
      <c r="AP233" s="167"/>
      <c r="AQ233" s="167"/>
      <c r="AR233" s="167"/>
    </row>
    <row r="234">
      <c r="A234" s="50" t="str">
        <f>IF(UpdateHashtag!C232="",ROW(UpdateHashtag!C232),UpdateHashtag!C232)</f>
        <v>Julian Strawther</v>
      </c>
      <c r="B234" s="53">
        <f>IF(TYPE($A234)=1,"",(UpdateHashtag!M232-B$1)/B$2)</f>
        <v>-1.171010711</v>
      </c>
      <c r="C234" s="53">
        <f>IF(TYPE($A234)=1,"",(UpdateHashtag!L232-C$1)/C$2)</f>
        <v>0.1259894351</v>
      </c>
      <c r="D234" s="53">
        <f>IF(TYPE($A234)=1,"",(UpdateHashtag!N232-D$1)/D$2)</f>
        <v>-1.348406997</v>
      </c>
      <c r="E234" s="53">
        <f>IF(TYPE($A234)=1,"",(UpdateHashtag!O232-E$1)/E$2)</f>
        <v>-0.7996485715</v>
      </c>
      <c r="F234" s="53">
        <f>IF(TYPE($A234)=1,"",(UpdateHashtag!P232-F$1)/F$2)</f>
        <v>-0.7471433709</v>
      </c>
      <c r="G234" s="53">
        <f>IF(TYPE($A234)=1,"",(UpdateHashtag!Q232-G$1)/G$2)</f>
        <v>-0.7821407085</v>
      </c>
      <c r="H234" s="53">
        <f>IF(TYPE($A234)=1,"",(UpdateHashtag!I232-H$1)/H$2*I234/$I$1)</f>
        <v>-15.72850188</v>
      </c>
      <c r="I234" s="53">
        <f>UpdateHashtag!S232</f>
        <v>8.7</v>
      </c>
      <c r="J234" s="58">
        <f>IF(TYPE($A234)=1,"",(UpdateHashtag!K232-J$1)/J$2*K234/$K$1)</f>
        <v>-1.318665119</v>
      </c>
      <c r="K234" s="59">
        <f>UpdateHashtag!T232</f>
        <v>1.4</v>
      </c>
      <c r="L234" s="53">
        <f>IF(TYPE($A234)=1,"",-(UpdateHashtag!R232-L$1)/L$2)</f>
        <v>0.643430979</v>
      </c>
      <c r="N234" s="106"/>
      <c r="O234" s="106"/>
      <c r="P234" s="163"/>
      <c r="Q234" s="164"/>
      <c r="R234" s="163"/>
      <c r="S234" s="165"/>
      <c r="T234" s="144"/>
      <c r="U234" s="144"/>
      <c r="V234" s="144"/>
      <c r="W234" s="144"/>
      <c r="X234" s="144"/>
      <c r="Y234" s="144"/>
      <c r="Z234" s="144"/>
      <c r="AA234" s="144"/>
      <c r="AB234" s="144"/>
      <c r="AC234" s="166"/>
      <c r="AD234" s="166"/>
      <c r="AE234" s="144"/>
      <c r="AF234" s="144"/>
      <c r="AG234" s="144"/>
      <c r="AH234" s="144"/>
      <c r="AI234" s="144"/>
      <c r="AJ234" s="144"/>
      <c r="AK234" s="144"/>
      <c r="AL234" s="144"/>
      <c r="AM234" s="144"/>
      <c r="AN234" s="144"/>
      <c r="AO234" s="167"/>
      <c r="AP234" s="167"/>
      <c r="AQ234" s="167"/>
      <c r="AR234" s="167"/>
    </row>
    <row r="235">
      <c r="A235" s="50" t="str">
        <f>IF(UpdateHashtag!C233="",ROW(UpdateHashtag!C233),UpdateHashtag!C233)</f>
        <v>Zach Collins</v>
      </c>
      <c r="B235" s="53">
        <f>IF(TYPE($A235)=1,"",(UpdateHashtag!M233-B$1)/B$2)</f>
        <v>-1.416630368</v>
      </c>
      <c r="C235" s="53">
        <f>IF(TYPE($A235)=1,"",(UpdateHashtag!L233-C$1)/C$2)</f>
        <v>-1.033010693</v>
      </c>
      <c r="D235" s="53">
        <f>IF(TYPE($A235)=1,"",(UpdateHashtag!N233-D$1)/D$2)</f>
        <v>-0.5782351449</v>
      </c>
      <c r="E235" s="53">
        <f>IF(TYPE($A235)=1,"",(UpdateHashtag!O233-E$1)/E$2)</f>
        <v>-0.7507971218</v>
      </c>
      <c r="F235" s="53">
        <f>IF(TYPE($A235)=1,"",(UpdateHashtag!P233-F$1)/F$2)</f>
        <v>-1.966035386</v>
      </c>
      <c r="G235" s="53">
        <f>IF(TYPE($A235)=1,"",(UpdateHashtag!Q233-G$1)/G$2)</f>
        <v>-0.236743041</v>
      </c>
      <c r="H235" s="53">
        <f>IF(TYPE($A235)=1,"",(UpdateHashtag!I233-H$1)/H$2*I235/$I$1)</f>
        <v>1.223272936</v>
      </c>
      <c r="I235" s="53">
        <f>UpdateHashtag!S233</f>
        <v>7</v>
      </c>
      <c r="J235" s="58">
        <f>IF(TYPE($A235)=1,"",(UpdateHashtag!K233-J$1)/J$2*K235/$K$1)</f>
        <v>-0.8049848316</v>
      </c>
      <c r="K235" s="59">
        <f>UpdateHashtag!T233</f>
        <v>1.8</v>
      </c>
      <c r="L235" s="53">
        <f>IF(TYPE($A235)=1,"",-(UpdateHashtag!R233-L$1)/L$2)</f>
        <v>0.1474667095</v>
      </c>
      <c r="N235" s="106"/>
      <c r="O235" s="106"/>
      <c r="P235" s="163"/>
      <c r="Q235" s="164"/>
      <c r="R235" s="163"/>
      <c r="S235" s="165"/>
      <c r="T235" s="144"/>
      <c r="U235" s="144"/>
      <c r="V235" s="144"/>
      <c r="W235" s="144"/>
      <c r="X235" s="144"/>
      <c r="Y235" s="144"/>
      <c r="Z235" s="144"/>
      <c r="AA235" s="144"/>
      <c r="AB235" s="144"/>
      <c r="AC235" s="166"/>
      <c r="AD235" s="166"/>
      <c r="AE235" s="144"/>
      <c r="AF235" s="144"/>
      <c r="AG235" s="144"/>
      <c r="AH235" s="144"/>
      <c r="AI235" s="144"/>
      <c r="AJ235" s="144"/>
      <c r="AK235" s="144"/>
      <c r="AL235" s="144"/>
      <c r="AM235" s="144"/>
      <c r="AN235" s="144"/>
      <c r="AO235" s="167"/>
      <c r="AP235" s="167"/>
      <c r="AQ235" s="167"/>
      <c r="AR235" s="167"/>
    </row>
    <row r="236">
      <c r="A236" s="50" t="str">
        <f>IF(UpdateHashtag!C234="",ROW(UpdateHashtag!C234),UpdateHashtag!C234)</f>
        <v>Grant Williams</v>
      </c>
      <c r="B236" s="53">
        <f>IF(TYPE($A236)=1,"",(UpdateHashtag!M234-B$1)/B$2)</f>
        <v>-1.45171889</v>
      </c>
      <c r="C236" s="53">
        <f>IF(TYPE($A236)=1,"",(UpdateHashtag!L234-C$1)/C$2)</f>
        <v>-0.2603439408</v>
      </c>
      <c r="D236" s="53">
        <f>IF(TYPE($A236)=1,"",(UpdateHashtag!N234-D$1)/D$2)</f>
        <v>-0.7403765874</v>
      </c>
      <c r="E236" s="53">
        <f>IF(TYPE($A236)=1,"",(UpdateHashtag!O234-E$1)/E$2)</f>
        <v>-0.9462029206</v>
      </c>
      <c r="F236" s="53">
        <f>IF(TYPE($A236)=1,"",(UpdateHashtag!P234-F$1)/F$2)</f>
        <v>-1.661312382</v>
      </c>
      <c r="G236" s="53">
        <f>IF(TYPE($A236)=1,"",(UpdateHashtag!Q234-G$1)/G$2)</f>
        <v>-0.600341486</v>
      </c>
      <c r="H236" s="53">
        <f>IF(TYPE($A236)=1,"",(UpdateHashtag!I234-H$1)/H$2*I236/$I$1)</f>
        <v>-8.208128371</v>
      </c>
      <c r="I236" s="53">
        <f>UpdateHashtag!S234</f>
        <v>6.8</v>
      </c>
      <c r="J236" s="58">
        <f>IF(TYPE($A236)=1,"",(UpdateHashtag!K234-J$1)/J$2*K236/$K$1)</f>
        <v>-0.6644773127</v>
      </c>
      <c r="K236" s="59">
        <f>UpdateHashtag!T234</f>
        <v>1.6</v>
      </c>
      <c r="L236" s="53">
        <f>IF(TYPE($A236)=1,"",-(UpdateHashtag!R234-L$1)/L$2)</f>
        <v>0.5442381251</v>
      </c>
      <c r="O236" s="106"/>
      <c r="P236" s="163"/>
      <c r="Q236" s="164"/>
      <c r="R236" s="163"/>
      <c r="S236" s="165"/>
      <c r="T236" s="144"/>
      <c r="U236" s="144"/>
      <c r="V236" s="144"/>
      <c r="W236" s="144"/>
      <c r="X236" s="144"/>
      <c r="Y236" s="144"/>
      <c r="Z236" s="144"/>
      <c r="AA236" s="144"/>
      <c r="AB236" s="144"/>
      <c r="AC236" s="166"/>
      <c r="AD236" s="166"/>
      <c r="AE236" s="144"/>
      <c r="AF236" s="144"/>
      <c r="AG236" s="144"/>
      <c r="AH236" s="144"/>
      <c r="AI236" s="144"/>
      <c r="AJ236" s="144"/>
      <c r="AK236" s="144"/>
      <c r="AL236" s="144"/>
      <c r="AM236" s="144"/>
      <c r="AN236" s="144"/>
      <c r="AO236" s="167"/>
      <c r="AP236" s="167"/>
      <c r="AQ236" s="167"/>
      <c r="AR236" s="167"/>
    </row>
    <row r="237">
      <c r="A237" s="50" t="str">
        <f>IF(UpdateHashtag!C235="",ROW(UpdateHashtag!C235),UpdateHashtag!C235)</f>
        <v>Dorian Finney-Smith</v>
      </c>
      <c r="B237" s="53">
        <f>IF(TYPE($A237)=1,"",(UpdateHashtag!M235-B$1)/B$2)</f>
        <v>-1.644705763</v>
      </c>
      <c r="C237" s="53">
        <f>IF(TYPE($A237)=1,"",(UpdateHashtag!L235-C$1)/C$2)</f>
        <v>-0.1637605968</v>
      </c>
      <c r="D237" s="53">
        <f>IF(TYPE($A237)=1,"",(UpdateHashtag!N235-D$1)/D$2)</f>
        <v>-0.6998412268</v>
      </c>
      <c r="E237" s="53">
        <f>IF(TYPE($A237)=1,"",(UpdateHashtag!O235-E$1)/E$2)</f>
        <v>-1.190460169</v>
      </c>
      <c r="F237" s="53">
        <f>IF(TYPE($A237)=1,"",(UpdateHashtag!P235-F$1)/F$2)</f>
        <v>-0.7471433709</v>
      </c>
      <c r="G237" s="53">
        <f>IF(TYPE($A237)=1,"",(UpdateHashtag!Q235-G$1)/G$2)</f>
        <v>-0.4185422635</v>
      </c>
      <c r="H237" s="53">
        <f>IF(TYPE($A237)=1,"",(UpdateHashtag!I235-H$1)/H$2*I237/$I$1)</f>
        <v>-18.75319664</v>
      </c>
      <c r="I237" s="53">
        <f>UpdateHashtag!S235</f>
        <v>7</v>
      </c>
      <c r="J237" s="58">
        <f>IF(TYPE($A237)=1,"",(UpdateHashtag!K235-J$1)/J$2*K237/$K$1)</f>
        <v>-0.4247538188</v>
      </c>
      <c r="K237" s="59">
        <f>UpdateHashtag!T235</f>
        <v>0.7</v>
      </c>
      <c r="L237" s="53">
        <f>IF(TYPE($A237)=1,"",-(UpdateHashtag!R235-L$1)/L$2)</f>
        <v>0.9410095407</v>
      </c>
      <c r="O237" s="106"/>
      <c r="P237" s="163"/>
      <c r="Q237" s="164"/>
      <c r="R237" s="163"/>
      <c r="S237" s="165"/>
      <c r="T237" s="144"/>
      <c r="U237" s="144"/>
      <c r="V237" s="144"/>
      <c r="W237" s="144"/>
      <c r="X237" s="144"/>
      <c r="Y237" s="144"/>
      <c r="Z237" s="144"/>
      <c r="AA237" s="144"/>
      <c r="AB237" s="144"/>
      <c r="AC237" s="166"/>
      <c r="AD237" s="166"/>
      <c r="AE237" s="144"/>
      <c r="AF237" s="144"/>
      <c r="AG237" s="144"/>
      <c r="AH237" s="144"/>
      <c r="AI237" s="144"/>
      <c r="AJ237" s="144"/>
      <c r="AK237" s="144"/>
      <c r="AL237" s="144"/>
      <c r="AM237" s="144"/>
      <c r="AN237" s="144"/>
      <c r="AO237" s="167"/>
      <c r="AP237" s="167"/>
      <c r="AQ237" s="167"/>
      <c r="AR237" s="167"/>
    </row>
    <row r="238">
      <c r="A238" s="50" t="str">
        <f>IF(UpdateHashtag!C236="",ROW(UpdateHashtag!C236),UpdateHashtag!C236)</f>
        <v>Paul Reed</v>
      </c>
      <c r="B238" s="53">
        <f>IF(TYPE($A238)=1,"",(UpdateHashtag!M236-B$1)/B$2)</f>
        <v>-2.065768032</v>
      </c>
      <c r="C238" s="53">
        <f>IF(TYPE($A238)=1,"",(UpdateHashtag!L236-C$1)/C$2)</f>
        <v>-1.612510757</v>
      </c>
      <c r="D238" s="53">
        <f>IF(TYPE($A238)=1,"",(UpdateHashtag!N236-D$1)/D$2)</f>
        <v>-0.6187705055</v>
      </c>
      <c r="E238" s="53">
        <f>IF(TYPE($A238)=1,"",(UpdateHashtag!O236-E$1)/E$2)</f>
        <v>-1.483568867</v>
      </c>
      <c r="F238" s="53">
        <f>IF(TYPE($A238)=1,"",(UpdateHashtag!P236-F$1)/F$2)</f>
        <v>-1.051866375</v>
      </c>
      <c r="G238" s="53">
        <f>IF(TYPE($A238)=1,"",(UpdateHashtag!Q236-G$1)/G$2)</f>
        <v>0.126855404</v>
      </c>
      <c r="H238" s="53">
        <f>IF(TYPE($A238)=1,"",(UpdateHashtag!I236-H$1)/H$2*I238/$I$1)</f>
        <v>7.54699128</v>
      </c>
      <c r="I238" s="53">
        <f>UpdateHashtag!S236</f>
        <v>4.2</v>
      </c>
      <c r="J238" s="58">
        <f>IF(TYPE($A238)=1,"",(UpdateHashtag!K236-J$1)/J$2*K238/$K$1)</f>
        <v>-0.6769257851</v>
      </c>
      <c r="K238" s="59">
        <f>UpdateHashtag!T236</f>
        <v>0.8</v>
      </c>
      <c r="L238" s="53">
        <f>IF(TYPE($A238)=1,"",-(UpdateHashtag!R236-L$1)/L$2)</f>
        <v>1.040202395</v>
      </c>
      <c r="N238" s="106"/>
      <c r="O238" s="106"/>
      <c r="P238" s="163"/>
      <c r="Q238" s="164"/>
      <c r="R238" s="163"/>
      <c r="S238" s="165"/>
      <c r="T238" s="144"/>
      <c r="U238" s="144"/>
      <c r="V238" s="144"/>
      <c r="W238" s="144"/>
      <c r="X238" s="144"/>
      <c r="Y238" s="144"/>
      <c r="Z238" s="144"/>
      <c r="AA238" s="144"/>
      <c r="AB238" s="144"/>
      <c r="AC238" s="166"/>
      <c r="AD238" s="166"/>
      <c r="AE238" s="144"/>
      <c r="AF238" s="144"/>
      <c r="AG238" s="144"/>
      <c r="AH238" s="144"/>
      <c r="AI238" s="144"/>
      <c r="AJ238" s="144"/>
      <c r="AK238" s="144"/>
      <c r="AL238" s="144"/>
      <c r="AM238" s="144"/>
      <c r="AN238" s="144"/>
      <c r="AO238" s="167"/>
      <c r="AP238" s="167"/>
      <c r="AQ238" s="167"/>
      <c r="AR238" s="167"/>
    </row>
    <row r="239">
      <c r="A239" s="50" t="str">
        <f>IF(UpdateHashtag!C237="",ROW(UpdateHashtag!C237),UpdateHashtag!C237)</f>
        <v>Dario Saric</v>
      </c>
      <c r="B239" s="53">
        <f>IF(TYPE($A239)=1,"",(UpdateHashtag!M237-B$1)/B$2)</f>
        <v>-1.504351674</v>
      </c>
      <c r="C239" s="53">
        <f>IF(TYPE($A239)=1,"",(UpdateHashtag!L237-C$1)/C$2)</f>
        <v>-0.5500939728</v>
      </c>
      <c r="D239" s="53">
        <f>IF(TYPE($A239)=1,"",(UpdateHashtag!N237-D$1)/D$2)</f>
        <v>-0.5376997843</v>
      </c>
      <c r="E239" s="53">
        <f>IF(TYPE($A239)=1,"",(UpdateHashtag!O237-E$1)/E$2)</f>
        <v>-0.8485000212</v>
      </c>
      <c r="F239" s="53">
        <f>IF(TYPE($A239)=1,"",(UpdateHashtag!P237-F$1)/F$2)</f>
        <v>-1.661312382</v>
      </c>
      <c r="G239" s="53">
        <f>IF(TYPE($A239)=1,"",(UpdateHashtag!Q237-G$1)/G$2)</f>
        <v>-0.963939931</v>
      </c>
      <c r="H239" s="53">
        <f>IF(TYPE($A239)=1,"",(UpdateHashtag!I237-H$1)/H$2*I239/$I$1)</f>
        <v>-6.088676534</v>
      </c>
      <c r="I239" s="53">
        <f>UpdateHashtag!S237</f>
        <v>6.5</v>
      </c>
      <c r="J239" s="58">
        <f>IF(TYPE($A239)=1,"",(UpdateHashtag!K237-J$1)/J$2*K239/$K$1)</f>
        <v>1.464245148</v>
      </c>
      <c r="K239" s="59">
        <f>UpdateHashtag!T237</f>
        <v>1.7</v>
      </c>
      <c r="L239" s="53">
        <f>IF(TYPE($A239)=1,"",-(UpdateHashtag!R237-L$1)/L$2)</f>
        <v>0.4450452712</v>
      </c>
      <c r="N239" s="106"/>
      <c r="O239" s="106"/>
      <c r="P239" s="163"/>
      <c r="Q239" s="164"/>
      <c r="R239" s="163"/>
      <c r="S239" s="165"/>
      <c r="T239" s="144"/>
      <c r="U239" s="144"/>
      <c r="V239" s="144"/>
      <c r="W239" s="144"/>
      <c r="X239" s="144"/>
      <c r="Y239" s="144"/>
      <c r="Z239" s="144"/>
      <c r="AA239" s="144"/>
      <c r="AB239" s="144"/>
      <c r="AC239" s="166"/>
      <c r="AD239" s="166"/>
      <c r="AE239" s="144"/>
      <c r="AF239" s="144"/>
      <c r="AG239" s="144"/>
      <c r="AH239" s="144"/>
      <c r="AI239" s="144"/>
      <c r="AJ239" s="144"/>
      <c r="AK239" s="144"/>
      <c r="AL239" s="144"/>
      <c r="AM239" s="144"/>
      <c r="AN239" s="144"/>
      <c r="AO239" s="167"/>
      <c r="AP239" s="167"/>
      <c r="AQ239" s="167"/>
      <c r="AR239" s="167"/>
    </row>
    <row r="240">
      <c r="A240" s="50" t="str">
        <f>IF(UpdateHashtag!C238="",ROW(UpdateHashtag!C238),UpdateHashtag!C238)</f>
        <v>Christian Wood</v>
      </c>
      <c r="B240" s="53">
        <f>IF(TYPE($A240)=1,"",(UpdateHashtag!M238-B$1)/B$2)</f>
        <v>-1.311364801</v>
      </c>
      <c r="C240" s="53">
        <f>IF(TYPE($A240)=1,"",(UpdateHashtag!L238-C$1)/C$2)</f>
        <v>-0.8398440047</v>
      </c>
      <c r="D240" s="53">
        <f>IF(TYPE($A240)=1,"",(UpdateHashtag!N238-D$1)/D$2)</f>
        <v>-0.456629063</v>
      </c>
      <c r="E240" s="53">
        <f>IF(TYPE($A240)=1,"",(UpdateHashtag!O238-E$1)/E$2)</f>
        <v>-1.337014518</v>
      </c>
      <c r="F240" s="53">
        <f>IF(TYPE($A240)=1,"",(UpdateHashtag!P238-F$1)/F$2)</f>
        <v>-2.27075839</v>
      </c>
      <c r="G240" s="53">
        <f>IF(TYPE($A240)=1,"",(UpdateHashtag!Q238-G$1)/G$2)</f>
        <v>-0.05494381853</v>
      </c>
      <c r="H240" s="53">
        <f>IF(TYPE($A240)=1,"",(UpdateHashtag!I238-H$1)/H$2*I240/$I$1)</f>
        <v>1.413072255</v>
      </c>
      <c r="I240" s="53">
        <f>UpdateHashtag!S238</f>
        <v>6.9</v>
      </c>
      <c r="J240" s="58">
        <f>IF(TYPE($A240)=1,"",(UpdateHashtag!K238-J$1)/J$2*K240/$K$1)</f>
        <v>-1.437189237</v>
      </c>
      <c r="K240" s="59">
        <f>UpdateHashtag!T238</f>
        <v>2.5</v>
      </c>
      <c r="L240" s="53">
        <f>IF(TYPE($A240)=1,"",-(UpdateHashtag!R238-L$1)/L$2)</f>
        <v>0.643430979</v>
      </c>
      <c r="O240" s="106"/>
      <c r="P240" s="163"/>
      <c r="Q240" s="164"/>
      <c r="R240" s="163"/>
      <c r="S240" s="165"/>
      <c r="T240" s="144"/>
      <c r="U240" s="144"/>
      <c r="V240" s="144"/>
      <c r="W240" s="144"/>
      <c r="X240" s="144"/>
      <c r="Y240" s="144"/>
      <c r="Z240" s="144"/>
      <c r="AA240" s="144"/>
      <c r="AB240" s="144"/>
      <c r="AC240" s="166"/>
      <c r="AD240" s="166"/>
      <c r="AE240" s="144"/>
      <c r="AF240" s="144"/>
      <c r="AG240" s="144"/>
      <c r="AH240" s="144"/>
      <c r="AI240" s="144"/>
      <c r="AJ240" s="144"/>
      <c r="AK240" s="144"/>
      <c r="AL240" s="144"/>
      <c r="AM240" s="144"/>
      <c r="AN240" s="144"/>
      <c r="AO240" s="167"/>
      <c r="AP240" s="167"/>
      <c r="AQ240" s="167"/>
      <c r="AR240" s="167"/>
    </row>
    <row r="241">
      <c r="A241" s="50" t="str">
        <f>IF(UpdateHashtag!C239="",ROW(UpdateHashtag!C239),UpdateHashtag!C239)</f>
        <v>Rob Dillingham</v>
      </c>
      <c r="B241" s="53">
        <f>IF(TYPE($A241)=1,"",(UpdateHashtag!M239-B$1)/B$2)</f>
        <v>-1.083289405</v>
      </c>
      <c r="C241" s="53">
        <f>IF(TYPE($A241)=1,"",(UpdateHashtag!L239-C$1)/C$2)</f>
        <v>-0.1637605968</v>
      </c>
      <c r="D241" s="53">
        <f>IF(TYPE($A241)=1,"",(UpdateHashtag!N239-D$1)/D$2)</f>
        <v>-1.632154521</v>
      </c>
      <c r="E241" s="53">
        <f>IF(TYPE($A241)=1,"",(UpdateHashtag!O239-E$1)/E$2)</f>
        <v>-0.5065398732</v>
      </c>
      <c r="F241" s="53">
        <f>IF(TYPE($A241)=1,"",(UpdateHashtag!P239-F$1)/F$2)</f>
        <v>-1.051866375</v>
      </c>
      <c r="G241" s="53">
        <f>IF(TYPE($A241)=1,"",(UpdateHashtag!Q239-G$1)/G$2)</f>
        <v>-1.327538376</v>
      </c>
      <c r="H241" s="53">
        <f>IF(TYPE($A241)=1,"",(UpdateHashtag!I239-H$1)/H$2*I241/$I$1)</f>
        <v>-10.39178705</v>
      </c>
      <c r="I241" s="53">
        <f>UpdateHashtag!S239</f>
        <v>8.4</v>
      </c>
      <c r="J241" s="58">
        <f>IF(TYPE($A241)=1,"",(UpdateHashtag!K239-J$1)/J$2*K241/$K$1)</f>
        <v>0.4906245902</v>
      </c>
      <c r="K241" s="59">
        <f>UpdateHashtag!T239</f>
        <v>2.2</v>
      </c>
      <c r="L241" s="53">
        <f>IF(TYPE($A241)=1,"",-(UpdateHashtag!R239-L$1)/L$2)</f>
        <v>0.3458524173</v>
      </c>
      <c r="O241" s="106"/>
      <c r="P241" s="163"/>
      <c r="Q241" s="164"/>
      <c r="R241" s="163"/>
      <c r="S241" s="165"/>
      <c r="T241" s="144"/>
      <c r="U241" s="144"/>
      <c r="V241" s="144"/>
      <c r="W241" s="144"/>
      <c r="X241" s="144"/>
      <c r="Y241" s="144"/>
      <c r="Z241" s="144"/>
      <c r="AA241" s="144"/>
      <c r="AB241" s="144"/>
      <c r="AC241" s="166"/>
      <c r="AD241" s="166"/>
      <c r="AE241" s="144"/>
      <c r="AF241" s="144"/>
      <c r="AG241" s="144"/>
      <c r="AH241" s="144"/>
      <c r="AI241" s="144"/>
      <c r="AJ241" s="144"/>
      <c r="AK241" s="144"/>
      <c r="AL241" s="144"/>
      <c r="AM241" s="144"/>
      <c r="AN241" s="144"/>
      <c r="AO241" s="167"/>
      <c r="AP241" s="167"/>
      <c r="AQ241" s="167"/>
      <c r="AR241" s="167"/>
    </row>
    <row r="242">
      <c r="A242" s="50" t="str">
        <f>IF(UpdateHashtag!C240="",ROW(UpdateHashtag!C240),UpdateHashtag!C240)</f>
        <v>Xavier Tillman Sr.</v>
      </c>
      <c r="B242" s="53">
        <f>IF(TYPE($A242)=1,"",(UpdateHashtag!M240-B$1)/B$2)</f>
        <v>-1.749971331</v>
      </c>
      <c r="C242" s="53">
        <f>IF(TYPE($A242)=1,"",(UpdateHashtag!L240-C$1)/C$2)</f>
        <v>-1.033010693</v>
      </c>
      <c r="D242" s="53">
        <f>IF(TYPE($A242)=1,"",(UpdateHashtag!N240-D$1)/D$2)</f>
        <v>-0.4971644236</v>
      </c>
      <c r="E242" s="53">
        <f>IF(TYPE($A242)=1,"",(UpdateHashtag!O240-E$1)/E$2)</f>
        <v>-1.09275727</v>
      </c>
      <c r="F242" s="53">
        <f>IF(TYPE($A242)=1,"",(UpdateHashtag!P240-F$1)/F$2)</f>
        <v>-0.1376973632</v>
      </c>
      <c r="G242" s="53">
        <f>IF(TYPE($A242)=1,"",(UpdateHashtag!Q240-G$1)/G$2)</f>
        <v>-0.05494381853</v>
      </c>
      <c r="H242" s="53">
        <f>IF(TYPE($A242)=1,"",(UpdateHashtag!I240-H$1)/H$2*I242/$I$1)</f>
        <v>-4.064803515</v>
      </c>
      <c r="I242" s="53">
        <f>UpdateHashtag!S240</f>
        <v>6.1</v>
      </c>
      <c r="J242" s="58">
        <f>IF(TYPE($A242)=1,"",(UpdateHashtag!K240-J$1)/J$2*K242/$K$1)</f>
        <v>-5.66391731</v>
      </c>
      <c r="K242" s="59">
        <f>UpdateHashtag!T240</f>
        <v>1.3</v>
      </c>
      <c r="L242" s="53">
        <f>IF(TYPE($A242)=1,"",-(UpdateHashtag!R240-L$1)/L$2)</f>
        <v>1.040202395</v>
      </c>
      <c r="N242" s="106"/>
      <c r="O242" s="106"/>
      <c r="P242" s="163"/>
      <c r="Q242" s="164"/>
      <c r="R242" s="163"/>
      <c r="S242" s="165"/>
      <c r="T242" s="144"/>
      <c r="U242" s="144"/>
      <c r="V242" s="144"/>
      <c r="W242" s="144"/>
      <c r="X242" s="144"/>
      <c r="Y242" s="144"/>
      <c r="Z242" s="144"/>
      <c r="AA242" s="144"/>
      <c r="AB242" s="144"/>
      <c r="AC242" s="166"/>
      <c r="AD242" s="166"/>
      <c r="AE242" s="144"/>
      <c r="AF242" s="144"/>
      <c r="AG242" s="144"/>
      <c r="AH242" s="144"/>
      <c r="AI242" s="144"/>
      <c r="AJ242" s="144"/>
      <c r="AK242" s="144"/>
      <c r="AL242" s="144"/>
      <c r="AM242" s="144"/>
      <c r="AN242" s="144"/>
      <c r="AO242" s="167"/>
      <c r="AP242" s="167"/>
      <c r="AQ242" s="167"/>
      <c r="AR242" s="167"/>
    </row>
    <row r="243">
      <c r="A243" s="50" t="str">
        <f>IF(UpdateHashtag!C241="",ROW(UpdateHashtag!C241),UpdateHashtag!C241)</f>
        <v>Gradey Dick</v>
      </c>
      <c r="B243" s="53">
        <f>IF(TYPE($A243)=1,"",(UpdateHashtag!M241-B$1)/B$2)</f>
        <v>-1.01311236</v>
      </c>
      <c r="C243" s="53">
        <f>IF(TYPE($A243)=1,"",(UpdateHashtag!L241-C$1)/C$2)</f>
        <v>0.2225727791</v>
      </c>
      <c r="D243" s="53">
        <f>IF(TYPE($A243)=1,"",(UpdateHashtag!N241-D$1)/D$2)</f>
        <v>-1.307871636</v>
      </c>
      <c r="E243" s="53">
        <f>IF(TYPE($A243)=1,"",(UpdateHashtag!O241-E$1)/E$2)</f>
        <v>-1.141608719</v>
      </c>
      <c r="F243" s="53">
        <f>IF(TYPE($A243)=1,"",(UpdateHashtag!P241-F$1)/F$2)</f>
        <v>-0.7471433709</v>
      </c>
      <c r="G243" s="53">
        <f>IF(TYPE($A243)=1,"",(UpdateHashtag!Q241-G$1)/G$2)</f>
        <v>-1.327538376</v>
      </c>
      <c r="H243" s="53">
        <f>IF(TYPE($A243)=1,"",(UpdateHashtag!I241-H$1)/H$2*I243/$I$1)</f>
        <v>-21.16928505</v>
      </c>
      <c r="I243" s="53">
        <f>UpdateHashtag!S241</f>
        <v>9.9</v>
      </c>
      <c r="J243" s="58">
        <f>IF(TYPE($A243)=1,"",(UpdateHashtag!K241-J$1)/J$2*K243/$K$1)</f>
        <v>1.263415944</v>
      </c>
      <c r="K243" s="59">
        <f>UpdateHashtag!T241</f>
        <v>1.1</v>
      </c>
      <c r="L243" s="53">
        <f>IF(TYPE($A243)=1,"",-(UpdateHashtag!R241-L$1)/L$2)</f>
        <v>0.643430979</v>
      </c>
      <c r="N243" s="106"/>
      <c r="O243" s="106"/>
      <c r="P243" s="163"/>
      <c r="Q243" s="164"/>
      <c r="R243" s="163"/>
      <c r="S243" s="165"/>
      <c r="T243" s="144"/>
      <c r="U243" s="144"/>
      <c r="V243" s="144"/>
      <c r="W243" s="144"/>
      <c r="X243" s="144"/>
      <c r="Y243" s="144"/>
      <c r="Z243" s="144"/>
      <c r="AA243" s="144"/>
      <c r="AB243" s="144"/>
      <c r="AC243" s="166"/>
      <c r="AD243" s="166"/>
      <c r="AE243" s="144"/>
      <c r="AF243" s="144"/>
      <c r="AG243" s="144"/>
      <c r="AH243" s="144"/>
      <c r="AI243" s="144"/>
      <c r="AJ243" s="144"/>
      <c r="AK243" s="144"/>
      <c r="AL243" s="144"/>
      <c r="AM243" s="144"/>
      <c r="AN243" s="144"/>
      <c r="AO243" s="167"/>
      <c r="AP243" s="167"/>
      <c r="AQ243" s="167"/>
      <c r="AR243" s="167"/>
    </row>
    <row r="244">
      <c r="A244" s="50" t="str">
        <f>IF(UpdateHashtag!C242="",ROW(UpdateHashtag!C242),UpdateHashtag!C242)</f>
        <v>Ron Holland II</v>
      </c>
      <c r="B244" s="53">
        <f>IF(TYPE($A244)=1,"",(UpdateHashtag!M242-B$1)/B$2)</f>
        <v>-1.206099234</v>
      </c>
      <c r="C244" s="53">
        <f>IF(TYPE($A244)=1,"",(UpdateHashtag!L242-C$1)/C$2)</f>
        <v>-1.226177381</v>
      </c>
      <c r="D244" s="53">
        <f>IF(TYPE($A244)=1,"",(UpdateHashtag!N242-D$1)/D$2)</f>
        <v>-0.9835887512</v>
      </c>
      <c r="E244" s="53">
        <f>IF(TYPE($A244)=1,"",(UpdateHashtag!O242-E$1)/E$2)</f>
        <v>-1.04390582</v>
      </c>
      <c r="F244" s="53">
        <f>IF(TYPE($A244)=1,"",(UpdateHashtag!P242-F$1)/F$2)</f>
        <v>0.7764716483</v>
      </c>
      <c r="G244" s="53">
        <f>IF(TYPE($A244)=1,"",(UpdateHashtag!Q242-G$1)/G$2)</f>
        <v>-0.600341486</v>
      </c>
      <c r="H244" s="53">
        <f>IF(TYPE($A244)=1,"",(UpdateHashtag!I242-H$1)/H$2*I244/$I$1)</f>
        <v>-14.58753789</v>
      </c>
      <c r="I244" s="53">
        <f>UpdateHashtag!S242</f>
        <v>8.8</v>
      </c>
      <c r="J244" s="58">
        <f>IF(TYPE($A244)=1,"",(UpdateHashtag!K242-J$1)/J$2*K244/$K$1)</f>
        <v>-2.222468778</v>
      </c>
      <c r="K244" s="59">
        <f>UpdateHashtag!T242</f>
        <v>2.9</v>
      </c>
      <c r="L244" s="53">
        <f>IF(TYPE($A244)=1,"",-(UpdateHashtag!R242-L$1)/L$2)</f>
        <v>0.1474667095</v>
      </c>
      <c r="O244" s="106"/>
      <c r="P244" s="163"/>
      <c r="Q244" s="164"/>
      <c r="R244" s="163"/>
      <c r="S244" s="165"/>
      <c r="T244" s="144"/>
      <c r="U244" s="144"/>
      <c r="V244" s="144"/>
      <c r="W244" s="144"/>
      <c r="X244" s="144"/>
      <c r="Y244" s="144"/>
      <c r="Z244" s="144"/>
      <c r="AA244" s="144"/>
      <c r="AB244" s="144"/>
      <c r="AC244" s="166"/>
      <c r="AD244" s="166"/>
      <c r="AE244" s="144"/>
      <c r="AF244" s="144"/>
      <c r="AG244" s="144"/>
      <c r="AH244" s="144"/>
      <c r="AI244" s="144"/>
      <c r="AJ244" s="144"/>
      <c r="AK244" s="144"/>
      <c r="AL244" s="144"/>
      <c r="AM244" s="144"/>
      <c r="AN244" s="144"/>
      <c r="AO244" s="167"/>
      <c r="AP244" s="167"/>
      <c r="AQ244" s="167"/>
      <c r="AR244" s="167"/>
    </row>
    <row r="245">
      <c r="A245" s="50" t="str">
        <f>IF(UpdateHashtag!C243="",ROW(UpdateHashtag!C243),UpdateHashtag!C243)</f>
        <v>Mo Bamba</v>
      </c>
      <c r="B245" s="53">
        <f>IF(TYPE($A245)=1,"",(UpdateHashtag!M243-B$1)/B$2)</f>
        <v>-1.942958204</v>
      </c>
      <c r="C245" s="53">
        <f>IF(TYPE($A245)=1,"",(UpdateHashtag!L243-C$1)/C$2)</f>
        <v>-0.9364273487</v>
      </c>
      <c r="D245" s="53">
        <f>IF(TYPE($A245)=1,"",(UpdateHashtag!N243-D$1)/D$2)</f>
        <v>-0.4971644236</v>
      </c>
      <c r="E245" s="53">
        <f>IF(TYPE($A245)=1,"",(UpdateHashtag!O243-E$1)/E$2)</f>
        <v>-1.434717418</v>
      </c>
      <c r="F245" s="53">
        <f>IF(TYPE($A245)=1,"",(UpdateHashtag!P243-F$1)/F$2)</f>
        <v>-1.966035386</v>
      </c>
      <c r="G245" s="53">
        <f>IF(TYPE($A245)=1,"",(UpdateHashtag!Q243-G$1)/G$2)</f>
        <v>0.6722530715</v>
      </c>
      <c r="H245" s="53">
        <f>IF(TYPE($A245)=1,"",(UpdateHashtag!I243-H$1)/H$2*I245/$I$1)</f>
        <v>-1.130698297</v>
      </c>
      <c r="I245" s="53">
        <f>UpdateHashtag!S243</f>
        <v>4.6</v>
      </c>
      <c r="J245" s="58">
        <f>IF(TYPE($A245)=1,"",(UpdateHashtag!K243-J$1)/J$2*K245/$K$1)</f>
        <v>-2.279241483</v>
      </c>
      <c r="K245" s="59">
        <f>UpdateHashtag!T243</f>
        <v>1.2</v>
      </c>
      <c r="L245" s="53">
        <f>IF(TYPE($A245)=1,"",-(UpdateHashtag!R243-L$1)/L$2)</f>
        <v>1.040202395</v>
      </c>
      <c r="O245" s="106"/>
      <c r="P245" s="163"/>
      <c r="Q245" s="164"/>
      <c r="R245" s="163"/>
      <c r="S245" s="165"/>
      <c r="T245" s="144"/>
      <c r="U245" s="144"/>
      <c r="V245" s="144"/>
      <c r="W245" s="144"/>
      <c r="X245" s="144"/>
      <c r="Y245" s="144"/>
      <c r="Z245" s="144"/>
      <c r="AA245" s="144"/>
      <c r="AB245" s="144"/>
      <c r="AC245" s="166"/>
      <c r="AD245" s="166"/>
      <c r="AE245" s="144"/>
      <c r="AF245" s="144"/>
      <c r="AG245" s="144"/>
      <c r="AH245" s="144"/>
      <c r="AI245" s="144"/>
      <c r="AJ245" s="144"/>
      <c r="AK245" s="144"/>
      <c r="AL245" s="144"/>
      <c r="AM245" s="144"/>
      <c r="AN245" s="144"/>
      <c r="AO245" s="167"/>
      <c r="AP245" s="167"/>
      <c r="AQ245" s="167"/>
      <c r="AR245" s="167"/>
    </row>
    <row r="246">
      <c r="A246" s="50" t="str">
        <f>IF(UpdateHashtag!C244="",ROW(UpdateHashtag!C244),UpdateHashtag!C244)</f>
        <v>Derrick Jones Jr.</v>
      </c>
      <c r="B246" s="53">
        <f>IF(TYPE($A246)=1,"",(UpdateHashtag!M244-B$1)/B$2)</f>
        <v>-1.609617241</v>
      </c>
      <c r="C246" s="53">
        <f>IF(TYPE($A246)=1,"",(UpdateHashtag!L244-C$1)/C$2)</f>
        <v>-0.8398440047</v>
      </c>
      <c r="D246" s="53">
        <f>IF(TYPE($A246)=1,"",(UpdateHashtag!N244-D$1)/D$2)</f>
        <v>-1.145730194</v>
      </c>
      <c r="E246" s="53">
        <f>IF(TYPE($A246)=1,"",(UpdateHashtag!O244-E$1)/E$2)</f>
        <v>-1.434717418</v>
      </c>
      <c r="F246" s="53">
        <f>IF(TYPE($A246)=1,"",(UpdateHashtag!P244-F$1)/F$2)</f>
        <v>-1.051866375</v>
      </c>
      <c r="G246" s="53">
        <f>IF(TYPE($A246)=1,"",(UpdateHashtag!Q244-G$1)/G$2)</f>
        <v>-0.05494381853</v>
      </c>
      <c r="H246" s="53">
        <f>IF(TYPE($A246)=1,"",(UpdateHashtag!I244-H$1)/H$2*I246/$I$1)</f>
        <v>-1.294585043</v>
      </c>
      <c r="I246" s="53">
        <f>UpdateHashtag!S244</f>
        <v>6</v>
      </c>
      <c r="J246" s="58">
        <f>IF(TYPE($A246)=1,"",(UpdateHashtag!K244-J$1)/J$2*K246/$K$1)</f>
        <v>-1.839046218</v>
      </c>
      <c r="K246" s="59">
        <f>UpdateHashtag!T244</f>
        <v>1.8</v>
      </c>
      <c r="L246" s="53">
        <f>IF(TYPE($A246)=1,"",-(UpdateHashtag!R244-L$1)/L$2)</f>
        <v>1.040202395</v>
      </c>
      <c r="N246" s="106"/>
      <c r="O246" s="106"/>
      <c r="P246" s="163"/>
      <c r="Q246" s="164"/>
      <c r="R246" s="163"/>
      <c r="S246" s="165"/>
      <c r="T246" s="144"/>
      <c r="U246" s="144"/>
      <c r="V246" s="144"/>
      <c r="W246" s="144"/>
      <c r="X246" s="144"/>
      <c r="Y246" s="144"/>
      <c r="Z246" s="144"/>
      <c r="AA246" s="144"/>
      <c r="AB246" s="144"/>
      <c r="AC246" s="166"/>
      <c r="AD246" s="166"/>
      <c r="AE246" s="144"/>
      <c r="AF246" s="144"/>
      <c r="AG246" s="144"/>
      <c r="AH246" s="144"/>
      <c r="AI246" s="144"/>
      <c r="AJ246" s="144"/>
      <c r="AK246" s="144"/>
      <c r="AL246" s="144"/>
      <c r="AM246" s="144"/>
      <c r="AN246" s="144"/>
      <c r="AO246" s="167"/>
      <c r="AP246" s="167"/>
      <c r="AQ246" s="167"/>
      <c r="AR246" s="167"/>
    </row>
    <row r="247">
      <c r="A247" s="50" t="str">
        <f>IF(UpdateHashtag!C245="",ROW(UpdateHashtag!C245),UpdateHashtag!C245)</f>
        <v>Isaiah Joe</v>
      </c>
      <c r="B247" s="53">
        <f>IF(TYPE($A247)=1,"",(UpdateHashtag!M245-B$1)/B$2)</f>
        <v>-1.521895935</v>
      </c>
      <c r="C247" s="53">
        <f>IF(TYPE($A247)=1,"",(UpdateHashtag!L245-C$1)/C$2)</f>
        <v>0.2225727791</v>
      </c>
      <c r="D247" s="53">
        <f>IF(TYPE($A247)=1,"",(UpdateHashtag!N245-D$1)/D$2)</f>
        <v>-1.5510838</v>
      </c>
      <c r="E247" s="53">
        <f>IF(TYPE($A247)=1,"",(UpdateHashtag!O245-E$1)/E$2)</f>
        <v>-1.288163069</v>
      </c>
      <c r="F247" s="53">
        <f>IF(TYPE($A247)=1,"",(UpdateHashtag!P245-F$1)/F$2)</f>
        <v>-1.356589379</v>
      </c>
      <c r="G247" s="53">
        <f>IF(TYPE($A247)=1,"",(UpdateHashtag!Q245-G$1)/G$2)</f>
        <v>-0.963939931</v>
      </c>
      <c r="H247" s="53">
        <f>IF(TYPE($A247)=1,"",(UpdateHashtag!I245-H$1)/H$2*I247/$I$1)</f>
        <v>-8.878825759</v>
      </c>
      <c r="I247" s="53">
        <f>UpdateHashtag!S245</f>
        <v>6.4</v>
      </c>
      <c r="J247" s="58">
        <f>IF(TYPE($A247)=1,"",(UpdateHashtag!K245-J$1)/J$2*K247/$K$1)</f>
        <v>0.6219546135</v>
      </c>
      <c r="K247" s="59">
        <f>UpdateHashtag!T245</f>
        <v>1</v>
      </c>
      <c r="L247" s="53">
        <f>IF(TYPE($A247)=1,"",-(UpdateHashtag!R245-L$1)/L$2)</f>
        <v>1.139395249</v>
      </c>
      <c r="N247" s="106"/>
      <c r="O247" s="106"/>
      <c r="P247" s="163"/>
      <c r="Q247" s="164"/>
      <c r="R247" s="163"/>
      <c r="S247" s="165"/>
      <c r="T247" s="144"/>
      <c r="U247" s="144"/>
      <c r="V247" s="144"/>
      <c r="W247" s="144"/>
      <c r="X247" s="144"/>
      <c r="Y247" s="144"/>
      <c r="Z247" s="144"/>
      <c r="AA247" s="144"/>
      <c r="AB247" s="144"/>
      <c r="AC247" s="166"/>
      <c r="AD247" s="166"/>
      <c r="AE247" s="144"/>
      <c r="AF247" s="144"/>
      <c r="AG247" s="144"/>
      <c r="AH247" s="144"/>
      <c r="AI247" s="144"/>
      <c r="AJ247" s="144"/>
      <c r="AK247" s="144"/>
      <c r="AL247" s="144"/>
      <c r="AM247" s="144"/>
      <c r="AN247" s="144"/>
      <c r="AO247" s="167"/>
      <c r="AP247" s="167"/>
      <c r="AQ247" s="167"/>
      <c r="AR247" s="167"/>
    </row>
    <row r="248">
      <c r="A248" s="50" t="str">
        <f>IF(UpdateHashtag!C246="",ROW(UpdateHashtag!C246),UpdateHashtag!C246)</f>
        <v>Naji Marshall</v>
      </c>
      <c r="B248" s="53">
        <f>IF(TYPE($A248)=1,"",(UpdateHashtag!M246-B$1)/B$2)</f>
        <v>-1.521895935</v>
      </c>
      <c r="C248" s="53">
        <f>IF(TYPE($A248)=1,"",(UpdateHashtag!L246-C$1)/C$2)</f>
        <v>-0.8398440047</v>
      </c>
      <c r="D248" s="53">
        <f>IF(TYPE($A248)=1,"",(UpdateHashtag!N246-D$1)/D$2)</f>
        <v>-0.9430533905</v>
      </c>
      <c r="E248" s="53">
        <f>IF(TYPE($A248)=1,"",(UpdateHashtag!O246-E$1)/E$2)</f>
        <v>-0.7507971218</v>
      </c>
      <c r="F248" s="53">
        <f>IF(TYPE($A248)=1,"",(UpdateHashtag!P246-F$1)/F$2)</f>
        <v>-0.7471433709</v>
      </c>
      <c r="G248" s="53">
        <f>IF(TYPE($A248)=1,"",(UpdateHashtag!Q246-G$1)/G$2)</f>
        <v>-0.963939931</v>
      </c>
      <c r="H248" s="53">
        <f>IF(TYPE($A248)=1,"",(UpdateHashtag!I246-H$1)/H$2*I248/$I$1)</f>
        <v>-10.04656437</v>
      </c>
      <c r="I248" s="53">
        <f>UpdateHashtag!S246</f>
        <v>6.8</v>
      </c>
      <c r="J248" s="58">
        <f>IF(TYPE($A248)=1,"",(UpdateHashtag!K246-J$1)/J$2*K248/$K$1)</f>
        <v>0.02956512209</v>
      </c>
      <c r="K248" s="59">
        <f>UpdateHashtag!T246</f>
        <v>1.9</v>
      </c>
      <c r="L248" s="53">
        <f>IF(TYPE($A248)=1,"",-(UpdateHashtag!R246-L$1)/L$2)</f>
        <v>0.5442381251</v>
      </c>
      <c r="O248" s="106"/>
      <c r="P248" s="163"/>
      <c r="Q248" s="164"/>
      <c r="R248" s="163"/>
      <c r="S248" s="165"/>
      <c r="T248" s="144"/>
      <c r="U248" s="144"/>
      <c r="V248" s="144"/>
      <c r="W248" s="144"/>
      <c r="X248" s="144"/>
      <c r="Y248" s="144"/>
      <c r="Z248" s="144"/>
      <c r="AA248" s="144"/>
      <c r="AB248" s="144"/>
      <c r="AC248" s="166"/>
      <c r="AD248" s="166"/>
      <c r="AE248" s="144"/>
      <c r="AF248" s="144"/>
      <c r="AG248" s="144"/>
      <c r="AH248" s="144"/>
      <c r="AI248" s="144"/>
      <c r="AJ248" s="144"/>
      <c r="AK248" s="144"/>
      <c r="AL248" s="144"/>
      <c r="AM248" s="144"/>
      <c r="AN248" s="144"/>
      <c r="AO248" s="167"/>
      <c r="AP248" s="167"/>
      <c r="AQ248" s="167"/>
      <c r="AR248" s="167"/>
    </row>
    <row r="249">
      <c r="A249" s="50" t="str">
        <f>IF(UpdateHashtag!C247="",ROW(UpdateHashtag!C247),UpdateHashtag!C247)</f>
        <v>Carlton Carrington</v>
      </c>
      <c r="B249" s="53">
        <f>IF(TYPE($A249)=1,"",(UpdateHashtag!M247-B$1)/B$2)</f>
        <v>-1.083289405</v>
      </c>
      <c r="C249" s="53">
        <f>IF(TYPE($A249)=1,"",(UpdateHashtag!L247-C$1)/C$2)</f>
        <v>-0.1637605968</v>
      </c>
      <c r="D249" s="53">
        <f>IF(TYPE($A249)=1,"",(UpdateHashtag!N247-D$1)/D$2)</f>
        <v>-0.8214473087</v>
      </c>
      <c r="E249" s="53">
        <f>IF(TYPE($A249)=1,"",(UpdateHashtag!O247-E$1)/E$2)</f>
        <v>-0.2622826247</v>
      </c>
      <c r="F249" s="53">
        <f>IF(TYPE($A249)=1,"",(UpdateHashtag!P247-F$1)/F$2)</f>
        <v>-1.661312382</v>
      </c>
      <c r="G249" s="53">
        <f>IF(TYPE($A249)=1,"",(UpdateHashtag!Q247-G$1)/G$2)</f>
        <v>-0.963939931</v>
      </c>
      <c r="H249" s="53">
        <f>IF(TYPE($A249)=1,"",(UpdateHashtag!I247-H$1)/H$2*I249/$I$1)</f>
        <v>-23.23874019</v>
      </c>
      <c r="I249" s="53">
        <f>UpdateHashtag!S247</f>
        <v>9.3</v>
      </c>
      <c r="J249" s="58">
        <f>IF(TYPE($A249)=1,"",(UpdateHashtag!K247-J$1)/J$2*K249/$K$1)</f>
        <v>-0.1061947902</v>
      </c>
      <c r="K249" s="59">
        <f>UpdateHashtag!T247</f>
        <v>2.2</v>
      </c>
      <c r="L249" s="53">
        <f>IF(TYPE($A249)=1,"",-(UpdateHashtag!R247-L$1)/L$2)</f>
        <v>0.2466595634</v>
      </c>
      <c r="O249" s="106"/>
      <c r="P249" s="163"/>
      <c r="Q249" s="164"/>
      <c r="R249" s="163"/>
      <c r="S249" s="165"/>
      <c r="T249" s="144"/>
      <c r="U249" s="144"/>
      <c r="V249" s="144"/>
      <c r="W249" s="144"/>
      <c r="X249" s="144"/>
      <c r="Y249" s="144"/>
      <c r="Z249" s="144"/>
      <c r="AA249" s="144"/>
      <c r="AB249" s="144"/>
      <c r="AC249" s="166"/>
      <c r="AD249" s="166"/>
      <c r="AE249" s="144"/>
      <c r="AF249" s="144"/>
      <c r="AG249" s="144"/>
      <c r="AH249" s="144"/>
      <c r="AI249" s="144"/>
      <c r="AJ249" s="144"/>
      <c r="AK249" s="144"/>
      <c r="AL249" s="144"/>
      <c r="AM249" s="144"/>
      <c r="AN249" s="144"/>
      <c r="AO249" s="167"/>
      <c r="AP249" s="167"/>
      <c r="AQ249" s="167"/>
      <c r="AR249" s="167"/>
    </row>
    <row r="250">
      <c r="A250" s="50" t="str">
        <f>IF(UpdateHashtag!C248="",ROW(UpdateHashtag!C248),UpdateHashtag!C248)</f>
        <v>Bones Hyland</v>
      </c>
      <c r="B250" s="53">
        <f>IF(TYPE($A250)=1,"",(UpdateHashtag!M248-B$1)/B$2)</f>
        <v>-1.223643495</v>
      </c>
      <c r="C250" s="53">
        <f>IF(TYPE($A250)=1,"",(UpdateHashtag!L248-C$1)/C$2)</f>
        <v>0.02940609112</v>
      </c>
      <c r="D250" s="53">
        <f>IF(TYPE($A250)=1,"",(UpdateHashtag!N248-D$1)/D$2)</f>
        <v>-1.632154521</v>
      </c>
      <c r="E250" s="53">
        <f>IF(TYPE($A250)=1,"",(UpdateHashtag!O248-E$1)/E$2)</f>
        <v>-0.4088369738</v>
      </c>
      <c r="F250" s="53">
        <f>IF(TYPE($A250)=1,"",(UpdateHashtag!P248-F$1)/F$2)</f>
        <v>-1.051866375</v>
      </c>
      <c r="G250" s="53">
        <f>IF(TYPE($A250)=1,"",(UpdateHashtag!Q248-G$1)/G$2)</f>
        <v>-0.963939931</v>
      </c>
      <c r="H250" s="53">
        <f>IF(TYPE($A250)=1,"",(UpdateHashtag!I248-H$1)/H$2*I250/$I$1)</f>
        <v>-27.68708659</v>
      </c>
      <c r="I250" s="53">
        <f>UpdateHashtag!S248</f>
        <v>9.2</v>
      </c>
      <c r="J250" s="58">
        <f>IF(TYPE($A250)=1,"",(UpdateHashtag!K248-J$1)/J$2*K250/$K$1)</f>
        <v>0.9154181237</v>
      </c>
      <c r="K250" s="59">
        <f>UpdateHashtag!T248</f>
        <v>1.4</v>
      </c>
      <c r="L250" s="53">
        <f>IF(TYPE($A250)=1,"",-(UpdateHashtag!R248-L$1)/L$2)</f>
        <v>0.3458524173</v>
      </c>
      <c r="N250" s="106"/>
      <c r="O250" s="106"/>
      <c r="P250" s="163"/>
      <c r="Q250" s="164"/>
      <c r="R250" s="163"/>
      <c r="S250" s="165"/>
      <c r="T250" s="144"/>
      <c r="U250" s="144"/>
      <c r="V250" s="144"/>
      <c r="W250" s="144"/>
      <c r="X250" s="144"/>
      <c r="Y250" s="144"/>
      <c r="Z250" s="144"/>
      <c r="AA250" s="144"/>
      <c r="AB250" s="144"/>
      <c r="AC250" s="166"/>
      <c r="AD250" s="166"/>
      <c r="AE250" s="144"/>
      <c r="AF250" s="144"/>
      <c r="AG250" s="144"/>
      <c r="AH250" s="144"/>
      <c r="AI250" s="144"/>
      <c r="AJ250" s="144"/>
      <c r="AK250" s="144"/>
      <c r="AL250" s="144"/>
      <c r="AM250" s="144"/>
      <c r="AN250" s="144"/>
      <c r="AO250" s="167"/>
      <c r="AP250" s="167"/>
      <c r="AQ250" s="167"/>
      <c r="AR250" s="167"/>
    </row>
    <row r="251">
      <c r="A251" s="50" t="str">
        <f>IF(UpdateHashtag!C249="",ROW(UpdateHashtag!C249),UpdateHashtag!C249)</f>
        <v>GG Jackson II</v>
      </c>
      <c r="B251" s="53">
        <f>IF(TYPE($A251)=1,"",(UpdateHashtag!M249-B$1)/B$2)</f>
        <v>-0.7499484425</v>
      </c>
      <c r="C251" s="53">
        <f>IF(TYPE($A251)=1,"",(UpdateHashtag!L249-C$1)/C$2)</f>
        <v>0.1259894351</v>
      </c>
      <c r="D251" s="53">
        <f>IF(TYPE($A251)=1,"",(UpdateHashtag!N249-D$1)/D$2)</f>
        <v>-1.024124112</v>
      </c>
      <c r="E251" s="53">
        <f>IF(TYPE($A251)=1,"",(UpdateHashtag!O249-E$1)/E$2)</f>
        <v>-1.337014518</v>
      </c>
      <c r="F251" s="53">
        <f>IF(TYPE($A251)=1,"",(UpdateHashtag!P249-F$1)/F$2)</f>
        <v>-1.661312382</v>
      </c>
      <c r="G251" s="53">
        <f>IF(TYPE($A251)=1,"",(UpdateHashtag!Q249-G$1)/G$2)</f>
        <v>-0.600341486</v>
      </c>
      <c r="H251" s="53">
        <f>IF(TYPE($A251)=1,"",(UpdateHashtag!I249-H$1)/H$2*I251/$I$1)</f>
        <v>-20.98878502</v>
      </c>
      <c r="I251" s="53">
        <f>UpdateHashtag!S249</f>
        <v>10.4</v>
      </c>
      <c r="J251" s="58">
        <f>IF(TYPE($A251)=1,"",(UpdateHashtag!K249-J$1)/J$2*K251/$K$1)</f>
        <v>-1.564970281</v>
      </c>
      <c r="K251" s="59">
        <f>UpdateHashtag!T249</f>
        <v>2.8</v>
      </c>
      <c r="L251" s="53">
        <f>IF(TYPE($A251)=1,"",-(UpdateHashtag!R249-L$1)/L$2)</f>
        <v>0.5442381251</v>
      </c>
      <c r="N251" s="106"/>
      <c r="O251" s="106"/>
      <c r="P251" s="163"/>
      <c r="Q251" s="164"/>
      <c r="R251" s="163"/>
      <c r="S251" s="165"/>
      <c r="T251" s="144"/>
      <c r="U251" s="144"/>
      <c r="V251" s="144"/>
      <c r="W251" s="144"/>
      <c r="X251" s="144"/>
      <c r="Y251" s="144"/>
      <c r="Z251" s="144"/>
      <c r="AA251" s="144"/>
      <c r="AB251" s="144"/>
      <c r="AC251" s="166"/>
      <c r="AD251" s="166"/>
      <c r="AE251" s="144"/>
      <c r="AF251" s="144"/>
      <c r="AG251" s="144"/>
      <c r="AH251" s="144"/>
      <c r="AI251" s="144"/>
      <c r="AJ251" s="144"/>
      <c r="AK251" s="144"/>
      <c r="AL251" s="144"/>
      <c r="AM251" s="144"/>
      <c r="AN251" s="144"/>
      <c r="AO251" s="167"/>
      <c r="AP251" s="167"/>
      <c r="AQ251" s="167"/>
      <c r="AR251" s="167"/>
    </row>
    <row r="252">
      <c r="A252" s="50" t="str">
        <f>IF(UpdateHashtag!C250="",ROW(UpdateHashtag!C250),UpdateHashtag!C250)</f>
        <v>Neemias Queta</v>
      </c>
      <c r="B252" s="53">
        <f>IF(TYPE($A252)=1,"",(UpdateHashtag!M250-B$1)/B$2)</f>
        <v>-2.03067951</v>
      </c>
      <c r="C252" s="53">
        <f>IF(TYPE($A252)=1,"",(UpdateHashtag!L250-C$1)/C$2)</f>
        <v>-1.709094101</v>
      </c>
      <c r="D252" s="53">
        <f>IF(TYPE($A252)=1,"",(UpdateHashtag!N250-D$1)/D$2)</f>
        <v>-0.6593058662</v>
      </c>
      <c r="E252" s="53">
        <f>IF(TYPE($A252)=1,"",(UpdateHashtag!O250-E$1)/E$2)</f>
        <v>-1.532420317</v>
      </c>
      <c r="F252" s="53">
        <f>IF(TYPE($A252)=1,"",(UpdateHashtag!P250-F$1)/F$2)</f>
        <v>-1.966035386</v>
      </c>
      <c r="G252" s="53">
        <f>IF(TYPE($A252)=1,"",(UpdateHashtag!Q250-G$1)/G$2)</f>
        <v>0.126855404</v>
      </c>
      <c r="H252" s="53">
        <f>IF(TYPE($A252)=1,"",(UpdateHashtag!I250-H$1)/H$2*I252/$I$1)</f>
        <v>17.33014564</v>
      </c>
      <c r="I252" s="53">
        <f>UpdateHashtag!S250</f>
        <v>3.8</v>
      </c>
      <c r="J252" s="58">
        <f>IF(TYPE($A252)=1,"",(UpdateHashtag!K250-J$1)/J$2*K252/$K$1)</f>
        <v>-1.835536953</v>
      </c>
      <c r="K252" s="59">
        <f>UpdateHashtag!T250</f>
        <v>1</v>
      </c>
      <c r="L252" s="53">
        <f>IF(TYPE($A252)=1,"",-(UpdateHashtag!R250-L$1)/L$2)</f>
        <v>1.238588102</v>
      </c>
      <c r="O252" s="106"/>
      <c r="P252" s="163"/>
      <c r="Q252" s="164"/>
      <c r="R252" s="163"/>
      <c r="S252" s="165"/>
      <c r="T252" s="144"/>
      <c r="U252" s="144"/>
      <c r="V252" s="144"/>
      <c r="W252" s="144"/>
      <c r="X252" s="144"/>
      <c r="Y252" s="144"/>
      <c r="Z252" s="144"/>
      <c r="AA252" s="144"/>
      <c r="AB252" s="144"/>
      <c r="AC252" s="166"/>
      <c r="AD252" s="166"/>
      <c r="AE252" s="144"/>
      <c r="AF252" s="144"/>
      <c r="AG252" s="144"/>
      <c r="AH252" s="144"/>
      <c r="AI252" s="144"/>
      <c r="AJ252" s="144"/>
      <c r="AK252" s="144"/>
      <c r="AL252" s="144"/>
      <c r="AM252" s="144"/>
      <c r="AN252" s="144"/>
      <c r="AO252" s="167"/>
      <c r="AP252" s="167"/>
      <c r="AQ252" s="167"/>
      <c r="AR252" s="167"/>
    </row>
    <row r="253">
      <c r="A253" s="50" t="str">
        <f>IF(UpdateHashtag!C251="",ROW(UpdateHashtag!C251),UpdateHashtag!C251)</f>
        <v>Scotty Pippen Jr.</v>
      </c>
      <c r="B253" s="53">
        <f>IF(TYPE($A253)=1,"",(UpdateHashtag!M251-B$1)/B$2)</f>
        <v>-1.697338547</v>
      </c>
      <c r="C253" s="53">
        <f>IF(TYPE($A253)=1,"",(UpdateHashtag!L251-C$1)/C$2)</f>
        <v>-0.9364273487</v>
      </c>
      <c r="D253" s="53">
        <f>IF(TYPE($A253)=1,"",(UpdateHashtag!N251-D$1)/D$2)</f>
        <v>-1.713225242</v>
      </c>
      <c r="E253" s="53">
        <f>IF(TYPE($A253)=1,"",(UpdateHashtag!O251-E$1)/E$2)</f>
        <v>-0.6042427726</v>
      </c>
      <c r="F253" s="53">
        <f>IF(TYPE($A253)=1,"",(UpdateHashtag!P251-F$1)/F$2)</f>
        <v>-0.1376973632</v>
      </c>
      <c r="G253" s="53">
        <f>IF(TYPE($A253)=1,"",(UpdateHashtag!Q251-G$1)/G$2)</f>
        <v>-0.7821407085</v>
      </c>
      <c r="H253" s="53">
        <f>IF(TYPE($A253)=1,"",(UpdateHashtag!I251-H$1)/H$2*I253/$I$1)</f>
        <v>-1.88117098</v>
      </c>
      <c r="I253" s="53">
        <f>UpdateHashtag!S251</f>
        <v>5.6</v>
      </c>
      <c r="J253" s="58">
        <f>IF(TYPE($A253)=1,"",(UpdateHashtag!K251-J$1)/J$2*K253/$K$1)</f>
        <v>-1.845389598</v>
      </c>
      <c r="K253" s="59">
        <f>UpdateHashtag!T251</f>
        <v>1.7</v>
      </c>
      <c r="L253" s="53">
        <f>IF(TYPE($A253)=1,"",-(UpdateHashtag!R251-L$1)/L$2)</f>
        <v>0.2466595634</v>
      </c>
      <c r="O253" s="106"/>
      <c r="P253" s="163"/>
      <c r="Q253" s="164"/>
      <c r="R253" s="163"/>
      <c r="S253" s="165"/>
      <c r="T253" s="144"/>
      <c r="U253" s="144"/>
      <c r="V253" s="144"/>
      <c r="W253" s="144"/>
      <c r="X253" s="144"/>
      <c r="Y253" s="144"/>
      <c r="Z253" s="144"/>
      <c r="AA253" s="144"/>
      <c r="AB253" s="144"/>
      <c r="AC253" s="166"/>
      <c r="AD253" s="166"/>
      <c r="AE253" s="144"/>
      <c r="AF253" s="144"/>
      <c r="AG253" s="144"/>
      <c r="AH253" s="144"/>
      <c r="AI253" s="144"/>
      <c r="AJ253" s="144"/>
      <c r="AK253" s="144"/>
      <c r="AL253" s="144"/>
      <c r="AM253" s="144"/>
      <c r="AN253" s="144"/>
      <c r="AO253" s="167"/>
      <c r="AP253" s="167"/>
      <c r="AQ253" s="167"/>
      <c r="AR253" s="167"/>
    </row>
    <row r="254">
      <c r="A254" s="50" t="str">
        <f>IF(UpdateHashtag!C252="",ROW(UpdateHashtag!C252),UpdateHashtag!C252)</f>
        <v>Brice Sensabaugh</v>
      </c>
      <c r="B254" s="53">
        <f>IF(TYPE($A254)=1,"",(UpdateHashtag!M252-B$1)/B$2)</f>
        <v>-1.29382054</v>
      </c>
      <c r="C254" s="53">
        <f>IF(TYPE($A254)=1,"",(UpdateHashtag!L252-C$1)/C$2)</f>
        <v>-0.3569272848</v>
      </c>
      <c r="D254" s="53">
        <f>IF(TYPE($A254)=1,"",(UpdateHashtag!N252-D$1)/D$2)</f>
        <v>-0.8214473087</v>
      </c>
      <c r="E254" s="53">
        <f>IF(TYPE($A254)=1,"",(UpdateHashtag!O252-E$1)/E$2)</f>
        <v>-0.7996485715</v>
      </c>
      <c r="F254" s="53">
        <f>IF(TYPE($A254)=1,"",(UpdateHashtag!P252-F$1)/F$2)</f>
        <v>-1.661312382</v>
      </c>
      <c r="G254" s="53">
        <f>IF(TYPE($A254)=1,"",(UpdateHashtag!Q252-G$1)/G$2)</f>
        <v>-0.963939931</v>
      </c>
      <c r="H254" s="53">
        <f>IF(TYPE($A254)=1,"",(UpdateHashtag!I252-H$1)/H$2*I254/$I$1)</f>
        <v>-27.80505159</v>
      </c>
      <c r="I254" s="53">
        <f>UpdateHashtag!S252</f>
        <v>8.8</v>
      </c>
      <c r="J254" s="58">
        <f>IF(TYPE($A254)=1,"",(UpdateHashtag!K252-J$1)/J$2*K254/$K$1)</f>
        <v>3.146190674</v>
      </c>
      <c r="K254" s="59">
        <f>UpdateHashtag!T252</f>
        <v>1.7</v>
      </c>
      <c r="L254" s="53">
        <f>IF(TYPE($A254)=1,"",-(UpdateHashtag!R252-L$1)/L$2)</f>
        <v>-0.1501118522</v>
      </c>
      <c r="N254" s="106"/>
      <c r="O254" s="106"/>
      <c r="P254" s="163"/>
      <c r="Q254" s="164"/>
      <c r="R254" s="163"/>
      <c r="S254" s="165"/>
      <c r="T254" s="144"/>
      <c r="U254" s="144"/>
      <c r="V254" s="144"/>
      <c r="W254" s="144"/>
      <c r="X254" s="144"/>
      <c r="Y254" s="144"/>
      <c r="Z254" s="144"/>
      <c r="AA254" s="144"/>
      <c r="AB254" s="144"/>
      <c r="AC254" s="166"/>
      <c r="AD254" s="166"/>
      <c r="AE254" s="144"/>
      <c r="AF254" s="144"/>
      <c r="AG254" s="144"/>
      <c r="AH254" s="144"/>
      <c r="AI254" s="144"/>
      <c r="AJ254" s="144"/>
      <c r="AK254" s="144"/>
      <c r="AL254" s="144"/>
      <c r="AM254" s="144"/>
      <c r="AN254" s="144"/>
      <c r="AO254" s="167"/>
      <c r="AP254" s="167"/>
      <c r="AQ254" s="167"/>
      <c r="AR254" s="167"/>
    </row>
    <row r="255">
      <c r="A255" s="50" t="str">
        <f>IF(UpdateHashtag!C253="",ROW(UpdateHashtag!C253),UpdateHashtag!C253)</f>
        <v>Precious Achiuwa</v>
      </c>
      <c r="B255" s="53">
        <f>IF(TYPE($A255)=1,"",(UpdateHashtag!M253-B$1)/B$2)</f>
        <v>-1.662250025</v>
      </c>
      <c r="C255" s="53">
        <f>IF(TYPE($A255)=1,"",(UpdateHashtag!L253-C$1)/C$2)</f>
        <v>-1.322760725</v>
      </c>
      <c r="D255" s="53">
        <f>IF(TYPE($A255)=1,"",(UpdateHashtag!N253-D$1)/D$2)</f>
        <v>-0.132346178</v>
      </c>
      <c r="E255" s="53">
        <f>IF(TYPE($A255)=1,"",(UpdateHashtag!O253-E$1)/E$2)</f>
        <v>-1.337014518</v>
      </c>
      <c r="F255" s="53">
        <f>IF(TYPE($A255)=1,"",(UpdateHashtag!P253-F$1)/F$2)</f>
        <v>-1.661312382</v>
      </c>
      <c r="G255" s="53">
        <f>IF(TYPE($A255)=1,"",(UpdateHashtag!Q253-G$1)/G$2)</f>
        <v>-0.05494381853</v>
      </c>
      <c r="H255" s="53">
        <f>IF(TYPE($A255)=1,"",(UpdateHashtag!I253-H$1)/H$2*I255/$I$1)</f>
        <v>-0.2202571736</v>
      </c>
      <c r="I255" s="53">
        <f>UpdateHashtag!S253</f>
        <v>6.2</v>
      </c>
      <c r="J255" s="58">
        <f>IF(TYPE($A255)=1,"",(UpdateHashtag!K253-J$1)/J$2*K255/$K$1)</f>
        <v>-3.445950664</v>
      </c>
      <c r="K255" s="59">
        <f>UpdateHashtag!T253</f>
        <v>1.7</v>
      </c>
      <c r="L255" s="53">
        <f>IF(TYPE($A255)=1,"",-(UpdateHashtag!R253-L$1)/L$2)</f>
        <v>0.7426238329</v>
      </c>
      <c r="N255" s="106"/>
      <c r="O255" s="106"/>
      <c r="P255" s="163"/>
      <c r="Q255" s="164"/>
      <c r="R255" s="163"/>
      <c r="S255" s="165"/>
      <c r="T255" s="144"/>
      <c r="U255" s="144"/>
      <c r="V255" s="144"/>
      <c r="W255" s="144"/>
      <c r="X255" s="144"/>
      <c r="Y255" s="144"/>
      <c r="Z255" s="144"/>
      <c r="AA255" s="144"/>
      <c r="AB255" s="144"/>
      <c r="AC255" s="166"/>
      <c r="AD255" s="166"/>
      <c r="AE255" s="144"/>
      <c r="AF255" s="144"/>
      <c r="AG255" s="144"/>
      <c r="AH255" s="144"/>
      <c r="AI255" s="144"/>
      <c r="AJ255" s="144"/>
      <c r="AK255" s="144"/>
      <c r="AL255" s="144"/>
      <c r="AM255" s="144"/>
      <c r="AN255" s="144"/>
      <c r="AO255" s="167"/>
      <c r="AP255" s="167"/>
      <c r="AQ255" s="167"/>
      <c r="AR255" s="167"/>
    </row>
    <row r="256">
      <c r="A256" s="50" t="str">
        <f>IF(UpdateHashtag!C254="",ROW(UpdateHashtag!C254),UpdateHashtag!C254)</f>
        <v>Marcus Sasser</v>
      </c>
      <c r="B256" s="53">
        <f>IF(TYPE($A256)=1,"",(UpdateHashtag!M254-B$1)/B$2)</f>
        <v>-1.556984457</v>
      </c>
      <c r="C256" s="53">
        <f>IF(TYPE($A256)=1,"",(UpdateHashtag!L254-C$1)/C$2)</f>
        <v>-0.4535106288</v>
      </c>
      <c r="D256" s="53">
        <f>IF(TYPE($A256)=1,"",(UpdateHashtag!N254-D$1)/D$2)</f>
        <v>-1.753760603</v>
      </c>
      <c r="E256" s="53">
        <f>IF(TYPE($A256)=1,"",(UpdateHashtag!O254-E$1)/E$2)</f>
        <v>-0.213431175</v>
      </c>
      <c r="F256" s="53">
        <f>IF(TYPE($A256)=1,"",(UpdateHashtag!P254-F$1)/F$2)</f>
        <v>-1.356589379</v>
      </c>
      <c r="G256" s="53">
        <f>IF(TYPE($A256)=1,"",(UpdateHashtag!Q254-G$1)/G$2)</f>
        <v>-0.963939931</v>
      </c>
      <c r="H256" s="53">
        <f>IF(TYPE($A256)=1,"",(UpdateHashtag!I254-H$1)/H$2*I256/$I$1)</f>
        <v>-14.73251257</v>
      </c>
      <c r="I256" s="53">
        <f>UpdateHashtag!S254</f>
        <v>7.3</v>
      </c>
      <c r="J256" s="58">
        <f>IF(TYPE($A256)=1,"",(UpdateHashtag!K254-J$1)/J$2*K256/$K$1)</f>
        <v>1.206047519</v>
      </c>
      <c r="K256" s="59">
        <f>UpdateHashtag!T254</f>
        <v>0.9</v>
      </c>
      <c r="L256" s="53">
        <f>IF(TYPE($A256)=1,"",-(UpdateHashtag!R254-L$1)/L$2)</f>
        <v>0.4450452712</v>
      </c>
      <c r="O256" s="106"/>
      <c r="P256" s="163"/>
      <c r="Q256" s="164"/>
      <c r="R256" s="163"/>
      <c r="S256" s="165"/>
      <c r="T256" s="144"/>
      <c r="U256" s="144"/>
      <c r="V256" s="144"/>
      <c r="W256" s="144"/>
      <c r="X256" s="144"/>
      <c r="Y256" s="144"/>
      <c r="Z256" s="144"/>
      <c r="AA256" s="144"/>
      <c r="AB256" s="144"/>
      <c r="AC256" s="166"/>
      <c r="AD256" s="166"/>
      <c r="AE256" s="144"/>
      <c r="AF256" s="144"/>
      <c r="AG256" s="144"/>
      <c r="AH256" s="144"/>
      <c r="AI256" s="144"/>
      <c r="AJ256" s="144"/>
      <c r="AK256" s="144"/>
      <c r="AL256" s="144"/>
      <c r="AM256" s="144"/>
      <c r="AN256" s="144"/>
      <c r="AO256" s="167"/>
      <c r="AP256" s="167"/>
      <c r="AQ256" s="167"/>
      <c r="AR256" s="167"/>
    </row>
    <row r="257">
      <c r="A257" s="50" t="str">
        <f>IF(UpdateHashtag!C255="",ROW(UpdateHashtag!C255),UpdateHashtag!C255)</f>
        <v>Trey Lyles</v>
      </c>
      <c r="B257" s="53">
        <f>IF(TYPE($A257)=1,"",(UpdateHashtag!M255-B$1)/B$2)</f>
        <v>-1.609617241</v>
      </c>
      <c r="C257" s="53">
        <f>IF(TYPE($A257)=1,"",(UpdateHashtag!L255-C$1)/C$2)</f>
        <v>-0.3569272848</v>
      </c>
      <c r="D257" s="53">
        <f>IF(TYPE($A257)=1,"",(UpdateHashtag!N255-D$1)/D$2)</f>
        <v>-0.6593058662</v>
      </c>
      <c r="E257" s="53">
        <f>IF(TYPE($A257)=1,"",(UpdateHashtag!O255-E$1)/E$2)</f>
        <v>-1.337014518</v>
      </c>
      <c r="F257" s="53">
        <f>IF(TYPE($A257)=1,"",(UpdateHashtag!P255-F$1)/F$2)</f>
        <v>-1.966035386</v>
      </c>
      <c r="G257" s="53">
        <f>IF(TYPE($A257)=1,"",(UpdateHashtag!Q255-G$1)/G$2)</f>
        <v>-0.600341486</v>
      </c>
      <c r="H257" s="53">
        <f>IF(TYPE($A257)=1,"",(UpdateHashtag!I255-H$1)/H$2*I257/$I$1)</f>
        <v>-7.476228125</v>
      </c>
      <c r="I257" s="53">
        <f>UpdateHashtag!S255</f>
        <v>5.9</v>
      </c>
      <c r="J257" s="58">
        <f>IF(TYPE($A257)=1,"",(UpdateHashtag!K255-J$1)/J$2*K257/$K$1)</f>
        <v>-0.4091535136</v>
      </c>
      <c r="K257" s="59">
        <f>UpdateHashtag!T255</f>
        <v>1.6</v>
      </c>
      <c r="L257" s="53">
        <f>IF(TYPE($A257)=1,"",-(UpdateHashtag!R255-L$1)/L$2)</f>
        <v>0.9410095407</v>
      </c>
      <c r="O257" s="106"/>
      <c r="P257" s="163"/>
      <c r="Q257" s="164"/>
      <c r="R257" s="163"/>
      <c r="S257" s="165"/>
      <c r="T257" s="144"/>
      <c r="U257" s="144"/>
      <c r="V257" s="144"/>
      <c r="W257" s="144"/>
      <c r="X257" s="144"/>
      <c r="Y257" s="144"/>
      <c r="Z257" s="144"/>
      <c r="AA257" s="144"/>
      <c r="AB257" s="144"/>
      <c r="AC257" s="166"/>
      <c r="AD257" s="166"/>
      <c r="AE257" s="144"/>
      <c r="AF257" s="144"/>
      <c r="AG257" s="144"/>
      <c r="AH257" s="144"/>
      <c r="AI257" s="144"/>
      <c r="AJ257" s="144"/>
      <c r="AK257" s="144"/>
      <c r="AL257" s="144"/>
      <c r="AM257" s="144"/>
      <c r="AN257" s="144"/>
      <c r="AO257" s="167"/>
      <c r="AP257" s="167"/>
      <c r="AQ257" s="167"/>
      <c r="AR257" s="167"/>
    </row>
    <row r="258">
      <c r="A258" s="50" t="str">
        <f>IF(UpdateHashtag!C256="",ROW(UpdateHashtag!C256),UpdateHashtag!C256)</f>
        <v>Isaiah Stewart</v>
      </c>
      <c r="B258" s="53">
        <f>IF(TYPE($A258)=1,"",(UpdateHashtag!M256-B$1)/B$2)</f>
        <v>-1.539440196</v>
      </c>
      <c r="C258" s="53">
        <f>IF(TYPE($A258)=1,"",(UpdateHashtag!L256-C$1)/C$2)</f>
        <v>-0.6466773167</v>
      </c>
      <c r="D258" s="53">
        <f>IF(TYPE($A258)=1,"",(UpdateHashtag!N256-D$1)/D$2)</f>
        <v>-0.2134168993</v>
      </c>
      <c r="E258" s="53">
        <f>IF(TYPE($A258)=1,"",(UpdateHashtag!O256-E$1)/E$2)</f>
        <v>-1.337014518</v>
      </c>
      <c r="F258" s="53">
        <f>IF(TYPE($A258)=1,"",(UpdateHashtag!P256-F$1)/F$2)</f>
        <v>-2.27075839</v>
      </c>
      <c r="G258" s="53">
        <f>IF(TYPE($A258)=1,"",(UpdateHashtag!Q256-G$1)/G$2)</f>
        <v>-0.236743041</v>
      </c>
      <c r="H258" s="53">
        <f>IF(TYPE($A258)=1,"",(UpdateHashtag!I256-H$1)/H$2*I258/$I$1)</f>
        <v>-6.479193984</v>
      </c>
      <c r="I258" s="53">
        <f>UpdateHashtag!S256</f>
        <v>6.5</v>
      </c>
      <c r="J258" s="58">
        <f>IF(TYPE($A258)=1,"",(UpdateHashtag!K256-J$1)/J$2*K258/$K$1)</f>
        <v>-1.293291597</v>
      </c>
      <c r="K258" s="59">
        <f>UpdateHashtag!T256</f>
        <v>1.8</v>
      </c>
      <c r="L258" s="53">
        <f>IF(TYPE($A258)=1,"",-(UpdateHashtag!R256-L$1)/L$2)</f>
        <v>0.643430979</v>
      </c>
      <c r="N258" s="106"/>
      <c r="O258" s="106"/>
      <c r="P258" s="163"/>
      <c r="Q258" s="164"/>
      <c r="R258" s="163"/>
      <c r="S258" s="165"/>
      <c r="T258" s="144"/>
      <c r="U258" s="144"/>
      <c r="V258" s="144"/>
      <c r="W258" s="144"/>
      <c r="X258" s="144"/>
      <c r="Y258" s="144"/>
      <c r="Z258" s="144"/>
      <c r="AA258" s="144"/>
      <c r="AB258" s="144"/>
      <c r="AC258" s="166"/>
      <c r="AD258" s="166"/>
      <c r="AE258" s="144"/>
      <c r="AF258" s="144"/>
      <c r="AG258" s="144"/>
      <c r="AH258" s="144"/>
      <c r="AI258" s="144"/>
      <c r="AJ258" s="144"/>
      <c r="AK258" s="144"/>
      <c r="AL258" s="144"/>
      <c r="AM258" s="144"/>
      <c r="AN258" s="144"/>
      <c r="AO258" s="167"/>
      <c r="AP258" s="167"/>
      <c r="AQ258" s="167"/>
      <c r="AR258" s="167"/>
    </row>
    <row r="259">
      <c r="A259" s="50" t="str">
        <f>IF(UpdateHashtag!C257="",ROW(UpdateHashtag!C257),UpdateHashtag!C257)</f>
        <v>Georges Niang</v>
      </c>
      <c r="B259" s="53">
        <f>IF(TYPE($A259)=1,"",(UpdateHashtag!M257-B$1)/B$2)</f>
        <v>-1.416630368</v>
      </c>
      <c r="C259" s="53">
        <f>IF(TYPE($A259)=1,"",(UpdateHashtag!L257-C$1)/C$2)</f>
        <v>0.2225727791</v>
      </c>
      <c r="D259" s="53">
        <f>IF(TYPE($A259)=1,"",(UpdateHashtag!N257-D$1)/D$2)</f>
        <v>-1.267336276</v>
      </c>
      <c r="E259" s="53">
        <f>IF(TYPE($A259)=1,"",(UpdateHashtag!O257-E$1)/E$2)</f>
        <v>-1.337014518</v>
      </c>
      <c r="F259" s="53">
        <f>IF(TYPE($A259)=1,"",(UpdateHashtag!P257-F$1)/F$2)</f>
        <v>-1.966035386</v>
      </c>
      <c r="G259" s="53">
        <f>IF(TYPE($A259)=1,"",(UpdateHashtag!Q257-G$1)/G$2)</f>
        <v>-0.963939931</v>
      </c>
      <c r="H259" s="53">
        <f>IF(TYPE($A259)=1,"",(UpdateHashtag!I257-H$1)/H$2*I259/$I$1)</f>
        <v>-10.78528234</v>
      </c>
      <c r="I259" s="53">
        <f>UpdateHashtag!S257</f>
        <v>7.3</v>
      </c>
      <c r="J259" s="58">
        <f>IF(TYPE($A259)=1,"",(UpdateHashtag!K257-J$1)/J$2*K259/$K$1)</f>
        <v>0.7257990509</v>
      </c>
      <c r="K259" s="59">
        <f>UpdateHashtag!T257</f>
        <v>0.7</v>
      </c>
      <c r="L259" s="53">
        <f>IF(TYPE($A259)=1,"",-(UpdateHashtag!R257-L$1)/L$2)</f>
        <v>0.9410095407</v>
      </c>
      <c r="N259" s="106"/>
      <c r="O259" s="106"/>
      <c r="P259" s="163"/>
      <c r="Q259" s="164"/>
      <c r="R259" s="163"/>
      <c r="S259" s="165"/>
      <c r="T259" s="144"/>
      <c r="U259" s="144"/>
      <c r="V259" s="144"/>
      <c r="W259" s="144"/>
      <c r="X259" s="144"/>
      <c r="Y259" s="144"/>
      <c r="Z259" s="144"/>
      <c r="AA259" s="144"/>
      <c r="AB259" s="144"/>
      <c r="AC259" s="166"/>
      <c r="AD259" s="166"/>
      <c r="AE259" s="144"/>
      <c r="AF259" s="144"/>
      <c r="AG259" s="144"/>
      <c r="AH259" s="144"/>
      <c r="AI259" s="144"/>
      <c r="AJ259" s="144"/>
      <c r="AK259" s="144"/>
      <c r="AL259" s="144"/>
      <c r="AM259" s="144"/>
      <c r="AN259" s="144"/>
      <c r="AO259" s="167"/>
      <c r="AP259" s="167"/>
      <c r="AQ259" s="167"/>
      <c r="AR259" s="167"/>
    </row>
    <row r="260">
      <c r="A260" s="50" t="str">
        <f>IF(UpdateHashtag!C258="",ROW(UpdateHashtag!C258),UpdateHashtag!C258)</f>
        <v>Jose Alvarado</v>
      </c>
      <c r="B260" s="53">
        <f>IF(TYPE($A260)=1,"",(UpdateHashtag!M258-B$1)/B$2)</f>
        <v>-1.714882808</v>
      </c>
      <c r="C260" s="53">
        <f>IF(TYPE($A260)=1,"",(UpdateHashtag!L258-C$1)/C$2)</f>
        <v>-0.4535106288</v>
      </c>
      <c r="D260" s="53">
        <f>IF(TYPE($A260)=1,"",(UpdateHashtag!N258-D$1)/D$2)</f>
        <v>-1.632154521</v>
      </c>
      <c r="E260" s="53">
        <f>IF(TYPE($A260)=1,"",(UpdateHashtag!O258-E$1)/E$2)</f>
        <v>-0.7019456721</v>
      </c>
      <c r="F260" s="53">
        <f>IF(TYPE($A260)=1,"",(UpdateHashtag!P258-F$1)/F$2)</f>
        <v>-0.1376973632</v>
      </c>
      <c r="G260" s="53">
        <f>IF(TYPE($A260)=1,"",(UpdateHashtag!Q258-G$1)/G$2)</f>
        <v>-0.963939931</v>
      </c>
      <c r="H260" s="53">
        <f>IF(TYPE($A260)=1,"",(UpdateHashtag!I258-H$1)/H$2*I260/$I$1)</f>
        <v>-16.43738897</v>
      </c>
      <c r="I260" s="53">
        <f>UpdateHashtag!S258</f>
        <v>6.5</v>
      </c>
      <c r="J260" s="58">
        <f>IF(TYPE($A260)=1,"",(UpdateHashtag!K258-J$1)/J$2*K260/$K$1)</f>
        <v>-0.4950870077</v>
      </c>
      <c r="K260" s="59">
        <f>UpdateHashtag!T258</f>
        <v>1</v>
      </c>
      <c r="L260" s="53">
        <f>IF(TYPE($A260)=1,"",-(UpdateHashtag!R258-L$1)/L$2)</f>
        <v>0.8418166868</v>
      </c>
      <c r="O260" s="106"/>
      <c r="P260" s="163"/>
      <c r="Q260" s="164"/>
      <c r="R260" s="163"/>
      <c r="S260" s="165"/>
      <c r="T260" s="144"/>
      <c r="U260" s="144"/>
      <c r="V260" s="144"/>
      <c r="W260" s="144"/>
      <c r="X260" s="144"/>
      <c r="Y260" s="144"/>
      <c r="Z260" s="144"/>
      <c r="AA260" s="144"/>
      <c r="AB260" s="144"/>
      <c r="AC260" s="166"/>
      <c r="AD260" s="166"/>
      <c r="AE260" s="144"/>
      <c r="AF260" s="144"/>
      <c r="AG260" s="144"/>
      <c r="AH260" s="144"/>
      <c r="AI260" s="144"/>
      <c r="AJ260" s="144"/>
      <c r="AK260" s="144"/>
      <c r="AL260" s="144"/>
      <c r="AM260" s="144"/>
      <c r="AN260" s="144"/>
      <c r="AO260" s="167"/>
      <c r="AP260" s="167"/>
      <c r="AQ260" s="167"/>
      <c r="AR260" s="167"/>
    </row>
    <row r="261">
      <c r="A261" s="50" t="str">
        <f>IF(UpdateHashtag!C259="",ROW(UpdateHashtag!C259),UpdateHashtag!C259)</f>
        <v>Saddiq Bey</v>
      </c>
      <c r="B261" s="53">
        <f>IF(TYPE($A261)=1,"",(UpdateHashtag!M259-B$1)/B$2)</f>
        <v>-1.381541846</v>
      </c>
      <c r="C261" s="53">
        <f>IF(TYPE($A261)=1,"",(UpdateHashtag!L259-C$1)/C$2)</f>
        <v>-0.4535106288</v>
      </c>
      <c r="D261" s="53">
        <f>IF(TYPE($A261)=1,"",(UpdateHashtag!N259-D$1)/D$2)</f>
        <v>-0.9835887512</v>
      </c>
      <c r="E261" s="53">
        <f>IF(TYPE($A261)=1,"",(UpdateHashtag!O259-E$1)/E$2)</f>
        <v>-1.385865968</v>
      </c>
      <c r="F261" s="53">
        <f>IF(TYPE($A261)=1,"",(UpdateHashtag!P259-F$1)/F$2)</f>
        <v>-1.356589379</v>
      </c>
      <c r="G261" s="53">
        <f>IF(TYPE($A261)=1,"",(UpdateHashtag!Q259-G$1)/G$2)</f>
        <v>-1.145739154</v>
      </c>
      <c r="H261" s="53">
        <f>IF(TYPE($A261)=1,"",(UpdateHashtag!I259-H$1)/H$2*I261/$I$1)</f>
        <v>-16.93497874</v>
      </c>
      <c r="I261" s="53">
        <f>UpdateHashtag!S259</f>
        <v>7.4</v>
      </c>
      <c r="J261" s="58">
        <f>IF(TYPE($A261)=1,"",(UpdateHashtag!K259-J$1)/J$2*K261/$K$1)</f>
        <v>2.210908401</v>
      </c>
      <c r="K261" s="59">
        <f>UpdateHashtag!T259</f>
        <v>2.1</v>
      </c>
      <c r="L261" s="53">
        <f>IF(TYPE($A261)=1,"",-(UpdateHashtag!R259-L$1)/L$2)</f>
        <v>1.139395249</v>
      </c>
      <c r="O261" s="106"/>
      <c r="P261" s="163"/>
      <c r="Q261" s="164"/>
      <c r="R261" s="163"/>
      <c r="S261" s="165"/>
      <c r="T261" s="144"/>
      <c r="U261" s="144"/>
      <c r="V261" s="144"/>
      <c r="W261" s="144"/>
      <c r="X261" s="144"/>
      <c r="Y261" s="144"/>
      <c r="Z261" s="144"/>
      <c r="AA261" s="144"/>
      <c r="AB261" s="144"/>
      <c r="AC261" s="166"/>
      <c r="AD261" s="166"/>
      <c r="AE261" s="144"/>
      <c r="AF261" s="144"/>
      <c r="AG261" s="144"/>
      <c r="AH261" s="144"/>
      <c r="AI261" s="144"/>
      <c r="AJ261" s="144"/>
      <c r="AK261" s="144"/>
      <c r="AL261" s="144"/>
      <c r="AM261" s="144"/>
      <c r="AN261" s="144"/>
      <c r="AO261" s="167"/>
      <c r="AP261" s="167"/>
      <c r="AQ261" s="167"/>
      <c r="AR261" s="167"/>
    </row>
    <row r="262">
      <c r="A262" s="50" t="str">
        <f>IF(UpdateHashtag!C260="",ROW(UpdateHashtag!C260),UpdateHashtag!C260)</f>
        <v>Reggie Jackson</v>
      </c>
      <c r="B262" s="53">
        <f>IF(TYPE($A262)=1,"",(UpdateHashtag!M260-B$1)/B$2)</f>
        <v>-1.276276278</v>
      </c>
      <c r="C262" s="53">
        <f>IF(TYPE($A262)=1,"",(UpdateHashtag!L260-C$1)/C$2)</f>
        <v>-0.4535106288</v>
      </c>
      <c r="D262" s="53">
        <f>IF(TYPE($A262)=1,"",(UpdateHashtag!N260-D$1)/D$2)</f>
        <v>-1.672689882</v>
      </c>
      <c r="E262" s="53">
        <f>IF(TYPE($A262)=1,"",(UpdateHashtag!O260-E$1)/E$2)</f>
        <v>-0.1645797253</v>
      </c>
      <c r="F262" s="53">
        <f>IF(TYPE($A262)=1,"",(UpdateHashtag!P260-F$1)/F$2)</f>
        <v>-1.356589379</v>
      </c>
      <c r="G262" s="53">
        <f>IF(TYPE($A262)=1,"",(UpdateHashtag!Q260-G$1)/G$2)</f>
        <v>-1.145739154</v>
      </c>
      <c r="H262" s="53">
        <f>IF(TYPE($A262)=1,"",(UpdateHashtag!I260-H$1)/H$2*I262/$I$1)</f>
        <v>-20.00536019</v>
      </c>
      <c r="I262" s="53">
        <f>UpdateHashtag!S260</f>
        <v>9.1</v>
      </c>
      <c r="J262" s="58">
        <f>IF(TYPE($A262)=1,"",(UpdateHashtag!K260-J$1)/J$2*K262/$K$1)</f>
        <v>1.22507766</v>
      </c>
      <c r="K262" s="59">
        <f>UpdateHashtag!T260</f>
        <v>1.2</v>
      </c>
      <c r="L262" s="53">
        <f>IF(TYPE($A262)=1,"",-(UpdateHashtag!R260-L$1)/L$2)</f>
        <v>0.3458524173</v>
      </c>
      <c r="N262" s="106"/>
      <c r="O262" s="106"/>
      <c r="P262" s="163"/>
      <c r="Q262" s="164"/>
      <c r="R262" s="163"/>
      <c r="S262" s="165"/>
      <c r="T262" s="144"/>
      <c r="U262" s="144"/>
      <c r="V262" s="144"/>
      <c r="W262" s="144"/>
      <c r="X262" s="144"/>
      <c r="Y262" s="144"/>
      <c r="Z262" s="144"/>
      <c r="AA262" s="144"/>
      <c r="AB262" s="144"/>
      <c r="AC262" s="166"/>
      <c r="AD262" s="166"/>
      <c r="AE262" s="144"/>
      <c r="AF262" s="144"/>
      <c r="AG262" s="144"/>
      <c r="AH262" s="144"/>
      <c r="AI262" s="144"/>
      <c r="AJ262" s="144"/>
      <c r="AK262" s="144"/>
      <c r="AL262" s="144"/>
      <c r="AM262" s="144"/>
      <c r="AN262" s="144"/>
      <c r="AO262" s="167"/>
      <c r="AP262" s="167"/>
      <c r="AQ262" s="167"/>
      <c r="AR262" s="167"/>
    </row>
    <row r="263">
      <c r="A263" s="50" t="str">
        <f>IF(UpdateHashtag!C261="",ROW(UpdateHashtag!C261),UpdateHashtag!C261)</f>
        <v>Goga Bitadze</v>
      </c>
      <c r="B263" s="53">
        <f>IF(TYPE($A263)=1,"",(UpdateHashtag!M261-B$1)/B$2)</f>
        <v>-2.153489338</v>
      </c>
      <c r="C263" s="53">
        <f>IF(TYPE($A263)=1,"",(UpdateHashtag!L261-C$1)/C$2)</f>
        <v>-1.612510757</v>
      </c>
      <c r="D263" s="53">
        <f>IF(TYPE($A263)=1,"",(UpdateHashtag!N261-D$1)/D$2)</f>
        <v>-0.6998412268</v>
      </c>
      <c r="E263" s="53">
        <f>IF(TYPE($A263)=1,"",(UpdateHashtag!O261-E$1)/E$2)</f>
        <v>-1.288163069</v>
      </c>
      <c r="F263" s="53">
        <f>IF(TYPE($A263)=1,"",(UpdateHashtag!P261-F$1)/F$2)</f>
        <v>-1.661312382</v>
      </c>
      <c r="G263" s="53">
        <f>IF(TYPE($A263)=1,"",(UpdateHashtag!Q261-G$1)/G$2)</f>
        <v>0.490453849</v>
      </c>
      <c r="H263" s="53">
        <f>IF(TYPE($A263)=1,"",(UpdateHashtag!I261-H$1)/H$2*I263/$I$1)</f>
        <v>8.96925846</v>
      </c>
      <c r="I263" s="53">
        <f>UpdateHashtag!S261</f>
        <v>3.4</v>
      </c>
      <c r="J263" s="58">
        <f>IF(TYPE($A263)=1,"",(UpdateHashtag!K261-J$1)/J$2*K263/$K$1)</f>
        <v>-3.547921325</v>
      </c>
      <c r="K263" s="59">
        <f>UpdateHashtag!T261</f>
        <v>1.3</v>
      </c>
      <c r="L263" s="53">
        <f>IF(TYPE($A263)=1,"",-(UpdateHashtag!R261-L$1)/L$2)</f>
        <v>1.040202395</v>
      </c>
      <c r="N263" s="106"/>
      <c r="O263" s="106"/>
      <c r="P263" s="163"/>
      <c r="Q263" s="164"/>
      <c r="R263" s="163"/>
      <c r="S263" s="165"/>
      <c r="T263" s="144"/>
      <c r="U263" s="144"/>
      <c r="V263" s="144"/>
      <c r="W263" s="144"/>
      <c r="X263" s="144"/>
      <c r="Y263" s="144"/>
      <c r="Z263" s="144"/>
      <c r="AA263" s="144"/>
      <c r="AB263" s="144"/>
      <c r="AC263" s="166"/>
      <c r="AD263" s="166"/>
      <c r="AE263" s="144"/>
      <c r="AF263" s="144"/>
      <c r="AG263" s="144"/>
      <c r="AH263" s="144"/>
      <c r="AI263" s="144"/>
      <c r="AJ263" s="144"/>
      <c r="AK263" s="144"/>
      <c r="AL263" s="144"/>
      <c r="AM263" s="144"/>
      <c r="AN263" s="144"/>
      <c r="AO263" s="167"/>
      <c r="AP263" s="167"/>
      <c r="AQ263" s="167"/>
      <c r="AR263" s="167"/>
    </row>
    <row r="264">
      <c r="A264" s="50" t="str">
        <f>IF(UpdateHashtag!C262="",ROW(UpdateHashtag!C262),UpdateHashtag!C262)</f>
        <v>Stephon Castle</v>
      </c>
      <c r="B264" s="53">
        <f>IF(TYPE($A264)=1,"",(UpdateHashtag!M262-B$1)/B$2)</f>
        <v>-1.697338547</v>
      </c>
      <c r="C264" s="53">
        <f>IF(TYPE($A264)=1,"",(UpdateHashtag!L262-C$1)/C$2)</f>
        <v>-1.322760725</v>
      </c>
      <c r="D264" s="53">
        <f>IF(TYPE($A264)=1,"",(UpdateHashtag!N262-D$1)/D$2)</f>
        <v>-1.226800915</v>
      </c>
      <c r="E264" s="53">
        <f>IF(TYPE($A264)=1,"",(UpdateHashtag!O262-E$1)/E$2)</f>
        <v>-0.6042427726</v>
      </c>
      <c r="F264" s="53">
        <f>IF(TYPE($A264)=1,"",(UpdateHashtag!P262-F$1)/F$2)</f>
        <v>-0.7471433709</v>
      </c>
      <c r="G264" s="53">
        <f>IF(TYPE($A264)=1,"",(UpdateHashtag!Q262-G$1)/G$2)</f>
        <v>-0.600341486</v>
      </c>
      <c r="H264" s="53">
        <f>IF(TYPE($A264)=1,"",(UpdateHashtag!I262-H$1)/H$2*I264/$I$1)</f>
        <v>-5.258742045</v>
      </c>
      <c r="I264" s="53">
        <f>UpdateHashtag!S262</f>
        <v>5.8</v>
      </c>
      <c r="J264" s="58">
        <f>IF(TYPE($A264)=1,"",(UpdateHashtag!K262-J$1)/J$2*K264/$K$1)</f>
        <v>-1.159405462</v>
      </c>
      <c r="K264" s="59">
        <f>UpdateHashtag!T262</f>
        <v>2.2</v>
      </c>
      <c r="L264" s="53">
        <f>IF(TYPE($A264)=1,"",-(UpdateHashtag!R262-L$1)/L$2)</f>
        <v>0.7426238329</v>
      </c>
      <c r="O264" s="106"/>
      <c r="P264" s="163"/>
      <c r="Q264" s="164"/>
      <c r="R264" s="163"/>
      <c r="S264" s="165"/>
      <c r="T264" s="144"/>
      <c r="U264" s="144"/>
      <c r="V264" s="144"/>
      <c r="W264" s="144"/>
      <c r="X264" s="144"/>
      <c r="Y264" s="144"/>
      <c r="Z264" s="144"/>
      <c r="AA264" s="144"/>
      <c r="AB264" s="144"/>
      <c r="AC264" s="166"/>
      <c r="AD264" s="166"/>
      <c r="AE264" s="144"/>
      <c r="AF264" s="144"/>
      <c r="AG264" s="144"/>
      <c r="AH264" s="144"/>
      <c r="AI264" s="144"/>
      <c r="AJ264" s="144"/>
      <c r="AK264" s="144"/>
      <c r="AL264" s="144"/>
      <c r="AM264" s="144"/>
      <c r="AN264" s="144"/>
      <c r="AO264" s="167"/>
      <c r="AP264" s="167"/>
      <c r="AQ264" s="167"/>
      <c r="AR264" s="167"/>
    </row>
    <row r="265">
      <c r="A265" s="50" t="str">
        <f>IF(UpdateHashtag!C263="",ROW(UpdateHashtag!C263),UpdateHashtag!C263)</f>
        <v>Gary Payton II</v>
      </c>
      <c r="B265" s="53">
        <f>IF(TYPE($A265)=1,"",(UpdateHashtag!M263-B$1)/B$2)</f>
        <v>-2.153489338</v>
      </c>
      <c r="C265" s="53">
        <f>IF(TYPE($A265)=1,"",(UpdateHashtag!L263-C$1)/C$2)</f>
        <v>-1.226177381</v>
      </c>
      <c r="D265" s="53">
        <f>IF(TYPE($A265)=1,"",(UpdateHashtag!N263-D$1)/D$2)</f>
        <v>-1.429477718</v>
      </c>
      <c r="E265" s="53">
        <f>IF(TYPE($A265)=1,"",(UpdateHashtag!O263-E$1)/E$2)</f>
        <v>-1.337014518</v>
      </c>
      <c r="F265" s="53">
        <f>IF(TYPE($A265)=1,"",(UpdateHashtag!P263-F$1)/F$2)</f>
        <v>-0.442420367</v>
      </c>
      <c r="G265" s="53">
        <f>IF(TYPE($A265)=1,"",(UpdateHashtag!Q263-G$1)/G$2)</f>
        <v>-0.7821407085</v>
      </c>
      <c r="H265" s="53">
        <f>IF(TYPE($A265)=1,"",(UpdateHashtag!I263-H$1)/H$2*I265/$I$1)</f>
        <v>8.307285665</v>
      </c>
      <c r="I265" s="53">
        <f>UpdateHashtag!S263</f>
        <v>3.6</v>
      </c>
      <c r="J265" s="58">
        <f>IF(TYPE($A265)=1,"",(UpdateHashtag!K263-J$1)/J$2*K265/$K$1)</f>
        <v>-0.7278316862</v>
      </c>
      <c r="K265" s="59">
        <f>UpdateHashtag!T263</f>
        <v>0.4</v>
      </c>
      <c r="L265" s="53">
        <f>IF(TYPE($A265)=1,"",-(UpdateHashtag!R263-L$1)/L$2)</f>
        <v>1.139395249</v>
      </c>
      <c r="O265" s="106"/>
      <c r="P265" s="163"/>
      <c r="Q265" s="164"/>
      <c r="R265" s="163"/>
      <c r="S265" s="165"/>
      <c r="T265" s="144"/>
      <c r="U265" s="144"/>
      <c r="V265" s="144"/>
      <c r="W265" s="144"/>
      <c r="X265" s="144"/>
      <c r="Y265" s="144"/>
      <c r="Z265" s="144"/>
      <c r="AA265" s="144"/>
      <c r="AB265" s="144"/>
      <c r="AC265" s="166"/>
      <c r="AD265" s="166"/>
      <c r="AE265" s="144"/>
      <c r="AF265" s="144"/>
      <c r="AG265" s="144"/>
      <c r="AH265" s="144"/>
      <c r="AI265" s="144"/>
      <c r="AJ265" s="144"/>
      <c r="AK265" s="144"/>
      <c r="AL265" s="144"/>
      <c r="AM265" s="144"/>
      <c r="AN265" s="144"/>
      <c r="AO265" s="167"/>
      <c r="AP265" s="167"/>
      <c r="AQ265" s="167"/>
      <c r="AR265" s="167"/>
    </row>
    <row r="266">
      <c r="A266" s="50" t="str">
        <f>IF(UpdateHashtag!C264="",ROW(UpdateHashtag!C264),UpdateHashtag!C264)</f>
        <v>Matas Buzelis</v>
      </c>
      <c r="B266" s="53">
        <f>IF(TYPE($A266)=1,"",(UpdateHashtag!M264-B$1)/B$2)</f>
        <v>-1.714882808</v>
      </c>
      <c r="C266" s="53">
        <f>IF(TYPE($A266)=1,"",(UpdateHashtag!L264-C$1)/C$2)</f>
        <v>-1.226177381</v>
      </c>
      <c r="D266" s="53">
        <f>IF(TYPE($A266)=1,"",(UpdateHashtag!N264-D$1)/D$2)</f>
        <v>-0.9025180299</v>
      </c>
      <c r="E266" s="53">
        <f>IF(TYPE($A266)=1,"",(UpdateHashtag!O264-E$1)/E$2)</f>
        <v>-1.337014518</v>
      </c>
      <c r="F266" s="53">
        <f>IF(TYPE($A266)=1,"",(UpdateHashtag!P264-F$1)/F$2)</f>
        <v>-1.661312382</v>
      </c>
      <c r="G266" s="53">
        <f>IF(TYPE($A266)=1,"",(UpdateHashtag!Q264-G$1)/G$2)</f>
        <v>0.854052294</v>
      </c>
      <c r="H266" s="53">
        <f>IF(TYPE($A266)=1,"",(UpdateHashtag!I264-H$1)/H$2*I266/$I$1)</f>
        <v>-9.842293702</v>
      </c>
      <c r="I266" s="53">
        <f>UpdateHashtag!S264</f>
        <v>6.8</v>
      </c>
      <c r="J266" s="58">
        <f>IF(TYPE($A266)=1,"",(UpdateHashtag!K264-J$1)/J$2*K266/$K$1)</f>
        <v>-2.106897919</v>
      </c>
      <c r="K266" s="59">
        <f>UpdateHashtag!T264</f>
        <v>1.2</v>
      </c>
      <c r="L266" s="53">
        <f>IF(TYPE($A266)=1,"",-(UpdateHashtag!R264-L$1)/L$2)</f>
        <v>0.4450452712</v>
      </c>
      <c r="N266" s="106"/>
      <c r="O266" s="106"/>
      <c r="P266" s="163"/>
      <c r="Q266" s="164"/>
      <c r="R266" s="163"/>
      <c r="S266" s="165"/>
      <c r="T266" s="144"/>
      <c r="U266" s="144"/>
      <c r="V266" s="144"/>
      <c r="W266" s="144"/>
      <c r="X266" s="144"/>
      <c r="Y266" s="144"/>
      <c r="Z266" s="144"/>
      <c r="AA266" s="144"/>
      <c r="AB266" s="144"/>
      <c r="AC266" s="166"/>
      <c r="AD266" s="166"/>
      <c r="AE266" s="144"/>
      <c r="AF266" s="144"/>
      <c r="AG266" s="144"/>
      <c r="AH266" s="144"/>
      <c r="AI266" s="144"/>
      <c r="AJ266" s="144"/>
      <c r="AK266" s="144"/>
      <c r="AL266" s="144"/>
      <c r="AM266" s="144"/>
      <c r="AN266" s="144"/>
      <c r="AO266" s="167"/>
      <c r="AP266" s="167"/>
      <c r="AQ266" s="167"/>
      <c r="AR266" s="167"/>
    </row>
    <row r="267">
      <c r="A267" s="50" t="str">
        <f>IF(UpdateHashtag!C265="",ROW(UpdateHashtag!C265),UpdateHashtag!C265)</f>
        <v>Jonathan Mogbo</v>
      </c>
      <c r="B267" s="53">
        <f>IF(TYPE($A267)=1,"",(UpdateHashtag!M265-B$1)/B$2)</f>
        <v>-2.013135248</v>
      </c>
      <c r="C267" s="53">
        <f>IF(TYPE($A267)=1,"",(UpdateHashtag!L265-C$1)/C$2)</f>
        <v>-1.709094101</v>
      </c>
      <c r="D267" s="53">
        <f>IF(TYPE($A267)=1,"",(UpdateHashtag!N265-D$1)/D$2)</f>
        <v>-0.8214473087</v>
      </c>
      <c r="E267" s="53">
        <f>IF(TYPE($A267)=1,"",(UpdateHashtag!O265-E$1)/E$2)</f>
        <v>-1.141608719</v>
      </c>
      <c r="F267" s="53">
        <f>IF(TYPE($A267)=1,"",(UpdateHashtag!P265-F$1)/F$2)</f>
        <v>-1.356589379</v>
      </c>
      <c r="G267" s="53">
        <f>IF(TYPE($A267)=1,"",(UpdateHashtag!Q265-G$1)/G$2)</f>
        <v>-0.7821407085</v>
      </c>
      <c r="H267" s="53">
        <f>IF(TYPE($A267)=1,"",(UpdateHashtag!I265-H$1)/H$2*I267/$I$1)</f>
        <v>15.96033058</v>
      </c>
      <c r="I267" s="53">
        <f>UpdateHashtag!S265</f>
        <v>3.8</v>
      </c>
      <c r="J267" s="58">
        <f>IF(TYPE($A267)=1,"",(UpdateHashtag!K265-J$1)/J$2*K267/$K$1)</f>
        <v>-1.743061505</v>
      </c>
      <c r="K267" s="59">
        <f>UpdateHashtag!T265</f>
        <v>1.2</v>
      </c>
      <c r="L267" s="53">
        <f>IF(TYPE($A267)=1,"",-(UpdateHashtag!R265-L$1)/L$2)</f>
        <v>1.040202395</v>
      </c>
      <c r="N267" s="106"/>
      <c r="O267" s="106"/>
      <c r="P267" s="163"/>
      <c r="Q267" s="164"/>
      <c r="R267" s="163"/>
      <c r="S267" s="165"/>
      <c r="T267" s="144"/>
      <c r="U267" s="144"/>
      <c r="V267" s="144"/>
      <c r="W267" s="144"/>
      <c r="X267" s="144"/>
      <c r="Y267" s="144"/>
      <c r="Z267" s="144"/>
      <c r="AA267" s="144"/>
      <c r="AB267" s="144"/>
      <c r="AC267" s="166"/>
      <c r="AD267" s="166"/>
      <c r="AE267" s="144"/>
      <c r="AF267" s="144"/>
      <c r="AG267" s="144"/>
      <c r="AH267" s="144"/>
      <c r="AI267" s="144"/>
      <c r="AJ267" s="144"/>
      <c r="AK267" s="144"/>
      <c r="AL267" s="144"/>
      <c r="AM267" s="144"/>
      <c r="AN267" s="144"/>
      <c r="AO267" s="167"/>
      <c r="AP267" s="167"/>
      <c r="AQ267" s="167"/>
      <c r="AR267" s="167"/>
    </row>
    <row r="268">
      <c r="A268" s="50" t="str">
        <f>IF(UpdateHashtag!C266="",ROW(UpdateHashtag!C266),UpdateHashtag!C266)</f>
        <v>Moses Moody</v>
      </c>
      <c r="B268" s="53">
        <f>IF(TYPE($A268)=1,"",(UpdateHashtag!M266-B$1)/B$2)</f>
        <v>-1.521895935</v>
      </c>
      <c r="C268" s="53">
        <f>IF(TYPE($A268)=1,"",(UpdateHashtag!L266-C$1)/C$2)</f>
        <v>-0.5500939728</v>
      </c>
      <c r="D268" s="53">
        <f>IF(TYPE($A268)=1,"",(UpdateHashtag!N266-D$1)/D$2)</f>
        <v>-1.226800915</v>
      </c>
      <c r="E268" s="53">
        <f>IF(TYPE($A268)=1,"",(UpdateHashtag!O266-E$1)/E$2)</f>
        <v>-1.337014518</v>
      </c>
      <c r="F268" s="53">
        <f>IF(TYPE($A268)=1,"",(UpdateHashtag!P266-F$1)/F$2)</f>
        <v>-1.356589379</v>
      </c>
      <c r="G268" s="53">
        <f>IF(TYPE($A268)=1,"",(UpdateHashtag!Q266-G$1)/G$2)</f>
        <v>-0.7821407085</v>
      </c>
      <c r="H268" s="53">
        <f>IF(TYPE($A268)=1,"",(UpdateHashtag!I266-H$1)/H$2*I268/$I$1)</f>
        <v>-5.78582307</v>
      </c>
      <c r="I268" s="53">
        <f>UpdateHashtag!S266</f>
        <v>6.6</v>
      </c>
      <c r="J268" s="58">
        <f>IF(TYPE($A268)=1,"",(UpdateHashtag!K266-J$1)/J$2*K268/$K$1)</f>
        <v>-0.7426305115</v>
      </c>
      <c r="K268" s="59">
        <f>UpdateHashtag!T266</f>
        <v>1.5</v>
      </c>
      <c r="L268" s="53">
        <f>IF(TYPE($A268)=1,"",-(UpdateHashtag!R266-L$1)/L$2)</f>
        <v>0.9410095407</v>
      </c>
      <c r="O268" s="106"/>
      <c r="P268" s="163"/>
      <c r="Q268" s="164"/>
      <c r="R268" s="163"/>
      <c r="S268" s="165"/>
      <c r="T268" s="144"/>
      <c r="U268" s="144"/>
      <c r="V268" s="144"/>
      <c r="W268" s="144"/>
      <c r="X268" s="144"/>
      <c r="Y268" s="144"/>
      <c r="Z268" s="144"/>
      <c r="AA268" s="144"/>
      <c r="AB268" s="144"/>
      <c r="AC268" s="166"/>
      <c r="AD268" s="166"/>
      <c r="AE268" s="144"/>
      <c r="AF268" s="144"/>
      <c r="AG268" s="144"/>
      <c r="AH268" s="144"/>
      <c r="AI268" s="144"/>
      <c r="AJ268" s="144"/>
      <c r="AK268" s="144"/>
      <c r="AL268" s="144"/>
      <c r="AM268" s="144"/>
      <c r="AN268" s="144"/>
      <c r="AO268" s="167"/>
      <c r="AP268" s="167"/>
      <c r="AQ268" s="167"/>
      <c r="AR268" s="167"/>
    </row>
    <row r="269">
      <c r="A269" s="50" t="str">
        <f>IF(UpdateHashtag!C267="",ROW(UpdateHashtag!C267),UpdateHashtag!C267)</f>
        <v>Killian Hayes</v>
      </c>
      <c r="B269" s="53">
        <f>IF(TYPE($A269)=1,"",(UpdateHashtag!M267-B$1)/B$2)</f>
        <v>-1.785059853</v>
      </c>
      <c r="C269" s="53">
        <f>IF(TYPE($A269)=1,"",(UpdateHashtag!L267-C$1)/C$2)</f>
        <v>-1.033010693</v>
      </c>
      <c r="D269" s="53">
        <f>IF(TYPE($A269)=1,"",(UpdateHashtag!N267-D$1)/D$2)</f>
        <v>-1.591619161</v>
      </c>
      <c r="E269" s="53">
        <f>IF(TYPE($A269)=1,"",(UpdateHashtag!O267-E$1)/E$2)</f>
        <v>0.2750833221</v>
      </c>
      <c r="F269" s="53">
        <f>IF(TYPE($A269)=1,"",(UpdateHashtag!P267-F$1)/F$2)</f>
        <v>-0.442420367</v>
      </c>
      <c r="G269" s="53">
        <f>IF(TYPE($A269)=1,"",(UpdateHashtag!Q267-G$1)/G$2)</f>
        <v>-0.7821407085</v>
      </c>
      <c r="H269" s="53">
        <f>IF(TYPE($A269)=1,"",(UpdateHashtag!I267-H$1)/H$2*I269/$I$1)</f>
        <v>-23.8310206</v>
      </c>
      <c r="I269" s="53">
        <f>UpdateHashtag!S267</f>
        <v>7.2</v>
      </c>
      <c r="J269" s="58">
        <f>IF(TYPE($A269)=1,"",(UpdateHashtag!K267-J$1)/J$2*K269/$K$1)</f>
        <v>-0.4217211301</v>
      </c>
      <c r="K269" s="59">
        <f>UpdateHashtag!T267</f>
        <v>1.1</v>
      </c>
      <c r="L269" s="53">
        <f>IF(TYPE($A269)=1,"",-(UpdateHashtag!R267-L$1)/L$2)</f>
        <v>0.2466595634</v>
      </c>
      <c r="O269" s="106"/>
      <c r="P269" s="163"/>
      <c r="Q269" s="164"/>
      <c r="R269" s="163"/>
      <c r="S269" s="165"/>
      <c r="T269" s="144"/>
      <c r="U269" s="144"/>
      <c r="V269" s="144"/>
      <c r="W269" s="144"/>
      <c r="X269" s="144"/>
      <c r="Y269" s="144"/>
      <c r="Z269" s="144"/>
      <c r="AA269" s="144"/>
      <c r="AB269" s="144"/>
      <c r="AC269" s="166"/>
      <c r="AD269" s="166"/>
      <c r="AE269" s="144"/>
      <c r="AF269" s="144"/>
      <c r="AG269" s="144"/>
      <c r="AH269" s="144"/>
      <c r="AI269" s="144"/>
      <c r="AJ269" s="144"/>
      <c r="AK269" s="144"/>
      <c r="AL269" s="144"/>
      <c r="AM269" s="144"/>
      <c r="AN269" s="144"/>
      <c r="AO269" s="167"/>
      <c r="AP269" s="167"/>
      <c r="AQ269" s="167"/>
      <c r="AR269" s="167"/>
    </row>
    <row r="270">
      <c r="A270" s="50" t="str">
        <f>IF(UpdateHashtag!C268="",ROW(UpdateHashtag!C268),UpdateHashtag!C268)</f>
        <v>Quentin Grimes</v>
      </c>
      <c r="B270" s="53">
        <f>IF(TYPE($A270)=1,"",(UpdateHashtag!M268-B$1)/B$2)</f>
        <v>-1.574528719</v>
      </c>
      <c r="C270" s="53">
        <f>IF(TYPE($A270)=1,"",(UpdateHashtag!L268-C$1)/C$2)</f>
        <v>-0.06717725286</v>
      </c>
      <c r="D270" s="53">
        <f>IF(TYPE($A270)=1,"",(UpdateHashtag!N268-D$1)/D$2)</f>
        <v>-1.5510838</v>
      </c>
      <c r="E270" s="53">
        <f>IF(TYPE($A270)=1,"",(UpdateHashtag!O268-E$1)/E$2)</f>
        <v>-1.141608719</v>
      </c>
      <c r="F270" s="53">
        <f>IF(TYPE($A270)=1,"",(UpdateHashtag!P268-F$1)/F$2)</f>
        <v>-1.356589379</v>
      </c>
      <c r="G270" s="53">
        <f>IF(TYPE($A270)=1,"",(UpdateHashtag!Q268-G$1)/G$2)</f>
        <v>-0.963939931</v>
      </c>
      <c r="H270" s="53">
        <f>IF(TYPE($A270)=1,"",(UpdateHashtag!I268-H$1)/H$2*I270/$I$1)</f>
        <v>-11.93196694</v>
      </c>
      <c r="I270" s="53">
        <f>UpdateHashtag!S268</f>
        <v>6.6</v>
      </c>
      <c r="J270" s="58">
        <f>IF(TYPE($A270)=1,"",(UpdateHashtag!K268-J$1)/J$2*K270/$K$1)</f>
        <v>0.06343380291</v>
      </c>
      <c r="K270" s="59">
        <f>UpdateHashtag!T268</f>
        <v>1</v>
      </c>
      <c r="L270" s="53">
        <f>IF(TYPE($A270)=1,"",-(UpdateHashtag!R268-L$1)/L$2)</f>
        <v>1.040202395</v>
      </c>
      <c r="N270" s="106"/>
      <c r="O270" s="106"/>
      <c r="P270" s="163"/>
      <c r="Q270" s="164"/>
      <c r="R270" s="163"/>
      <c r="S270" s="165"/>
      <c r="T270" s="144"/>
      <c r="U270" s="144"/>
      <c r="V270" s="144"/>
      <c r="W270" s="144"/>
      <c r="X270" s="144"/>
      <c r="Y270" s="144"/>
      <c r="Z270" s="144"/>
      <c r="AA270" s="144"/>
      <c r="AB270" s="144"/>
      <c r="AC270" s="166"/>
      <c r="AD270" s="166"/>
      <c r="AE270" s="144"/>
      <c r="AF270" s="144"/>
      <c r="AG270" s="144"/>
      <c r="AH270" s="144"/>
      <c r="AI270" s="144"/>
      <c r="AJ270" s="144"/>
      <c r="AK270" s="144"/>
      <c r="AL270" s="144"/>
      <c r="AM270" s="144"/>
      <c r="AN270" s="144"/>
      <c r="AO270" s="167"/>
      <c r="AP270" s="167"/>
      <c r="AQ270" s="167"/>
      <c r="AR270" s="167"/>
    </row>
    <row r="271">
      <c r="A271" s="50" t="str">
        <f>IF(UpdateHashtag!C269="",ROW(UpdateHashtag!C269),UpdateHashtag!C269)</f>
        <v>Torrey Craig</v>
      </c>
      <c r="B271" s="53">
        <f>IF(TYPE($A271)=1,"",(UpdateHashtag!M269-B$1)/B$2)</f>
        <v>-2.013135248</v>
      </c>
      <c r="C271" s="53">
        <f>IF(TYPE($A271)=1,"",(UpdateHashtag!L269-C$1)/C$2)</f>
        <v>-0.7432606607</v>
      </c>
      <c r="D271" s="53">
        <f>IF(TYPE($A271)=1,"",(UpdateHashtag!N269-D$1)/D$2)</f>
        <v>-0.8214473087</v>
      </c>
      <c r="E271" s="53">
        <f>IF(TYPE($A271)=1,"",(UpdateHashtag!O269-E$1)/E$2)</f>
        <v>-1.337014518</v>
      </c>
      <c r="F271" s="53">
        <f>IF(TYPE($A271)=1,"",(UpdateHashtag!P269-F$1)/F$2)</f>
        <v>-1.661312382</v>
      </c>
      <c r="G271" s="53">
        <f>IF(TYPE($A271)=1,"",(UpdateHashtag!Q269-G$1)/G$2)</f>
        <v>-0.4185422635</v>
      </c>
      <c r="H271" s="53">
        <f>IF(TYPE($A271)=1,"",(UpdateHashtag!I269-H$1)/H$2*I271/$I$1)</f>
        <v>-6.947501437</v>
      </c>
      <c r="I271" s="53">
        <f>UpdateHashtag!S269</f>
        <v>4.8</v>
      </c>
      <c r="J271" s="58">
        <f>IF(TYPE($A271)=1,"",(UpdateHashtag!K269-J$1)/J$2*K271/$K$1)</f>
        <v>-0.4549940906</v>
      </c>
      <c r="K271" s="59">
        <f>UpdateHashtag!T269</f>
        <v>0.5</v>
      </c>
      <c r="L271" s="53">
        <f>IF(TYPE($A271)=1,"",-(UpdateHashtag!R269-L$1)/L$2)</f>
        <v>1.040202395</v>
      </c>
      <c r="N271" s="106"/>
      <c r="O271" s="106"/>
      <c r="P271" s="163"/>
      <c r="Q271" s="164"/>
      <c r="R271" s="163"/>
      <c r="S271" s="165"/>
      <c r="T271" s="144"/>
      <c r="U271" s="144"/>
      <c r="V271" s="144"/>
      <c r="W271" s="144"/>
      <c r="X271" s="144"/>
      <c r="Y271" s="144"/>
      <c r="Z271" s="144"/>
      <c r="AA271" s="144"/>
      <c r="AB271" s="144"/>
      <c r="AC271" s="166"/>
      <c r="AD271" s="166"/>
      <c r="AE271" s="144"/>
      <c r="AF271" s="144"/>
      <c r="AG271" s="144"/>
      <c r="AH271" s="144"/>
      <c r="AI271" s="144"/>
      <c r="AJ271" s="144"/>
      <c r="AK271" s="144"/>
      <c r="AL271" s="144"/>
      <c r="AM271" s="144"/>
      <c r="AN271" s="144"/>
      <c r="AO271" s="167"/>
      <c r="AP271" s="167"/>
      <c r="AQ271" s="167"/>
      <c r="AR271" s="167"/>
    </row>
    <row r="272">
      <c r="A272" s="50" t="str">
        <f>IF(UpdateHashtag!C270="",ROW(UpdateHashtag!C270),UpdateHashtag!C270)</f>
        <v>Gabe Vincent</v>
      </c>
      <c r="B272" s="53">
        <f>IF(TYPE($A272)=1,"",(UpdateHashtag!M270-B$1)/B$2)</f>
        <v>-1.539440196</v>
      </c>
      <c r="C272" s="53">
        <f>IF(TYPE($A272)=1,"",(UpdateHashtag!L270-C$1)/C$2)</f>
        <v>-0.2603439408</v>
      </c>
      <c r="D272" s="53">
        <f>IF(TYPE($A272)=1,"",(UpdateHashtag!N270-D$1)/D$2)</f>
        <v>-1.713225242</v>
      </c>
      <c r="E272" s="53">
        <f>IF(TYPE($A272)=1,"",(UpdateHashtag!O270-E$1)/E$2)</f>
        <v>-0.7507971218</v>
      </c>
      <c r="F272" s="53">
        <f>IF(TYPE($A272)=1,"",(UpdateHashtag!P270-F$1)/F$2)</f>
        <v>-0.442420367</v>
      </c>
      <c r="G272" s="53">
        <f>IF(TYPE($A272)=1,"",(UpdateHashtag!Q270-G$1)/G$2)</f>
        <v>-1.145739154</v>
      </c>
      <c r="H272" s="53">
        <f>IF(TYPE($A272)=1,"",(UpdateHashtag!I270-H$1)/H$2*I272/$I$1)</f>
        <v>-23.17288769</v>
      </c>
      <c r="I272" s="53">
        <f>UpdateHashtag!S270</f>
        <v>7.7</v>
      </c>
      <c r="J272" s="58">
        <f>IF(TYPE($A272)=1,"",(UpdateHashtag!K270-J$1)/J$2*K272/$K$1)</f>
        <v>1.148559949</v>
      </c>
      <c r="K272" s="59">
        <f>UpdateHashtag!T270</f>
        <v>1</v>
      </c>
      <c r="L272" s="53">
        <f>IF(TYPE($A272)=1,"",-(UpdateHashtag!R270-L$1)/L$2)</f>
        <v>0.5442381251</v>
      </c>
      <c r="O272" s="106"/>
      <c r="P272" s="163"/>
      <c r="Q272" s="164"/>
      <c r="R272" s="163"/>
      <c r="S272" s="165"/>
      <c r="T272" s="144"/>
      <c r="U272" s="144"/>
      <c r="V272" s="144"/>
      <c r="W272" s="144"/>
      <c r="X272" s="144"/>
      <c r="Y272" s="144"/>
      <c r="Z272" s="144"/>
      <c r="AA272" s="144"/>
      <c r="AB272" s="144"/>
      <c r="AC272" s="166"/>
      <c r="AD272" s="166"/>
      <c r="AE272" s="144"/>
      <c r="AF272" s="144"/>
      <c r="AG272" s="144"/>
      <c r="AH272" s="144"/>
      <c r="AI272" s="144"/>
      <c r="AJ272" s="144"/>
      <c r="AK272" s="144"/>
      <c r="AL272" s="144"/>
      <c r="AM272" s="144"/>
      <c r="AN272" s="144"/>
      <c r="AO272" s="167"/>
      <c r="AP272" s="167"/>
      <c r="AQ272" s="167"/>
      <c r="AR272" s="167"/>
    </row>
    <row r="273">
      <c r="A273" s="50" t="str">
        <f>IF(UpdateHashtag!C271="",ROW(UpdateHashtag!C271),UpdateHashtag!C271)</f>
        <v>Julian Champagnie</v>
      </c>
      <c r="B273" s="53">
        <f>IF(TYPE($A273)=1,"",(UpdateHashtag!M271-B$1)/B$2)</f>
        <v>-1.820148375</v>
      </c>
      <c r="C273" s="53">
        <f>IF(TYPE($A273)=1,"",(UpdateHashtag!L271-C$1)/C$2)</f>
        <v>-0.3569272848</v>
      </c>
      <c r="D273" s="53">
        <f>IF(TYPE($A273)=1,"",(UpdateHashtag!N271-D$1)/D$2)</f>
        <v>-1.388942357</v>
      </c>
      <c r="E273" s="53">
        <f>IF(TYPE($A273)=1,"",(UpdateHashtag!O271-E$1)/E$2)</f>
        <v>-1.288163069</v>
      </c>
      <c r="F273" s="53">
        <f>IF(TYPE($A273)=1,"",(UpdateHashtag!P271-F$1)/F$2)</f>
        <v>-1.356589379</v>
      </c>
      <c r="G273" s="53">
        <f>IF(TYPE($A273)=1,"",(UpdateHashtag!Q271-G$1)/G$2)</f>
        <v>-0.4185422635</v>
      </c>
      <c r="H273" s="53">
        <f>IF(TYPE($A273)=1,"",(UpdateHashtag!I271-H$1)/H$2*I273/$I$1)</f>
        <v>-12.19574252</v>
      </c>
      <c r="I273" s="53">
        <f>UpdateHashtag!S271</f>
        <v>5.4</v>
      </c>
      <c r="J273" s="58">
        <f>IF(TYPE($A273)=1,"",(UpdateHashtag!K271-J$1)/J$2*K273/$K$1)</f>
        <v>0.4032938958</v>
      </c>
      <c r="K273" s="59">
        <f>UpdateHashtag!T271</f>
        <v>1.1</v>
      </c>
      <c r="L273" s="53">
        <f>IF(TYPE($A273)=1,"",-(UpdateHashtag!R271-L$1)/L$2)</f>
        <v>1.040202395</v>
      </c>
      <c r="O273" s="106"/>
      <c r="P273" s="163"/>
      <c r="Q273" s="164"/>
      <c r="R273" s="163"/>
      <c r="S273" s="165"/>
      <c r="T273" s="144"/>
      <c r="U273" s="144"/>
      <c r="V273" s="144"/>
      <c r="W273" s="144"/>
      <c r="X273" s="144"/>
      <c r="Y273" s="144"/>
      <c r="Z273" s="144"/>
      <c r="AA273" s="144"/>
      <c r="AB273" s="144"/>
      <c r="AC273" s="166"/>
      <c r="AD273" s="166"/>
      <c r="AE273" s="144"/>
      <c r="AF273" s="144"/>
      <c r="AG273" s="144"/>
      <c r="AH273" s="144"/>
      <c r="AI273" s="144"/>
      <c r="AJ273" s="144"/>
      <c r="AK273" s="144"/>
      <c r="AL273" s="144"/>
      <c r="AM273" s="144"/>
      <c r="AN273" s="144"/>
      <c r="AO273" s="167"/>
      <c r="AP273" s="167"/>
      <c r="AQ273" s="167"/>
      <c r="AR273" s="167"/>
    </row>
    <row r="274">
      <c r="A274" s="50" t="str">
        <f>IF(UpdateHashtag!C272="",ROW(UpdateHashtag!C272),UpdateHashtag!C272)</f>
        <v>Drew Eubanks</v>
      </c>
      <c r="B274" s="53">
        <f>IF(TYPE($A274)=1,"",(UpdateHashtag!M272-B$1)/B$2)</f>
        <v>-2.171033599</v>
      </c>
      <c r="C274" s="53">
        <f>IF(TYPE($A274)=1,"",(UpdateHashtag!L272-C$1)/C$2)</f>
        <v>-1.612510757</v>
      </c>
      <c r="D274" s="53">
        <f>IF(TYPE($A274)=1,"",(UpdateHashtag!N272-D$1)/D$2)</f>
        <v>-0.8619826693</v>
      </c>
      <c r="E274" s="53">
        <f>IF(TYPE($A274)=1,"",(UpdateHashtag!O272-E$1)/E$2)</f>
        <v>-1.434717418</v>
      </c>
      <c r="F274" s="53">
        <f>IF(TYPE($A274)=1,"",(UpdateHashtag!P272-F$1)/F$2)</f>
        <v>-1.966035386</v>
      </c>
      <c r="G274" s="53">
        <f>IF(TYPE($A274)=1,"",(UpdateHashtag!Q272-G$1)/G$2)</f>
        <v>0.3086546265</v>
      </c>
      <c r="H274" s="53">
        <f>IF(TYPE($A274)=1,"",(UpdateHashtag!I272-H$1)/H$2*I274/$I$1)</f>
        <v>12.19062254</v>
      </c>
      <c r="I274" s="53">
        <f>UpdateHashtag!S272</f>
        <v>3.2</v>
      </c>
      <c r="J274" s="58">
        <f>IF(TYPE($A274)=1,"",(UpdateHashtag!K272-J$1)/J$2*K274/$K$1)</f>
        <v>-1.513270086</v>
      </c>
      <c r="K274" s="59">
        <f>UpdateHashtag!T272</f>
        <v>1.2</v>
      </c>
      <c r="L274" s="53">
        <f>IF(TYPE($A274)=1,"",-(UpdateHashtag!R272-L$1)/L$2)</f>
        <v>1.040202395</v>
      </c>
      <c r="N274" s="106"/>
      <c r="O274" s="106"/>
      <c r="P274" s="163"/>
      <c r="Q274" s="164"/>
      <c r="R274" s="163"/>
      <c r="S274" s="165"/>
      <c r="T274" s="144"/>
      <c r="U274" s="144"/>
      <c r="V274" s="144"/>
      <c r="W274" s="144"/>
      <c r="X274" s="144"/>
      <c r="Y274" s="144"/>
      <c r="Z274" s="144"/>
      <c r="AA274" s="144"/>
      <c r="AB274" s="144"/>
      <c r="AC274" s="166"/>
      <c r="AD274" s="166"/>
      <c r="AE274" s="144"/>
      <c r="AF274" s="144"/>
      <c r="AG274" s="144"/>
      <c r="AH274" s="144"/>
      <c r="AI274" s="144"/>
      <c r="AJ274" s="144"/>
      <c r="AK274" s="144"/>
      <c r="AL274" s="144"/>
      <c r="AM274" s="144"/>
      <c r="AN274" s="144"/>
      <c r="AO274" s="167"/>
      <c r="AP274" s="167"/>
      <c r="AQ274" s="167"/>
      <c r="AR274" s="167"/>
    </row>
    <row r="275">
      <c r="A275" s="50" t="str">
        <f>IF(UpdateHashtag!C273="",ROW(UpdateHashtag!C273),UpdateHashtag!C273)</f>
        <v>Pat Connaughton</v>
      </c>
      <c r="B275" s="53">
        <f>IF(TYPE($A275)=1,"",(UpdateHashtag!M273-B$1)/B$2)</f>
        <v>-1.837692637</v>
      </c>
      <c r="C275" s="53">
        <f>IF(TYPE($A275)=1,"",(UpdateHashtag!L273-C$1)/C$2)</f>
        <v>-0.4535106288</v>
      </c>
      <c r="D275" s="53">
        <f>IF(TYPE($A275)=1,"",(UpdateHashtag!N273-D$1)/D$2)</f>
        <v>-0.8619826693</v>
      </c>
      <c r="E275" s="53">
        <f>IF(TYPE($A275)=1,"",(UpdateHashtag!O273-E$1)/E$2)</f>
        <v>-0.9950543703</v>
      </c>
      <c r="F275" s="53">
        <f>IF(TYPE($A275)=1,"",(UpdateHashtag!P273-F$1)/F$2)</f>
        <v>-1.356589379</v>
      </c>
      <c r="G275" s="53">
        <f>IF(TYPE($A275)=1,"",(UpdateHashtag!Q273-G$1)/G$2)</f>
        <v>-0.963939931</v>
      </c>
      <c r="H275" s="53">
        <f>IF(TYPE($A275)=1,"",(UpdateHashtag!I273-H$1)/H$2*I275/$I$1)</f>
        <v>-13.62182344</v>
      </c>
      <c r="I275" s="53">
        <f>UpdateHashtag!S273</f>
        <v>5.8</v>
      </c>
      <c r="J275" s="58">
        <f>IF(TYPE($A275)=1,"",(UpdateHashtag!K273-J$1)/J$2*K275/$K$1)</f>
        <v>-0.5364579809</v>
      </c>
      <c r="K275" s="59">
        <f>UpdateHashtag!T273</f>
        <v>0.7</v>
      </c>
      <c r="L275" s="53">
        <f>IF(TYPE($A275)=1,"",-(UpdateHashtag!R273-L$1)/L$2)</f>
        <v>1.139395249</v>
      </c>
      <c r="N275" s="106"/>
      <c r="O275" s="106"/>
      <c r="P275" s="163"/>
      <c r="Q275" s="164"/>
      <c r="R275" s="163"/>
      <c r="S275" s="165"/>
      <c r="T275" s="144"/>
      <c r="U275" s="144"/>
      <c r="V275" s="144"/>
      <c r="W275" s="144"/>
      <c r="X275" s="144"/>
      <c r="Y275" s="144"/>
      <c r="Z275" s="144"/>
      <c r="AA275" s="144"/>
      <c r="AB275" s="144"/>
      <c r="AC275" s="166"/>
      <c r="AD275" s="166"/>
      <c r="AE275" s="144"/>
      <c r="AF275" s="144"/>
      <c r="AG275" s="144"/>
      <c r="AH275" s="144"/>
      <c r="AI275" s="144"/>
      <c r="AJ275" s="144"/>
      <c r="AK275" s="144"/>
      <c r="AL275" s="144"/>
      <c r="AM275" s="144"/>
      <c r="AN275" s="144"/>
      <c r="AO275" s="167"/>
      <c r="AP275" s="167"/>
      <c r="AQ275" s="167"/>
      <c r="AR275" s="167"/>
    </row>
    <row r="276">
      <c r="A276" s="50" t="str">
        <f>IF(UpdateHashtag!C274="",ROW(UpdateHashtag!C274),UpdateHashtag!C274)</f>
        <v>Toumani Camara</v>
      </c>
      <c r="B276" s="53">
        <f>IF(TYPE($A276)=1,"",(UpdateHashtag!M274-B$1)/B$2)</f>
        <v>-1.925413943</v>
      </c>
      <c r="C276" s="53">
        <f>IF(TYPE($A276)=1,"",(UpdateHashtag!L274-C$1)/C$2)</f>
        <v>-1.033010693</v>
      </c>
      <c r="D276" s="53">
        <f>IF(TYPE($A276)=1,"",(UpdateHashtag!N274-D$1)/D$2)</f>
        <v>-0.8619826693</v>
      </c>
      <c r="E276" s="53">
        <f>IF(TYPE($A276)=1,"",(UpdateHashtag!O274-E$1)/E$2)</f>
        <v>-1.385865968</v>
      </c>
      <c r="F276" s="53">
        <f>IF(TYPE($A276)=1,"",(UpdateHashtag!P274-F$1)/F$2)</f>
        <v>-0.7471433709</v>
      </c>
      <c r="G276" s="53">
        <f>IF(TYPE($A276)=1,"",(UpdateHashtag!Q274-G$1)/G$2)</f>
        <v>-0.600341486</v>
      </c>
      <c r="H276" s="53">
        <f>IF(TYPE($A276)=1,"",(UpdateHashtag!I274-H$1)/H$2*I276/$I$1)</f>
        <v>-7.075314277</v>
      </c>
      <c r="I276" s="53">
        <f>UpdateHashtag!S274</f>
        <v>5.1</v>
      </c>
      <c r="J276" s="58">
        <f>IF(TYPE($A276)=1,"",(UpdateHashtag!K274-J$1)/J$2*K276/$K$1)</f>
        <v>-0.5558058393</v>
      </c>
      <c r="K276" s="59">
        <f>UpdateHashtag!T274</f>
        <v>1.2</v>
      </c>
      <c r="L276" s="53">
        <f>IF(TYPE($A276)=1,"",-(UpdateHashtag!R274-L$1)/L$2)</f>
        <v>0.7426238329</v>
      </c>
      <c r="O276" s="106"/>
      <c r="P276" s="163"/>
      <c r="Q276" s="164"/>
      <c r="R276" s="163"/>
      <c r="S276" s="165"/>
      <c r="T276" s="144"/>
      <c r="U276" s="144"/>
      <c r="V276" s="144"/>
      <c r="W276" s="144"/>
      <c r="X276" s="144"/>
      <c r="Y276" s="144"/>
      <c r="Z276" s="144"/>
      <c r="AA276" s="144"/>
      <c r="AB276" s="144"/>
      <c r="AC276" s="166"/>
      <c r="AD276" s="166"/>
      <c r="AE276" s="144"/>
      <c r="AF276" s="144"/>
      <c r="AG276" s="144"/>
      <c r="AH276" s="144"/>
      <c r="AI276" s="144"/>
      <c r="AJ276" s="144"/>
      <c r="AK276" s="144"/>
      <c r="AL276" s="144"/>
      <c r="AM276" s="144"/>
      <c r="AN276" s="144"/>
      <c r="AO276" s="167"/>
      <c r="AP276" s="167"/>
      <c r="AQ276" s="167"/>
      <c r="AR276" s="167"/>
    </row>
    <row r="277">
      <c r="A277" s="50" t="str">
        <f>IF(UpdateHashtag!C275="",ROW(UpdateHashtag!C275),UpdateHashtag!C275)</f>
        <v>Cody Martin</v>
      </c>
      <c r="B277" s="53">
        <f>IF(TYPE($A277)=1,"",(UpdateHashtag!M275-B$1)/B$2)</f>
        <v>-1.855236898</v>
      </c>
      <c r="C277" s="53">
        <f>IF(TYPE($A277)=1,"",(UpdateHashtag!L275-C$1)/C$2)</f>
        <v>-0.9364273487</v>
      </c>
      <c r="D277" s="53">
        <f>IF(TYPE($A277)=1,"",(UpdateHashtag!N275-D$1)/D$2)</f>
        <v>-1.024124112</v>
      </c>
      <c r="E277" s="53">
        <f>IF(TYPE($A277)=1,"",(UpdateHashtag!O275-E$1)/E$2)</f>
        <v>-0.3599855241</v>
      </c>
      <c r="F277" s="53">
        <f>IF(TYPE($A277)=1,"",(UpdateHashtag!P275-F$1)/F$2)</f>
        <v>-0.1376973632</v>
      </c>
      <c r="G277" s="53">
        <f>IF(TYPE($A277)=1,"",(UpdateHashtag!Q275-G$1)/G$2)</f>
        <v>-0.4185422635</v>
      </c>
      <c r="H277" s="53">
        <f>IF(TYPE($A277)=1,"",(UpdateHashtag!I275-H$1)/H$2*I277/$I$1)</f>
        <v>-22.57862199</v>
      </c>
      <c r="I277" s="53">
        <f>UpdateHashtag!S275</f>
        <v>6.7</v>
      </c>
      <c r="J277" s="58">
        <f>IF(TYPE($A277)=1,"",(UpdateHashtag!K275-J$1)/J$2*K277/$K$1)</f>
        <v>-3.335603987</v>
      </c>
      <c r="K277" s="59">
        <f>UpdateHashtag!T275</f>
        <v>1.1</v>
      </c>
      <c r="L277" s="53">
        <f>IF(TYPE($A277)=1,"",-(UpdateHashtag!R275-L$1)/L$2)</f>
        <v>0.5442381251</v>
      </c>
      <c r="O277" s="106"/>
      <c r="P277" s="163"/>
      <c r="Q277" s="164"/>
      <c r="R277" s="163"/>
      <c r="S277" s="165"/>
      <c r="T277" s="144"/>
      <c r="U277" s="144"/>
      <c r="V277" s="144"/>
      <c r="W277" s="144"/>
      <c r="X277" s="144"/>
      <c r="Y277" s="144"/>
      <c r="Z277" s="144"/>
      <c r="AA277" s="144"/>
      <c r="AB277" s="144"/>
      <c r="AC277" s="166"/>
      <c r="AD277" s="166"/>
      <c r="AE277" s="144"/>
      <c r="AF277" s="144"/>
      <c r="AG277" s="144"/>
      <c r="AH277" s="144"/>
      <c r="AI277" s="144"/>
      <c r="AJ277" s="144"/>
      <c r="AK277" s="144"/>
      <c r="AL277" s="144"/>
      <c r="AM277" s="144"/>
      <c r="AN277" s="144"/>
      <c r="AO277" s="167"/>
      <c r="AP277" s="167"/>
      <c r="AQ277" s="167"/>
      <c r="AR277" s="167"/>
    </row>
    <row r="278">
      <c r="A278" s="50" t="str">
        <f>IF(UpdateHashtag!C276="",ROW(UpdateHashtag!C276),UpdateHashtag!C276)</f>
        <v>Alec Burks</v>
      </c>
      <c r="B278" s="53">
        <f>IF(TYPE($A278)=1,"",(UpdateHashtag!M276-B$1)/B$2)</f>
        <v>-1.258732017</v>
      </c>
      <c r="C278" s="53">
        <f>IF(TYPE($A278)=1,"",(UpdateHashtag!L276-C$1)/C$2)</f>
        <v>-0.06717725286</v>
      </c>
      <c r="D278" s="53">
        <f>IF(TYPE($A278)=1,"",(UpdateHashtag!N276-D$1)/D$2)</f>
        <v>-1.5510838</v>
      </c>
      <c r="E278" s="53">
        <f>IF(TYPE($A278)=1,"",(UpdateHashtag!O276-E$1)/E$2)</f>
        <v>-1.141608719</v>
      </c>
      <c r="F278" s="53">
        <f>IF(TYPE($A278)=1,"",(UpdateHashtag!P276-F$1)/F$2)</f>
        <v>-1.661312382</v>
      </c>
      <c r="G278" s="53">
        <f>IF(TYPE($A278)=1,"",(UpdateHashtag!Q276-G$1)/G$2)</f>
        <v>-0.963939931</v>
      </c>
      <c r="H278" s="53">
        <f>IF(TYPE($A278)=1,"",(UpdateHashtag!I276-H$1)/H$2*I278/$I$1)</f>
        <v>-22.24766173</v>
      </c>
      <c r="I278" s="53">
        <f>UpdateHashtag!S276</f>
        <v>7.7</v>
      </c>
      <c r="J278" s="58">
        <f>IF(TYPE($A278)=1,"",(UpdateHashtag!K276-J$1)/J$2*K278/$K$1)</f>
        <v>2.197943638</v>
      </c>
      <c r="K278" s="59">
        <f>UpdateHashtag!T276</f>
        <v>2.6</v>
      </c>
      <c r="L278" s="53">
        <f>IF(TYPE($A278)=1,"",-(UpdateHashtag!R276-L$1)/L$2)</f>
        <v>0.9410095407</v>
      </c>
      <c r="N278" s="106"/>
      <c r="O278" s="106"/>
      <c r="P278" s="163"/>
      <c r="Q278" s="164"/>
      <c r="R278" s="163"/>
      <c r="S278" s="165"/>
      <c r="T278" s="144"/>
      <c r="U278" s="144"/>
      <c r="V278" s="144"/>
      <c r="W278" s="144"/>
      <c r="X278" s="144"/>
      <c r="Y278" s="144"/>
      <c r="Z278" s="144"/>
      <c r="AA278" s="144"/>
      <c r="AB278" s="144"/>
      <c r="AC278" s="166"/>
      <c r="AD278" s="166"/>
      <c r="AE278" s="144"/>
      <c r="AF278" s="144"/>
      <c r="AG278" s="144"/>
      <c r="AH278" s="144"/>
      <c r="AI278" s="144"/>
      <c r="AJ278" s="144"/>
      <c r="AK278" s="144"/>
      <c r="AL278" s="144"/>
      <c r="AM278" s="144"/>
      <c r="AN278" s="144"/>
      <c r="AO278" s="167"/>
      <c r="AP278" s="167"/>
      <c r="AQ278" s="167"/>
      <c r="AR278" s="167"/>
    </row>
    <row r="279">
      <c r="A279" s="50" t="str">
        <f>IF(UpdateHashtag!C277="",ROW(UpdateHashtag!C277),UpdateHashtag!C277)</f>
        <v>Dean Wade</v>
      </c>
      <c r="B279" s="53">
        <f>IF(TYPE($A279)=1,"",(UpdateHashtag!M277-B$1)/B$2)</f>
        <v>-2.153489338</v>
      </c>
      <c r="C279" s="53">
        <f>IF(TYPE($A279)=1,"",(UpdateHashtag!L277-C$1)/C$2)</f>
        <v>-0.5500939728</v>
      </c>
      <c r="D279" s="53">
        <f>IF(TYPE($A279)=1,"",(UpdateHashtag!N277-D$1)/D$2)</f>
        <v>-1.024124112</v>
      </c>
      <c r="E279" s="53">
        <f>IF(TYPE($A279)=1,"",(UpdateHashtag!O277-E$1)/E$2)</f>
        <v>-1.483568867</v>
      </c>
      <c r="F279" s="53">
        <f>IF(TYPE($A279)=1,"",(UpdateHashtag!P277-F$1)/F$2)</f>
        <v>-1.051866375</v>
      </c>
      <c r="G279" s="53">
        <f>IF(TYPE($A279)=1,"",(UpdateHashtag!Q277-G$1)/G$2)</f>
        <v>-0.4185422635</v>
      </c>
      <c r="H279" s="53">
        <f>IF(TYPE($A279)=1,"",(UpdateHashtag!I277-H$1)/H$2*I279/$I$1)</f>
        <v>-9.754838642</v>
      </c>
      <c r="I279" s="53">
        <f>UpdateHashtag!S277</f>
        <v>4</v>
      </c>
      <c r="J279" s="58">
        <f>IF(TYPE($A279)=1,"",(UpdateHashtag!K277-J$1)/J$2*K279/$K$1)</f>
        <v>-0.6385080712</v>
      </c>
      <c r="K279" s="59">
        <f>UpdateHashtag!T277</f>
        <v>0.5</v>
      </c>
      <c r="L279" s="53">
        <f>IF(TYPE($A279)=1,"",-(UpdateHashtag!R277-L$1)/L$2)</f>
        <v>1.337780956</v>
      </c>
      <c r="N279" s="106"/>
      <c r="O279" s="106"/>
      <c r="P279" s="163"/>
      <c r="Q279" s="164"/>
      <c r="R279" s="163"/>
      <c r="S279" s="165"/>
      <c r="T279" s="144"/>
      <c r="U279" s="144"/>
      <c r="V279" s="144"/>
      <c r="W279" s="144"/>
      <c r="X279" s="144"/>
      <c r="Y279" s="144"/>
      <c r="Z279" s="144"/>
      <c r="AA279" s="144"/>
      <c r="AB279" s="144"/>
      <c r="AC279" s="166"/>
      <c r="AD279" s="166"/>
      <c r="AE279" s="144"/>
      <c r="AF279" s="144"/>
      <c r="AG279" s="144"/>
      <c r="AH279" s="144"/>
      <c r="AI279" s="144"/>
      <c r="AJ279" s="144"/>
      <c r="AK279" s="144"/>
      <c r="AL279" s="144"/>
      <c r="AM279" s="144"/>
      <c r="AN279" s="144"/>
      <c r="AO279" s="167"/>
      <c r="AP279" s="167"/>
      <c r="AQ279" s="167"/>
      <c r="AR279" s="167"/>
    </row>
    <row r="280">
      <c r="A280" s="50" t="str">
        <f>IF(UpdateHashtag!C278="",ROW(UpdateHashtag!C278),UpdateHashtag!C278)</f>
        <v>Aaron Wiggins</v>
      </c>
      <c r="B280" s="53">
        <f>IF(TYPE($A280)=1,"",(UpdateHashtag!M278-B$1)/B$2)</f>
        <v>-1.872781159</v>
      </c>
      <c r="C280" s="53">
        <f>IF(TYPE($A280)=1,"",(UpdateHashtag!L278-C$1)/C$2)</f>
        <v>-1.033010693</v>
      </c>
      <c r="D280" s="53">
        <f>IF(TYPE($A280)=1,"",(UpdateHashtag!N278-D$1)/D$2)</f>
        <v>-1.470013079</v>
      </c>
      <c r="E280" s="53">
        <f>IF(TYPE($A280)=1,"",(UpdateHashtag!O278-E$1)/E$2)</f>
        <v>-1.337014518</v>
      </c>
      <c r="F280" s="53">
        <f>IF(TYPE($A280)=1,"",(UpdateHashtag!P278-F$1)/F$2)</f>
        <v>-1.356589379</v>
      </c>
      <c r="G280" s="53">
        <f>IF(TYPE($A280)=1,"",(UpdateHashtag!Q278-G$1)/G$2)</f>
        <v>-0.963939931</v>
      </c>
      <c r="H280" s="53">
        <f>IF(TYPE($A280)=1,"",(UpdateHashtag!I278-H$1)/H$2*I280/$I$1)</f>
        <v>6.045262293</v>
      </c>
      <c r="I280" s="53">
        <f>UpdateHashtag!S278</f>
        <v>4.7</v>
      </c>
      <c r="J280" s="58">
        <f>IF(TYPE($A280)=1,"",(UpdateHashtag!K278-J$1)/J$2*K280/$K$1)</f>
        <v>0.3299677329</v>
      </c>
      <c r="K280" s="59">
        <f>UpdateHashtag!T278</f>
        <v>0.9</v>
      </c>
      <c r="L280" s="53">
        <f>IF(TYPE($A280)=1,"",-(UpdateHashtag!R278-L$1)/L$2)</f>
        <v>1.040202395</v>
      </c>
      <c r="O280" s="106"/>
      <c r="P280" s="163"/>
      <c r="Q280" s="164"/>
      <c r="R280" s="163"/>
      <c r="S280" s="165"/>
      <c r="T280" s="144"/>
      <c r="U280" s="144"/>
      <c r="V280" s="144"/>
      <c r="W280" s="144"/>
      <c r="X280" s="144"/>
      <c r="Y280" s="144"/>
      <c r="Z280" s="144"/>
      <c r="AA280" s="144"/>
      <c r="AB280" s="144"/>
      <c r="AC280" s="166"/>
      <c r="AD280" s="166"/>
      <c r="AE280" s="144"/>
      <c r="AF280" s="144"/>
      <c r="AG280" s="144"/>
      <c r="AH280" s="144"/>
      <c r="AI280" s="144"/>
      <c r="AJ280" s="144"/>
      <c r="AK280" s="144"/>
      <c r="AL280" s="144"/>
      <c r="AM280" s="144"/>
      <c r="AN280" s="144"/>
      <c r="AO280" s="167"/>
      <c r="AP280" s="167"/>
      <c r="AQ280" s="167"/>
      <c r="AR280" s="167"/>
    </row>
    <row r="281">
      <c r="A281" s="50" t="str">
        <f>IF(UpdateHashtag!C279="",ROW(UpdateHashtag!C279),UpdateHashtag!C279)</f>
        <v>Shake Milton</v>
      </c>
      <c r="B281" s="53">
        <f>IF(TYPE($A281)=1,"",(UpdateHashtag!M279-B$1)/B$2)</f>
        <v>-1.59207298</v>
      </c>
      <c r="C281" s="53">
        <f>IF(TYPE($A281)=1,"",(UpdateHashtag!L279-C$1)/C$2)</f>
        <v>-1.033010693</v>
      </c>
      <c r="D281" s="53">
        <f>IF(TYPE($A281)=1,"",(UpdateHashtag!N279-D$1)/D$2)</f>
        <v>-1.470013079</v>
      </c>
      <c r="E281" s="53">
        <f>IF(TYPE($A281)=1,"",(UpdateHashtag!O279-E$1)/E$2)</f>
        <v>-0.4576884235</v>
      </c>
      <c r="F281" s="53">
        <f>IF(TYPE($A281)=1,"",(UpdateHashtag!P279-F$1)/F$2)</f>
        <v>-1.966035386</v>
      </c>
      <c r="G281" s="53">
        <f>IF(TYPE($A281)=1,"",(UpdateHashtag!Q279-G$1)/G$2)</f>
        <v>-0.963939931</v>
      </c>
      <c r="H281" s="53">
        <f>IF(TYPE($A281)=1,"",(UpdateHashtag!I279-H$1)/H$2*I281/$I$1)</f>
        <v>-7.684887229</v>
      </c>
      <c r="I281" s="53">
        <f>UpdateHashtag!S279</f>
        <v>6.7</v>
      </c>
      <c r="J281" s="58">
        <f>IF(TYPE($A281)=1,"",(UpdateHashtag!K279-J$1)/J$2*K281/$K$1)</f>
        <v>1.50577498</v>
      </c>
      <c r="K281" s="59">
        <f>UpdateHashtag!T279</f>
        <v>1.6</v>
      </c>
      <c r="L281" s="53">
        <f>IF(TYPE($A281)=1,"",-(UpdateHashtag!R279-L$1)/L$2)</f>
        <v>0.5442381251</v>
      </c>
      <c r="O281" s="106"/>
      <c r="P281" s="163"/>
      <c r="Q281" s="164"/>
      <c r="R281" s="163"/>
      <c r="S281" s="165"/>
      <c r="T281" s="144"/>
      <c r="U281" s="144"/>
      <c r="V281" s="144"/>
      <c r="W281" s="144"/>
      <c r="X281" s="144"/>
      <c r="Y281" s="144"/>
      <c r="Z281" s="144"/>
      <c r="AA281" s="144"/>
      <c r="AB281" s="144"/>
      <c r="AC281" s="166"/>
      <c r="AD281" s="166"/>
      <c r="AE281" s="144"/>
      <c r="AF281" s="144"/>
      <c r="AG281" s="144"/>
      <c r="AH281" s="144"/>
      <c r="AI281" s="144"/>
      <c r="AJ281" s="144"/>
      <c r="AK281" s="144"/>
      <c r="AL281" s="144"/>
      <c r="AM281" s="144"/>
      <c r="AN281" s="144"/>
      <c r="AO281" s="167"/>
      <c r="AP281" s="167"/>
      <c r="AQ281" s="167"/>
      <c r="AR281" s="167"/>
    </row>
    <row r="282">
      <c r="A282" s="50" t="str">
        <f>IF(UpdateHashtag!C280="",ROW(UpdateHashtag!C280),UpdateHashtag!C280)</f>
        <v>Kevin Love</v>
      </c>
      <c r="B282" s="53">
        <f>IF(TYPE($A282)=1,"",(UpdateHashtag!M280-B$1)/B$2)</f>
        <v>-1.749971331</v>
      </c>
      <c r="C282" s="53">
        <f>IF(TYPE($A282)=1,"",(UpdateHashtag!L280-C$1)/C$2)</f>
        <v>-0.4535106288</v>
      </c>
      <c r="D282" s="53">
        <f>IF(TYPE($A282)=1,"",(UpdateHashtag!N280-D$1)/D$2)</f>
        <v>-0.3350229811</v>
      </c>
      <c r="E282" s="53">
        <f>IF(TYPE($A282)=1,"",(UpdateHashtag!O280-E$1)/E$2)</f>
        <v>-1.04390582</v>
      </c>
      <c r="F282" s="53">
        <f>IF(TYPE($A282)=1,"",(UpdateHashtag!P280-F$1)/F$2)</f>
        <v>-2.27075839</v>
      </c>
      <c r="G282" s="53">
        <f>IF(TYPE($A282)=1,"",(UpdateHashtag!Q280-G$1)/G$2)</f>
        <v>-0.963939931</v>
      </c>
      <c r="H282" s="53">
        <f>IF(TYPE($A282)=1,"",(UpdateHashtag!I280-H$1)/H$2*I282/$I$1)</f>
        <v>-14.24309883</v>
      </c>
      <c r="I282" s="53">
        <f>UpdateHashtag!S280</f>
        <v>5.7</v>
      </c>
      <c r="J282" s="58">
        <f>IF(TYPE($A282)=1,"",(UpdateHashtag!K280-J$1)/J$2*K282/$K$1)</f>
        <v>0.8483956264</v>
      </c>
      <c r="K282" s="59">
        <f>UpdateHashtag!T280</f>
        <v>1.4</v>
      </c>
      <c r="L282" s="53">
        <f>IF(TYPE($A282)=1,"",-(UpdateHashtag!R280-L$1)/L$2)</f>
        <v>0.8418166868</v>
      </c>
      <c r="N282" s="106"/>
      <c r="O282" s="106"/>
      <c r="P282" s="163"/>
      <c r="Q282" s="164"/>
      <c r="R282" s="163"/>
      <c r="S282" s="165"/>
      <c r="T282" s="144"/>
      <c r="U282" s="144"/>
      <c r="V282" s="144"/>
      <c r="W282" s="144"/>
      <c r="X282" s="144"/>
      <c r="Y282" s="144"/>
      <c r="Z282" s="144"/>
      <c r="AA282" s="144"/>
      <c r="AB282" s="144"/>
      <c r="AC282" s="166"/>
      <c r="AD282" s="166"/>
      <c r="AE282" s="144"/>
      <c r="AF282" s="144"/>
      <c r="AG282" s="144"/>
      <c r="AH282" s="144"/>
      <c r="AI282" s="144"/>
      <c r="AJ282" s="144"/>
      <c r="AK282" s="144"/>
      <c r="AL282" s="144"/>
      <c r="AM282" s="144"/>
      <c r="AN282" s="144"/>
      <c r="AO282" s="167"/>
      <c r="AP282" s="167"/>
      <c r="AQ282" s="167"/>
      <c r="AR282" s="167"/>
    </row>
    <row r="283">
      <c r="A283" s="50" t="str">
        <f>IF(UpdateHashtag!C281="",ROW(UpdateHashtag!C281),UpdateHashtag!C281)</f>
        <v>Jarace Walker</v>
      </c>
      <c r="B283" s="53">
        <f>IF(TYPE($A283)=1,"",(UpdateHashtag!M281-B$1)/B$2)</f>
        <v>-2.118400816</v>
      </c>
      <c r="C283" s="53">
        <f>IF(TYPE($A283)=1,"",(UpdateHashtag!L281-C$1)/C$2)</f>
        <v>-0.8398440047</v>
      </c>
      <c r="D283" s="53">
        <f>IF(TYPE($A283)=1,"",(UpdateHashtag!N281-D$1)/D$2)</f>
        <v>-1.388942357</v>
      </c>
      <c r="E283" s="53">
        <f>IF(TYPE($A283)=1,"",(UpdateHashtag!O281-E$1)/E$2)</f>
        <v>-1.04390582</v>
      </c>
      <c r="F283" s="53">
        <f>IF(TYPE($A283)=1,"",(UpdateHashtag!P281-F$1)/F$2)</f>
        <v>-1.356589379</v>
      </c>
      <c r="G283" s="53">
        <f>IF(TYPE($A283)=1,"",(UpdateHashtag!Q281-G$1)/G$2)</f>
        <v>-0.4185422635</v>
      </c>
      <c r="H283" s="53">
        <f>IF(TYPE($A283)=1,"",(UpdateHashtag!I281-H$1)/H$2*I283/$I$1)</f>
        <v>-11.90897993</v>
      </c>
      <c r="I283" s="53">
        <f>UpdateHashtag!S281</f>
        <v>4.6</v>
      </c>
      <c r="J283" s="58">
        <f>IF(TYPE($A283)=1,"",(UpdateHashtag!K281-J$1)/J$2*K283/$K$1)</f>
        <v>0.6828323039</v>
      </c>
      <c r="K283" s="59">
        <f>UpdateHashtag!T281</f>
        <v>0.4</v>
      </c>
      <c r="L283" s="53">
        <f>IF(TYPE($A283)=1,"",-(UpdateHashtag!R281-L$1)/L$2)</f>
        <v>1.040202395</v>
      </c>
      <c r="N283" s="106"/>
      <c r="O283" s="106"/>
      <c r="P283" s="163"/>
      <c r="Q283" s="164"/>
      <c r="R283" s="163"/>
      <c r="S283" s="165"/>
      <c r="T283" s="144"/>
      <c r="U283" s="144"/>
      <c r="V283" s="144"/>
      <c r="W283" s="144"/>
      <c r="X283" s="144"/>
      <c r="Y283" s="144"/>
      <c r="Z283" s="144"/>
      <c r="AA283" s="144"/>
      <c r="AB283" s="144"/>
      <c r="AC283" s="166"/>
      <c r="AD283" s="166"/>
      <c r="AE283" s="144"/>
      <c r="AF283" s="144"/>
      <c r="AG283" s="144"/>
      <c r="AH283" s="144"/>
      <c r="AI283" s="144"/>
      <c r="AJ283" s="144"/>
      <c r="AK283" s="144"/>
      <c r="AL283" s="144"/>
      <c r="AM283" s="144"/>
      <c r="AN283" s="144"/>
      <c r="AO283" s="167"/>
      <c r="AP283" s="167"/>
      <c r="AQ283" s="167"/>
      <c r="AR283" s="167"/>
    </row>
    <row r="284">
      <c r="A284" s="50" t="str">
        <f>IF(UpdateHashtag!C282="",ROW(UpdateHashtag!C282),UpdateHashtag!C282)</f>
        <v>Kyshawn George</v>
      </c>
      <c r="B284" s="53">
        <f>IF(TYPE($A284)=1,"",(UpdateHashtag!M282-B$1)/B$2)</f>
        <v>-1.960502465</v>
      </c>
      <c r="C284" s="53">
        <f>IF(TYPE($A284)=1,"",(UpdateHashtag!L282-C$1)/C$2)</f>
        <v>-0.4535106288</v>
      </c>
      <c r="D284" s="53">
        <f>IF(TYPE($A284)=1,"",(UpdateHashtag!N282-D$1)/D$2)</f>
        <v>-1.510548439</v>
      </c>
      <c r="E284" s="53">
        <f>IF(TYPE($A284)=1,"",(UpdateHashtag!O282-E$1)/E$2)</f>
        <v>-1.04390582</v>
      </c>
      <c r="F284" s="53">
        <f>IF(TYPE($A284)=1,"",(UpdateHashtag!P282-F$1)/F$2)</f>
        <v>-1.051866375</v>
      </c>
      <c r="G284" s="53">
        <f>IF(TYPE($A284)=1,"",(UpdateHashtag!Q282-G$1)/G$2)</f>
        <v>-0.7821407085</v>
      </c>
      <c r="H284" s="53">
        <f>IF(TYPE($A284)=1,"",(UpdateHashtag!I282-H$1)/H$2*I284/$I$1)</f>
        <v>-10.11970473</v>
      </c>
      <c r="I284" s="53">
        <f>UpdateHashtag!S282</f>
        <v>4.8</v>
      </c>
      <c r="J284" s="58">
        <f>IF(TYPE($A284)=1,"",(UpdateHashtag!K282-J$1)/J$2*K284/$K$1)</f>
        <v>-0.223686327</v>
      </c>
      <c r="K284" s="59">
        <f>UpdateHashtag!T282</f>
        <v>0.7</v>
      </c>
      <c r="L284" s="53">
        <f>IF(TYPE($A284)=1,"",-(UpdateHashtag!R282-L$1)/L$2)</f>
        <v>0.5442381251</v>
      </c>
      <c r="O284" s="106"/>
      <c r="P284" s="163"/>
      <c r="Q284" s="164"/>
      <c r="R284" s="163"/>
      <c r="S284" s="165"/>
      <c r="T284" s="144"/>
      <c r="U284" s="144"/>
      <c r="V284" s="144"/>
      <c r="W284" s="144"/>
      <c r="X284" s="144"/>
      <c r="Y284" s="144"/>
      <c r="Z284" s="144"/>
      <c r="AA284" s="144"/>
      <c r="AB284" s="144"/>
      <c r="AC284" s="166"/>
      <c r="AD284" s="166"/>
      <c r="AE284" s="144"/>
      <c r="AF284" s="144"/>
      <c r="AG284" s="144"/>
      <c r="AH284" s="144"/>
      <c r="AI284" s="144"/>
      <c r="AJ284" s="144"/>
      <c r="AK284" s="144"/>
      <c r="AL284" s="144"/>
      <c r="AM284" s="144"/>
      <c r="AN284" s="144"/>
      <c r="AO284" s="167"/>
      <c r="AP284" s="167"/>
      <c r="AQ284" s="167"/>
      <c r="AR284" s="167"/>
    </row>
    <row r="285">
      <c r="A285" s="50" t="str">
        <f>IF(UpdateHashtag!C283="",ROW(UpdateHashtag!C283),UpdateHashtag!C283)</f>
        <v>Josh Minott</v>
      </c>
      <c r="B285" s="53">
        <f>IF(TYPE($A285)=1,"",(UpdateHashtag!M283-B$1)/B$2)</f>
        <v>-2.100856554</v>
      </c>
      <c r="C285" s="53">
        <f>IF(TYPE($A285)=1,"",(UpdateHashtag!L283-C$1)/C$2)</f>
        <v>-1.419344069</v>
      </c>
      <c r="D285" s="53">
        <f>IF(TYPE($A285)=1,"",(UpdateHashtag!N283-D$1)/D$2)</f>
        <v>-1.5510838</v>
      </c>
      <c r="E285" s="53">
        <f>IF(TYPE($A285)=1,"",(UpdateHashtag!O283-E$1)/E$2)</f>
        <v>-1.532420317</v>
      </c>
      <c r="F285" s="53">
        <f>IF(TYPE($A285)=1,"",(UpdateHashtag!P283-F$1)/F$2)</f>
        <v>-1.661312382</v>
      </c>
      <c r="G285" s="53">
        <f>IF(TYPE($A285)=1,"",(UpdateHashtag!Q283-G$1)/G$2)</f>
        <v>-0.236743041</v>
      </c>
      <c r="H285" s="53">
        <f>IF(TYPE($A285)=1,"",(UpdateHashtag!I283-H$1)/H$2*I285/$I$1)</f>
        <v>-0.958635513</v>
      </c>
      <c r="I285" s="53">
        <f>UpdateHashtag!S283</f>
        <v>3.9</v>
      </c>
      <c r="J285" s="58">
        <f>IF(TYPE($A285)=1,"",(UpdateHashtag!K283-J$1)/J$2*K285/$K$1)</f>
        <v>2.43148261</v>
      </c>
      <c r="K285" s="59">
        <f>UpdateHashtag!T283</f>
        <v>1.2</v>
      </c>
      <c r="L285" s="53">
        <f>IF(TYPE($A285)=1,"",-(UpdateHashtag!R283-L$1)/L$2)</f>
        <v>1.43697381</v>
      </c>
      <c r="O285" s="106"/>
      <c r="P285" s="163"/>
      <c r="Q285" s="164"/>
      <c r="R285" s="163"/>
      <c r="S285" s="165"/>
      <c r="T285" s="144"/>
      <c r="U285" s="144"/>
      <c r="V285" s="144"/>
      <c r="W285" s="144"/>
      <c r="X285" s="144"/>
      <c r="Y285" s="144"/>
      <c r="Z285" s="144"/>
      <c r="AA285" s="144"/>
      <c r="AB285" s="144"/>
      <c r="AC285" s="166"/>
      <c r="AD285" s="166"/>
      <c r="AE285" s="144"/>
      <c r="AF285" s="144"/>
      <c r="AG285" s="144"/>
      <c r="AH285" s="144"/>
      <c r="AI285" s="144"/>
      <c r="AJ285" s="144"/>
      <c r="AK285" s="144"/>
      <c r="AL285" s="144"/>
      <c r="AM285" s="144"/>
      <c r="AN285" s="144"/>
      <c r="AO285" s="167"/>
      <c r="AP285" s="167"/>
      <c r="AQ285" s="167"/>
      <c r="AR285" s="167"/>
    </row>
    <row r="286">
      <c r="A286" s="50" t="str">
        <f>IF(UpdateHashtag!C284="",ROW(UpdateHashtag!C284),UpdateHashtag!C284)</f>
        <v>Cam Whitmore</v>
      </c>
      <c r="B286" s="53">
        <f>IF(TYPE($A286)=1,"",(UpdateHashtag!M284-B$1)/B$2)</f>
        <v>-1.01311236</v>
      </c>
      <c r="C286" s="53">
        <f>IF(TYPE($A286)=1,"",(UpdateHashtag!L284-C$1)/C$2)</f>
        <v>-0.1637605968</v>
      </c>
      <c r="D286" s="53">
        <f>IF(TYPE($A286)=1,"",(UpdateHashtag!N284-D$1)/D$2)</f>
        <v>-1.064659472</v>
      </c>
      <c r="E286" s="53">
        <f>IF(TYPE($A286)=1,"",(UpdateHashtag!O284-E$1)/E$2)</f>
        <v>-1.532420317</v>
      </c>
      <c r="F286" s="53">
        <f>IF(TYPE($A286)=1,"",(UpdateHashtag!P284-F$1)/F$2)</f>
        <v>-1.356589379</v>
      </c>
      <c r="G286" s="53">
        <f>IF(TYPE($A286)=1,"",(UpdateHashtag!Q284-G$1)/G$2)</f>
        <v>-0.7821407085</v>
      </c>
      <c r="H286" s="53">
        <f>IF(TYPE($A286)=1,"",(UpdateHashtag!I284-H$1)/H$2*I286/$I$1)</f>
        <v>-11.38148105</v>
      </c>
      <c r="I286" s="53">
        <f>UpdateHashtag!S284</f>
        <v>9.2</v>
      </c>
      <c r="J286" s="58">
        <f>IF(TYPE($A286)=1,"",(UpdateHashtag!K284-J$1)/J$2*K286/$K$1)</f>
        <v>-3.897753207</v>
      </c>
      <c r="K286" s="59">
        <f>UpdateHashtag!T284</f>
        <v>2.2</v>
      </c>
      <c r="L286" s="53">
        <f>IF(TYPE($A286)=1,"",-(UpdateHashtag!R284-L$1)/L$2)</f>
        <v>0.8418166868</v>
      </c>
      <c r="N286" s="106"/>
      <c r="O286" s="106"/>
      <c r="P286" s="163"/>
      <c r="Q286" s="164"/>
      <c r="R286" s="163"/>
      <c r="S286" s="165"/>
      <c r="T286" s="144"/>
      <c r="U286" s="144"/>
      <c r="V286" s="144"/>
      <c r="W286" s="144"/>
      <c r="X286" s="144"/>
      <c r="Y286" s="144"/>
      <c r="Z286" s="144"/>
      <c r="AA286" s="144"/>
      <c r="AB286" s="144"/>
      <c r="AC286" s="166"/>
      <c r="AD286" s="166"/>
      <c r="AE286" s="144"/>
      <c r="AF286" s="144"/>
      <c r="AG286" s="144"/>
      <c r="AH286" s="144"/>
      <c r="AI286" s="144"/>
      <c r="AJ286" s="144"/>
      <c r="AK286" s="144"/>
      <c r="AL286" s="144"/>
      <c r="AM286" s="144"/>
      <c r="AN286" s="144"/>
      <c r="AO286" s="167"/>
      <c r="AP286" s="167"/>
      <c r="AQ286" s="167"/>
      <c r="AR286" s="167"/>
    </row>
    <row r="287">
      <c r="A287" s="50" t="str">
        <f>IF(UpdateHashtag!C285="",ROW(UpdateHashtag!C285),UpdateHashtag!C285)</f>
        <v>Mason Plumlee</v>
      </c>
      <c r="B287" s="53">
        <f>IF(TYPE($A287)=1,"",(UpdateHashtag!M285-B$1)/B$2)</f>
        <v>-1.837692637</v>
      </c>
      <c r="C287" s="53">
        <f>IF(TYPE($A287)=1,"",(UpdateHashtag!L285-C$1)/C$2)</f>
        <v>-1.709094101</v>
      </c>
      <c r="D287" s="53">
        <f>IF(TYPE($A287)=1,"",(UpdateHashtag!N285-D$1)/D$2)</f>
        <v>-0.1728815386</v>
      </c>
      <c r="E287" s="53">
        <f>IF(TYPE($A287)=1,"",(UpdateHashtag!O285-E$1)/E$2)</f>
        <v>-0.9950543703</v>
      </c>
      <c r="F287" s="53">
        <f>IF(TYPE($A287)=1,"",(UpdateHashtag!P285-F$1)/F$2)</f>
        <v>-1.966035386</v>
      </c>
      <c r="G287" s="53">
        <f>IF(TYPE($A287)=1,"",(UpdateHashtag!Q285-G$1)/G$2)</f>
        <v>-0.600341486</v>
      </c>
      <c r="H287" s="53">
        <f>IF(TYPE($A287)=1,"",(UpdateHashtag!I285-H$1)/H$2*I287/$I$1)</f>
        <v>18.60628875</v>
      </c>
      <c r="I287" s="53">
        <f>UpdateHashtag!S285</f>
        <v>3.9</v>
      </c>
      <c r="J287" s="58">
        <f>IF(TYPE($A287)=1,"",(UpdateHashtag!K285-J$1)/J$2*K287/$K$1)</f>
        <v>-5.426623598</v>
      </c>
      <c r="K287" s="59">
        <f>UpdateHashtag!T285</f>
        <v>2.5</v>
      </c>
      <c r="L287" s="53">
        <f>IF(TYPE($A287)=1,"",-(UpdateHashtag!R285-L$1)/L$2)</f>
        <v>0.8418166868</v>
      </c>
      <c r="N287" s="106"/>
      <c r="O287" s="106"/>
      <c r="P287" s="163"/>
      <c r="Q287" s="164"/>
      <c r="R287" s="163"/>
      <c r="S287" s="165"/>
      <c r="T287" s="144"/>
      <c r="U287" s="144"/>
      <c r="V287" s="144"/>
      <c r="W287" s="144"/>
      <c r="X287" s="144"/>
      <c r="Y287" s="144"/>
      <c r="Z287" s="144"/>
      <c r="AA287" s="144"/>
      <c r="AB287" s="144"/>
      <c r="AC287" s="166"/>
      <c r="AD287" s="166"/>
      <c r="AE287" s="144"/>
      <c r="AF287" s="144"/>
      <c r="AG287" s="144"/>
      <c r="AH287" s="144"/>
      <c r="AI287" s="144"/>
      <c r="AJ287" s="144"/>
      <c r="AK287" s="144"/>
      <c r="AL287" s="144"/>
      <c r="AM287" s="144"/>
      <c r="AN287" s="144"/>
      <c r="AO287" s="167"/>
      <c r="AP287" s="167"/>
      <c r="AQ287" s="167"/>
      <c r="AR287" s="167"/>
    </row>
    <row r="288">
      <c r="A288" s="50" t="str">
        <f>IF(UpdateHashtag!C286="",ROW(UpdateHashtag!C286),UpdateHashtag!C286)</f>
        <v>Ziaire Williams</v>
      </c>
      <c r="B288" s="53">
        <f>IF(TYPE($A288)=1,"",(UpdateHashtag!M286-B$1)/B$2)</f>
        <v>-1.504351674</v>
      </c>
      <c r="C288" s="53">
        <f>IF(TYPE($A288)=1,"",(UpdateHashtag!L286-C$1)/C$2)</f>
        <v>-0.6466773167</v>
      </c>
      <c r="D288" s="53">
        <f>IF(TYPE($A288)=1,"",(UpdateHashtag!N286-D$1)/D$2)</f>
        <v>-1.064659472</v>
      </c>
      <c r="E288" s="53">
        <f>IF(TYPE($A288)=1,"",(UpdateHashtag!O286-E$1)/E$2)</f>
        <v>-1.141608719</v>
      </c>
      <c r="F288" s="53">
        <f>IF(TYPE($A288)=1,"",(UpdateHashtag!P286-F$1)/F$2)</f>
        <v>-1.051866375</v>
      </c>
      <c r="G288" s="53">
        <f>IF(TYPE($A288)=1,"",(UpdateHashtag!Q286-G$1)/G$2)</f>
        <v>-0.963939931</v>
      </c>
      <c r="H288" s="53">
        <f>IF(TYPE($A288)=1,"",(UpdateHashtag!I286-H$1)/H$2*I288/$I$1)</f>
        <v>-20.42779817</v>
      </c>
      <c r="I288" s="53">
        <f>UpdateHashtag!S286</f>
        <v>7.8</v>
      </c>
      <c r="J288" s="58">
        <f>IF(TYPE($A288)=1,"",(UpdateHashtag!K286-J$1)/J$2*K288/$K$1)</f>
        <v>0.4766200587</v>
      </c>
      <c r="K288" s="59">
        <f>UpdateHashtag!T286</f>
        <v>1.3</v>
      </c>
      <c r="L288" s="53">
        <f>IF(TYPE($A288)=1,"",-(UpdateHashtag!R286-L$1)/L$2)</f>
        <v>0.3458524173</v>
      </c>
      <c r="O288" s="106"/>
      <c r="P288" s="163"/>
      <c r="Q288" s="164"/>
      <c r="R288" s="163"/>
      <c r="S288" s="165"/>
      <c r="T288" s="144"/>
      <c r="U288" s="144"/>
      <c r="V288" s="144"/>
      <c r="W288" s="144"/>
      <c r="X288" s="144"/>
      <c r="Y288" s="144"/>
      <c r="Z288" s="144"/>
      <c r="AA288" s="144"/>
      <c r="AB288" s="144"/>
      <c r="AC288" s="166"/>
      <c r="AD288" s="166"/>
      <c r="AE288" s="144"/>
      <c r="AF288" s="144"/>
      <c r="AG288" s="144"/>
      <c r="AH288" s="144"/>
      <c r="AI288" s="144"/>
      <c r="AJ288" s="144"/>
      <c r="AK288" s="144"/>
      <c r="AL288" s="144"/>
      <c r="AM288" s="144"/>
      <c r="AN288" s="144"/>
      <c r="AO288" s="167"/>
      <c r="AP288" s="167"/>
      <c r="AQ288" s="167"/>
      <c r="AR288" s="167"/>
    </row>
    <row r="289">
      <c r="A289" s="50" t="str">
        <f>IF(UpdateHashtag!C287="",ROW(UpdateHashtag!C287),UpdateHashtag!C287)</f>
        <v>Jay Huff</v>
      </c>
      <c r="B289" s="53">
        <f>IF(TYPE($A289)=1,"",(UpdateHashtag!M287-B$1)/B$2)</f>
        <v>-2.206122122</v>
      </c>
      <c r="C289" s="53">
        <f>IF(TYPE($A289)=1,"",(UpdateHashtag!L287-C$1)/C$2)</f>
        <v>-1.129594037</v>
      </c>
      <c r="D289" s="53">
        <f>IF(TYPE($A289)=1,"",(UpdateHashtag!N287-D$1)/D$2)</f>
        <v>-1.672689882</v>
      </c>
      <c r="E289" s="53">
        <f>IF(TYPE($A289)=1,"",(UpdateHashtag!O287-E$1)/E$2)</f>
        <v>-1.532420317</v>
      </c>
      <c r="F289" s="53">
        <f>IF(TYPE($A289)=1,"",(UpdateHashtag!P287-F$1)/F$2)</f>
        <v>-2.27075839</v>
      </c>
      <c r="G289" s="53">
        <f>IF(TYPE($A289)=1,"",(UpdateHashtag!Q287-G$1)/G$2)</f>
        <v>-0.600341486</v>
      </c>
      <c r="H289" s="53">
        <f>IF(TYPE($A289)=1,"",(UpdateHashtag!I287-H$1)/H$2*I289/$I$1)</f>
        <v>7.79663514</v>
      </c>
      <c r="I289" s="53">
        <f>UpdateHashtag!S287</f>
        <v>2.5</v>
      </c>
      <c r="J289" s="58">
        <f>IF(TYPE($A289)=1,"",(UpdateHashtag!K287-J$1)/J$2*K289/$K$1)</f>
        <v>2.773017906</v>
      </c>
      <c r="K289" s="59">
        <f>UpdateHashtag!T287</f>
        <v>1.1</v>
      </c>
      <c r="L289" s="53">
        <f>IF(TYPE($A289)=1,"",-(UpdateHashtag!R287-L$1)/L$2)</f>
        <v>1.337780956</v>
      </c>
      <c r="O289" s="106"/>
      <c r="P289" s="163"/>
      <c r="Q289" s="164"/>
      <c r="R289" s="163"/>
      <c r="S289" s="165"/>
      <c r="T289" s="144"/>
      <c r="U289" s="144"/>
      <c r="V289" s="144"/>
      <c r="W289" s="144"/>
      <c r="X289" s="144"/>
      <c r="Y289" s="144"/>
      <c r="Z289" s="144"/>
      <c r="AA289" s="144"/>
      <c r="AB289" s="144"/>
      <c r="AC289" s="166"/>
      <c r="AD289" s="166"/>
      <c r="AE289" s="144"/>
      <c r="AF289" s="144"/>
      <c r="AG289" s="144"/>
      <c r="AH289" s="144"/>
      <c r="AI289" s="144"/>
      <c r="AJ289" s="144"/>
      <c r="AK289" s="144"/>
      <c r="AL289" s="144"/>
      <c r="AM289" s="144"/>
      <c r="AN289" s="144"/>
      <c r="AO289" s="167"/>
      <c r="AP289" s="167"/>
      <c r="AQ289" s="167"/>
      <c r="AR289" s="167"/>
    </row>
    <row r="290">
      <c r="A290" s="50" t="str">
        <f>IF(UpdateHashtag!C288="",ROW(UpdateHashtag!C288),UpdateHashtag!C288)</f>
        <v>Max Christie</v>
      </c>
      <c r="B290" s="53">
        <f>IF(TYPE($A290)=1,"",(UpdateHashtag!M288-B$1)/B$2)</f>
        <v>-1.872781159</v>
      </c>
      <c r="C290" s="53">
        <f>IF(TYPE($A290)=1,"",(UpdateHashtag!L288-C$1)/C$2)</f>
        <v>-0.7432606607</v>
      </c>
      <c r="D290" s="53">
        <f>IF(TYPE($A290)=1,"",(UpdateHashtag!N288-D$1)/D$2)</f>
        <v>-1.145730194</v>
      </c>
      <c r="E290" s="53">
        <f>IF(TYPE($A290)=1,"",(UpdateHashtag!O288-E$1)/E$2)</f>
        <v>-1.288163069</v>
      </c>
      <c r="F290" s="53">
        <f>IF(TYPE($A290)=1,"",(UpdateHashtag!P288-F$1)/F$2)</f>
        <v>-1.966035386</v>
      </c>
      <c r="G290" s="53">
        <f>IF(TYPE($A290)=1,"",(UpdateHashtag!Q288-G$1)/G$2)</f>
        <v>-0.600341486</v>
      </c>
      <c r="H290" s="53">
        <f>IF(TYPE($A290)=1,"",(UpdateHashtag!I288-H$1)/H$2*I290/$I$1)</f>
        <v>-8.944887187</v>
      </c>
      <c r="I290" s="53">
        <f>UpdateHashtag!S288</f>
        <v>5.3</v>
      </c>
      <c r="J290" s="58">
        <f>IF(TYPE($A290)=1,"",(UpdateHashtag!K288-J$1)/J$2*K290/$K$1)</f>
        <v>0.3012438055</v>
      </c>
      <c r="K290" s="59">
        <f>UpdateHashtag!T288</f>
        <v>0.9</v>
      </c>
      <c r="L290" s="53">
        <f>IF(TYPE($A290)=1,"",-(UpdateHashtag!R288-L$1)/L$2)</f>
        <v>1.040202395</v>
      </c>
      <c r="N290" s="106"/>
      <c r="O290" s="106"/>
      <c r="P290" s="163"/>
      <c r="Q290" s="164"/>
      <c r="R290" s="163"/>
      <c r="S290" s="165"/>
      <c r="T290" s="144"/>
      <c r="U290" s="144"/>
      <c r="V290" s="144"/>
      <c r="W290" s="144"/>
      <c r="X290" s="144"/>
      <c r="Y290" s="144"/>
      <c r="Z290" s="144"/>
      <c r="AA290" s="144"/>
      <c r="AB290" s="144"/>
      <c r="AC290" s="166"/>
      <c r="AD290" s="166"/>
      <c r="AE290" s="144"/>
      <c r="AF290" s="144"/>
      <c r="AG290" s="144"/>
      <c r="AH290" s="144"/>
      <c r="AI290" s="144"/>
      <c r="AJ290" s="144"/>
      <c r="AK290" s="144"/>
      <c r="AL290" s="144"/>
      <c r="AM290" s="144"/>
      <c r="AN290" s="144"/>
      <c r="AO290" s="167"/>
      <c r="AP290" s="167"/>
      <c r="AQ290" s="167"/>
      <c r="AR290" s="167"/>
    </row>
    <row r="291">
      <c r="A291" s="50" t="str">
        <f>IF(UpdateHashtag!C289="",ROW(UpdateHashtag!C289),UpdateHashtag!C289)</f>
        <v>Ryan Dunn</v>
      </c>
      <c r="B291" s="53">
        <f>IF(TYPE($A291)=1,"",(UpdateHashtag!M289-B$1)/B$2)</f>
        <v>-2.293843428</v>
      </c>
      <c r="C291" s="53">
        <f>IF(TYPE($A291)=1,"",(UpdateHashtag!L289-C$1)/C$2)</f>
        <v>-1.612510757</v>
      </c>
      <c r="D291" s="53">
        <f>IF(TYPE($A291)=1,"",(UpdateHashtag!N289-D$1)/D$2)</f>
        <v>-1.105194833</v>
      </c>
      <c r="E291" s="53">
        <f>IF(TYPE($A291)=1,"",(UpdateHashtag!O289-E$1)/E$2)</f>
        <v>-1.678974666</v>
      </c>
      <c r="F291" s="53">
        <f>IF(TYPE($A291)=1,"",(UpdateHashtag!P289-F$1)/F$2)</f>
        <v>-1.356589379</v>
      </c>
      <c r="G291" s="53">
        <f>IF(TYPE($A291)=1,"",(UpdateHashtag!Q289-G$1)/G$2)</f>
        <v>0.6722530715</v>
      </c>
      <c r="H291" s="53">
        <f>IF(TYPE($A291)=1,"",(UpdateHashtag!I289-H$1)/H$2*I291/$I$1)</f>
        <v>0.2792917542</v>
      </c>
      <c r="I291" s="53">
        <f>UpdateHashtag!S289</f>
        <v>3.3</v>
      </c>
      <c r="J291" s="58">
        <f>IF(TYPE($A291)=1,"",(UpdateHashtag!K289-J$1)/J$2*K291/$K$1)</f>
        <v>-3.493585588</v>
      </c>
      <c r="K291" s="59">
        <f>UpdateHashtag!T289</f>
        <v>1.1</v>
      </c>
      <c r="L291" s="53">
        <f>IF(TYPE($A291)=1,"",-(UpdateHashtag!R289-L$1)/L$2)</f>
        <v>1.337780956</v>
      </c>
      <c r="N291" s="106"/>
      <c r="O291" s="106"/>
      <c r="P291" s="163"/>
      <c r="Q291" s="164"/>
      <c r="R291" s="163"/>
      <c r="S291" s="165"/>
      <c r="T291" s="144"/>
      <c r="U291" s="144"/>
      <c r="V291" s="144"/>
      <c r="W291" s="144"/>
      <c r="X291" s="144"/>
      <c r="Y291" s="144"/>
      <c r="Z291" s="144"/>
      <c r="AA291" s="144"/>
      <c r="AB291" s="144"/>
      <c r="AC291" s="166"/>
      <c r="AD291" s="166"/>
      <c r="AE291" s="144"/>
      <c r="AF291" s="144"/>
      <c r="AG291" s="144"/>
      <c r="AH291" s="144"/>
      <c r="AI291" s="144"/>
      <c r="AJ291" s="144"/>
      <c r="AK291" s="144"/>
      <c r="AL291" s="144"/>
      <c r="AM291" s="144"/>
      <c r="AN291" s="144"/>
      <c r="AO291" s="167"/>
      <c r="AP291" s="167"/>
      <c r="AQ291" s="167"/>
      <c r="AR291" s="167"/>
    </row>
    <row r="292">
      <c r="A292" s="50" t="str">
        <f>IF(UpdateHashtag!C290="",ROW(UpdateHashtag!C290),UpdateHashtag!C290)</f>
        <v>Jericho Sims</v>
      </c>
      <c r="B292" s="53">
        <f>IF(TYPE($A292)=1,"",(UpdateHashtag!M290-B$1)/B$2)</f>
        <v>-2.434197517</v>
      </c>
      <c r="C292" s="53">
        <f>IF(TYPE($A292)=1,"",(UpdateHashtag!L290-C$1)/C$2)</f>
        <v>-1.709094101</v>
      </c>
      <c r="D292" s="53">
        <f>IF(TYPE($A292)=1,"",(UpdateHashtag!N290-D$1)/D$2)</f>
        <v>-0.5376997843</v>
      </c>
      <c r="E292" s="53">
        <f>IF(TYPE($A292)=1,"",(UpdateHashtag!O290-E$1)/E$2)</f>
        <v>-1.581271767</v>
      </c>
      <c r="F292" s="53">
        <f>IF(TYPE($A292)=1,"",(UpdateHashtag!P290-F$1)/F$2)</f>
        <v>-2.27075839</v>
      </c>
      <c r="G292" s="53">
        <f>IF(TYPE($A292)=1,"",(UpdateHashtag!Q290-G$1)/G$2)</f>
        <v>-0.236743041</v>
      </c>
      <c r="H292" s="53">
        <f>IF(TYPE($A292)=1,"",(UpdateHashtag!I290-H$1)/H$2*I292/$I$1)</f>
        <v>14.94885124</v>
      </c>
      <c r="I292" s="53">
        <f>UpdateHashtag!S290</f>
        <v>2</v>
      </c>
      <c r="J292" s="58">
        <f>IF(TYPE($A292)=1,"",(UpdateHashtag!K290-J$1)/J$2*K292/$K$1)</f>
        <v>-0.7502122333</v>
      </c>
      <c r="K292" s="59">
        <f>UpdateHashtag!T290</f>
        <v>0.5</v>
      </c>
      <c r="L292" s="53">
        <f>IF(TYPE($A292)=1,"",-(UpdateHashtag!R290-L$1)/L$2)</f>
        <v>1.238588102</v>
      </c>
      <c r="O292" s="106"/>
      <c r="P292" s="163"/>
      <c r="Q292" s="164"/>
      <c r="R292" s="163"/>
      <c r="S292" s="165"/>
      <c r="T292" s="144"/>
      <c r="U292" s="144"/>
      <c r="V292" s="144"/>
      <c r="W292" s="144"/>
      <c r="X292" s="144"/>
      <c r="Y292" s="144"/>
      <c r="Z292" s="144"/>
      <c r="AA292" s="144"/>
      <c r="AB292" s="144"/>
      <c r="AC292" s="166"/>
      <c r="AD292" s="166"/>
      <c r="AE292" s="144"/>
      <c r="AF292" s="144"/>
      <c r="AG292" s="144"/>
      <c r="AH292" s="144"/>
      <c r="AI292" s="144"/>
      <c r="AJ292" s="144"/>
      <c r="AK292" s="144"/>
      <c r="AL292" s="144"/>
      <c r="AM292" s="144"/>
      <c r="AN292" s="144"/>
      <c r="AO292" s="167"/>
      <c r="AP292" s="167"/>
      <c r="AQ292" s="167"/>
      <c r="AR292" s="167"/>
    </row>
    <row r="293">
      <c r="A293" s="50" t="str">
        <f>IF(UpdateHashtag!C291="",ROW(UpdateHashtag!C291),UpdateHashtag!C291)</f>
        <v>Dalton Knecht</v>
      </c>
      <c r="B293" s="53">
        <f>IF(TYPE($A293)=1,"",(UpdateHashtag!M291-B$1)/B$2)</f>
        <v>-1.434174629</v>
      </c>
      <c r="C293" s="53">
        <f>IF(TYPE($A293)=1,"",(UpdateHashtag!L291-C$1)/C$2)</f>
        <v>-0.6466773167</v>
      </c>
      <c r="D293" s="53">
        <f>IF(TYPE($A293)=1,"",(UpdateHashtag!N291-D$1)/D$2)</f>
        <v>-1.145730194</v>
      </c>
      <c r="E293" s="53">
        <f>IF(TYPE($A293)=1,"",(UpdateHashtag!O291-E$1)/E$2)</f>
        <v>-1.337014518</v>
      </c>
      <c r="F293" s="53">
        <f>IF(TYPE($A293)=1,"",(UpdateHashtag!P291-F$1)/F$2)</f>
        <v>-2.27075839</v>
      </c>
      <c r="G293" s="53">
        <f>IF(TYPE($A293)=1,"",(UpdateHashtag!Q291-G$1)/G$2)</f>
        <v>-0.600341486</v>
      </c>
      <c r="H293" s="53">
        <f>IF(TYPE($A293)=1,"",(UpdateHashtag!I291-H$1)/H$2*I293/$I$1)</f>
        <v>-10.4551057</v>
      </c>
      <c r="I293" s="53">
        <f>UpdateHashtag!S291</f>
        <v>6.8</v>
      </c>
      <c r="J293" s="58">
        <f>IF(TYPE($A293)=1,"",(UpdateHashtag!K291-J$1)/J$2*K293/$K$1)</f>
        <v>-0.6903274101</v>
      </c>
      <c r="K293" s="59">
        <f>UpdateHashtag!T291</f>
        <v>2.4</v>
      </c>
      <c r="L293" s="53">
        <f>IF(TYPE($A293)=1,"",-(UpdateHashtag!R291-L$1)/L$2)</f>
        <v>1.040202395</v>
      </c>
      <c r="O293" s="106"/>
      <c r="P293" s="163"/>
      <c r="Q293" s="164"/>
      <c r="R293" s="163"/>
      <c r="S293" s="165"/>
      <c r="T293" s="144"/>
      <c r="U293" s="144"/>
      <c r="V293" s="144"/>
      <c r="W293" s="144"/>
      <c r="X293" s="144"/>
      <c r="Y293" s="144"/>
      <c r="Z293" s="144"/>
      <c r="AA293" s="144"/>
      <c r="AB293" s="144"/>
      <c r="AC293" s="166"/>
      <c r="AD293" s="166"/>
      <c r="AE293" s="144"/>
      <c r="AF293" s="144"/>
      <c r="AG293" s="144"/>
      <c r="AH293" s="144"/>
      <c r="AI293" s="144"/>
      <c r="AJ293" s="144"/>
      <c r="AK293" s="144"/>
      <c r="AL293" s="144"/>
      <c r="AM293" s="144"/>
      <c r="AN293" s="144"/>
      <c r="AO293" s="167"/>
      <c r="AP293" s="167"/>
      <c r="AQ293" s="167"/>
      <c r="AR293" s="167"/>
    </row>
    <row r="294">
      <c r="A294" s="50" t="str">
        <f>IF(UpdateHashtag!C292="",ROW(UpdateHashtag!C292),UpdateHashtag!C292)</f>
        <v>Damion Lee</v>
      </c>
      <c r="B294" s="53">
        <f>IF(TYPE($A294)=1,"",(UpdateHashtag!M292-B$1)/B$2)</f>
        <v>-1.749971331</v>
      </c>
      <c r="C294" s="53">
        <f>IF(TYPE($A294)=1,"",(UpdateHashtag!L292-C$1)/C$2)</f>
        <v>-0.4535106288</v>
      </c>
      <c r="D294" s="53">
        <f>IF(TYPE($A294)=1,"",(UpdateHashtag!N292-D$1)/D$2)</f>
        <v>-1.388942357</v>
      </c>
      <c r="E294" s="53">
        <f>IF(TYPE($A294)=1,"",(UpdateHashtag!O292-E$1)/E$2)</f>
        <v>-1.288163069</v>
      </c>
      <c r="F294" s="53">
        <f>IF(TYPE($A294)=1,"",(UpdateHashtag!P292-F$1)/F$2)</f>
        <v>-1.966035386</v>
      </c>
      <c r="G294" s="53">
        <f>IF(TYPE($A294)=1,"",(UpdateHashtag!Q292-G$1)/G$2)</f>
        <v>-1.145739154</v>
      </c>
      <c r="H294" s="53">
        <f>IF(TYPE($A294)=1,"",(UpdateHashtag!I292-H$1)/H$2*I294/$I$1)</f>
        <v>-8.46479888</v>
      </c>
      <c r="I294" s="53">
        <f>UpdateHashtag!S292</f>
        <v>5.4</v>
      </c>
      <c r="J294" s="58">
        <f>IF(TYPE($A294)=1,"",(UpdateHashtag!K292-J$1)/J$2*K294/$K$1)</f>
        <v>2.201691191</v>
      </c>
      <c r="K294" s="59">
        <f>UpdateHashtag!T292</f>
        <v>1.2</v>
      </c>
      <c r="L294" s="53">
        <f>IF(TYPE($A294)=1,"",-(UpdateHashtag!R292-L$1)/L$2)</f>
        <v>0.8418166868</v>
      </c>
      <c r="N294" s="106"/>
      <c r="O294" s="106"/>
      <c r="P294" s="163"/>
      <c r="Q294" s="164"/>
      <c r="R294" s="163"/>
      <c r="S294" s="165"/>
      <c r="T294" s="144"/>
      <c r="U294" s="144"/>
      <c r="V294" s="144"/>
      <c r="W294" s="144"/>
      <c r="X294" s="144"/>
      <c r="Y294" s="144"/>
      <c r="Z294" s="144"/>
      <c r="AA294" s="144"/>
      <c r="AB294" s="144"/>
      <c r="AC294" s="166"/>
      <c r="AD294" s="166"/>
      <c r="AE294" s="144"/>
      <c r="AF294" s="144"/>
      <c r="AG294" s="144"/>
      <c r="AH294" s="144"/>
      <c r="AI294" s="144"/>
      <c r="AJ294" s="144"/>
      <c r="AK294" s="144"/>
      <c r="AL294" s="144"/>
      <c r="AM294" s="144"/>
      <c r="AN294" s="144"/>
      <c r="AO294" s="167"/>
      <c r="AP294" s="167"/>
      <c r="AQ294" s="167"/>
      <c r="AR294" s="167"/>
    </row>
    <row r="295">
      <c r="A295" s="50" t="str">
        <f>IF(UpdateHashtag!C293="",ROW(UpdateHashtag!C293),UpdateHashtag!C293)</f>
        <v>Chris Boucher</v>
      </c>
      <c r="B295" s="53">
        <f>IF(TYPE($A295)=1,"",(UpdateHashtag!M293-B$1)/B$2)</f>
        <v>-1.907869681</v>
      </c>
      <c r="C295" s="53">
        <f>IF(TYPE($A295)=1,"",(UpdateHashtag!L293-C$1)/C$2)</f>
        <v>-1.129594037</v>
      </c>
      <c r="D295" s="53">
        <f>IF(TYPE($A295)=1,"",(UpdateHashtag!N293-D$1)/D$2)</f>
        <v>-0.9430533905</v>
      </c>
      <c r="E295" s="53">
        <f>IF(TYPE($A295)=1,"",(UpdateHashtag!O293-E$1)/E$2)</f>
        <v>-1.727826116</v>
      </c>
      <c r="F295" s="53">
        <f>IF(TYPE($A295)=1,"",(UpdateHashtag!P293-F$1)/F$2)</f>
        <v>-1.966035386</v>
      </c>
      <c r="G295" s="53">
        <f>IF(TYPE($A295)=1,"",(UpdateHashtag!Q293-G$1)/G$2)</f>
        <v>-0.4185422635</v>
      </c>
      <c r="H295" s="53">
        <f>IF(TYPE($A295)=1,"",(UpdateHashtag!I293-H$1)/H$2*I295/$I$1)</f>
        <v>0.2456732747</v>
      </c>
      <c r="I295" s="53">
        <f>UpdateHashtag!S293</f>
        <v>4.5</v>
      </c>
      <c r="J295" s="58">
        <f>IF(TYPE($A295)=1,"",(UpdateHashtag!K293-J$1)/J$2*K295/$K$1)</f>
        <v>-0.562347793</v>
      </c>
      <c r="K295" s="59">
        <f>UpdateHashtag!T293</f>
        <v>1.6</v>
      </c>
      <c r="L295" s="53">
        <f>IF(TYPE($A295)=1,"",-(UpdateHashtag!R293-L$1)/L$2)</f>
        <v>1.337780956</v>
      </c>
      <c r="N295" s="106"/>
      <c r="O295" s="106"/>
      <c r="P295" s="163"/>
      <c r="Q295" s="164"/>
      <c r="R295" s="163"/>
      <c r="S295" s="165"/>
      <c r="T295" s="144"/>
      <c r="U295" s="144"/>
      <c r="V295" s="144"/>
      <c r="W295" s="144"/>
      <c r="X295" s="144"/>
      <c r="Y295" s="144"/>
      <c r="Z295" s="144"/>
      <c r="AA295" s="144"/>
      <c r="AB295" s="144"/>
      <c r="AC295" s="166"/>
      <c r="AD295" s="166"/>
      <c r="AE295" s="144"/>
      <c r="AF295" s="144"/>
      <c r="AG295" s="144"/>
      <c r="AH295" s="144"/>
      <c r="AI295" s="144"/>
      <c r="AJ295" s="144"/>
      <c r="AK295" s="144"/>
      <c r="AL295" s="144"/>
      <c r="AM295" s="144"/>
      <c r="AN295" s="144"/>
      <c r="AO295" s="167"/>
      <c r="AP295" s="167"/>
      <c r="AQ295" s="167"/>
      <c r="AR295" s="167"/>
    </row>
    <row r="296">
      <c r="A296" s="50" t="str">
        <f>IF(UpdateHashtag!C294="",ROW(UpdateHashtag!C294),UpdateHashtag!C294)</f>
        <v>Duop Reath</v>
      </c>
      <c r="B296" s="53">
        <f>IF(TYPE($A296)=1,"",(UpdateHashtag!M294-B$1)/B$2)</f>
        <v>-1.732427069</v>
      </c>
      <c r="C296" s="53">
        <f>IF(TYPE($A296)=1,"",(UpdateHashtag!L294-C$1)/C$2)</f>
        <v>-0.6466773167</v>
      </c>
      <c r="D296" s="53">
        <f>IF(TYPE($A296)=1,"",(UpdateHashtag!N294-D$1)/D$2)</f>
        <v>-1.267336276</v>
      </c>
      <c r="E296" s="53">
        <f>IF(TYPE($A296)=1,"",(UpdateHashtag!O294-E$1)/E$2)</f>
        <v>-1.483568867</v>
      </c>
      <c r="F296" s="53">
        <f>IF(TYPE($A296)=1,"",(UpdateHashtag!P294-F$1)/F$2)</f>
        <v>-1.966035386</v>
      </c>
      <c r="G296" s="53">
        <f>IF(TYPE($A296)=1,"",(UpdateHashtag!Q294-G$1)/G$2)</f>
        <v>-0.4185422635</v>
      </c>
      <c r="H296" s="53">
        <f>IF(TYPE($A296)=1,"",(UpdateHashtag!I294-H$1)/H$2*I296/$I$1)</f>
        <v>-6.058349382</v>
      </c>
      <c r="I296" s="53">
        <f>UpdateHashtag!S294</f>
        <v>5.9</v>
      </c>
      <c r="J296" s="58">
        <f>IF(TYPE($A296)=1,"",(UpdateHashtag!K294-J$1)/J$2*K296/$K$1)</f>
        <v>-0.8605589098</v>
      </c>
      <c r="K296" s="59">
        <f>UpdateHashtag!T294</f>
        <v>1.1</v>
      </c>
      <c r="L296" s="53">
        <f>IF(TYPE($A296)=1,"",-(UpdateHashtag!R294-L$1)/L$2)</f>
        <v>1.139395249</v>
      </c>
      <c r="O296" s="106"/>
      <c r="P296" s="163"/>
      <c r="Q296" s="164"/>
      <c r="R296" s="163"/>
      <c r="S296" s="165"/>
      <c r="T296" s="144"/>
      <c r="U296" s="144"/>
      <c r="V296" s="144"/>
      <c r="W296" s="144"/>
      <c r="X296" s="144"/>
      <c r="Y296" s="144"/>
      <c r="Z296" s="144"/>
      <c r="AA296" s="144"/>
      <c r="AB296" s="144"/>
      <c r="AC296" s="166"/>
      <c r="AD296" s="166"/>
      <c r="AE296" s="144"/>
      <c r="AF296" s="144"/>
      <c r="AG296" s="144"/>
      <c r="AH296" s="144"/>
      <c r="AI296" s="144"/>
      <c r="AJ296" s="144"/>
      <c r="AK296" s="144"/>
      <c r="AL296" s="144"/>
      <c r="AM296" s="144"/>
      <c r="AN296" s="144"/>
      <c r="AO296" s="167"/>
      <c r="AP296" s="167"/>
      <c r="AQ296" s="167"/>
      <c r="AR296" s="167"/>
    </row>
    <row r="297">
      <c r="A297" s="50" t="str">
        <f>IF(UpdateHashtag!C295="",ROW(UpdateHashtag!C295),UpdateHashtag!C295)</f>
        <v>Gary Harris</v>
      </c>
      <c r="B297" s="53">
        <f>IF(TYPE($A297)=1,"",(UpdateHashtag!M295-B$1)/B$2)</f>
        <v>-2.03067951</v>
      </c>
      <c r="C297" s="53">
        <f>IF(TYPE($A297)=1,"",(UpdateHashtag!L295-C$1)/C$2)</f>
        <v>-0.4535106288</v>
      </c>
      <c r="D297" s="53">
        <f>IF(TYPE($A297)=1,"",(UpdateHashtag!N295-D$1)/D$2)</f>
        <v>-1.915902046</v>
      </c>
      <c r="E297" s="53">
        <f>IF(TYPE($A297)=1,"",(UpdateHashtag!O295-E$1)/E$2)</f>
        <v>-1.337014518</v>
      </c>
      <c r="F297" s="53">
        <f>IF(TYPE($A297)=1,"",(UpdateHashtag!P295-F$1)/F$2)</f>
        <v>-1.051866375</v>
      </c>
      <c r="G297" s="53">
        <f>IF(TYPE($A297)=1,"",(UpdateHashtag!Q295-G$1)/G$2)</f>
        <v>-0.963939931</v>
      </c>
      <c r="H297" s="53">
        <f>IF(TYPE($A297)=1,"",(UpdateHashtag!I295-H$1)/H$2*I297/$I$1)</f>
        <v>-6.632893258</v>
      </c>
      <c r="I297" s="53">
        <f>UpdateHashtag!S295</f>
        <v>4.4</v>
      </c>
      <c r="J297" s="58">
        <f>IF(TYPE($A297)=1,"",(UpdateHashtag!K295-J$1)/J$2*K297/$K$1)</f>
        <v>0.2870009859</v>
      </c>
      <c r="K297" s="59">
        <f>UpdateHashtag!T295</f>
        <v>0.6</v>
      </c>
      <c r="L297" s="53">
        <f>IF(TYPE($A297)=1,"",-(UpdateHashtag!R295-L$1)/L$2)</f>
        <v>1.337780956</v>
      </c>
      <c r="O297" s="106"/>
      <c r="P297" s="163"/>
      <c r="Q297" s="164"/>
      <c r="R297" s="163"/>
      <c r="S297" s="165"/>
      <c r="T297" s="144"/>
      <c r="U297" s="144"/>
      <c r="V297" s="144"/>
      <c r="W297" s="144"/>
      <c r="X297" s="144"/>
      <c r="Y297" s="144"/>
      <c r="Z297" s="144"/>
      <c r="AA297" s="144"/>
      <c r="AB297" s="144"/>
      <c r="AC297" s="166"/>
      <c r="AD297" s="166"/>
      <c r="AE297" s="144"/>
      <c r="AF297" s="144"/>
      <c r="AG297" s="144"/>
      <c r="AH297" s="144"/>
      <c r="AI297" s="144"/>
      <c r="AJ297" s="144"/>
      <c r="AK297" s="144"/>
      <c r="AL297" s="144"/>
      <c r="AM297" s="144"/>
      <c r="AN297" s="144"/>
      <c r="AO297" s="167"/>
      <c r="AP297" s="167"/>
      <c r="AQ297" s="167"/>
      <c r="AR297" s="167"/>
    </row>
    <row r="298">
      <c r="A298" s="50" t="str">
        <f>IF(UpdateHashtag!C296="",ROW(UpdateHashtag!C296),UpdateHashtag!C296)</f>
        <v>Dante Exum</v>
      </c>
      <c r="B298" s="53">
        <f>IF(TYPE($A298)=1,"",(UpdateHashtag!M296-B$1)/B$2)</f>
        <v>-1.89032542</v>
      </c>
      <c r="C298" s="53">
        <f>IF(TYPE($A298)=1,"",(UpdateHashtag!L296-C$1)/C$2)</f>
        <v>-0.9364273487</v>
      </c>
      <c r="D298" s="53">
        <f>IF(TYPE($A298)=1,"",(UpdateHashtag!N296-D$1)/D$2)</f>
        <v>-1.591619161</v>
      </c>
      <c r="E298" s="53">
        <f>IF(TYPE($A298)=1,"",(UpdateHashtag!O296-E$1)/E$2)</f>
        <v>-0.7507971218</v>
      </c>
      <c r="F298" s="53">
        <f>IF(TYPE($A298)=1,"",(UpdateHashtag!P296-F$1)/F$2)</f>
        <v>-2.27075839</v>
      </c>
      <c r="G298" s="53">
        <f>IF(TYPE($A298)=1,"",(UpdateHashtag!Q296-G$1)/G$2)</f>
        <v>-1.145739154</v>
      </c>
      <c r="H298" s="53">
        <f>IF(TYPE($A298)=1,"",(UpdateHashtag!I296-H$1)/H$2*I298/$I$1)</f>
        <v>5.382479737</v>
      </c>
      <c r="I298" s="53">
        <f>UpdateHashtag!S296</f>
        <v>4.5</v>
      </c>
      <c r="J298" s="58">
        <f>IF(TYPE($A298)=1,"",(UpdateHashtag!K296-J$1)/J$2*K298/$K$1)</f>
        <v>-0.09614357154</v>
      </c>
      <c r="K298" s="59">
        <f>UpdateHashtag!T296</f>
        <v>1</v>
      </c>
      <c r="L298" s="53">
        <f>IF(TYPE($A298)=1,"",-(UpdateHashtag!R296-L$1)/L$2)</f>
        <v>1.040202395</v>
      </c>
      <c r="N298" s="106"/>
      <c r="O298" s="106"/>
      <c r="P298" s="163"/>
      <c r="Q298" s="164"/>
      <c r="R298" s="163"/>
      <c r="S298" s="165"/>
      <c r="T298" s="144"/>
      <c r="U298" s="144"/>
      <c r="V298" s="144"/>
      <c r="W298" s="144"/>
      <c r="X298" s="144"/>
      <c r="Y298" s="144"/>
      <c r="Z298" s="144"/>
      <c r="AA298" s="144"/>
      <c r="AB298" s="144"/>
      <c r="AC298" s="166"/>
      <c r="AD298" s="166"/>
      <c r="AE298" s="144"/>
      <c r="AF298" s="144"/>
      <c r="AG298" s="144"/>
      <c r="AH298" s="144"/>
      <c r="AI298" s="144"/>
      <c r="AJ298" s="144"/>
      <c r="AK298" s="144"/>
      <c r="AL298" s="144"/>
      <c r="AM298" s="144"/>
      <c r="AN298" s="144"/>
      <c r="AO298" s="167"/>
      <c r="AP298" s="167"/>
      <c r="AQ298" s="167"/>
      <c r="AR298" s="167"/>
    </row>
    <row r="299">
      <c r="A299" s="50" t="str">
        <f>IF(UpdateHashtag!C297="",ROW(UpdateHashtag!C297),UpdateHashtag!C297)</f>
        <v>Leonard Miller</v>
      </c>
      <c r="B299" s="53">
        <f>IF(TYPE($A299)=1,"",(UpdateHashtag!M297-B$1)/B$2)</f>
        <v>-2.153489338</v>
      </c>
      <c r="C299" s="53">
        <f>IF(TYPE($A299)=1,"",(UpdateHashtag!L297-C$1)/C$2)</f>
        <v>-1.419344069</v>
      </c>
      <c r="D299" s="53">
        <f>IF(TYPE($A299)=1,"",(UpdateHashtag!N297-D$1)/D$2)</f>
        <v>-1.105194833</v>
      </c>
      <c r="E299" s="53">
        <f>IF(TYPE($A299)=1,"",(UpdateHashtag!O297-E$1)/E$2)</f>
        <v>-1.190460169</v>
      </c>
      <c r="F299" s="53">
        <f>IF(TYPE($A299)=1,"",(UpdateHashtag!P297-F$1)/F$2)</f>
        <v>-2.27075839</v>
      </c>
      <c r="G299" s="53">
        <f>IF(TYPE($A299)=1,"",(UpdateHashtag!Q297-G$1)/G$2)</f>
        <v>-0.963939931</v>
      </c>
      <c r="H299" s="53">
        <f>IF(TYPE($A299)=1,"",(UpdateHashtag!I297-H$1)/H$2*I299/$I$1)</f>
        <v>16.01659645</v>
      </c>
      <c r="I299" s="53">
        <f>UpdateHashtag!S297</f>
        <v>3.4</v>
      </c>
      <c r="J299" s="58">
        <f>IF(TYPE($A299)=1,"",(UpdateHashtag!K297-J$1)/J$2*K299/$K$1)</f>
        <v>-1.378867659</v>
      </c>
      <c r="K299" s="59">
        <f>UpdateHashtag!T297</f>
        <v>0.3</v>
      </c>
      <c r="L299" s="53">
        <f>IF(TYPE($A299)=1,"",-(UpdateHashtag!R297-L$1)/L$2)</f>
        <v>1.536166664</v>
      </c>
      <c r="N299" s="106"/>
      <c r="O299" s="106"/>
      <c r="P299" s="163"/>
      <c r="Q299" s="164"/>
      <c r="R299" s="163"/>
      <c r="S299" s="165"/>
      <c r="T299" s="144"/>
      <c r="U299" s="144"/>
      <c r="V299" s="144"/>
      <c r="W299" s="144"/>
      <c r="X299" s="144"/>
      <c r="Y299" s="144"/>
      <c r="Z299" s="144"/>
      <c r="AA299" s="144"/>
      <c r="AB299" s="144"/>
      <c r="AC299" s="166"/>
      <c r="AD299" s="166"/>
      <c r="AE299" s="144"/>
      <c r="AF299" s="144"/>
      <c r="AG299" s="144"/>
      <c r="AH299" s="144"/>
      <c r="AI299" s="144"/>
      <c r="AJ299" s="144"/>
      <c r="AK299" s="144"/>
      <c r="AL299" s="144"/>
      <c r="AM299" s="144"/>
      <c r="AN299" s="144"/>
      <c r="AO299" s="167"/>
      <c r="AP299" s="167"/>
      <c r="AQ299" s="167"/>
      <c r="AR299" s="167"/>
    </row>
    <row r="300">
      <c r="A300" s="50" t="str">
        <f>IF(UpdateHashtag!C298="",ROW(UpdateHashtag!C298),UpdateHashtag!C298)</f>
        <v>Steven Adams</v>
      </c>
      <c r="B300" s="53">
        <f>IF(TYPE($A300)=1,"",(UpdateHashtag!M298-B$1)/B$2)</f>
        <v>-2.013135248</v>
      </c>
      <c r="C300" s="53">
        <f>IF(TYPE($A300)=1,"",(UpdateHashtag!L298-C$1)/C$2)</f>
        <v>-1.709094101</v>
      </c>
      <c r="D300" s="53">
        <f>IF(TYPE($A300)=1,"",(UpdateHashtag!N298-D$1)/D$2)</f>
        <v>0.6378256739</v>
      </c>
      <c r="E300" s="53">
        <f>IF(TYPE($A300)=1,"",(UpdateHashtag!O298-E$1)/E$2)</f>
        <v>-1.141608719</v>
      </c>
      <c r="F300" s="53">
        <f>IF(TYPE($A300)=1,"",(UpdateHashtag!P298-F$1)/F$2)</f>
        <v>-1.356589379</v>
      </c>
      <c r="G300" s="53">
        <f>IF(TYPE($A300)=1,"",(UpdateHashtag!Q298-G$1)/G$2)</f>
        <v>-0.05494381853</v>
      </c>
      <c r="H300" s="53">
        <f>IF(TYPE($A300)=1,"",(UpdateHashtag!I298-H$1)/H$2*I300/$I$1)</f>
        <v>12.84601268</v>
      </c>
      <c r="I300" s="53">
        <f>UpdateHashtag!S298</f>
        <v>4.2</v>
      </c>
      <c r="J300" s="58">
        <f>IF(TYPE($A300)=1,"",(UpdateHashtag!K298-J$1)/J$2*K300/$K$1)</f>
        <v>-14.14258093</v>
      </c>
      <c r="K300" s="59">
        <f>UpdateHashtag!T298</f>
        <v>2.1</v>
      </c>
      <c r="L300" s="53">
        <f>IF(TYPE($A300)=1,"",-(UpdateHashtag!R298-L$1)/L$2)</f>
        <v>0.4450452712</v>
      </c>
      <c r="O300" s="106"/>
      <c r="P300" s="163"/>
      <c r="Q300" s="164"/>
      <c r="R300" s="163"/>
      <c r="S300" s="165"/>
      <c r="T300" s="144"/>
      <c r="U300" s="144"/>
      <c r="V300" s="144"/>
      <c r="W300" s="144"/>
      <c r="X300" s="144"/>
      <c r="Y300" s="144"/>
      <c r="Z300" s="144"/>
      <c r="AA300" s="144"/>
      <c r="AB300" s="144"/>
      <c r="AC300" s="166"/>
      <c r="AD300" s="166"/>
      <c r="AE300" s="144"/>
      <c r="AF300" s="144"/>
      <c r="AG300" s="144"/>
      <c r="AH300" s="144"/>
      <c r="AI300" s="144"/>
      <c r="AJ300" s="144"/>
      <c r="AK300" s="144"/>
      <c r="AL300" s="144"/>
      <c r="AM300" s="144"/>
      <c r="AN300" s="144"/>
      <c r="AO300" s="167"/>
      <c r="AP300" s="167"/>
      <c r="AQ300" s="167"/>
      <c r="AR300" s="167"/>
    </row>
    <row r="301">
      <c r="A301" s="50" t="str">
        <f>IF(UpdateHashtag!C299="",ROW(UpdateHashtag!C299),UpdateHashtag!C299)</f>
        <v>James Wiseman</v>
      </c>
      <c r="B301" s="53">
        <f>IF(TYPE($A301)=1,"",(UpdateHashtag!M299-B$1)/B$2)</f>
        <v>-1.767515592</v>
      </c>
      <c r="C301" s="53">
        <f>IF(TYPE($A301)=1,"",(UpdateHashtag!L299-C$1)/C$2)</f>
        <v>-1.709094101</v>
      </c>
      <c r="D301" s="53">
        <f>IF(TYPE($A301)=1,"",(UpdateHashtag!N299-D$1)/D$2)</f>
        <v>-0.5376997843</v>
      </c>
      <c r="E301" s="53">
        <f>IF(TYPE($A301)=1,"",(UpdateHashtag!O299-E$1)/E$2)</f>
        <v>-1.532420317</v>
      </c>
      <c r="F301" s="53">
        <f>IF(TYPE($A301)=1,"",(UpdateHashtag!P299-F$1)/F$2)</f>
        <v>-2.575481394</v>
      </c>
      <c r="G301" s="53">
        <f>IF(TYPE($A301)=1,"",(UpdateHashtag!Q299-G$1)/G$2)</f>
        <v>-0.4185422635</v>
      </c>
      <c r="H301" s="53">
        <f>IF(TYPE($A301)=1,"",(UpdateHashtag!I299-H$1)/H$2*I301/$I$1)</f>
        <v>13.60709069</v>
      </c>
      <c r="I301" s="53">
        <f>UpdateHashtag!S299</f>
        <v>5.1</v>
      </c>
      <c r="J301" s="58">
        <f>IF(TYPE($A301)=1,"",(UpdateHashtag!K299-J$1)/J$2*K301/$K$1)</f>
        <v>-2.170887727</v>
      </c>
      <c r="K301" s="59">
        <f>UpdateHashtag!T299</f>
        <v>1.6</v>
      </c>
      <c r="L301" s="53">
        <f>IF(TYPE($A301)=1,"",-(UpdateHashtag!R299-L$1)/L$2)</f>
        <v>0.8418166868</v>
      </c>
      <c r="O301" s="106"/>
      <c r="P301" s="163"/>
      <c r="Q301" s="164"/>
      <c r="R301" s="163"/>
      <c r="S301" s="165"/>
      <c r="T301" s="144"/>
      <c r="U301" s="144"/>
      <c r="V301" s="144"/>
      <c r="W301" s="144"/>
      <c r="X301" s="144"/>
      <c r="Y301" s="144"/>
      <c r="Z301" s="144"/>
      <c r="AA301" s="144"/>
      <c r="AB301" s="144"/>
      <c r="AC301" s="166"/>
      <c r="AD301" s="166"/>
      <c r="AE301" s="144"/>
      <c r="AF301" s="144"/>
      <c r="AG301" s="144"/>
      <c r="AH301" s="144"/>
      <c r="AI301" s="144"/>
      <c r="AJ301" s="144"/>
      <c r="AK301" s="144"/>
      <c r="AL301" s="144"/>
      <c r="AM301" s="144"/>
      <c r="AN301" s="144"/>
      <c r="AO301" s="167"/>
      <c r="AP301" s="167"/>
      <c r="AQ301" s="167"/>
      <c r="AR301" s="167"/>
    </row>
    <row r="302">
      <c r="A302" s="50" t="str">
        <f>IF(UpdateHashtag!C300="",ROW(UpdateHashtag!C300),UpdateHashtag!C300)</f>
        <v>Seth Curry</v>
      </c>
      <c r="B302" s="53">
        <f>IF(TYPE($A302)=1,"",(UpdateHashtag!M300-B$1)/B$2)</f>
        <v>-1.785059853</v>
      </c>
      <c r="C302" s="53">
        <f>IF(TYPE($A302)=1,"",(UpdateHashtag!L300-C$1)/C$2)</f>
        <v>-0.5500939728</v>
      </c>
      <c r="D302" s="53">
        <f>IF(TYPE($A302)=1,"",(UpdateHashtag!N300-D$1)/D$2)</f>
        <v>-1.875366685</v>
      </c>
      <c r="E302" s="53">
        <f>IF(TYPE($A302)=1,"",(UpdateHashtag!O300-E$1)/E$2)</f>
        <v>-1.239311619</v>
      </c>
      <c r="F302" s="53">
        <f>IF(TYPE($A302)=1,"",(UpdateHashtag!P300-F$1)/F$2)</f>
        <v>-1.661312382</v>
      </c>
      <c r="G302" s="53">
        <f>IF(TYPE($A302)=1,"",(UpdateHashtag!Q300-G$1)/G$2)</f>
        <v>-1.145739154</v>
      </c>
      <c r="H302" s="53">
        <f>IF(TYPE($A302)=1,"",(UpdateHashtag!I300-H$1)/H$2*I302/$I$1)</f>
        <v>-9.440282744</v>
      </c>
      <c r="I302" s="53">
        <f>UpdateHashtag!S300</f>
        <v>5.8</v>
      </c>
      <c r="J302" s="58">
        <f>IF(TYPE($A302)=1,"",(UpdateHashtag!K300-J$1)/J$2*K302/$K$1)</f>
        <v>1.697585547</v>
      </c>
      <c r="K302" s="59">
        <f>UpdateHashtag!T300</f>
        <v>0.8</v>
      </c>
      <c r="L302" s="53">
        <f>IF(TYPE($A302)=1,"",-(UpdateHashtag!R300-L$1)/L$2)</f>
        <v>1.139395249</v>
      </c>
      <c r="N302" s="106"/>
      <c r="O302" s="106"/>
      <c r="P302" s="163"/>
      <c r="Q302" s="164"/>
      <c r="R302" s="163"/>
      <c r="S302" s="165"/>
      <c r="T302" s="144"/>
      <c r="U302" s="144"/>
      <c r="V302" s="144"/>
      <c r="W302" s="144"/>
      <c r="X302" s="144"/>
      <c r="Y302" s="144"/>
      <c r="Z302" s="144"/>
      <c r="AA302" s="144"/>
      <c r="AB302" s="144"/>
      <c r="AC302" s="166"/>
      <c r="AD302" s="166"/>
      <c r="AE302" s="144"/>
      <c r="AF302" s="144"/>
      <c r="AG302" s="144"/>
      <c r="AH302" s="144"/>
      <c r="AI302" s="144"/>
      <c r="AJ302" s="144"/>
      <c r="AK302" s="144"/>
      <c r="AL302" s="144"/>
      <c r="AM302" s="144"/>
      <c r="AN302" s="144"/>
      <c r="AO302" s="167"/>
      <c r="AP302" s="167"/>
      <c r="AQ302" s="167"/>
      <c r="AR302" s="167"/>
    </row>
    <row r="303">
      <c r="A303" s="50" t="str">
        <f>IF(UpdateHashtag!C301="",ROW(UpdateHashtag!C301),UpdateHashtag!C301)</f>
        <v>Jaylin Williams</v>
      </c>
      <c r="B303" s="53">
        <f>IF(TYPE($A303)=1,"",(UpdateHashtag!M301-B$1)/B$2)</f>
        <v>-2.206122122</v>
      </c>
      <c r="C303" s="53">
        <f>IF(TYPE($A303)=1,"",(UpdateHashtag!L301-C$1)/C$2)</f>
        <v>-0.9364273487</v>
      </c>
      <c r="D303" s="53">
        <f>IF(TYPE($A303)=1,"",(UpdateHashtag!N301-D$1)/D$2)</f>
        <v>-0.9430533905</v>
      </c>
      <c r="E303" s="53">
        <f>IF(TYPE($A303)=1,"",(UpdateHashtag!O301-E$1)/E$2)</f>
        <v>-1.141608719</v>
      </c>
      <c r="F303" s="53">
        <f>IF(TYPE($A303)=1,"",(UpdateHashtag!P301-F$1)/F$2)</f>
        <v>-1.661312382</v>
      </c>
      <c r="G303" s="53">
        <f>IF(TYPE($A303)=1,"",(UpdateHashtag!Q301-G$1)/G$2)</f>
        <v>-0.7821407085</v>
      </c>
      <c r="H303" s="53">
        <f>IF(TYPE($A303)=1,"",(UpdateHashtag!I301-H$1)/H$2*I303/$I$1)</f>
        <v>-7.689458452</v>
      </c>
      <c r="I303" s="53">
        <f>UpdateHashtag!S301</f>
        <v>3.7</v>
      </c>
      <c r="J303" s="58">
        <f>IF(TYPE($A303)=1,"",(UpdateHashtag!K301-J$1)/J$2*K303/$K$1)</f>
        <v>-0.6130948354</v>
      </c>
      <c r="K303" s="59">
        <f>UpdateHashtag!T301</f>
        <v>0.8</v>
      </c>
      <c r="L303" s="53">
        <f>IF(TYPE($A303)=1,"",-(UpdateHashtag!R301-L$1)/L$2)</f>
        <v>1.139395249</v>
      </c>
      <c r="N303" s="106"/>
      <c r="O303" s="106"/>
      <c r="P303" s="163"/>
      <c r="Q303" s="164"/>
      <c r="R303" s="163"/>
      <c r="S303" s="165"/>
      <c r="T303" s="144"/>
      <c r="U303" s="144"/>
      <c r="V303" s="144"/>
      <c r="W303" s="144"/>
      <c r="X303" s="144"/>
      <c r="Y303" s="144"/>
      <c r="Z303" s="144"/>
      <c r="AA303" s="144"/>
      <c r="AB303" s="144"/>
      <c r="AC303" s="166"/>
      <c r="AD303" s="166"/>
      <c r="AE303" s="144"/>
      <c r="AF303" s="144"/>
      <c r="AG303" s="144"/>
      <c r="AH303" s="144"/>
      <c r="AI303" s="144"/>
      <c r="AJ303" s="144"/>
      <c r="AK303" s="144"/>
      <c r="AL303" s="144"/>
      <c r="AM303" s="144"/>
      <c r="AN303" s="144"/>
      <c r="AO303" s="167"/>
      <c r="AP303" s="167"/>
      <c r="AQ303" s="167"/>
      <c r="AR303" s="167"/>
    </row>
    <row r="304">
      <c r="A304" s="50" t="str">
        <f>IF(UpdateHashtag!C302="",ROW(UpdateHashtag!C302),UpdateHashtag!C302)</f>
        <v>Trey Jemison</v>
      </c>
      <c r="B304" s="53">
        <f>IF(TYPE($A304)=1,"",(UpdateHashtag!M302-B$1)/B$2)</f>
        <v>-2.276299166</v>
      </c>
      <c r="C304" s="53">
        <f>IF(TYPE($A304)=1,"",(UpdateHashtag!L302-C$1)/C$2)</f>
        <v>-1.709094101</v>
      </c>
      <c r="D304" s="53">
        <f>IF(TYPE($A304)=1,"",(UpdateHashtag!N302-D$1)/D$2)</f>
        <v>-1.145730194</v>
      </c>
      <c r="E304" s="53">
        <f>IF(TYPE($A304)=1,"",(UpdateHashtag!O302-E$1)/E$2)</f>
        <v>-1.532420317</v>
      </c>
      <c r="F304" s="53">
        <f>IF(TYPE($A304)=1,"",(UpdateHashtag!P302-F$1)/F$2)</f>
        <v>-2.27075839</v>
      </c>
      <c r="G304" s="53">
        <f>IF(TYPE($A304)=1,"",(UpdateHashtag!Q302-G$1)/G$2)</f>
        <v>-0.05494381853</v>
      </c>
      <c r="H304" s="53">
        <f>IF(TYPE($A304)=1,"",(UpdateHashtag!I302-H$1)/H$2*I304/$I$1)</f>
        <v>5.803063132</v>
      </c>
      <c r="I304" s="53">
        <f>UpdateHashtag!S302</f>
        <v>3.4</v>
      </c>
      <c r="J304" s="58">
        <f>IF(TYPE($A304)=1,"",(UpdateHashtag!K302-J$1)/J$2*K304/$K$1)</f>
        <v>0.4880684777</v>
      </c>
      <c r="K304" s="59">
        <f>UpdateHashtag!T302</f>
        <v>0.6</v>
      </c>
      <c r="L304" s="53">
        <f>IF(TYPE($A304)=1,"",-(UpdateHashtag!R302-L$1)/L$2)</f>
        <v>0.9410095407</v>
      </c>
      <c r="O304" s="106"/>
      <c r="P304" s="163"/>
      <c r="Q304" s="164"/>
      <c r="R304" s="163"/>
      <c r="S304" s="165"/>
      <c r="T304" s="144"/>
      <c r="U304" s="144"/>
      <c r="V304" s="144"/>
      <c r="W304" s="144"/>
      <c r="X304" s="144"/>
      <c r="Y304" s="144"/>
      <c r="Z304" s="144"/>
      <c r="AA304" s="144"/>
      <c r="AB304" s="144"/>
      <c r="AC304" s="166"/>
      <c r="AD304" s="166"/>
      <c r="AE304" s="144"/>
      <c r="AF304" s="144"/>
      <c r="AG304" s="144"/>
      <c r="AH304" s="144"/>
      <c r="AI304" s="144"/>
      <c r="AJ304" s="144"/>
      <c r="AK304" s="144"/>
      <c r="AL304" s="144"/>
      <c r="AM304" s="144"/>
      <c r="AN304" s="144"/>
      <c r="AO304" s="167"/>
      <c r="AP304" s="167"/>
      <c r="AQ304" s="167"/>
      <c r="AR304" s="167"/>
    </row>
    <row r="305">
      <c r="A305" s="50" t="str">
        <f>IF(UpdateHashtag!C303="",ROW(UpdateHashtag!C303),UpdateHashtag!C303)</f>
        <v>Thomas Bryant</v>
      </c>
      <c r="B305" s="53">
        <f>IF(TYPE($A305)=1,"",(UpdateHashtag!M303-B$1)/B$2)</f>
        <v>-1.960502465</v>
      </c>
      <c r="C305" s="53">
        <f>IF(TYPE($A305)=1,"",(UpdateHashtag!L303-C$1)/C$2)</f>
        <v>-1.515927413</v>
      </c>
      <c r="D305" s="53">
        <f>IF(TYPE($A305)=1,"",(UpdateHashtag!N303-D$1)/D$2)</f>
        <v>-1.024124112</v>
      </c>
      <c r="E305" s="53">
        <f>IF(TYPE($A305)=1,"",(UpdateHashtag!O303-E$1)/E$2)</f>
        <v>-1.678974666</v>
      </c>
      <c r="F305" s="53">
        <f>IF(TYPE($A305)=1,"",(UpdateHashtag!P303-F$1)/F$2)</f>
        <v>-2.575481394</v>
      </c>
      <c r="G305" s="53">
        <f>IF(TYPE($A305)=1,"",(UpdateHashtag!Q303-G$1)/G$2)</f>
        <v>-0.600341486</v>
      </c>
      <c r="H305" s="53">
        <f>IF(TYPE($A305)=1,"",(UpdateHashtag!I303-H$1)/H$2*I305/$I$1)</f>
        <v>13.4514584</v>
      </c>
      <c r="I305" s="53">
        <f>UpdateHashtag!S303</f>
        <v>3.9</v>
      </c>
      <c r="J305" s="58">
        <f>IF(TYPE($A305)=1,"",(UpdateHashtag!K303-J$1)/J$2*K305/$K$1)</f>
        <v>-0.3531822885</v>
      </c>
      <c r="K305" s="59">
        <f>UpdateHashtag!T303</f>
        <v>1.3</v>
      </c>
      <c r="L305" s="53">
        <f>IF(TYPE($A305)=1,"",-(UpdateHashtag!R303-L$1)/L$2)</f>
        <v>1.238588102</v>
      </c>
      <c r="O305" s="106"/>
      <c r="P305" s="163"/>
      <c r="Q305" s="164"/>
      <c r="R305" s="163"/>
      <c r="S305" s="165"/>
      <c r="T305" s="144"/>
      <c r="U305" s="144"/>
      <c r="V305" s="144"/>
      <c r="W305" s="144"/>
      <c r="X305" s="144"/>
      <c r="Y305" s="144"/>
      <c r="Z305" s="144"/>
      <c r="AA305" s="144"/>
      <c r="AB305" s="144"/>
      <c r="AC305" s="166"/>
      <c r="AD305" s="166"/>
      <c r="AE305" s="144"/>
      <c r="AF305" s="144"/>
      <c r="AG305" s="144"/>
      <c r="AH305" s="144"/>
      <c r="AI305" s="144"/>
      <c r="AJ305" s="144"/>
      <c r="AK305" s="144"/>
      <c r="AL305" s="144"/>
      <c r="AM305" s="144"/>
      <c r="AN305" s="144"/>
      <c r="AO305" s="167"/>
      <c r="AP305" s="167"/>
      <c r="AQ305" s="167"/>
      <c r="AR305" s="167"/>
    </row>
    <row r="306">
      <c r="A306" s="50" t="str">
        <f>IF(UpdateHashtag!C304="",ROW(UpdateHashtag!C304),UpdateHashtag!C304)</f>
        <v>Devin Carter</v>
      </c>
      <c r="B306" s="53">
        <f>IF(TYPE($A306)=1,"",(UpdateHashtag!M304-B$1)/B$2)</f>
        <v>-1.942958204</v>
      </c>
      <c r="C306" s="53">
        <f>IF(TYPE($A306)=1,"",(UpdateHashtag!L304-C$1)/C$2)</f>
        <v>-0.9364273487</v>
      </c>
      <c r="D306" s="53">
        <f>IF(TYPE($A306)=1,"",(UpdateHashtag!N304-D$1)/D$2)</f>
        <v>-1.388942357</v>
      </c>
      <c r="E306" s="53">
        <f>IF(TYPE($A306)=1,"",(UpdateHashtag!O304-E$1)/E$2)</f>
        <v>-1.337014518</v>
      </c>
      <c r="F306" s="53">
        <f>IF(TYPE($A306)=1,"",(UpdateHashtag!P304-F$1)/F$2)</f>
        <v>-1.661312382</v>
      </c>
      <c r="G306" s="53">
        <f>IF(TYPE($A306)=1,"",(UpdateHashtag!Q304-G$1)/G$2)</f>
        <v>-0.7821407085</v>
      </c>
      <c r="H306" s="53">
        <f>IF(TYPE($A306)=1,"",(UpdateHashtag!I304-H$1)/H$2*I306/$I$1)</f>
        <v>-2.994524454</v>
      </c>
      <c r="I306" s="53">
        <f>UpdateHashtag!S304</f>
        <v>4.3</v>
      </c>
      <c r="J306" s="58">
        <f>IF(TYPE($A306)=1,"",(UpdateHashtag!K304-J$1)/J$2*K306/$K$1)</f>
        <v>-1.021930631</v>
      </c>
      <c r="K306" s="59">
        <f>UpdateHashtag!T304</f>
        <v>1.6</v>
      </c>
      <c r="L306" s="53">
        <f>IF(TYPE($A306)=1,"",-(UpdateHashtag!R304-L$1)/L$2)</f>
        <v>0.9410095407</v>
      </c>
      <c r="N306" s="106"/>
      <c r="O306" s="106"/>
      <c r="P306" s="163"/>
      <c r="Q306" s="164"/>
      <c r="R306" s="163"/>
      <c r="S306" s="165"/>
      <c r="T306" s="144"/>
      <c r="U306" s="144"/>
      <c r="V306" s="144"/>
      <c r="W306" s="144"/>
      <c r="X306" s="144"/>
      <c r="Y306" s="144"/>
      <c r="Z306" s="144"/>
      <c r="AA306" s="144"/>
      <c r="AB306" s="144"/>
      <c r="AC306" s="166"/>
      <c r="AD306" s="166"/>
      <c r="AE306" s="144"/>
      <c r="AF306" s="144"/>
      <c r="AG306" s="144"/>
      <c r="AH306" s="144"/>
      <c r="AI306" s="144"/>
      <c r="AJ306" s="144"/>
      <c r="AK306" s="144"/>
      <c r="AL306" s="144"/>
      <c r="AM306" s="144"/>
      <c r="AN306" s="144"/>
      <c r="AO306" s="167"/>
      <c r="AP306" s="167"/>
      <c r="AQ306" s="167"/>
      <c r="AR306" s="167"/>
    </row>
    <row r="307">
      <c r="A307" s="50" t="str">
        <f>IF(UpdateHashtag!C305="",ROW(UpdateHashtag!C305),UpdateHashtag!C305)</f>
        <v>Joe Ingles</v>
      </c>
      <c r="B307" s="53">
        <f>IF(TYPE($A307)=1,"",(UpdateHashtag!M305-B$1)/B$2)</f>
        <v>-2.276299166</v>
      </c>
      <c r="C307" s="53">
        <f>IF(TYPE($A307)=1,"",(UpdateHashtag!L305-C$1)/C$2)</f>
        <v>-0.6466773167</v>
      </c>
      <c r="D307" s="53">
        <f>IF(TYPE($A307)=1,"",(UpdateHashtag!N305-D$1)/D$2)</f>
        <v>-1.713225242</v>
      </c>
      <c r="E307" s="53">
        <f>IF(TYPE($A307)=1,"",(UpdateHashtag!O305-E$1)/E$2)</f>
        <v>-0.7019456721</v>
      </c>
      <c r="F307" s="53">
        <f>IF(TYPE($A307)=1,"",(UpdateHashtag!P305-F$1)/F$2)</f>
        <v>-1.661312382</v>
      </c>
      <c r="G307" s="53">
        <f>IF(TYPE($A307)=1,"",(UpdateHashtag!Q305-G$1)/G$2)</f>
        <v>-1.145739154</v>
      </c>
      <c r="H307" s="53">
        <f>IF(TYPE($A307)=1,"",(UpdateHashtag!I305-H$1)/H$2*I307/$I$1)</f>
        <v>-5.767720765</v>
      </c>
      <c r="I307" s="53">
        <f>UpdateHashtag!S305</f>
        <v>3.3</v>
      </c>
      <c r="J307" s="58">
        <f>IF(TYPE($A307)=1,"",(UpdateHashtag!K305-J$1)/J$2*K307/$K$1)</f>
        <v>0.3445282701</v>
      </c>
      <c r="K307" s="59">
        <f>UpdateHashtag!T305</f>
        <v>0.4</v>
      </c>
      <c r="L307" s="53">
        <f>IF(TYPE($A307)=1,"",-(UpdateHashtag!R305-L$1)/L$2)</f>
        <v>0.9410095407</v>
      </c>
      <c r="N307" s="106"/>
      <c r="O307" s="106"/>
      <c r="P307" s="163"/>
      <c r="Q307" s="164"/>
      <c r="R307" s="163"/>
      <c r="S307" s="165"/>
      <c r="T307" s="144"/>
      <c r="U307" s="144"/>
      <c r="V307" s="144"/>
      <c r="W307" s="144"/>
      <c r="X307" s="144"/>
      <c r="Y307" s="144"/>
      <c r="Z307" s="144"/>
      <c r="AA307" s="144"/>
      <c r="AB307" s="144"/>
      <c r="AC307" s="166"/>
      <c r="AD307" s="166"/>
      <c r="AE307" s="144"/>
      <c r="AF307" s="144"/>
      <c r="AG307" s="144"/>
      <c r="AH307" s="144"/>
      <c r="AI307" s="144"/>
      <c r="AJ307" s="144"/>
      <c r="AK307" s="144"/>
      <c r="AL307" s="144"/>
      <c r="AM307" s="144"/>
      <c r="AN307" s="144"/>
      <c r="AO307" s="167"/>
      <c r="AP307" s="167"/>
      <c r="AQ307" s="167"/>
      <c r="AR307" s="167"/>
    </row>
    <row r="308">
      <c r="A308" s="50" t="str">
        <f>IF(UpdateHashtag!C306="",ROW(UpdateHashtag!C306),UpdateHashtag!C306)</f>
        <v>Tim Hardaway Jr.</v>
      </c>
      <c r="B308" s="53">
        <f>IF(TYPE($A308)=1,"",(UpdateHashtag!M306-B$1)/B$2)</f>
        <v>-1.381541846</v>
      </c>
      <c r="C308" s="53">
        <f>IF(TYPE($A308)=1,"",(UpdateHashtag!L306-C$1)/C$2)</f>
        <v>0.02940609112</v>
      </c>
      <c r="D308" s="53">
        <f>IF(TYPE($A308)=1,"",(UpdateHashtag!N306-D$1)/D$2)</f>
        <v>-1.591619161</v>
      </c>
      <c r="E308" s="53">
        <f>IF(TYPE($A308)=1,"",(UpdateHashtag!O306-E$1)/E$2)</f>
        <v>-1.288163069</v>
      </c>
      <c r="F308" s="53">
        <f>IF(TYPE($A308)=1,"",(UpdateHashtag!P306-F$1)/F$2)</f>
        <v>-1.966035386</v>
      </c>
      <c r="G308" s="53">
        <f>IF(TYPE($A308)=1,"",(UpdateHashtag!Q306-G$1)/G$2)</f>
        <v>-1.145739154</v>
      </c>
      <c r="H308" s="53">
        <f>IF(TYPE($A308)=1,"",(UpdateHashtag!I306-H$1)/H$2*I308/$I$1)</f>
        <v>-22.11357972</v>
      </c>
      <c r="I308" s="53">
        <f>UpdateHashtag!S306</f>
        <v>7.9</v>
      </c>
      <c r="J308" s="58">
        <f>IF(TYPE($A308)=1,"",(UpdateHashtag!K306-J$1)/J$2*K308/$K$1)</f>
        <v>0.5579648049</v>
      </c>
      <c r="K308" s="59">
        <f>UpdateHashtag!T306</f>
        <v>1.4</v>
      </c>
      <c r="L308" s="53">
        <f>IF(TYPE($A308)=1,"",-(UpdateHashtag!R306-L$1)/L$2)</f>
        <v>1.139395249</v>
      </c>
      <c r="O308" s="106"/>
      <c r="P308" s="163"/>
      <c r="Q308" s="164"/>
      <c r="R308" s="163"/>
      <c r="S308" s="165"/>
      <c r="T308" s="144"/>
      <c r="U308" s="144"/>
      <c r="V308" s="144"/>
      <c r="W308" s="144"/>
      <c r="X308" s="144"/>
      <c r="Y308" s="144"/>
      <c r="Z308" s="144"/>
      <c r="AA308" s="144"/>
      <c r="AB308" s="144"/>
      <c r="AC308" s="166"/>
      <c r="AD308" s="166"/>
      <c r="AE308" s="144"/>
      <c r="AF308" s="144"/>
      <c r="AG308" s="144"/>
      <c r="AH308" s="144"/>
      <c r="AI308" s="144"/>
      <c r="AJ308" s="144"/>
      <c r="AK308" s="144"/>
      <c r="AL308" s="144"/>
      <c r="AM308" s="144"/>
      <c r="AN308" s="144"/>
      <c r="AO308" s="167"/>
      <c r="AP308" s="167"/>
      <c r="AQ308" s="167"/>
      <c r="AR308" s="167"/>
    </row>
    <row r="309">
      <c r="A309" s="50" t="str">
        <f>IF(UpdateHashtag!C307="",ROW(UpdateHashtag!C307),UpdateHashtag!C307)</f>
        <v>Tre Mann</v>
      </c>
      <c r="B309" s="53">
        <f>IF(TYPE($A309)=1,"",(UpdateHashtag!M307-B$1)/B$2)</f>
        <v>-1.855236898</v>
      </c>
      <c r="C309" s="53">
        <f>IF(TYPE($A309)=1,"",(UpdateHashtag!L307-C$1)/C$2)</f>
        <v>-0.8398440047</v>
      </c>
      <c r="D309" s="53">
        <f>IF(TYPE($A309)=1,"",(UpdateHashtag!N307-D$1)/D$2)</f>
        <v>-1.591619161</v>
      </c>
      <c r="E309" s="53">
        <f>IF(TYPE($A309)=1,"",(UpdateHashtag!O307-E$1)/E$2)</f>
        <v>-0.8485000212</v>
      </c>
      <c r="F309" s="53">
        <f>IF(TYPE($A309)=1,"",(UpdateHashtag!P307-F$1)/F$2)</f>
        <v>-1.051866375</v>
      </c>
      <c r="G309" s="53">
        <f>IF(TYPE($A309)=1,"",(UpdateHashtag!Q307-G$1)/G$2)</f>
        <v>-1.145739154</v>
      </c>
      <c r="H309" s="53">
        <f>IF(TYPE($A309)=1,"",(UpdateHashtag!I307-H$1)/H$2*I309/$I$1)</f>
        <v>-13.73106385</v>
      </c>
      <c r="I309" s="53">
        <f>UpdateHashtag!S307</f>
        <v>6</v>
      </c>
      <c r="J309" s="58">
        <f>IF(TYPE($A309)=1,"",(UpdateHashtag!K307-J$1)/J$2*K309/$K$1)</f>
        <v>-0.2173429467</v>
      </c>
      <c r="K309" s="59">
        <f>UpdateHashtag!T307</f>
        <v>0.8</v>
      </c>
      <c r="L309" s="53">
        <f>IF(TYPE($A309)=1,"",-(UpdateHashtag!R307-L$1)/L$2)</f>
        <v>0.8418166868</v>
      </c>
      <c r="O309" s="106"/>
      <c r="P309" s="163"/>
      <c r="Q309" s="164"/>
      <c r="R309" s="163"/>
      <c r="S309" s="165"/>
      <c r="T309" s="144"/>
      <c r="U309" s="144"/>
      <c r="V309" s="144"/>
      <c r="W309" s="144"/>
      <c r="X309" s="144"/>
      <c r="Y309" s="144"/>
      <c r="Z309" s="144"/>
      <c r="AA309" s="144"/>
      <c r="AB309" s="144"/>
      <c r="AC309" s="166"/>
      <c r="AD309" s="166"/>
      <c r="AE309" s="144"/>
      <c r="AF309" s="144"/>
      <c r="AG309" s="144"/>
      <c r="AH309" s="144"/>
      <c r="AI309" s="144"/>
      <c r="AJ309" s="144"/>
      <c r="AK309" s="144"/>
      <c r="AL309" s="144"/>
      <c r="AM309" s="144"/>
      <c r="AN309" s="144"/>
      <c r="AO309" s="167"/>
      <c r="AP309" s="167"/>
      <c r="AQ309" s="167"/>
      <c r="AR309" s="167"/>
    </row>
    <row r="310">
      <c r="A310" s="50" t="str">
        <f>IF(UpdateHashtag!C308="",ROW(UpdateHashtag!C308),UpdateHashtag!C308)</f>
        <v>Davion Mitchell</v>
      </c>
      <c r="B310" s="53">
        <f>IF(TYPE($A310)=1,"",(UpdateHashtag!M308-B$1)/B$2)</f>
        <v>-1.855236898</v>
      </c>
      <c r="C310" s="53">
        <f>IF(TYPE($A310)=1,"",(UpdateHashtag!L308-C$1)/C$2)</f>
        <v>-0.7432606607</v>
      </c>
      <c r="D310" s="53">
        <f>IF(TYPE($A310)=1,"",(UpdateHashtag!N308-D$1)/D$2)</f>
        <v>-1.834831324</v>
      </c>
      <c r="E310" s="53">
        <f>IF(TYPE($A310)=1,"",(UpdateHashtag!O308-E$1)/E$2)</f>
        <v>-0.6530942224</v>
      </c>
      <c r="F310" s="53">
        <f>IF(TYPE($A310)=1,"",(UpdateHashtag!P308-F$1)/F$2)</f>
        <v>-1.661312382</v>
      </c>
      <c r="G310" s="53">
        <f>IF(TYPE($A310)=1,"",(UpdateHashtag!Q308-G$1)/G$2)</f>
        <v>-1.145739154</v>
      </c>
      <c r="H310" s="53">
        <f>IF(TYPE($A310)=1,"",(UpdateHashtag!I308-H$1)/H$2*I310/$I$1)</f>
        <v>-7.222796663</v>
      </c>
      <c r="I310" s="53">
        <f>UpdateHashtag!S308</f>
        <v>5.7</v>
      </c>
      <c r="J310" s="58">
        <f>IF(TYPE($A310)=1,"",(UpdateHashtag!K308-J$1)/J$2*K310/$K$1)</f>
        <v>-0.4502464841</v>
      </c>
      <c r="K310" s="59">
        <f>UpdateHashtag!T308</f>
        <v>0.6</v>
      </c>
      <c r="L310" s="53">
        <f>IF(TYPE($A310)=1,"",-(UpdateHashtag!R308-L$1)/L$2)</f>
        <v>0.9410095407</v>
      </c>
      <c r="N310" s="106"/>
      <c r="O310" s="106"/>
      <c r="P310" s="163"/>
      <c r="Q310" s="164"/>
      <c r="R310" s="163"/>
      <c r="S310" s="165"/>
      <c r="T310" s="144"/>
      <c r="U310" s="144"/>
      <c r="V310" s="144"/>
      <c r="W310" s="144"/>
      <c r="X310" s="144"/>
      <c r="Y310" s="144"/>
      <c r="Z310" s="144"/>
      <c r="AA310" s="144"/>
      <c r="AB310" s="144"/>
      <c r="AC310" s="166"/>
      <c r="AD310" s="166"/>
      <c r="AE310" s="144"/>
      <c r="AF310" s="144"/>
      <c r="AG310" s="144"/>
      <c r="AH310" s="144"/>
      <c r="AI310" s="144"/>
      <c r="AJ310" s="144"/>
      <c r="AK310" s="144"/>
      <c r="AL310" s="144"/>
      <c r="AM310" s="144"/>
      <c r="AN310" s="144"/>
      <c r="AO310" s="167"/>
      <c r="AP310" s="167"/>
      <c r="AQ310" s="167"/>
      <c r="AR310" s="167"/>
    </row>
    <row r="311">
      <c r="A311" s="50" t="str">
        <f>IF(UpdateHashtag!C309="",ROW(UpdateHashtag!C309),UpdateHashtag!C309)</f>
        <v>Josh Okogie</v>
      </c>
      <c r="B311" s="53">
        <f>IF(TYPE($A311)=1,"",(UpdateHashtag!M309-B$1)/B$2)</f>
        <v>-1.995590987</v>
      </c>
      <c r="C311" s="53">
        <f>IF(TYPE($A311)=1,"",(UpdateHashtag!L309-C$1)/C$2)</f>
        <v>-1.033010693</v>
      </c>
      <c r="D311" s="53">
        <f>IF(TYPE($A311)=1,"",(UpdateHashtag!N309-D$1)/D$2)</f>
        <v>-1.307871636</v>
      </c>
      <c r="E311" s="53">
        <f>IF(TYPE($A311)=1,"",(UpdateHashtag!O309-E$1)/E$2)</f>
        <v>-1.288163069</v>
      </c>
      <c r="F311" s="53">
        <f>IF(TYPE($A311)=1,"",(UpdateHashtag!P309-F$1)/F$2)</f>
        <v>-0.7471433709</v>
      </c>
      <c r="G311" s="53">
        <f>IF(TYPE($A311)=1,"",(UpdateHashtag!Q309-G$1)/G$2)</f>
        <v>-0.600341486</v>
      </c>
      <c r="H311" s="53">
        <f>IF(TYPE($A311)=1,"",(UpdateHashtag!I309-H$1)/H$2*I311/$I$1)</f>
        <v>-12.86670112</v>
      </c>
      <c r="I311" s="53">
        <f>UpdateHashtag!S309</f>
        <v>4.5</v>
      </c>
      <c r="J311" s="58">
        <f>IF(TYPE($A311)=1,"",(UpdateHashtag!K309-J$1)/J$2*K311/$K$1)</f>
        <v>-1.944486429</v>
      </c>
      <c r="K311" s="59">
        <f>UpdateHashtag!T309</f>
        <v>2.1</v>
      </c>
      <c r="L311" s="53">
        <f>IF(TYPE($A311)=1,"",-(UpdateHashtag!R309-L$1)/L$2)</f>
        <v>1.040202395</v>
      </c>
      <c r="N311" s="106"/>
      <c r="O311" s="106"/>
      <c r="P311" s="163"/>
      <c r="Q311" s="164"/>
      <c r="R311" s="163"/>
      <c r="S311" s="165"/>
      <c r="T311" s="144"/>
      <c r="U311" s="144"/>
      <c r="V311" s="144"/>
      <c r="W311" s="144"/>
      <c r="X311" s="144"/>
      <c r="Y311" s="144"/>
      <c r="Z311" s="144"/>
      <c r="AA311" s="144"/>
      <c r="AB311" s="144"/>
      <c r="AC311" s="166"/>
      <c r="AD311" s="166"/>
      <c r="AE311" s="144"/>
      <c r="AF311" s="144"/>
      <c r="AG311" s="144"/>
      <c r="AH311" s="144"/>
      <c r="AI311" s="144"/>
      <c r="AJ311" s="144"/>
      <c r="AK311" s="144"/>
      <c r="AL311" s="144"/>
      <c r="AM311" s="144"/>
      <c r="AN311" s="144"/>
      <c r="AO311" s="167"/>
      <c r="AP311" s="167"/>
      <c r="AQ311" s="167"/>
      <c r="AR311" s="167"/>
    </row>
    <row r="312">
      <c r="A312" s="50" t="str">
        <f>IF(UpdateHashtag!C310="",ROW(UpdateHashtag!C310),UpdateHashtag!C310)</f>
        <v>Jaden Springer</v>
      </c>
      <c r="B312" s="53">
        <f>IF(TYPE($A312)=1,"",(UpdateHashtag!M310-B$1)/B$2)</f>
        <v>-2.276299166</v>
      </c>
      <c r="C312" s="53">
        <f>IF(TYPE($A312)=1,"",(UpdateHashtag!L310-C$1)/C$2)</f>
        <v>-1.419344069</v>
      </c>
      <c r="D312" s="53">
        <f>IF(TYPE($A312)=1,"",(UpdateHashtag!N310-D$1)/D$2)</f>
        <v>-1.713225242</v>
      </c>
      <c r="E312" s="53">
        <f>IF(TYPE($A312)=1,"",(UpdateHashtag!O310-E$1)/E$2)</f>
        <v>-1.337014518</v>
      </c>
      <c r="F312" s="53">
        <f>IF(TYPE($A312)=1,"",(UpdateHashtag!P310-F$1)/F$2)</f>
        <v>-0.442420367</v>
      </c>
      <c r="G312" s="53">
        <f>IF(TYPE($A312)=1,"",(UpdateHashtag!Q310-G$1)/G$2)</f>
        <v>-0.600341486</v>
      </c>
      <c r="H312" s="53">
        <f>IF(TYPE($A312)=1,"",(UpdateHashtag!I310-H$1)/H$2*I312/$I$1)</f>
        <v>-9.0387942</v>
      </c>
      <c r="I312" s="53">
        <f>UpdateHashtag!S310</f>
        <v>3.8</v>
      </c>
      <c r="J312" s="58">
        <f>IF(TYPE($A312)=1,"",(UpdateHashtag!K310-J$1)/J$2*K312/$K$1)</f>
        <v>0.5740814011</v>
      </c>
      <c r="K312" s="59">
        <f>UpdateHashtag!T310</f>
        <v>1</v>
      </c>
      <c r="L312" s="53">
        <f>IF(TYPE($A312)=1,"",-(UpdateHashtag!R310-L$1)/L$2)</f>
        <v>0.9410095407</v>
      </c>
      <c r="O312" s="106"/>
      <c r="P312" s="163"/>
      <c r="Q312" s="164"/>
      <c r="R312" s="163"/>
      <c r="S312" s="165"/>
      <c r="T312" s="144"/>
      <c r="U312" s="144"/>
      <c r="V312" s="144"/>
      <c r="W312" s="144"/>
      <c r="X312" s="144"/>
      <c r="Y312" s="144"/>
      <c r="Z312" s="144"/>
      <c r="AA312" s="144"/>
      <c r="AB312" s="144"/>
      <c r="AC312" s="166"/>
      <c r="AD312" s="166"/>
      <c r="AE312" s="144"/>
      <c r="AF312" s="144"/>
      <c r="AG312" s="144"/>
      <c r="AH312" s="144"/>
      <c r="AI312" s="144"/>
      <c r="AJ312" s="144"/>
      <c r="AK312" s="144"/>
      <c r="AL312" s="144"/>
      <c r="AM312" s="144"/>
      <c r="AN312" s="144"/>
      <c r="AO312" s="167"/>
      <c r="AP312" s="167"/>
      <c r="AQ312" s="167"/>
      <c r="AR312" s="167"/>
    </row>
    <row r="313">
      <c r="A313" s="50" t="str">
        <f>IF(UpdateHashtag!C311="",ROW(UpdateHashtag!C311),UpdateHashtag!C311)</f>
        <v>Bol Bol</v>
      </c>
      <c r="B313" s="53">
        <f>IF(TYPE($A313)=1,"",(UpdateHashtag!M311-B$1)/B$2)</f>
        <v>-2.153489338</v>
      </c>
      <c r="C313" s="53">
        <f>IF(TYPE($A313)=1,"",(UpdateHashtag!L311-C$1)/C$2)</f>
        <v>-1.419344069</v>
      </c>
      <c r="D313" s="53">
        <f>IF(TYPE($A313)=1,"",(UpdateHashtag!N311-D$1)/D$2)</f>
        <v>-1.226800915</v>
      </c>
      <c r="E313" s="53">
        <f>IF(TYPE($A313)=1,"",(UpdateHashtag!O311-E$1)/E$2)</f>
        <v>-1.630123217</v>
      </c>
      <c r="F313" s="53">
        <f>IF(TYPE($A313)=1,"",(UpdateHashtag!P311-F$1)/F$2)</f>
        <v>-2.575481394</v>
      </c>
      <c r="G313" s="53">
        <f>IF(TYPE($A313)=1,"",(UpdateHashtag!Q311-G$1)/G$2)</f>
        <v>-0.236743041</v>
      </c>
      <c r="H313" s="53">
        <f>IF(TYPE($A313)=1,"",(UpdateHashtag!I311-H$1)/H$2*I313/$I$1)</f>
        <v>7.33399602</v>
      </c>
      <c r="I313" s="53">
        <f>UpdateHashtag!S311</f>
        <v>3.6</v>
      </c>
      <c r="J313" s="58">
        <f>IF(TYPE($A313)=1,"",(UpdateHashtag!K311-J$1)/J$2*K313/$K$1)</f>
        <v>-0.2683679919</v>
      </c>
      <c r="K313" s="59">
        <f>UpdateHashtag!T311</f>
        <v>0.7</v>
      </c>
      <c r="L313" s="53">
        <f>IF(TYPE($A313)=1,"",-(UpdateHashtag!R311-L$1)/L$2)</f>
        <v>1.040202395</v>
      </c>
      <c r="O313" s="106"/>
      <c r="P313" s="163"/>
      <c r="Q313" s="164"/>
      <c r="R313" s="163"/>
      <c r="S313" s="165"/>
      <c r="T313" s="144"/>
      <c r="U313" s="144"/>
      <c r="V313" s="144"/>
      <c r="W313" s="144"/>
      <c r="X313" s="144"/>
      <c r="Y313" s="144"/>
      <c r="Z313" s="144"/>
      <c r="AA313" s="144"/>
      <c r="AB313" s="144"/>
      <c r="AC313" s="166"/>
      <c r="AD313" s="166"/>
      <c r="AE313" s="144"/>
      <c r="AF313" s="144"/>
      <c r="AG313" s="144"/>
      <c r="AH313" s="144"/>
      <c r="AI313" s="144"/>
      <c r="AJ313" s="144"/>
      <c r="AK313" s="144"/>
      <c r="AL313" s="144"/>
      <c r="AM313" s="144"/>
      <c r="AN313" s="144"/>
      <c r="AO313" s="167"/>
      <c r="AP313" s="167"/>
      <c r="AQ313" s="167"/>
      <c r="AR313" s="167"/>
    </row>
    <row r="314">
      <c r="A314" s="50" t="str">
        <f>IF(UpdateHashtag!C312="",ROW(UpdateHashtag!C312),UpdateHashtag!C312)</f>
        <v>Cameron Payne</v>
      </c>
      <c r="B314" s="53">
        <f>IF(TYPE($A314)=1,"",(UpdateHashtag!M312-B$1)/B$2)</f>
        <v>-1.837692637</v>
      </c>
      <c r="C314" s="53">
        <f>IF(TYPE($A314)=1,"",(UpdateHashtag!L312-C$1)/C$2)</f>
        <v>-0.6466773167</v>
      </c>
      <c r="D314" s="53">
        <f>IF(TYPE($A314)=1,"",(UpdateHashtag!N312-D$1)/D$2)</f>
        <v>-1.915902046</v>
      </c>
      <c r="E314" s="53">
        <f>IF(TYPE($A314)=1,"",(UpdateHashtag!O312-E$1)/E$2)</f>
        <v>-0.6042427726</v>
      </c>
      <c r="F314" s="53">
        <f>IF(TYPE($A314)=1,"",(UpdateHashtag!P312-F$1)/F$2)</f>
        <v>-1.661312382</v>
      </c>
      <c r="G314" s="53">
        <f>IF(TYPE($A314)=1,"",(UpdateHashtag!Q312-G$1)/G$2)</f>
        <v>-1.145739154</v>
      </c>
      <c r="H314" s="53">
        <f>IF(TYPE($A314)=1,"",(UpdateHashtag!I312-H$1)/H$2*I314/$I$1)</f>
        <v>-12.61603857</v>
      </c>
      <c r="I314" s="53">
        <f>UpdateHashtag!S312</f>
        <v>5.9</v>
      </c>
      <c r="J314" s="58">
        <f>IF(TYPE($A314)=1,"",(UpdateHashtag!K312-J$1)/J$2*K314/$K$1)</f>
        <v>0.3699017912</v>
      </c>
      <c r="K314" s="59">
        <f>UpdateHashtag!T312</f>
        <v>0.8</v>
      </c>
      <c r="L314" s="53">
        <f>IF(TYPE($A314)=1,"",-(UpdateHashtag!R312-L$1)/L$2)</f>
        <v>0.8418166868</v>
      </c>
      <c r="N314" s="106"/>
      <c r="O314" s="106"/>
      <c r="P314" s="163"/>
      <c r="Q314" s="164"/>
      <c r="R314" s="163"/>
      <c r="S314" s="165"/>
      <c r="T314" s="144"/>
      <c r="U314" s="144"/>
      <c r="V314" s="144"/>
      <c r="W314" s="144"/>
      <c r="X314" s="144"/>
      <c r="Y314" s="144"/>
      <c r="Z314" s="144"/>
      <c r="AA314" s="144"/>
      <c r="AB314" s="144"/>
      <c r="AC314" s="166"/>
      <c r="AD314" s="166"/>
      <c r="AE314" s="144"/>
      <c r="AF314" s="144"/>
      <c r="AG314" s="144"/>
      <c r="AH314" s="144"/>
      <c r="AI314" s="144"/>
      <c r="AJ314" s="144"/>
      <c r="AK314" s="144"/>
      <c r="AL314" s="144"/>
      <c r="AM314" s="144"/>
      <c r="AN314" s="144"/>
      <c r="AO314" s="167"/>
      <c r="AP314" s="167"/>
      <c r="AQ314" s="167"/>
      <c r="AR314" s="167"/>
    </row>
    <row r="315">
      <c r="A315" s="50" t="str">
        <f>IF(UpdateHashtag!C313="",ROW(UpdateHashtag!C313),UpdateHashtag!C313)</f>
        <v>Monte Morris</v>
      </c>
      <c r="B315" s="53">
        <f>IF(TYPE($A315)=1,"",(UpdateHashtag!M313-B$1)/B$2)</f>
        <v>-2.083312293</v>
      </c>
      <c r="C315" s="53">
        <f>IF(TYPE($A315)=1,"",(UpdateHashtag!L313-C$1)/C$2)</f>
        <v>-1.033010693</v>
      </c>
      <c r="D315" s="53">
        <f>IF(TYPE($A315)=1,"",(UpdateHashtag!N313-D$1)/D$2)</f>
        <v>-1.753760603</v>
      </c>
      <c r="E315" s="53">
        <f>IF(TYPE($A315)=1,"",(UpdateHashtag!O313-E$1)/E$2)</f>
        <v>-0.6042427726</v>
      </c>
      <c r="F315" s="53">
        <f>IF(TYPE($A315)=1,"",(UpdateHashtag!P313-F$1)/F$2)</f>
        <v>-1.966035386</v>
      </c>
      <c r="G315" s="53">
        <f>IF(TYPE($A315)=1,"",(UpdateHashtag!Q313-G$1)/G$2)</f>
        <v>-0.963939931</v>
      </c>
      <c r="H315" s="53">
        <f>IF(TYPE($A315)=1,"",(UpdateHashtag!I313-H$1)/H$2*I315/$I$1)</f>
        <v>-4.253740791</v>
      </c>
      <c r="I315" s="53">
        <f>UpdateHashtag!S313</f>
        <v>4.4</v>
      </c>
      <c r="J315" s="58">
        <f>IF(TYPE($A315)=1,"",(UpdateHashtag!K313-J$1)/J$2*K315/$K$1)</f>
        <v>0.2104038461</v>
      </c>
      <c r="K315" s="59">
        <f>UpdateHashtag!T313</f>
        <v>0.6</v>
      </c>
      <c r="L315" s="53">
        <f>IF(TYPE($A315)=1,"",-(UpdateHashtag!R313-L$1)/L$2)</f>
        <v>1.337780956</v>
      </c>
      <c r="N315" s="106"/>
      <c r="O315" s="106"/>
      <c r="P315" s="163"/>
      <c r="Q315" s="164"/>
      <c r="R315" s="163"/>
      <c r="S315" s="165"/>
      <c r="T315" s="144"/>
      <c r="U315" s="144"/>
      <c r="V315" s="144"/>
      <c r="W315" s="144"/>
      <c r="X315" s="144"/>
      <c r="Y315" s="144"/>
      <c r="Z315" s="144"/>
      <c r="AA315" s="144"/>
      <c r="AB315" s="144"/>
      <c r="AC315" s="166"/>
      <c r="AD315" s="166"/>
      <c r="AE315" s="144"/>
      <c r="AF315" s="144"/>
      <c r="AG315" s="144"/>
      <c r="AH315" s="144"/>
      <c r="AI315" s="144"/>
      <c r="AJ315" s="144"/>
      <c r="AK315" s="144"/>
      <c r="AL315" s="144"/>
      <c r="AM315" s="144"/>
      <c r="AN315" s="144"/>
      <c r="AO315" s="167"/>
      <c r="AP315" s="167"/>
      <c r="AQ315" s="167"/>
      <c r="AR315" s="167"/>
    </row>
    <row r="316">
      <c r="A316" s="50" t="str">
        <f>IF(UpdateHashtag!C314="",ROW(UpdateHashtag!C314),UpdateHashtag!C314)</f>
        <v>Amir Coffey</v>
      </c>
      <c r="B316" s="53">
        <f>IF(TYPE($A316)=1,"",(UpdateHashtag!M314-B$1)/B$2)</f>
        <v>-1.89032542</v>
      </c>
      <c r="C316" s="53">
        <f>IF(TYPE($A316)=1,"",(UpdateHashtag!L314-C$1)/C$2)</f>
        <v>-0.9364273487</v>
      </c>
      <c r="D316" s="53">
        <f>IF(TYPE($A316)=1,"",(UpdateHashtag!N314-D$1)/D$2)</f>
        <v>-1.672689882</v>
      </c>
      <c r="E316" s="53">
        <f>IF(TYPE($A316)=1,"",(UpdateHashtag!O314-E$1)/E$2)</f>
        <v>-1.239311619</v>
      </c>
      <c r="F316" s="53">
        <f>IF(TYPE($A316)=1,"",(UpdateHashtag!P314-F$1)/F$2)</f>
        <v>-1.661312382</v>
      </c>
      <c r="G316" s="53">
        <f>IF(TYPE($A316)=1,"",(UpdateHashtag!Q314-G$1)/G$2)</f>
        <v>-0.963939931</v>
      </c>
      <c r="H316" s="53">
        <f>IF(TYPE($A316)=1,"",(UpdateHashtag!I314-H$1)/H$2*I316/$I$1)</f>
        <v>-7.236980663</v>
      </c>
      <c r="I316" s="53">
        <f>UpdateHashtag!S314</f>
        <v>5</v>
      </c>
      <c r="J316" s="58">
        <f>IF(TYPE($A316)=1,"",(UpdateHashtag!K314-J$1)/J$2*K316/$K$1)</f>
        <v>0.7590322967</v>
      </c>
      <c r="K316" s="59">
        <f>UpdateHashtag!T314</f>
        <v>1.4</v>
      </c>
      <c r="L316" s="53">
        <f>IF(TYPE($A316)=1,"",-(UpdateHashtag!R314-L$1)/L$2)</f>
        <v>1.238588102</v>
      </c>
      <c r="O316" s="106"/>
      <c r="P316" s="163"/>
      <c r="Q316" s="164"/>
      <c r="R316" s="163"/>
      <c r="S316" s="165"/>
      <c r="T316" s="144"/>
      <c r="U316" s="144"/>
      <c r="V316" s="144"/>
      <c r="W316" s="144"/>
      <c r="X316" s="144"/>
      <c r="Y316" s="144"/>
      <c r="Z316" s="144"/>
      <c r="AA316" s="144"/>
      <c r="AB316" s="144"/>
      <c r="AC316" s="166"/>
      <c r="AD316" s="166"/>
      <c r="AE316" s="144"/>
      <c r="AF316" s="144"/>
      <c r="AG316" s="144"/>
      <c r="AH316" s="144"/>
      <c r="AI316" s="144"/>
      <c r="AJ316" s="144"/>
      <c r="AK316" s="144"/>
      <c r="AL316" s="144"/>
      <c r="AM316" s="144"/>
      <c r="AN316" s="144"/>
      <c r="AO316" s="167"/>
      <c r="AP316" s="167"/>
      <c r="AQ316" s="167"/>
      <c r="AR316" s="167"/>
    </row>
    <row r="317">
      <c r="A317" s="50" t="str">
        <f>IF(UpdateHashtag!C315="",ROW(UpdateHashtag!C315),UpdateHashtag!C315)</f>
        <v>Anthony Black</v>
      </c>
      <c r="B317" s="53">
        <f>IF(TYPE($A317)=1,"",(UpdateHashtag!M315-B$1)/B$2)</f>
        <v>-1.942958204</v>
      </c>
      <c r="C317" s="53">
        <f>IF(TYPE($A317)=1,"",(UpdateHashtag!L315-C$1)/C$2)</f>
        <v>-1.033010693</v>
      </c>
      <c r="D317" s="53">
        <f>IF(TYPE($A317)=1,"",(UpdateHashtag!N315-D$1)/D$2)</f>
        <v>-1.388942357</v>
      </c>
      <c r="E317" s="53">
        <f>IF(TYPE($A317)=1,"",(UpdateHashtag!O315-E$1)/E$2)</f>
        <v>-1.04390582</v>
      </c>
      <c r="F317" s="53">
        <f>IF(TYPE($A317)=1,"",(UpdateHashtag!P315-F$1)/F$2)</f>
        <v>-1.051866375</v>
      </c>
      <c r="G317" s="53">
        <f>IF(TYPE($A317)=1,"",(UpdateHashtag!Q315-G$1)/G$2)</f>
        <v>-0.600341486</v>
      </c>
      <c r="H317" s="53">
        <f>IF(TYPE($A317)=1,"",(UpdateHashtag!I315-H$1)/H$2*I317/$I$1)</f>
        <v>-4.120207337</v>
      </c>
      <c r="I317" s="53">
        <f>UpdateHashtag!S315</f>
        <v>4.7</v>
      </c>
      <c r="J317" s="58">
        <f>IF(TYPE($A317)=1,"",(UpdateHashtag!K315-J$1)/J$2*K317/$K$1)</f>
        <v>-3.68683307</v>
      </c>
      <c r="K317" s="59">
        <f>UpdateHashtag!T315</f>
        <v>1.5</v>
      </c>
      <c r="L317" s="53">
        <f>IF(TYPE($A317)=1,"",-(UpdateHashtag!R315-L$1)/L$2)</f>
        <v>0.643430979</v>
      </c>
      <c r="O317" s="106"/>
      <c r="P317" s="163"/>
      <c r="Q317" s="164"/>
      <c r="R317" s="163"/>
      <c r="S317" s="165"/>
      <c r="T317" s="144"/>
      <c r="U317" s="144"/>
      <c r="V317" s="144"/>
      <c r="W317" s="144"/>
      <c r="X317" s="144"/>
      <c r="Y317" s="144"/>
      <c r="Z317" s="144"/>
      <c r="AA317" s="144"/>
      <c r="AB317" s="144"/>
      <c r="AC317" s="166"/>
      <c r="AD317" s="166"/>
      <c r="AE317" s="144"/>
      <c r="AF317" s="144"/>
      <c r="AG317" s="144"/>
      <c r="AH317" s="144"/>
      <c r="AI317" s="144"/>
      <c r="AJ317" s="144"/>
      <c r="AK317" s="144"/>
      <c r="AL317" s="144"/>
      <c r="AM317" s="144"/>
      <c r="AN317" s="144"/>
      <c r="AO317" s="167"/>
      <c r="AP317" s="167"/>
      <c r="AQ317" s="167"/>
      <c r="AR317" s="167"/>
    </row>
    <row r="318">
      <c r="A318" s="50" t="str">
        <f>IF(UpdateHashtag!C316="",ROW(UpdateHashtag!C316),UpdateHashtag!C316)</f>
        <v>Cam Reddish</v>
      </c>
      <c r="B318" s="53">
        <f>IF(TYPE($A318)=1,"",(UpdateHashtag!M316-B$1)/B$2)</f>
        <v>-1.995590987</v>
      </c>
      <c r="C318" s="53">
        <f>IF(TYPE($A318)=1,"",(UpdateHashtag!L316-C$1)/C$2)</f>
        <v>-1.033010693</v>
      </c>
      <c r="D318" s="53">
        <f>IF(TYPE($A318)=1,"",(UpdateHashtag!N316-D$1)/D$2)</f>
        <v>-1.794295964</v>
      </c>
      <c r="E318" s="53">
        <f>IF(TYPE($A318)=1,"",(UpdateHashtag!O316-E$1)/E$2)</f>
        <v>-1.434717418</v>
      </c>
      <c r="F318" s="53">
        <f>IF(TYPE($A318)=1,"",(UpdateHashtag!P316-F$1)/F$2)</f>
        <v>-0.7471433709</v>
      </c>
      <c r="G318" s="53">
        <f>IF(TYPE($A318)=1,"",(UpdateHashtag!Q316-G$1)/G$2)</f>
        <v>-0.7821407085</v>
      </c>
      <c r="H318" s="53">
        <f>IF(TYPE($A318)=1,"",(UpdateHashtag!I316-H$1)/H$2*I318/$I$1)</f>
        <v>-10.91931206</v>
      </c>
      <c r="I318" s="53">
        <f>UpdateHashtag!S316</f>
        <v>4.9</v>
      </c>
      <c r="J318" s="58">
        <f>IF(TYPE($A318)=1,"",(UpdateHashtag!K316-J$1)/J$2*K318/$K$1)</f>
        <v>0.4208076923</v>
      </c>
      <c r="K318" s="59">
        <f>UpdateHashtag!T316</f>
        <v>1.2</v>
      </c>
      <c r="L318" s="53">
        <f>IF(TYPE($A318)=1,"",-(UpdateHashtag!R316-L$1)/L$2)</f>
        <v>1.040202395</v>
      </c>
      <c r="N318" s="106"/>
      <c r="O318" s="106"/>
      <c r="P318" s="163"/>
      <c r="Q318" s="164"/>
      <c r="R318" s="163"/>
      <c r="S318" s="165"/>
      <c r="T318" s="144"/>
      <c r="U318" s="144"/>
      <c r="V318" s="144"/>
      <c r="W318" s="144"/>
      <c r="X318" s="144"/>
      <c r="Y318" s="144"/>
      <c r="Z318" s="144"/>
      <c r="AA318" s="144"/>
      <c r="AB318" s="144"/>
      <c r="AC318" s="166"/>
      <c r="AD318" s="166"/>
      <c r="AE318" s="144"/>
      <c r="AF318" s="144"/>
      <c r="AG318" s="144"/>
      <c r="AH318" s="144"/>
      <c r="AI318" s="144"/>
      <c r="AJ318" s="144"/>
      <c r="AK318" s="144"/>
      <c r="AL318" s="144"/>
      <c r="AM318" s="144"/>
      <c r="AN318" s="144"/>
      <c r="AO318" s="167"/>
      <c r="AP318" s="167"/>
      <c r="AQ318" s="167"/>
      <c r="AR318" s="167"/>
    </row>
    <row r="319">
      <c r="A319" s="50" t="str">
        <f>IF(UpdateHashtag!C317="",ROW(UpdateHashtag!C317),UpdateHashtag!C317)</f>
        <v>Sam Merrill</v>
      </c>
      <c r="B319" s="53">
        <f>IF(TYPE($A319)=1,"",(UpdateHashtag!M317-B$1)/B$2)</f>
        <v>-1.855236898</v>
      </c>
      <c r="C319" s="53">
        <f>IF(TYPE($A319)=1,"",(UpdateHashtag!L317-C$1)/C$2)</f>
        <v>0.1259894351</v>
      </c>
      <c r="D319" s="53">
        <f>IF(TYPE($A319)=1,"",(UpdateHashtag!N317-D$1)/D$2)</f>
        <v>-1.794295964</v>
      </c>
      <c r="E319" s="53">
        <f>IF(TYPE($A319)=1,"",(UpdateHashtag!O317-E$1)/E$2)</f>
        <v>-1.141608719</v>
      </c>
      <c r="F319" s="53">
        <f>IF(TYPE($A319)=1,"",(UpdateHashtag!P317-F$1)/F$2)</f>
        <v>-2.27075839</v>
      </c>
      <c r="G319" s="53">
        <f>IF(TYPE($A319)=1,"",(UpdateHashtag!Q317-G$1)/G$2)</f>
        <v>-1.145739154</v>
      </c>
      <c r="H319" s="53">
        <f>IF(TYPE($A319)=1,"",(UpdateHashtag!I317-H$1)/H$2*I319/$I$1)</f>
        <v>-15.11561146</v>
      </c>
      <c r="I319" s="53">
        <f>UpdateHashtag!S317</f>
        <v>5.4</v>
      </c>
      <c r="J319" s="58">
        <f>IF(TYPE($A319)=1,"",(UpdateHashtag!K317-J$1)/J$2*K319/$K$1)</f>
        <v>0.8615589633</v>
      </c>
      <c r="K319" s="59">
        <f>UpdateHashtag!T317</f>
        <v>0.4</v>
      </c>
      <c r="L319" s="53">
        <f>IF(TYPE($A319)=1,"",-(UpdateHashtag!R317-L$1)/L$2)</f>
        <v>1.43697381</v>
      </c>
      <c r="N319" s="106"/>
      <c r="O319" s="106"/>
      <c r="P319" s="163"/>
      <c r="Q319" s="164"/>
      <c r="R319" s="163"/>
      <c r="S319" s="165"/>
      <c r="T319" s="144"/>
      <c r="U319" s="144"/>
      <c r="V319" s="144"/>
      <c r="W319" s="144"/>
      <c r="X319" s="144"/>
      <c r="Y319" s="144"/>
      <c r="Z319" s="144"/>
      <c r="AA319" s="144"/>
      <c r="AB319" s="144"/>
      <c r="AC319" s="166"/>
      <c r="AD319" s="166"/>
      <c r="AE319" s="144"/>
      <c r="AF319" s="144"/>
      <c r="AG319" s="144"/>
      <c r="AH319" s="144"/>
      <c r="AI319" s="144"/>
      <c r="AJ319" s="144"/>
      <c r="AK319" s="144"/>
      <c r="AL319" s="144"/>
      <c r="AM319" s="144"/>
      <c r="AN319" s="144"/>
      <c r="AO319" s="167"/>
      <c r="AP319" s="167"/>
      <c r="AQ319" s="167"/>
      <c r="AR319" s="167"/>
    </row>
    <row r="320">
      <c r="A320" s="50" t="str">
        <f>IF(UpdateHashtag!C318="",ROW(UpdateHashtag!C318),UpdateHashtag!C318)</f>
        <v>Ochai Agbaji</v>
      </c>
      <c r="B320" s="53">
        <f>IF(TYPE($A320)=1,"",(UpdateHashtag!M318-B$1)/B$2)</f>
        <v>-1.837692637</v>
      </c>
      <c r="C320" s="53">
        <f>IF(TYPE($A320)=1,"",(UpdateHashtag!L318-C$1)/C$2)</f>
        <v>-0.7432606607</v>
      </c>
      <c r="D320" s="53">
        <f>IF(TYPE($A320)=1,"",(UpdateHashtag!N318-D$1)/D$2)</f>
        <v>-1.470013079</v>
      </c>
      <c r="E320" s="53">
        <f>IF(TYPE($A320)=1,"",(UpdateHashtag!O318-E$1)/E$2)</f>
        <v>-1.337014518</v>
      </c>
      <c r="F320" s="53">
        <f>IF(TYPE($A320)=1,"",(UpdateHashtag!P318-F$1)/F$2)</f>
        <v>-1.661312382</v>
      </c>
      <c r="G320" s="53">
        <f>IF(TYPE($A320)=1,"",(UpdateHashtag!Q318-G$1)/G$2)</f>
        <v>-0.600341486</v>
      </c>
      <c r="H320" s="53">
        <f>IF(TYPE($A320)=1,"",(UpdateHashtag!I318-H$1)/H$2*I320/$I$1)</f>
        <v>-13.91130267</v>
      </c>
      <c r="I320" s="53">
        <f>UpdateHashtag!S318</f>
        <v>6</v>
      </c>
      <c r="J320" s="58">
        <f>IF(TYPE($A320)=1,"",(UpdateHashtag!K318-J$1)/J$2*K320/$K$1)</f>
        <v>-0.5891979439</v>
      </c>
      <c r="K320" s="59">
        <f>UpdateHashtag!T318</f>
        <v>0.9</v>
      </c>
      <c r="L320" s="53">
        <f>IF(TYPE($A320)=1,"",-(UpdateHashtag!R318-L$1)/L$2)</f>
        <v>0.9410095407</v>
      </c>
      <c r="O320" s="106"/>
      <c r="P320" s="163"/>
      <c r="Q320" s="164"/>
      <c r="R320" s="163"/>
      <c r="S320" s="165"/>
      <c r="T320" s="144"/>
      <c r="U320" s="144"/>
      <c r="V320" s="144"/>
      <c r="W320" s="144"/>
      <c r="X320" s="144"/>
      <c r="Y320" s="144"/>
      <c r="Z320" s="144"/>
      <c r="AA320" s="144"/>
      <c r="AB320" s="144"/>
      <c r="AC320" s="166"/>
      <c r="AD320" s="166"/>
      <c r="AE320" s="144"/>
      <c r="AF320" s="144"/>
      <c r="AG320" s="144"/>
      <c r="AH320" s="144"/>
      <c r="AI320" s="144"/>
      <c r="AJ320" s="144"/>
      <c r="AK320" s="144"/>
      <c r="AL320" s="144"/>
      <c r="AM320" s="144"/>
      <c r="AN320" s="144"/>
      <c r="AO320" s="167"/>
      <c r="AP320" s="167"/>
      <c r="AQ320" s="167"/>
      <c r="AR320" s="167"/>
    </row>
    <row r="321">
      <c r="A321" s="50" t="str">
        <f>IF(UpdateHashtag!C319="",ROW(UpdateHashtag!C319),UpdateHashtag!C319)</f>
        <v>Haywood Highsmith</v>
      </c>
      <c r="B321" s="53">
        <f>IF(TYPE($A321)=1,"",(UpdateHashtag!M319-B$1)/B$2)</f>
        <v>-2.206122122</v>
      </c>
      <c r="C321" s="53">
        <f>IF(TYPE($A321)=1,"",(UpdateHashtag!L319-C$1)/C$2)</f>
        <v>-0.9364273487</v>
      </c>
      <c r="D321" s="53">
        <f>IF(TYPE($A321)=1,"",(UpdateHashtag!N319-D$1)/D$2)</f>
        <v>-1.307871636</v>
      </c>
      <c r="E321" s="53">
        <f>IF(TYPE($A321)=1,"",(UpdateHashtag!O319-E$1)/E$2)</f>
        <v>-1.483568867</v>
      </c>
      <c r="F321" s="53">
        <f>IF(TYPE($A321)=1,"",(UpdateHashtag!P319-F$1)/F$2)</f>
        <v>-1.356589379</v>
      </c>
      <c r="G321" s="53">
        <f>IF(TYPE($A321)=1,"",(UpdateHashtag!Q319-G$1)/G$2)</f>
        <v>-0.7821407085</v>
      </c>
      <c r="H321" s="53">
        <f>IF(TYPE($A321)=1,"",(UpdateHashtag!I319-H$1)/H$2*I321/$I$1)</f>
        <v>-4.941913507</v>
      </c>
      <c r="I321" s="53">
        <f>UpdateHashtag!S319</f>
        <v>3.9</v>
      </c>
      <c r="J321" s="58">
        <f>IF(TYPE($A321)=1,"",(UpdateHashtag!K319-J$1)/J$2*K321/$K$1)</f>
        <v>-1.779486299</v>
      </c>
      <c r="K321" s="59">
        <f>UpdateHashtag!T319</f>
        <v>0.5</v>
      </c>
      <c r="L321" s="53">
        <f>IF(TYPE($A321)=1,"",-(UpdateHashtag!R319-L$1)/L$2)</f>
        <v>1.139395249</v>
      </c>
      <c r="O321" s="106"/>
      <c r="P321" s="163"/>
      <c r="Q321" s="164"/>
      <c r="R321" s="163"/>
      <c r="S321" s="165"/>
      <c r="T321" s="144"/>
      <c r="U321" s="144"/>
      <c r="V321" s="144"/>
      <c r="W321" s="144"/>
      <c r="X321" s="144"/>
      <c r="Y321" s="144"/>
      <c r="Z321" s="144"/>
      <c r="AA321" s="144"/>
      <c r="AB321" s="144"/>
      <c r="AC321" s="166"/>
      <c r="AD321" s="166"/>
      <c r="AE321" s="144"/>
      <c r="AF321" s="144"/>
      <c r="AG321" s="144"/>
      <c r="AH321" s="144"/>
      <c r="AI321" s="144"/>
      <c r="AJ321" s="144"/>
      <c r="AK321" s="144"/>
      <c r="AL321" s="144"/>
      <c r="AM321" s="144"/>
      <c r="AN321" s="144"/>
      <c r="AO321" s="167"/>
      <c r="AP321" s="167"/>
      <c r="AQ321" s="167"/>
      <c r="AR321" s="167"/>
    </row>
    <row r="322">
      <c r="A322" s="50" t="str">
        <f>IF(UpdateHashtag!C320="",ROW(UpdateHashtag!C320),UpdateHashtag!C320)</f>
        <v>Malaki Branham</v>
      </c>
      <c r="B322" s="53">
        <f>IF(TYPE($A322)=1,"",(UpdateHashtag!M320-B$1)/B$2)</f>
        <v>-1.504351674</v>
      </c>
      <c r="C322" s="53">
        <f>IF(TYPE($A322)=1,"",(UpdateHashtag!L320-C$1)/C$2)</f>
        <v>-0.6466773167</v>
      </c>
      <c r="D322" s="53">
        <f>IF(TYPE($A322)=1,"",(UpdateHashtag!N320-D$1)/D$2)</f>
        <v>-1.632154521</v>
      </c>
      <c r="E322" s="53">
        <f>IF(TYPE($A322)=1,"",(UpdateHashtag!O320-E$1)/E$2)</f>
        <v>-0.9950543703</v>
      </c>
      <c r="F322" s="53">
        <f>IF(TYPE($A322)=1,"",(UpdateHashtag!P320-F$1)/F$2)</f>
        <v>-1.966035386</v>
      </c>
      <c r="G322" s="53">
        <f>IF(TYPE($A322)=1,"",(UpdateHashtag!Q320-G$1)/G$2)</f>
        <v>-1.145739154</v>
      </c>
      <c r="H322" s="53">
        <f>IF(TYPE($A322)=1,"",(UpdateHashtag!I320-H$1)/H$2*I322/$I$1)</f>
        <v>-13.86710501</v>
      </c>
      <c r="I322" s="53">
        <f>UpdateHashtag!S320</f>
        <v>7.8</v>
      </c>
      <c r="J322" s="58">
        <f>IF(TYPE($A322)=1,"",(UpdateHashtag!K320-J$1)/J$2*K322/$K$1)</f>
        <v>0.8805493894</v>
      </c>
      <c r="K322" s="59">
        <f>UpdateHashtag!T320</f>
        <v>0.8</v>
      </c>
      <c r="L322" s="53">
        <f>IF(TYPE($A322)=1,"",-(UpdateHashtag!R320-L$1)/L$2)</f>
        <v>0.643430979</v>
      </c>
      <c r="N322" s="106"/>
      <c r="O322" s="106"/>
      <c r="P322" s="163"/>
      <c r="Q322" s="164"/>
      <c r="R322" s="163"/>
      <c r="S322" s="165"/>
      <c r="T322" s="144"/>
      <c r="U322" s="144"/>
      <c r="V322" s="144"/>
      <c r="W322" s="144"/>
      <c r="X322" s="144"/>
      <c r="Y322" s="144"/>
      <c r="Z322" s="144"/>
      <c r="AA322" s="144"/>
      <c r="AB322" s="144"/>
      <c r="AC322" s="166"/>
      <c r="AD322" s="166"/>
      <c r="AE322" s="144"/>
      <c r="AF322" s="144"/>
      <c r="AG322" s="144"/>
      <c r="AH322" s="144"/>
      <c r="AI322" s="144"/>
      <c r="AJ322" s="144"/>
      <c r="AK322" s="144"/>
      <c r="AL322" s="144"/>
      <c r="AM322" s="144"/>
      <c r="AN322" s="144"/>
      <c r="AO322" s="167"/>
      <c r="AP322" s="167"/>
      <c r="AQ322" s="167"/>
      <c r="AR322" s="167"/>
    </row>
    <row r="323">
      <c r="A323" s="50" t="str">
        <f>IF(UpdateHashtag!C321="",ROW(UpdateHashtag!C321),UpdateHashtag!C321)</f>
        <v>Charles Bassey</v>
      </c>
      <c r="B323" s="53">
        <f>IF(TYPE($A323)=1,"",(UpdateHashtag!M321-B$1)/B$2)</f>
        <v>-2.434197517</v>
      </c>
      <c r="C323" s="53">
        <f>IF(TYPE($A323)=1,"",(UpdateHashtag!L321-C$1)/C$2)</f>
        <v>-1.709094101</v>
      </c>
      <c r="D323" s="53">
        <f>IF(TYPE($A323)=1,"",(UpdateHashtag!N321-D$1)/D$2)</f>
        <v>-1.105194833</v>
      </c>
      <c r="E323" s="53">
        <f>IF(TYPE($A323)=1,"",(UpdateHashtag!O321-E$1)/E$2)</f>
        <v>-1.434717418</v>
      </c>
      <c r="F323" s="53">
        <f>IF(TYPE($A323)=1,"",(UpdateHashtag!P321-F$1)/F$2)</f>
        <v>-2.27075839</v>
      </c>
      <c r="G323" s="53">
        <f>IF(TYPE($A323)=1,"",(UpdateHashtag!Q321-G$1)/G$2)</f>
        <v>-0.236743041</v>
      </c>
      <c r="H323" s="53">
        <f>IF(TYPE($A323)=1,"",(UpdateHashtag!I321-H$1)/H$2*I323/$I$1)</f>
        <v>11.22281845</v>
      </c>
      <c r="I323" s="53">
        <f>UpdateHashtag!S321</f>
        <v>2.2</v>
      </c>
      <c r="J323" s="58">
        <f>IF(TYPE($A323)=1,"",(UpdateHashtag!K321-J$1)/J$2*K323/$K$1)</f>
        <v>-1.260859832</v>
      </c>
      <c r="K323" s="59">
        <f>UpdateHashtag!T321</f>
        <v>0.5</v>
      </c>
      <c r="L323" s="53">
        <f>IF(TYPE($A323)=1,"",-(UpdateHashtag!R321-L$1)/L$2)</f>
        <v>1.040202395</v>
      </c>
      <c r="N323" s="106"/>
      <c r="O323" s="106"/>
      <c r="P323" s="163"/>
      <c r="Q323" s="164"/>
      <c r="R323" s="163"/>
      <c r="S323" s="165"/>
      <c r="T323" s="144"/>
      <c r="U323" s="144"/>
      <c r="V323" s="144"/>
      <c r="W323" s="144"/>
      <c r="X323" s="144"/>
      <c r="Y323" s="144"/>
      <c r="Z323" s="144"/>
      <c r="AA323" s="144"/>
      <c r="AB323" s="144"/>
      <c r="AC323" s="166"/>
      <c r="AD323" s="166"/>
      <c r="AE323" s="144"/>
      <c r="AF323" s="144"/>
      <c r="AG323" s="144"/>
      <c r="AH323" s="144"/>
      <c r="AI323" s="144"/>
      <c r="AJ323" s="144"/>
      <c r="AK323" s="144"/>
      <c r="AL323" s="144"/>
      <c r="AM323" s="144"/>
      <c r="AN323" s="144"/>
      <c r="AO323" s="167"/>
      <c r="AP323" s="167"/>
      <c r="AQ323" s="167"/>
      <c r="AR323" s="167"/>
    </row>
    <row r="324">
      <c r="A324" s="50" t="str">
        <f>IF(UpdateHashtag!C322="",ROW(UpdateHashtag!C322),UpdateHashtag!C322)</f>
        <v>Maxi Kleber</v>
      </c>
      <c r="B324" s="53">
        <f>IF(TYPE($A324)=1,"",(UpdateHashtag!M322-B$1)/B$2)</f>
        <v>-2.258754905</v>
      </c>
      <c r="C324" s="53">
        <f>IF(TYPE($A324)=1,"",(UpdateHashtag!L322-C$1)/C$2)</f>
        <v>-1.033010693</v>
      </c>
      <c r="D324" s="53">
        <f>IF(TYPE($A324)=1,"",(UpdateHashtag!N322-D$1)/D$2)</f>
        <v>-1.307871636</v>
      </c>
      <c r="E324" s="53">
        <f>IF(TYPE($A324)=1,"",(UpdateHashtag!O322-E$1)/E$2)</f>
        <v>-1.288163069</v>
      </c>
      <c r="F324" s="53">
        <f>IF(TYPE($A324)=1,"",(UpdateHashtag!P322-F$1)/F$2)</f>
        <v>-2.27075839</v>
      </c>
      <c r="G324" s="53">
        <f>IF(TYPE($A324)=1,"",(UpdateHashtag!Q322-G$1)/G$2)</f>
        <v>-0.236743041</v>
      </c>
      <c r="H324" s="53">
        <f>IF(TYPE($A324)=1,"",(UpdateHashtag!I322-H$1)/H$2*I324/$I$1)</f>
        <v>-5.172932649</v>
      </c>
      <c r="I324" s="53">
        <f>UpdateHashtag!S322</f>
        <v>3.3</v>
      </c>
      <c r="J324" s="58">
        <f>IF(TYPE($A324)=1,"",(UpdateHashtag!K322-J$1)/J$2*K324/$K$1)</f>
        <v>-1.192400419</v>
      </c>
      <c r="K324" s="59">
        <f>UpdateHashtag!T322</f>
        <v>0.9</v>
      </c>
      <c r="L324" s="53">
        <f>IF(TYPE($A324)=1,"",-(UpdateHashtag!R322-L$1)/L$2)</f>
        <v>1.139395249</v>
      </c>
      <c r="O324" s="106"/>
      <c r="P324" s="163"/>
      <c r="Q324" s="164"/>
      <c r="R324" s="163"/>
      <c r="S324" s="165"/>
      <c r="T324" s="144"/>
      <c r="U324" s="144"/>
      <c r="V324" s="144"/>
      <c r="W324" s="144"/>
      <c r="X324" s="144"/>
      <c r="Y324" s="144"/>
      <c r="Z324" s="144"/>
      <c r="AA324" s="144"/>
      <c r="AB324" s="144"/>
      <c r="AC324" s="166"/>
      <c r="AD324" s="166"/>
      <c r="AE324" s="144"/>
      <c r="AF324" s="144"/>
      <c r="AG324" s="144"/>
      <c r="AH324" s="144"/>
      <c r="AI324" s="144"/>
      <c r="AJ324" s="144"/>
      <c r="AK324" s="144"/>
      <c r="AL324" s="144"/>
      <c r="AM324" s="144"/>
      <c r="AN324" s="144"/>
      <c r="AO324" s="167"/>
      <c r="AP324" s="167"/>
      <c r="AQ324" s="167"/>
      <c r="AR324" s="167"/>
    </row>
    <row r="325">
      <c r="A325" s="50" t="str">
        <f>IF(UpdateHashtag!C323="",ROW(UpdateHashtag!C323),UpdateHashtag!C323)</f>
        <v>Guerschon Yabusele</v>
      </c>
      <c r="B325" s="53">
        <f>IF(TYPE($A325)=1,"",(UpdateHashtag!M323-B$1)/B$2)</f>
        <v>-2.013135248</v>
      </c>
      <c r="C325" s="53">
        <f>IF(TYPE($A325)=1,"",(UpdateHashtag!L323-C$1)/C$2)</f>
        <v>-0.8398440047</v>
      </c>
      <c r="D325" s="53">
        <f>IF(TYPE($A325)=1,"",(UpdateHashtag!N323-D$1)/D$2)</f>
        <v>-1.388942357</v>
      </c>
      <c r="E325" s="53">
        <f>IF(TYPE($A325)=1,"",(UpdateHashtag!O323-E$1)/E$2)</f>
        <v>-1.483568867</v>
      </c>
      <c r="F325" s="53">
        <f>IF(TYPE($A325)=1,"",(UpdateHashtag!P323-F$1)/F$2)</f>
        <v>-1.966035386</v>
      </c>
      <c r="G325" s="53">
        <f>IF(TYPE($A325)=1,"",(UpdateHashtag!Q323-G$1)/G$2)</f>
        <v>-0.600341486</v>
      </c>
      <c r="H325" s="53">
        <f>IF(TYPE($A325)=1,"",(UpdateHashtag!I323-H$1)/H$2*I325/$I$1)</f>
        <v>-3.769551394</v>
      </c>
      <c r="I325" s="53">
        <f>UpdateHashtag!S323</f>
        <v>4.3</v>
      </c>
      <c r="J325" s="58">
        <f>IF(TYPE($A325)=1,"",(UpdateHashtag!K323-J$1)/J$2*K325/$K$1)</f>
        <v>-0.316400063</v>
      </c>
      <c r="K325" s="59">
        <f>UpdateHashtag!T323</f>
        <v>1.1</v>
      </c>
      <c r="L325" s="53">
        <f>IF(TYPE($A325)=1,"",-(UpdateHashtag!R323-L$1)/L$2)</f>
        <v>0.9410095407</v>
      </c>
      <c r="O325" s="106"/>
      <c r="P325" s="163"/>
      <c r="Q325" s="164"/>
      <c r="R325" s="163"/>
      <c r="S325" s="165"/>
      <c r="T325" s="144"/>
      <c r="U325" s="144"/>
      <c r="V325" s="144"/>
      <c r="W325" s="144"/>
      <c r="X325" s="144"/>
      <c r="Y325" s="144"/>
      <c r="Z325" s="144"/>
      <c r="AA325" s="144"/>
      <c r="AB325" s="144"/>
      <c r="AC325" s="166"/>
      <c r="AD325" s="166"/>
      <c r="AE325" s="144"/>
      <c r="AF325" s="144"/>
      <c r="AG325" s="144"/>
      <c r="AH325" s="144"/>
      <c r="AI325" s="144"/>
      <c r="AJ325" s="144"/>
      <c r="AK325" s="144"/>
      <c r="AL325" s="144"/>
      <c r="AM325" s="144"/>
      <c r="AN325" s="144"/>
      <c r="AO325" s="167"/>
      <c r="AP325" s="167"/>
      <c r="AQ325" s="167"/>
      <c r="AR325" s="167"/>
    </row>
    <row r="326">
      <c r="A326" s="50" t="str">
        <f>IF(UpdateHashtag!C324="",ROW(UpdateHashtag!C324),UpdateHashtag!C324)</f>
        <v>Kyle Filipowski</v>
      </c>
      <c r="B326" s="53">
        <f>IF(TYPE($A326)=1,"",(UpdateHashtag!M324-B$1)/B$2)</f>
        <v>-1.925413943</v>
      </c>
      <c r="C326" s="53">
        <f>IF(TYPE($A326)=1,"",(UpdateHashtag!L324-C$1)/C$2)</f>
        <v>-1.322760725</v>
      </c>
      <c r="D326" s="53">
        <f>IF(TYPE($A326)=1,"",(UpdateHashtag!N324-D$1)/D$2)</f>
        <v>-1.226800915</v>
      </c>
      <c r="E326" s="53">
        <f>IF(TYPE($A326)=1,"",(UpdateHashtag!O324-E$1)/E$2)</f>
        <v>-1.385865968</v>
      </c>
      <c r="F326" s="53">
        <f>IF(TYPE($A326)=1,"",(UpdateHashtag!P324-F$1)/F$2)</f>
        <v>-1.966035386</v>
      </c>
      <c r="G326" s="53">
        <f>IF(TYPE($A326)=1,"",(UpdateHashtag!Q324-G$1)/G$2)</f>
        <v>-0.236743041</v>
      </c>
      <c r="H326" s="53">
        <f>IF(TYPE($A326)=1,"",(UpdateHashtag!I324-H$1)/H$2*I326/$I$1)</f>
        <v>1.462285332</v>
      </c>
      <c r="I326" s="53">
        <f>UpdateHashtag!S324</f>
        <v>4.5</v>
      </c>
      <c r="J326" s="58">
        <f>IF(TYPE($A326)=1,"",(UpdateHashtag!K324-J$1)/J$2*K326/$K$1)</f>
        <v>-3.147540974</v>
      </c>
      <c r="K326" s="59">
        <f>UpdateHashtag!T324</f>
        <v>1.7</v>
      </c>
      <c r="L326" s="53">
        <f>IF(TYPE($A326)=1,"",-(UpdateHashtag!R324-L$1)/L$2)</f>
        <v>0.9410095407</v>
      </c>
      <c r="N326" s="106"/>
      <c r="O326" s="106"/>
      <c r="P326" s="163"/>
      <c r="Q326" s="164"/>
      <c r="R326" s="163"/>
      <c r="S326" s="165"/>
      <c r="T326" s="144"/>
      <c r="U326" s="144"/>
      <c r="V326" s="144"/>
      <c r="W326" s="144"/>
      <c r="X326" s="144"/>
      <c r="Y326" s="144"/>
      <c r="Z326" s="144"/>
      <c r="AA326" s="144"/>
      <c r="AB326" s="144"/>
      <c r="AC326" s="166"/>
      <c r="AD326" s="166"/>
      <c r="AE326" s="144"/>
      <c r="AF326" s="144"/>
      <c r="AG326" s="144"/>
      <c r="AH326" s="144"/>
      <c r="AI326" s="144"/>
      <c r="AJ326" s="144"/>
      <c r="AK326" s="144"/>
      <c r="AL326" s="144"/>
      <c r="AM326" s="144"/>
      <c r="AN326" s="144"/>
      <c r="AO326" s="167"/>
      <c r="AP326" s="167"/>
      <c r="AQ326" s="167"/>
      <c r="AR326" s="167"/>
    </row>
    <row r="327">
      <c r="A327" s="50" t="str">
        <f>IF(UpdateHashtag!C325="",ROW(UpdateHashtag!C325),UpdateHashtag!C325)</f>
        <v>Jaxson Hayes</v>
      </c>
      <c r="B327" s="53">
        <f>IF(TYPE($A327)=1,"",(UpdateHashtag!M325-B$1)/B$2)</f>
        <v>-2.135945077</v>
      </c>
      <c r="C327" s="53">
        <f>IF(TYPE($A327)=1,"",(UpdateHashtag!L325-C$1)/C$2)</f>
        <v>-1.709094101</v>
      </c>
      <c r="D327" s="53">
        <f>IF(TYPE($A327)=1,"",(UpdateHashtag!N325-D$1)/D$2)</f>
        <v>-1.186265554</v>
      </c>
      <c r="E327" s="53">
        <f>IF(TYPE($A327)=1,"",(UpdateHashtag!O325-E$1)/E$2)</f>
        <v>-1.581271767</v>
      </c>
      <c r="F327" s="53">
        <f>IF(TYPE($A327)=1,"",(UpdateHashtag!P325-F$1)/F$2)</f>
        <v>-1.661312382</v>
      </c>
      <c r="G327" s="53">
        <f>IF(TYPE($A327)=1,"",(UpdateHashtag!Q325-G$1)/G$2)</f>
        <v>-0.600341486</v>
      </c>
      <c r="H327" s="53">
        <f>IF(TYPE($A327)=1,"",(UpdateHashtag!I325-H$1)/H$2*I327/$I$1)</f>
        <v>13.57901004</v>
      </c>
      <c r="I327" s="53">
        <f>UpdateHashtag!S325</f>
        <v>3.1</v>
      </c>
      <c r="J327" s="58">
        <f>IF(TYPE($A327)=1,"",(UpdateHashtag!K325-J$1)/J$2*K327/$K$1)</f>
        <v>-2.968734885</v>
      </c>
      <c r="K327" s="59">
        <f>UpdateHashtag!T325</f>
        <v>1.5</v>
      </c>
      <c r="L327" s="53">
        <f>IF(TYPE($A327)=1,"",-(UpdateHashtag!R325-L$1)/L$2)</f>
        <v>1.040202395</v>
      </c>
      <c r="N327" s="106"/>
      <c r="O327" s="106"/>
      <c r="P327" s="163"/>
      <c r="Q327" s="164"/>
      <c r="R327" s="163"/>
      <c r="S327" s="165"/>
      <c r="T327" s="144"/>
      <c r="U327" s="144"/>
      <c r="V327" s="144"/>
      <c r="W327" s="144"/>
      <c r="X327" s="144"/>
      <c r="Y327" s="144"/>
      <c r="Z327" s="144"/>
      <c r="AA327" s="144"/>
      <c r="AB327" s="144"/>
      <c r="AC327" s="166"/>
      <c r="AD327" s="166"/>
      <c r="AE327" s="144"/>
      <c r="AF327" s="144"/>
      <c r="AG327" s="144"/>
      <c r="AH327" s="144"/>
      <c r="AI327" s="144"/>
      <c r="AJ327" s="144"/>
      <c r="AK327" s="144"/>
      <c r="AL327" s="144"/>
      <c r="AM327" s="144"/>
      <c r="AN327" s="144"/>
      <c r="AO327" s="167"/>
      <c r="AP327" s="167"/>
      <c r="AQ327" s="167"/>
      <c r="AR327" s="167"/>
    </row>
    <row r="328">
      <c r="A328" s="50" t="str">
        <f>IF(UpdateHashtag!C326="",ROW(UpdateHashtag!C326),UpdateHashtag!C326)</f>
        <v>Richaun Holmes</v>
      </c>
      <c r="B328" s="53">
        <f>IF(TYPE($A328)=1,"",(UpdateHashtag!M326-B$1)/B$2)</f>
        <v>-2.153489338</v>
      </c>
      <c r="C328" s="53">
        <f>IF(TYPE($A328)=1,"",(UpdateHashtag!L326-C$1)/C$2)</f>
        <v>-1.612510757</v>
      </c>
      <c r="D328" s="53">
        <f>IF(TYPE($A328)=1,"",(UpdateHashtag!N326-D$1)/D$2)</f>
        <v>-0.9025180299</v>
      </c>
      <c r="E328" s="53">
        <f>IF(TYPE($A328)=1,"",(UpdateHashtag!O326-E$1)/E$2)</f>
        <v>-1.630123217</v>
      </c>
      <c r="F328" s="53">
        <f>IF(TYPE($A328)=1,"",(UpdateHashtag!P326-F$1)/F$2)</f>
        <v>-2.575481394</v>
      </c>
      <c r="G328" s="53">
        <f>IF(TYPE($A328)=1,"",(UpdateHashtag!Q326-G$1)/G$2)</f>
        <v>-0.4185422635</v>
      </c>
      <c r="H328" s="53">
        <f>IF(TYPE($A328)=1,"",(UpdateHashtag!I326-H$1)/H$2*I328/$I$1)</f>
        <v>9.127920866</v>
      </c>
      <c r="I328" s="53">
        <f>UpdateHashtag!S326</f>
        <v>3.5</v>
      </c>
      <c r="J328" s="58">
        <f>IF(TYPE($A328)=1,"",(UpdateHashtag!K326-J$1)/J$2*K328/$K$1)</f>
        <v>-0.6546643821</v>
      </c>
      <c r="K328" s="59">
        <f>UpdateHashtag!T326</f>
        <v>1</v>
      </c>
      <c r="L328" s="53">
        <f>IF(TYPE($A328)=1,"",-(UpdateHashtag!R326-L$1)/L$2)</f>
        <v>1.139395249</v>
      </c>
      <c r="O328" s="106"/>
      <c r="P328" s="163"/>
      <c r="Q328" s="164"/>
      <c r="R328" s="163"/>
      <c r="S328" s="165"/>
      <c r="T328" s="144"/>
      <c r="U328" s="144"/>
      <c r="V328" s="144"/>
      <c r="W328" s="144"/>
      <c r="X328" s="144"/>
      <c r="Y328" s="144"/>
      <c r="Z328" s="144"/>
      <c r="AA328" s="144"/>
      <c r="AB328" s="144"/>
      <c r="AC328" s="166"/>
      <c r="AD328" s="166"/>
      <c r="AE328" s="144"/>
      <c r="AF328" s="144"/>
      <c r="AG328" s="144"/>
      <c r="AH328" s="144"/>
      <c r="AI328" s="144"/>
      <c r="AJ328" s="144"/>
      <c r="AK328" s="144"/>
      <c r="AL328" s="144"/>
      <c r="AM328" s="144"/>
      <c r="AN328" s="144"/>
      <c r="AO328" s="167"/>
      <c r="AP328" s="167"/>
      <c r="AQ328" s="167"/>
      <c r="AR328" s="167"/>
    </row>
    <row r="329">
      <c r="A329" s="50" t="str">
        <f>IF(UpdateHashtag!C327="",ROW(UpdateHashtag!C327),UpdateHashtag!C327)</f>
        <v>Jock Landale</v>
      </c>
      <c r="B329" s="53">
        <f>IF(TYPE($A329)=1,"",(UpdateHashtag!M327-B$1)/B$2)</f>
        <v>-2.083312293</v>
      </c>
      <c r="C329" s="53">
        <f>IF(TYPE($A329)=1,"",(UpdateHashtag!L327-C$1)/C$2)</f>
        <v>-1.515927413</v>
      </c>
      <c r="D329" s="53">
        <f>IF(TYPE($A329)=1,"",(UpdateHashtag!N327-D$1)/D$2)</f>
        <v>-1.145730194</v>
      </c>
      <c r="E329" s="53">
        <f>IF(TYPE($A329)=1,"",(UpdateHashtag!O327-E$1)/E$2)</f>
        <v>-1.385865968</v>
      </c>
      <c r="F329" s="53">
        <f>IF(TYPE($A329)=1,"",(UpdateHashtag!P327-F$1)/F$2)</f>
        <v>-2.27075839</v>
      </c>
      <c r="G329" s="53">
        <f>IF(TYPE($A329)=1,"",(UpdateHashtag!Q327-G$1)/G$2)</f>
        <v>-0.4185422635</v>
      </c>
      <c r="H329" s="53">
        <f>IF(TYPE($A329)=1,"",(UpdateHashtag!I327-H$1)/H$2*I329/$I$1)</f>
        <v>3.258952951</v>
      </c>
      <c r="I329" s="53">
        <f>UpdateHashtag!S327</f>
        <v>3.9</v>
      </c>
      <c r="J329" s="58">
        <f>IF(TYPE($A329)=1,"",(UpdateHashtag!K327-J$1)/J$2*K329/$K$1)</f>
        <v>-0.345163705</v>
      </c>
      <c r="K329" s="59">
        <f>UpdateHashtag!T327</f>
        <v>1.2</v>
      </c>
      <c r="L329" s="53">
        <f>IF(TYPE($A329)=1,"",-(UpdateHashtag!R327-L$1)/L$2)</f>
        <v>1.040202395</v>
      </c>
      <c r="O329" s="106"/>
      <c r="P329" s="163"/>
      <c r="Q329" s="164"/>
      <c r="R329" s="163"/>
      <c r="S329" s="165"/>
      <c r="T329" s="144"/>
      <c r="U329" s="144"/>
      <c r="V329" s="144"/>
      <c r="W329" s="144"/>
      <c r="X329" s="144"/>
      <c r="Y329" s="144"/>
      <c r="Z329" s="144"/>
      <c r="AA329" s="144"/>
      <c r="AB329" s="144"/>
      <c r="AC329" s="166"/>
      <c r="AD329" s="166"/>
      <c r="AE329" s="144"/>
      <c r="AF329" s="144"/>
      <c r="AG329" s="144"/>
      <c r="AH329" s="144"/>
      <c r="AI329" s="144"/>
      <c r="AJ329" s="144"/>
      <c r="AK329" s="144"/>
      <c r="AL329" s="144"/>
      <c r="AM329" s="144"/>
      <c r="AN329" s="144"/>
      <c r="AO329" s="167"/>
      <c r="AP329" s="167"/>
      <c r="AQ329" s="167"/>
      <c r="AR329" s="167"/>
    </row>
    <row r="330">
      <c r="A330" s="50" t="str">
        <f>IF(UpdateHashtag!C328="",ROW(UpdateHashtag!C328),UpdateHashtag!C328)</f>
        <v>Craig Porter Jr.</v>
      </c>
      <c r="B330" s="53">
        <f>IF(TYPE($A330)=1,"",(UpdateHashtag!M328-B$1)/B$2)</f>
        <v>-2.048223771</v>
      </c>
      <c r="C330" s="53">
        <f>IF(TYPE($A330)=1,"",(UpdateHashtag!L328-C$1)/C$2)</f>
        <v>-1.515927413</v>
      </c>
      <c r="D330" s="53">
        <f>IF(TYPE($A330)=1,"",(UpdateHashtag!N328-D$1)/D$2)</f>
        <v>-1.632154521</v>
      </c>
      <c r="E330" s="53">
        <f>IF(TYPE($A330)=1,"",(UpdateHashtag!O328-E$1)/E$2)</f>
        <v>-0.7507971218</v>
      </c>
      <c r="F330" s="53">
        <f>IF(TYPE($A330)=1,"",(UpdateHashtag!P328-F$1)/F$2)</f>
        <v>-1.966035386</v>
      </c>
      <c r="G330" s="53">
        <f>IF(TYPE($A330)=1,"",(UpdateHashtag!Q328-G$1)/G$2)</f>
        <v>-0.7821407085</v>
      </c>
      <c r="H330" s="53">
        <f>IF(TYPE($A330)=1,"",(UpdateHashtag!I328-H$1)/H$2*I330/$I$1)</f>
        <v>1.826315513</v>
      </c>
      <c r="I330" s="53">
        <f>UpdateHashtag!S328</f>
        <v>4.4</v>
      </c>
      <c r="J330" s="58">
        <f>IF(TYPE($A330)=1,"",(UpdateHashtag!K328-J$1)/J$2*K330/$K$1)</f>
        <v>-1.000986999</v>
      </c>
      <c r="K330" s="59">
        <f>UpdateHashtag!T328</f>
        <v>1.1</v>
      </c>
      <c r="L330" s="53">
        <f>IF(TYPE($A330)=1,"",-(UpdateHashtag!R328-L$1)/L$2)</f>
        <v>0.8418166868</v>
      </c>
      <c r="N330" s="106"/>
      <c r="O330" s="106"/>
      <c r="P330" s="163"/>
      <c r="Q330" s="164"/>
      <c r="R330" s="163"/>
      <c r="S330" s="165"/>
      <c r="T330" s="144"/>
      <c r="U330" s="144"/>
      <c r="V330" s="144"/>
      <c r="W330" s="144"/>
      <c r="X330" s="144"/>
      <c r="Y330" s="144"/>
      <c r="Z330" s="144"/>
      <c r="AA330" s="144"/>
      <c r="AB330" s="144"/>
      <c r="AC330" s="166"/>
      <c r="AD330" s="166"/>
      <c r="AE330" s="144"/>
      <c r="AF330" s="144"/>
      <c r="AG330" s="144"/>
      <c r="AH330" s="144"/>
      <c r="AI330" s="144"/>
      <c r="AJ330" s="144"/>
      <c r="AK330" s="144"/>
      <c r="AL330" s="144"/>
      <c r="AM330" s="144"/>
      <c r="AN330" s="144"/>
      <c r="AO330" s="167"/>
      <c r="AP330" s="167"/>
      <c r="AQ330" s="167"/>
      <c r="AR330" s="167"/>
    </row>
    <row r="331">
      <c r="A331" s="50" t="str">
        <f>IF(UpdateHashtag!C329="",ROW(UpdateHashtag!C329),UpdateHashtag!C329)</f>
        <v>Jordan Hawkins</v>
      </c>
      <c r="B331" s="53">
        <f>IF(TYPE($A331)=1,"",(UpdateHashtag!M329-B$1)/B$2)</f>
        <v>-1.504351674</v>
      </c>
      <c r="C331" s="53">
        <f>IF(TYPE($A331)=1,"",(UpdateHashtag!L329-C$1)/C$2)</f>
        <v>0.02940609112</v>
      </c>
      <c r="D331" s="53">
        <f>IF(TYPE($A331)=1,"",(UpdateHashtag!N329-D$1)/D$2)</f>
        <v>-1.510548439</v>
      </c>
      <c r="E331" s="53">
        <f>IF(TYPE($A331)=1,"",(UpdateHashtag!O329-E$1)/E$2)</f>
        <v>-1.288163069</v>
      </c>
      <c r="F331" s="53">
        <f>IF(TYPE($A331)=1,"",(UpdateHashtag!P329-F$1)/F$2)</f>
        <v>-2.27075839</v>
      </c>
      <c r="G331" s="53">
        <f>IF(TYPE($A331)=1,"",(UpdateHashtag!Q329-G$1)/G$2)</f>
        <v>-1.145739154</v>
      </c>
      <c r="H331" s="53">
        <f>IF(TYPE($A331)=1,"",(UpdateHashtag!I329-H$1)/H$2*I331/$I$1)</f>
        <v>-25.49987538</v>
      </c>
      <c r="I331" s="53">
        <f>UpdateHashtag!S329</f>
        <v>7.5</v>
      </c>
      <c r="J331" s="58">
        <f>IF(TYPE($A331)=1,"",(UpdateHashtag!K329-J$1)/J$2*K331/$K$1)</f>
        <v>1.07822676</v>
      </c>
      <c r="K331" s="59">
        <f>UpdateHashtag!T329</f>
        <v>1.3</v>
      </c>
      <c r="L331" s="53">
        <f>IF(TYPE($A331)=1,"",-(UpdateHashtag!R329-L$1)/L$2)</f>
        <v>1.040202395</v>
      </c>
      <c r="N331" s="106"/>
      <c r="O331" s="106"/>
      <c r="P331" s="163"/>
      <c r="Q331" s="164"/>
      <c r="R331" s="163"/>
      <c r="S331" s="165"/>
      <c r="T331" s="144"/>
      <c r="U331" s="144"/>
      <c r="V331" s="144"/>
      <c r="W331" s="144"/>
      <c r="X331" s="144"/>
      <c r="Y331" s="144"/>
      <c r="Z331" s="144"/>
      <c r="AA331" s="144"/>
      <c r="AB331" s="144"/>
      <c r="AC331" s="166"/>
      <c r="AD331" s="166"/>
      <c r="AE331" s="144"/>
      <c r="AF331" s="144"/>
      <c r="AG331" s="144"/>
      <c r="AH331" s="144"/>
      <c r="AI331" s="144"/>
      <c r="AJ331" s="144"/>
      <c r="AK331" s="144"/>
      <c r="AL331" s="144"/>
      <c r="AM331" s="144"/>
      <c r="AN331" s="144"/>
      <c r="AO331" s="167"/>
      <c r="AP331" s="167"/>
      <c r="AQ331" s="167"/>
      <c r="AR331" s="167"/>
    </row>
    <row r="332">
      <c r="A332" s="50" t="str">
        <f>IF(UpdateHashtag!C330="",ROW(UpdateHashtag!C330),UpdateHashtag!C330)</f>
        <v>Jabari Walker</v>
      </c>
      <c r="B332" s="53">
        <f>IF(TYPE($A332)=1,"",(UpdateHashtag!M330-B$1)/B$2)</f>
        <v>-1.89032542</v>
      </c>
      <c r="C332" s="53">
        <f>IF(TYPE($A332)=1,"",(UpdateHashtag!L330-C$1)/C$2)</f>
        <v>-1.322760725</v>
      </c>
      <c r="D332" s="53">
        <f>IF(TYPE($A332)=1,"",(UpdateHashtag!N330-D$1)/D$2)</f>
        <v>-0.5376997843</v>
      </c>
      <c r="E332" s="53">
        <f>IF(TYPE($A332)=1,"",(UpdateHashtag!O330-E$1)/E$2)</f>
        <v>-1.483568867</v>
      </c>
      <c r="F332" s="53">
        <f>IF(TYPE($A332)=1,"",(UpdateHashtag!P330-F$1)/F$2)</f>
        <v>-1.966035386</v>
      </c>
      <c r="G332" s="53">
        <f>IF(TYPE($A332)=1,"",(UpdateHashtag!Q330-G$1)/G$2)</f>
        <v>-0.7821407085</v>
      </c>
      <c r="H332" s="53">
        <f>IF(TYPE($A332)=1,"",(UpdateHashtag!I330-H$1)/H$2*I332/$I$1)</f>
        <v>-7.352777582</v>
      </c>
      <c r="I332" s="53">
        <f>UpdateHashtag!S330</f>
        <v>5.3</v>
      </c>
      <c r="J332" s="58">
        <f>IF(TYPE($A332)=1,"",(UpdateHashtag!K330-J$1)/J$2*K332/$K$1)</f>
        <v>-0.9198011118</v>
      </c>
      <c r="K332" s="59">
        <f>UpdateHashtag!T330</f>
        <v>1.6</v>
      </c>
      <c r="L332" s="53">
        <f>IF(TYPE($A332)=1,"",-(UpdateHashtag!R330-L$1)/L$2)</f>
        <v>1.040202395</v>
      </c>
      <c r="O332" s="106"/>
      <c r="P332" s="163"/>
      <c r="Q332" s="164"/>
      <c r="R332" s="163"/>
      <c r="S332" s="165"/>
      <c r="T332" s="144"/>
      <c r="U332" s="144"/>
      <c r="V332" s="144"/>
      <c r="W332" s="144"/>
      <c r="X332" s="144"/>
      <c r="Y332" s="144"/>
      <c r="Z332" s="144"/>
      <c r="AA332" s="144"/>
      <c r="AB332" s="144"/>
      <c r="AC332" s="166"/>
      <c r="AD332" s="166"/>
      <c r="AE332" s="144"/>
      <c r="AF332" s="144"/>
      <c r="AG332" s="144"/>
      <c r="AH332" s="144"/>
      <c r="AI332" s="144"/>
      <c r="AJ332" s="144"/>
      <c r="AK332" s="144"/>
      <c r="AL332" s="144"/>
      <c r="AM332" s="144"/>
      <c r="AN332" s="144"/>
      <c r="AO332" s="167"/>
      <c r="AP332" s="167"/>
      <c r="AQ332" s="167"/>
      <c r="AR332" s="167"/>
    </row>
    <row r="333">
      <c r="A333" s="50" t="str">
        <f>IF(UpdateHashtag!C331="",ROW(UpdateHashtag!C331),UpdateHashtag!C331)</f>
        <v>Vasilije Micic</v>
      </c>
      <c r="B333" s="53">
        <f>IF(TYPE($A333)=1,"",(UpdateHashtag!M331-B$1)/B$2)</f>
        <v>-1.960502465</v>
      </c>
      <c r="C333" s="53">
        <f>IF(TYPE($A333)=1,"",(UpdateHashtag!L331-C$1)/C$2)</f>
        <v>-1.129594037</v>
      </c>
      <c r="D333" s="53">
        <f>IF(TYPE($A333)=1,"",(UpdateHashtag!N331-D$1)/D$2)</f>
        <v>-1.956437406</v>
      </c>
      <c r="E333" s="53">
        <f>IF(TYPE($A333)=1,"",(UpdateHashtag!O331-E$1)/E$2)</f>
        <v>-0.06687682585</v>
      </c>
      <c r="F333" s="53">
        <f>IF(TYPE($A333)=1,"",(UpdateHashtag!P331-F$1)/F$2)</f>
        <v>-1.966035386</v>
      </c>
      <c r="G333" s="53">
        <f>IF(TYPE($A333)=1,"",(UpdateHashtag!Q331-G$1)/G$2)</f>
        <v>-1.145739154</v>
      </c>
      <c r="H333" s="53">
        <f>IF(TYPE($A333)=1,"",(UpdateHashtag!I331-H$1)/H$2*I333/$I$1)</f>
        <v>-10.33818553</v>
      </c>
      <c r="I333" s="53">
        <f>UpdateHashtag!S331</f>
        <v>5.2</v>
      </c>
      <c r="J333" s="58">
        <f>IF(TYPE($A333)=1,"",(UpdateHashtag!K331-J$1)/J$2*K333/$K$1)</f>
        <v>0.4032938958</v>
      </c>
      <c r="K333" s="59">
        <f>UpdateHashtag!T331</f>
        <v>1.1</v>
      </c>
      <c r="L333" s="53">
        <f>IF(TYPE($A333)=1,"",-(UpdateHashtag!R331-L$1)/L$2)</f>
        <v>0.3458524173</v>
      </c>
      <c r="O333" s="106"/>
      <c r="P333" s="163"/>
      <c r="Q333" s="164"/>
      <c r="R333" s="163"/>
      <c r="S333" s="165"/>
      <c r="T333" s="144"/>
      <c r="U333" s="144"/>
      <c r="V333" s="144"/>
      <c r="W333" s="144"/>
      <c r="X333" s="144"/>
      <c r="Y333" s="144"/>
      <c r="Z333" s="144"/>
      <c r="AA333" s="144"/>
      <c r="AB333" s="144"/>
      <c r="AC333" s="166"/>
      <c r="AD333" s="166"/>
      <c r="AE333" s="144"/>
      <c r="AF333" s="144"/>
      <c r="AG333" s="144"/>
      <c r="AH333" s="144"/>
      <c r="AI333" s="144"/>
      <c r="AJ333" s="144"/>
      <c r="AK333" s="144"/>
      <c r="AL333" s="144"/>
      <c r="AM333" s="144"/>
      <c r="AN333" s="144"/>
      <c r="AO333" s="167"/>
      <c r="AP333" s="167"/>
      <c r="AQ333" s="167"/>
      <c r="AR333" s="167"/>
    </row>
    <row r="334">
      <c r="A334" s="50" t="str">
        <f>IF(UpdateHashtag!C332="",ROW(UpdateHashtag!C332),UpdateHashtag!C332)</f>
        <v>Kenrich Williams</v>
      </c>
      <c r="B334" s="53">
        <f>IF(TYPE($A334)=1,"",(UpdateHashtag!M332-B$1)/B$2)</f>
        <v>-2.171033599</v>
      </c>
      <c r="C334" s="53">
        <f>IF(TYPE($A334)=1,"",(UpdateHashtag!L332-C$1)/C$2)</f>
        <v>-1.033010693</v>
      </c>
      <c r="D334" s="53">
        <f>IF(TYPE($A334)=1,"",(UpdateHashtag!N332-D$1)/D$2)</f>
        <v>-1.267336276</v>
      </c>
      <c r="E334" s="53">
        <f>IF(TYPE($A334)=1,"",(UpdateHashtag!O332-E$1)/E$2)</f>
        <v>-1.239311619</v>
      </c>
      <c r="F334" s="53">
        <f>IF(TYPE($A334)=1,"",(UpdateHashtag!P332-F$1)/F$2)</f>
        <v>-1.661312382</v>
      </c>
      <c r="G334" s="53">
        <f>IF(TYPE($A334)=1,"",(UpdateHashtag!Q332-G$1)/G$2)</f>
        <v>-0.963939931</v>
      </c>
      <c r="H334" s="53">
        <f>IF(TYPE($A334)=1,"",(UpdateHashtag!I332-H$1)/H$2*I334/$I$1)</f>
        <v>-0.02194218681</v>
      </c>
      <c r="I334" s="53">
        <f>UpdateHashtag!S332</f>
        <v>4</v>
      </c>
      <c r="J334" s="58">
        <f>IF(TYPE($A334)=1,"",(UpdateHashtag!K332-J$1)/J$2*K334/$K$1)</f>
        <v>-1.661319612</v>
      </c>
      <c r="K334" s="59">
        <f>UpdateHashtag!T332</f>
        <v>0.3</v>
      </c>
      <c r="L334" s="53">
        <f>IF(TYPE($A334)=1,"",-(UpdateHashtag!R332-L$1)/L$2)</f>
        <v>1.337780956</v>
      </c>
      <c r="N334" s="106"/>
      <c r="O334" s="106"/>
      <c r="P334" s="163"/>
      <c r="Q334" s="164"/>
      <c r="R334" s="163"/>
      <c r="S334" s="165"/>
      <c r="T334" s="144"/>
      <c r="U334" s="144"/>
      <c r="V334" s="144"/>
      <c r="W334" s="144"/>
      <c r="X334" s="144"/>
      <c r="Y334" s="144"/>
      <c r="Z334" s="144"/>
      <c r="AA334" s="144"/>
      <c r="AB334" s="144"/>
      <c r="AC334" s="166"/>
      <c r="AD334" s="166"/>
      <c r="AE334" s="144"/>
      <c r="AF334" s="144"/>
      <c r="AG334" s="144"/>
      <c r="AH334" s="144"/>
      <c r="AI334" s="144"/>
      <c r="AJ334" s="144"/>
      <c r="AK334" s="144"/>
      <c r="AL334" s="144"/>
      <c r="AM334" s="144"/>
      <c r="AN334" s="144"/>
      <c r="AO334" s="167"/>
      <c r="AP334" s="167"/>
      <c r="AQ334" s="167"/>
      <c r="AR334" s="167"/>
    </row>
    <row r="335">
      <c r="A335" s="50" t="str">
        <f>IF(UpdateHashtag!C333="",ROW(UpdateHashtag!C333),UpdateHashtag!C333)</f>
        <v>Jordan McLaughlin</v>
      </c>
      <c r="B335" s="53">
        <f>IF(TYPE($A335)=1,"",(UpdateHashtag!M333-B$1)/B$2)</f>
        <v>-2.416653256</v>
      </c>
      <c r="C335" s="53">
        <f>IF(TYPE($A335)=1,"",(UpdateHashtag!L333-C$1)/C$2)</f>
        <v>-1.129594037</v>
      </c>
      <c r="D335" s="53">
        <f>IF(TYPE($A335)=1,"",(UpdateHashtag!N333-D$1)/D$2)</f>
        <v>-1.956437406</v>
      </c>
      <c r="E335" s="53">
        <f>IF(TYPE($A335)=1,"",(UpdateHashtag!O333-E$1)/E$2)</f>
        <v>-0.7019456721</v>
      </c>
      <c r="F335" s="53">
        <f>IF(TYPE($A335)=1,"",(UpdateHashtag!P333-F$1)/F$2)</f>
        <v>-1.356589379</v>
      </c>
      <c r="G335" s="53">
        <f>IF(TYPE($A335)=1,"",(UpdateHashtag!Q333-G$1)/G$2)</f>
        <v>-1.145739154</v>
      </c>
      <c r="H335" s="53">
        <f>IF(TYPE($A335)=1,"",(UpdateHashtag!I333-H$1)/H$2*I335/$I$1)</f>
        <v>-3.421324735</v>
      </c>
      <c r="I335" s="53">
        <f>UpdateHashtag!S333</f>
        <v>2.7</v>
      </c>
      <c r="J335" s="58">
        <f>IF(TYPE($A335)=1,"",(UpdateHashtag!K333-J$1)/J$2*K335/$K$1)</f>
        <v>-0.1102275324</v>
      </c>
      <c r="K335" s="59">
        <f>UpdateHashtag!T333</f>
        <v>0.3</v>
      </c>
      <c r="L335" s="53">
        <f>IF(TYPE($A335)=1,"",-(UpdateHashtag!R333-L$1)/L$2)</f>
        <v>1.238588102</v>
      </c>
      <c r="N335" s="106"/>
      <c r="O335" s="106"/>
      <c r="P335" s="163"/>
      <c r="Q335" s="164"/>
      <c r="R335" s="163"/>
      <c r="S335" s="165"/>
      <c r="T335" s="144"/>
      <c r="U335" s="144"/>
      <c r="V335" s="144"/>
      <c r="W335" s="144"/>
      <c r="X335" s="144"/>
      <c r="Y335" s="144"/>
      <c r="Z335" s="144"/>
      <c r="AA335" s="144"/>
      <c r="AB335" s="144"/>
      <c r="AC335" s="166"/>
      <c r="AD335" s="166"/>
      <c r="AE335" s="144"/>
      <c r="AF335" s="144"/>
      <c r="AG335" s="144"/>
      <c r="AH335" s="144"/>
      <c r="AI335" s="144"/>
      <c r="AJ335" s="144"/>
      <c r="AK335" s="144"/>
      <c r="AL335" s="144"/>
      <c r="AM335" s="144"/>
      <c r="AN335" s="144"/>
      <c r="AO335" s="167"/>
      <c r="AP335" s="167"/>
      <c r="AQ335" s="167"/>
      <c r="AR335" s="167"/>
    </row>
    <row r="336">
      <c r="A336" s="50" t="str">
        <f>IF(UpdateHashtag!C334="",ROW(UpdateHashtag!C334),UpdateHashtag!C334)</f>
        <v>Johnny Furphy</v>
      </c>
      <c r="B336" s="53">
        <f>IF(TYPE($A336)=1,"",(UpdateHashtag!M334-B$1)/B$2)</f>
        <v>-2.118400816</v>
      </c>
      <c r="C336" s="53">
        <f>IF(TYPE($A336)=1,"",(UpdateHashtag!L334-C$1)/C$2)</f>
        <v>-0.9364273487</v>
      </c>
      <c r="D336" s="53">
        <f>IF(TYPE($A336)=1,"",(UpdateHashtag!N334-D$1)/D$2)</f>
        <v>-1.348406997</v>
      </c>
      <c r="E336" s="53">
        <f>IF(TYPE($A336)=1,"",(UpdateHashtag!O334-E$1)/E$2)</f>
        <v>-1.581271767</v>
      </c>
      <c r="F336" s="53">
        <f>IF(TYPE($A336)=1,"",(UpdateHashtag!P334-F$1)/F$2)</f>
        <v>-1.661312382</v>
      </c>
      <c r="G336" s="53">
        <f>IF(TYPE($A336)=1,"",(UpdateHashtag!Q334-G$1)/G$2)</f>
        <v>-0.963939931</v>
      </c>
      <c r="H336" s="53">
        <f>IF(TYPE($A336)=1,"",(UpdateHashtag!I334-H$1)/H$2*I336/$I$1)</f>
        <v>-4.129193138</v>
      </c>
      <c r="I336" s="53">
        <f>UpdateHashtag!S334</f>
        <v>3.6</v>
      </c>
      <c r="J336" s="58">
        <f>IF(TYPE($A336)=1,"",(UpdateHashtag!K334-J$1)/J$2*K336/$K$1)</f>
        <v>-0.603758481</v>
      </c>
      <c r="K336" s="59">
        <f>UpdateHashtag!T334</f>
        <v>1.4</v>
      </c>
      <c r="L336" s="53">
        <f>IF(TYPE($A336)=1,"",-(UpdateHashtag!R334-L$1)/L$2)</f>
        <v>1.238588102</v>
      </c>
      <c r="O336" s="106"/>
      <c r="P336" s="163"/>
      <c r="Q336" s="164"/>
      <c r="R336" s="163"/>
      <c r="S336" s="165"/>
      <c r="T336" s="144"/>
      <c r="U336" s="144"/>
      <c r="V336" s="144"/>
      <c r="W336" s="144"/>
      <c r="X336" s="144"/>
      <c r="Y336" s="144"/>
      <c r="Z336" s="144"/>
      <c r="AA336" s="144"/>
      <c r="AB336" s="144"/>
      <c r="AC336" s="166"/>
      <c r="AD336" s="166"/>
      <c r="AE336" s="144"/>
      <c r="AF336" s="144"/>
      <c r="AG336" s="144"/>
      <c r="AH336" s="144"/>
      <c r="AI336" s="144"/>
      <c r="AJ336" s="144"/>
      <c r="AK336" s="144"/>
      <c r="AL336" s="144"/>
      <c r="AM336" s="144"/>
      <c r="AN336" s="144"/>
      <c r="AO336" s="167"/>
      <c r="AP336" s="167"/>
      <c r="AQ336" s="167"/>
      <c r="AR336" s="167"/>
    </row>
    <row r="337">
      <c r="A337" s="50" t="str">
        <f>IF(UpdateHashtag!C335="",ROW(UpdateHashtag!C335),UpdateHashtag!C335)</f>
        <v>Ben Sheppard</v>
      </c>
      <c r="B337" s="53">
        <f>IF(TYPE($A337)=1,"",(UpdateHashtag!M335-B$1)/B$2)</f>
        <v>-2.118400816</v>
      </c>
      <c r="C337" s="53">
        <f>IF(TYPE($A337)=1,"",(UpdateHashtag!L335-C$1)/C$2)</f>
        <v>-0.7432606607</v>
      </c>
      <c r="D337" s="53">
        <f>IF(TYPE($A337)=1,"",(UpdateHashtag!N335-D$1)/D$2)</f>
        <v>-1.753760603</v>
      </c>
      <c r="E337" s="53">
        <f>IF(TYPE($A337)=1,"",(UpdateHashtag!O335-E$1)/E$2)</f>
        <v>-1.337014518</v>
      </c>
      <c r="F337" s="53">
        <f>IF(TYPE($A337)=1,"",(UpdateHashtag!P335-F$1)/F$2)</f>
        <v>-1.051866375</v>
      </c>
      <c r="G337" s="53">
        <f>IF(TYPE($A337)=1,"",(UpdateHashtag!Q335-G$1)/G$2)</f>
        <v>-1.327538376</v>
      </c>
      <c r="H337" s="53">
        <f>IF(TYPE($A337)=1,"",(UpdateHashtag!I335-H$1)/H$2*I337/$I$1)</f>
        <v>-14.42686405</v>
      </c>
      <c r="I337" s="53">
        <f>UpdateHashtag!S335</f>
        <v>4.7</v>
      </c>
      <c r="J337" s="58">
        <f>IF(TYPE($A337)=1,"",(UpdateHashtag!K335-J$1)/J$2*K337/$K$1)</f>
        <v>0.7897094301</v>
      </c>
      <c r="K337" s="59">
        <f>UpdateHashtag!T335</f>
        <v>0.5</v>
      </c>
      <c r="L337" s="53">
        <f>IF(TYPE($A337)=1,"",-(UpdateHashtag!R335-L$1)/L$2)</f>
        <v>1.43697381</v>
      </c>
      <c r="O337" s="106"/>
      <c r="P337" s="163"/>
      <c r="Q337" s="164"/>
      <c r="R337" s="163"/>
      <c r="S337" s="165"/>
      <c r="T337" s="144"/>
      <c r="U337" s="144"/>
      <c r="V337" s="144"/>
      <c r="W337" s="144"/>
      <c r="X337" s="144"/>
      <c r="Y337" s="144"/>
      <c r="Z337" s="144"/>
      <c r="AA337" s="144"/>
      <c r="AB337" s="144"/>
      <c r="AC337" s="166"/>
      <c r="AD337" s="166"/>
      <c r="AE337" s="144"/>
      <c r="AF337" s="144"/>
      <c r="AG337" s="144"/>
      <c r="AH337" s="144"/>
      <c r="AI337" s="144"/>
      <c r="AJ337" s="144"/>
      <c r="AK337" s="144"/>
      <c r="AL337" s="144"/>
      <c r="AM337" s="144"/>
      <c r="AN337" s="144"/>
      <c r="AO337" s="167"/>
      <c r="AP337" s="167"/>
      <c r="AQ337" s="167"/>
      <c r="AR337" s="167"/>
    </row>
    <row r="338">
      <c r="A338" s="50" t="str">
        <f>IF(UpdateHashtag!C336="",ROW(UpdateHashtag!C336),UpdateHashtag!C336)</f>
        <v>Kenyon Martin Jr.</v>
      </c>
      <c r="B338" s="53">
        <f>IF(TYPE($A338)=1,"",(UpdateHashtag!M336-B$1)/B$2)</f>
        <v>-1.837692637</v>
      </c>
      <c r="C338" s="53">
        <f>IF(TYPE($A338)=1,"",(UpdateHashtag!L336-C$1)/C$2)</f>
        <v>-1.322760725</v>
      </c>
      <c r="D338" s="53">
        <f>IF(TYPE($A338)=1,"",(UpdateHashtag!N336-D$1)/D$2)</f>
        <v>-1.226800915</v>
      </c>
      <c r="E338" s="53">
        <f>IF(TYPE($A338)=1,"",(UpdateHashtag!O336-E$1)/E$2)</f>
        <v>-1.434717418</v>
      </c>
      <c r="F338" s="53">
        <f>IF(TYPE($A338)=1,"",(UpdateHashtag!P336-F$1)/F$2)</f>
        <v>-2.27075839</v>
      </c>
      <c r="G338" s="53">
        <f>IF(TYPE($A338)=1,"",(UpdateHashtag!Q336-G$1)/G$2)</f>
        <v>-0.963939931</v>
      </c>
      <c r="H338" s="53">
        <f>IF(TYPE($A338)=1,"",(UpdateHashtag!I336-H$1)/H$2*I338/$I$1)</f>
        <v>9.634470301</v>
      </c>
      <c r="I338" s="53">
        <f>UpdateHashtag!S336</f>
        <v>4.8</v>
      </c>
      <c r="J338" s="58">
        <f>IF(TYPE($A338)=1,"",(UpdateHashtag!K336-J$1)/J$2*K338/$K$1)</f>
        <v>-2.927205053</v>
      </c>
      <c r="K338" s="59">
        <f>UpdateHashtag!T336</f>
        <v>1.4</v>
      </c>
      <c r="L338" s="53">
        <f>IF(TYPE($A338)=1,"",-(UpdateHashtag!R336-L$1)/L$2)</f>
        <v>1.040202395</v>
      </c>
      <c r="N338" s="106"/>
      <c r="O338" s="106"/>
      <c r="P338" s="163"/>
      <c r="Q338" s="164"/>
      <c r="R338" s="163"/>
      <c r="S338" s="165"/>
      <c r="T338" s="144"/>
      <c r="U338" s="144"/>
      <c r="V338" s="144"/>
      <c r="W338" s="144"/>
      <c r="X338" s="144"/>
      <c r="Y338" s="144"/>
      <c r="Z338" s="144"/>
      <c r="AA338" s="144"/>
      <c r="AB338" s="144"/>
      <c r="AC338" s="166"/>
      <c r="AD338" s="166"/>
      <c r="AE338" s="144"/>
      <c r="AF338" s="144"/>
      <c r="AG338" s="144"/>
      <c r="AH338" s="144"/>
      <c r="AI338" s="144"/>
      <c r="AJ338" s="144"/>
      <c r="AK338" s="144"/>
      <c r="AL338" s="144"/>
      <c r="AM338" s="144"/>
      <c r="AN338" s="144"/>
      <c r="AO338" s="167"/>
      <c r="AP338" s="167"/>
      <c r="AQ338" s="167"/>
      <c r="AR338" s="167"/>
    </row>
    <row r="339">
      <c r="A339" s="50" t="str">
        <f>IF(UpdateHashtag!C337="",ROW(UpdateHashtag!C337),UpdateHashtag!C337)</f>
        <v>Dwight Powell</v>
      </c>
      <c r="B339" s="53">
        <f>IF(TYPE($A339)=1,"",(UpdateHashtag!M337-B$1)/B$2)</f>
        <v>-2.276299166</v>
      </c>
      <c r="C339" s="53">
        <f>IF(TYPE($A339)=1,"",(UpdateHashtag!L337-C$1)/C$2)</f>
        <v>-1.709094101</v>
      </c>
      <c r="D339" s="53">
        <f>IF(TYPE($A339)=1,"",(UpdateHashtag!N337-D$1)/D$2)</f>
        <v>-1.226800915</v>
      </c>
      <c r="E339" s="53">
        <f>IF(TYPE($A339)=1,"",(UpdateHashtag!O337-E$1)/E$2)</f>
        <v>-1.434717418</v>
      </c>
      <c r="F339" s="53">
        <f>IF(TYPE($A339)=1,"",(UpdateHashtag!P337-F$1)/F$2)</f>
        <v>-1.966035386</v>
      </c>
      <c r="G339" s="53">
        <f>IF(TYPE($A339)=1,"",(UpdateHashtag!Q337-G$1)/G$2)</f>
        <v>-0.7821407085</v>
      </c>
      <c r="H339" s="53">
        <f>IF(TYPE($A339)=1,"",(UpdateHashtag!I337-H$1)/H$2*I339/$I$1)</f>
        <v>14.79154715</v>
      </c>
      <c r="I339" s="53">
        <f>UpdateHashtag!S337</f>
        <v>2.2</v>
      </c>
      <c r="J339" s="58">
        <f>IF(TYPE($A339)=1,"",(UpdateHashtag!K337-J$1)/J$2*K339/$K$1)</f>
        <v>-2.633622399</v>
      </c>
      <c r="K339" s="59">
        <f>UpdateHashtag!T337</f>
        <v>1.5</v>
      </c>
      <c r="L339" s="53">
        <f>IF(TYPE($A339)=1,"",-(UpdateHashtag!R337-L$1)/L$2)</f>
        <v>1.139395249</v>
      </c>
      <c r="N339" s="106"/>
      <c r="O339" s="106"/>
      <c r="P339" s="163"/>
      <c r="Q339" s="164"/>
      <c r="R339" s="163"/>
      <c r="S339" s="165"/>
      <c r="T339" s="144"/>
      <c r="U339" s="144"/>
      <c r="V339" s="144"/>
      <c r="W339" s="144"/>
      <c r="X339" s="144"/>
      <c r="Y339" s="144"/>
      <c r="Z339" s="144"/>
      <c r="AA339" s="144"/>
      <c r="AB339" s="144"/>
      <c r="AC339" s="166"/>
      <c r="AD339" s="166"/>
      <c r="AE339" s="144"/>
      <c r="AF339" s="144"/>
      <c r="AG339" s="144"/>
      <c r="AH339" s="144"/>
      <c r="AI339" s="144"/>
      <c r="AJ339" s="144"/>
      <c r="AK339" s="144"/>
      <c r="AL339" s="144"/>
      <c r="AM339" s="144"/>
      <c r="AN339" s="144"/>
      <c r="AO339" s="167"/>
      <c r="AP339" s="167"/>
      <c r="AQ339" s="167"/>
      <c r="AR339" s="167"/>
    </row>
    <row r="340">
      <c r="A340" s="50" t="str">
        <f>IF(UpdateHashtag!C338="",ROW(UpdateHashtag!C338),UpdateHashtag!C338)</f>
        <v>Yves Missi</v>
      </c>
      <c r="B340" s="53">
        <f>IF(TYPE($A340)=1,"",(UpdateHashtag!M338-B$1)/B$2)</f>
        <v>-1.907869681</v>
      </c>
      <c r="C340" s="53">
        <f>IF(TYPE($A340)=1,"",(UpdateHashtag!L338-C$1)/C$2)</f>
        <v>-1.709094101</v>
      </c>
      <c r="D340" s="53">
        <f>IF(TYPE($A340)=1,"",(UpdateHashtag!N338-D$1)/D$2)</f>
        <v>-1.145730194</v>
      </c>
      <c r="E340" s="53">
        <f>IF(TYPE($A340)=1,"",(UpdateHashtag!O338-E$1)/E$2)</f>
        <v>-1.776677566</v>
      </c>
      <c r="F340" s="53">
        <f>IF(TYPE($A340)=1,"",(UpdateHashtag!P338-F$1)/F$2)</f>
        <v>-1.966035386</v>
      </c>
      <c r="G340" s="53">
        <f>IF(TYPE($A340)=1,"",(UpdateHashtag!Q338-G$1)/G$2)</f>
        <v>0.3086546265</v>
      </c>
      <c r="H340" s="53">
        <f>IF(TYPE($A340)=1,"",(UpdateHashtag!I338-H$1)/H$2*I340/$I$1)</f>
        <v>13.92007935</v>
      </c>
      <c r="I340" s="53">
        <f>UpdateHashtag!S338</f>
        <v>3.9</v>
      </c>
      <c r="J340" s="58">
        <f>IF(TYPE($A340)=1,"",(UpdateHashtag!K338-J$1)/J$2*K340/$K$1)</f>
        <v>-6.62660574</v>
      </c>
      <c r="K340" s="59">
        <f>UpdateHashtag!T338</f>
        <v>2.4</v>
      </c>
      <c r="L340" s="53">
        <f>IF(TYPE($A340)=1,"",-(UpdateHashtag!R338-L$1)/L$2)</f>
        <v>1.040202395</v>
      </c>
      <c r="O340" s="106"/>
      <c r="P340" s="163"/>
      <c r="Q340" s="164"/>
      <c r="R340" s="163"/>
      <c r="S340" s="165"/>
      <c r="T340" s="144"/>
      <c r="U340" s="144"/>
      <c r="V340" s="144"/>
      <c r="W340" s="144"/>
      <c r="X340" s="144"/>
      <c r="Y340" s="144"/>
      <c r="Z340" s="144"/>
      <c r="AA340" s="144"/>
      <c r="AB340" s="144"/>
      <c r="AC340" s="166"/>
      <c r="AD340" s="166"/>
      <c r="AE340" s="144"/>
      <c r="AF340" s="144"/>
      <c r="AG340" s="144"/>
      <c r="AH340" s="144"/>
      <c r="AI340" s="144"/>
      <c r="AJ340" s="144"/>
      <c r="AK340" s="144"/>
      <c r="AL340" s="144"/>
      <c r="AM340" s="144"/>
      <c r="AN340" s="144"/>
      <c r="AO340" s="167"/>
      <c r="AP340" s="167"/>
      <c r="AQ340" s="167"/>
      <c r="AR340" s="167"/>
    </row>
    <row r="341">
      <c r="A341" s="50" t="str">
        <f>IF(UpdateHashtag!C339="",ROW(UpdateHashtag!C339),UpdateHashtag!C339)</f>
        <v>Jake LaRavia</v>
      </c>
      <c r="B341" s="53">
        <f>IF(TYPE($A341)=1,"",(UpdateHashtag!M339-B$1)/B$2)</f>
        <v>-1.978046726</v>
      </c>
      <c r="C341" s="53">
        <f>IF(TYPE($A341)=1,"",(UpdateHashtag!L339-C$1)/C$2)</f>
        <v>-0.8398440047</v>
      </c>
      <c r="D341" s="53">
        <f>IF(TYPE($A341)=1,"",(UpdateHashtag!N339-D$1)/D$2)</f>
        <v>-1.5510838</v>
      </c>
      <c r="E341" s="53">
        <f>IF(TYPE($A341)=1,"",(UpdateHashtag!O339-E$1)/E$2)</f>
        <v>-1.385865968</v>
      </c>
      <c r="F341" s="53">
        <f>IF(TYPE($A341)=1,"",(UpdateHashtag!P339-F$1)/F$2)</f>
        <v>-1.661312382</v>
      </c>
      <c r="G341" s="53">
        <f>IF(TYPE($A341)=1,"",(UpdateHashtag!Q339-G$1)/G$2)</f>
        <v>-0.963939931</v>
      </c>
      <c r="H341" s="53">
        <f>IF(TYPE($A341)=1,"",(UpdateHashtag!I339-H$1)/H$2*I341/$I$1)</f>
        <v>-15.62955331</v>
      </c>
      <c r="I341" s="53">
        <f>UpdateHashtag!S339</f>
        <v>4.9</v>
      </c>
      <c r="J341" s="58">
        <f>IF(TYPE($A341)=1,"",(UpdateHashtag!K339-J$1)/J$2*K341/$K$1)</f>
        <v>0.7893122832</v>
      </c>
      <c r="K341" s="59">
        <f>UpdateHashtag!T339</f>
        <v>1.5</v>
      </c>
      <c r="L341" s="53">
        <f>IF(TYPE($A341)=1,"",-(UpdateHashtag!R339-L$1)/L$2)</f>
        <v>0.9410095407</v>
      </c>
      <c r="O341" s="106"/>
      <c r="P341" s="163"/>
      <c r="Q341" s="164"/>
      <c r="R341" s="163"/>
      <c r="S341" s="165"/>
      <c r="T341" s="144"/>
      <c r="U341" s="144"/>
      <c r="V341" s="144"/>
      <c r="W341" s="144"/>
      <c r="X341" s="144"/>
      <c r="Y341" s="144"/>
      <c r="Z341" s="144"/>
      <c r="AA341" s="144"/>
      <c r="AB341" s="144"/>
      <c r="AC341" s="166"/>
      <c r="AD341" s="166"/>
      <c r="AE341" s="144"/>
      <c r="AF341" s="144"/>
      <c r="AG341" s="144"/>
      <c r="AH341" s="144"/>
      <c r="AI341" s="144"/>
      <c r="AJ341" s="144"/>
      <c r="AK341" s="144"/>
      <c r="AL341" s="144"/>
      <c r="AM341" s="144"/>
      <c r="AN341" s="144"/>
      <c r="AO341" s="167"/>
      <c r="AP341" s="167"/>
      <c r="AQ341" s="167"/>
      <c r="AR341" s="167"/>
    </row>
    <row r="342">
      <c r="A342" s="50" t="str">
        <f>IF(UpdateHashtag!C340="",ROW(UpdateHashtag!C340),UpdateHashtag!C340)</f>
        <v>Kel'el Ware</v>
      </c>
      <c r="B342" s="53">
        <f>IF(TYPE($A342)=1,"",(UpdateHashtag!M340-B$1)/B$2)</f>
        <v>-1.907869681</v>
      </c>
      <c r="C342" s="53">
        <f>IF(TYPE($A342)=1,"",(UpdateHashtag!L340-C$1)/C$2)</f>
        <v>-1.515927413</v>
      </c>
      <c r="D342" s="53">
        <f>IF(TYPE($A342)=1,"",(UpdateHashtag!N340-D$1)/D$2)</f>
        <v>-0.9025180299</v>
      </c>
      <c r="E342" s="53">
        <f>IF(TYPE($A342)=1,"",(UpdateHashtag!O340-E$1)/E$2)</f>
        <v>-1.581271767</v>
      </c>
      <c r="F342" s="53">
        <f>IF(TYPE($A342)=1,"",(UpdateHashtag!P340-F$1)/F$2)</f>
        <v>-2.575481394</v>
      </c>
      <c r="G342" s="53">
        <f>IF(TYPE($A342)=1,"",(UpdateHashtag!Q340-G$1)/G$2)</f>
        <v>-0.05494381853</v>
      </c>
      <c r="H342" s="53">
        <f>IF(TYPE($A342)=1,"",(UpdateHashtag!I340-H$1)/H$2*I342/$I$1)</f>
        <v>2.424917372</v>
      </c>
      <c r="I342" s="53">
        <f>UpdateHashtag!S340</f>
        <v>4.8</v>
      </c>
      <c r="J342" s="58">
        <f>IF(TYPE($A342)=1,"",(UpdateHashtag!K340-J$1)/J$2*K342/$K$1)</f>
        <v>-4.452923611</v>
      </c>
      <c r="K342" s="59">
        <f>UpdateHashtag!T340</f>
        <v>1.8</v>
      </c>
      <c r="L342" s="53">
        <f>IF(TYPE($A342)=1,"",-(UpdateHashtag!R340-L$1)/L$2)</f>
        <v>1.139395249</v>
      </c>
      <c r="N342" s="106"/>
      <c r="O342" s="106"/>
      <c r="P342" s="163"/>
      <c r="Q342" s="164"/>
      <c r="R342" s="163"/>
      <c r="S342" s="165"/>
      <c r="T342" s="144"/>
      <c r="U342" s="144"/>
      <c r="V342" s="144"/>
      <c r="W342" s="144"/>
      <c r="X342" s="144"/>
      <c r="Y342" s="144"/>
      <c r="Z342" s="144"/>
      <c r="AA342" s="144"/>
      <c r="AB342" s="144"/>
      <c r="AC342" s="166"/>
      <c r="AD342" s="166"/>
      <c r="AE342" s="144"/>
      <c r="AF342" s="144"/>
      <c r="AG342" s="144"/>
      <c r="AH342" s="144"/>
      <c r="AI342" s="144"/>
      <c r="AJ342" s="144"/>
      <c r="AK342" s="144"/>
      <c r="AL342" s="144"/>
      <c r="AM342" s="144"/>
      <c r="AN342" s="144"/>
      <c r="AO342" s="167"/>
      <c r="AP342" s="167"/>
      <c r="AQ342" s="167"/>
      <c r="AR342" s="167"/>
    </row>
    <row r="343">
      <c r="A343" s="50" t="str">
        <f>IF(UpdateHashtag!C341="",ROW(UpdateHashtag!C341),UpdateHashtag!C341)</f>
        <v>Tristan Da Silva</v>
      </c>
      <c r="B343" s="53">
        <f>IF(TYPE($A343)=1,"",(UpdateHashtag!M341-B$1)/B$2)</f>
        <v>-2.065768032</v>
      </c>
      <c r="C343" s="53">
        <f>IF(TYPE($A343)=1,"",(UpdateHashtag!L341-C$1)/C$2)</f>
        <v>-1.129594037</v>
      </c>
      <c r="D343" s="53">
        <f>IF(TYPE($A343)=1,"",(UpdateHashtag!N341-D$1)/D$2)</f>
        <v>-1.794295964</v>
      </c>
      <c r="E343" s="53">
        <f>IF(TYPE($A343)=1,"",(UpdateHashtag!O341-E$1)/E$2)</f>
        <v>-1.483568867</v>
      </c>
      <c r="F343" s="53">
        <f>IF(TYPE($A343)=1,"",(UpdateHashtag!P341-F$1)/F$2)</f>
        <v>-1.966035386</v>
      </c>
      <c r="G343" s="53">
        <f>IF(TYPE($A343)=1,"",(UpdateHashtag!Q341-G$1)/G$2)</f>
        <v>-0.963939931</v>
      </c>
      <c r="H343" s="53">
        <f>IF(TYPE($A343)=1,"",(UpdateHashtag!I341-H$1)/H$2*I343/$I$1)</f>
        <v>-0.3728593375</v>
      </c>
      <c r="I343" s="53">
        <f>UpdateHashtag!S341</f>
        <v>3.9</v>
      </c>
      <c r="J343" s="58">
        <f>IF(TYPE($A343)=1,"",(UpdateHashtag!K341-J$1)/J$2*K343/$K$1)</f>
        <v>0.7177010381</v>
      </c>
      <c r="K343" s="59">
        <f>UpdateHashtag!T341</f>
        <v>1</v>
      </c>
      <c r="L343" s="53">
        <f>IF(TYPE($A343)=1,"",-(UpdateHashtag!R341-L$1)/L$2)</f>
        <v>1.139395249</v>
      </c>
      <c r="N343" s="106"/>
      <c r="O343" s="106"/>
      <c r="P343" s="163"/>
      <c r="Q343" s="164"/>
      <c r="R343" s="163"/>
      <c r="S343" s="165"/>
      <c r="T343" s="144"/>
      <c r="U343" s="144"/>
      <c r="V343" s="144"/>
      <c r="W343" s="144"/>
      <c r="X343" s="144"/>
      <c r="Y343" s="144"/>
      <c r="Z343" s="144"/>
      <c r="AA343" s="144"/>
      <c r="AB343" s="144"/>
      <c r="AC343" s="166"/>
      <c r="AD343" s="166"/>
      <c r="AE343" s="144"/>
      <c r="AF343" s="144"/>
      <c r="AG343" s="144"/>
      <c r="AH343" s="144"/>
      <c r="AI343" s="144"/>
      <c r="AJ343" s="144"/>
      <c r="AK343" s="144"/>
      <c r="AL343" s="144"/>
      <c r="AM343" s="144"/>
      <c r="AN343" s="144"/>
      <c r="AO343" s="167"/>
      <c r="AP343" s="167"/>
      <c r="AQ343" s="167"/>
      <c r="AR343" s="167"/>
    </row>
    <row r="344">
      <c r="A344" s="50" t="str">
        <f>IF(UpdateHashtag!C342="",ROW(UpdateHashtag!C342),UpdateHashtag!C342)</f>
        <v>Simone Fontecchio</v>
      </c>
      <c r="B344" s="53">
        <f>IF(TYPE($A344)=1,"",(UpdateHashtag!M342-B$1)/B$2)</f>
        <v>-1.925413943</v>
      </c>
      <c r="C344" s="53">
        <f>IF(TYPE($A344)=1,"",(UpdateHashtag!L342-C$1)/C$2)</f>
        <v>-0.5500939728</v>
      </c>
      <c r="D344" s="53">
        <f>IF(TYPE($A344)=1,"",(UpdateHashtag!N342-D$1)/D$2)</f>
        <v>-1.672689882</v>
      </c>
      <c r="E344" s="53">
        <f>IF(TYPE($A344)=1,"",(UpdateHashtag!O342-E$1)/E$2)</f>
        <v>-1.434717418</v>
      </c>
      <c r="F344" s="53">
        <f>IF(TYPE($A344)=1,"",(UpdateHashtag!P342-F$1)/F$2)</f>
        <v>-1.966035386</v>
      </c>
      <c r="G344" s="53">
        <f>IF(TYPE($A344)=1,"",(UpdateHashtag!Q342-G$1)/G$2)</f>
        <v>-0.963939931</v>
      </c>
      <c r="H344" s="53">
        <f>IF(TYPE($A344)=1,"",(UpdateHashtag!I342-H$1)/H$2*I344/$I$1)</f>
        <v>-10.80680647</v>
      </c>
      <c r="I344" s="53">
        <f>UpdateHashtag!S342</f>
        <v>5.2</v>
      </c>
      <c r="J344" s="58">
        <f>IF(TYPE($A344)=1,"",(UpdateHashtag!K342-J$1)/J$2*K344/$K$1)</f>
        <v>0.3348344835</v>
      </c>
      <c r="K344" s="59">
        <f>UpdateHashtag!T342</f>
        <v>0.7</v>
      </c>
      <c r="L344" s="53">
        <f>IF(TYPE($A344)=1,"",-(UpdateHashtag!R342-L$1)/L$2)</f>
        <v>1.040202395</v>
      </c>
      <c r="O344" s="106"/>
      <c r="P344" s="163"/>
      <c r="Q344" s="164"/>
      <c r="R344" s="163"/>
      <c r="S344" s="165"/>
      <c r="T344" s="144"/>
      <c r="U344" s="144"/>
      <c r="V344" s="144"/>
      <c r="W344" s="144"/>
      <c r="X344" s="144"/>
      <c r="Y344" s="144"/>
      <c r="Z344" s="144"/>
      <c r="AA344" s="144"/>
      <c r="AB344" s="144"/>
      <c r="AC344" s="166"/>
      <c r="AD344" s="166"/>
      <c r="AE344" s="144"/>
      <c r="AF344" s="144"/>
      <c r="AG344" s="144"/>
      <c r="AH344" s="144"/>
      <c r="AI344" s="144"/>
      <c r="AJ344" s="144"/>
      <c r="AK344" s="144"/>
      <c r="AL344" s="144"/>
      <c r="AM344" s="144"/>
      <c r="AN344" s="144"/>
      <c r="AO344" s="167"/>
      <c r="AP344" s="167"/>
      <c r="AQ344" s="167"/>
      <c r="AR344" s="167"/>
    </row>
    <row r="345">
      <c r="A345" s="50" t="str">
        <f>IF(UpdateHashtag!C343="",ROW(UpdateHashtag!C343),UpdateHashtag!C343)</f>
        <v>Jaden Hardy</v>
      </c>
      <c r="B345" s="53">
        <f>IF(TYPE($A345)=1,"",(UpdateHashtag!M343-B$1)/B$2)</f>
        <v>-1.609617241</v>
      </c>
      <c r="C345" s="53">
        <f>IF(TYPE($A345)=1,"",(UpdateHashtag!L343-C$1)/C$2)</f>
        <v>-0.5500939728</v>
      </c>
      <c r="D345" s="53">
        <f>IF(TYPE($A345)=1,"",(UpdateHashtag!N343-D$1)/D$2)</f>
        <v>-1.713225242</v>
      </c>
      <c r="E345" s="53">
        <f>IF(TYPE($A345)=1,"",(UpdateHashtag!O343-E$1)/E$2)</f>
        <v>-1.141608719</v>
      </c>
      <c r="F345" s="53">
        <f>IF(TYPE($A345)=1,"",(UpdateHashtag!P343-F$1)/F$2)</f>
        <v>-2.27075839</v>
      </c>
      <c r="G345" s="53">
        <f>IF(TYPE($A345)=1,"",(UpdateHashtag!Q343-G$1)/G$2)</f>
        <v>-1.145739154</v>
      </c>
      <c r="H345" s="53">
        <f>IF(TYPE($A345)=1,"",(UpdateHashtag!I343-H$1)/H$2*I345/$I$1)</f>
        <v>-15.58344878</v>
      </c>
      <c r="I345" s="53">
        <f>UpdateHashtag!S343</f>
        <v>6.9</v>
      </c>
      <c r="J345" s="58">
        <f>IF(TYPE($A345)=1,"",(UpdateHashtag!K343-J$1)/J$2*K345/$K$1)</f>
        <v>0.2899145306</v>
      </c>
      <c r="K345" s="59">
        <f>UpdateHashtag!T343</f>
        <v>1.3</v>
      </c>
      <c r="L345" s="53">
        <f>IF(TYPE($A345)=1,"",-(UpdateHashtag!R343-L$1)/L$2)</f>
        <v>0.8418166868</v>
      </c>
      <c r="O345" s="106"/>
      <c r="P345" s="163"/>
      <c r="Q345" s="164"/>
      <c r="R345" s="163"/>
      <c r="S345" s="165"/>
      <c r="T345" s="144"/>
      <c r="U345" s="144"/>
      <c r="V345" s="144"/>
      <c r="W345" s="144"/>
      <c r="X345" s="144"/>
      <c r="Y345" s="144"/>
      <c r="Z345" s="144"/>
      <c r="AA345" s="144"/>
      <c r="AB345" s="144"/>
      <c r="AC345" s="166"/>
      <c r="AD345" s="166"/>
      <c r="AE345" s="144"/>
      <c r="AF345" s="144"/>
      <c r="AG345" s="144"/>
      <c r="AH345" s="144"/>
      <c r="AI345" s="144"/>
      <c r="AJ345" s="144"/>
      <c r="AK345" s="144"/>
      <c r="AL345" s="144"/>
      <c r="AM345" s="144"/>
      <c r="AN345" s="144"/>
      <c r="AO345" s="167"/>
      <c r="AP345" s="167"/>
      <c r="AQ345" s="167"/>
      <c r="AR345" s="167"/>
    </row>
    <row r="346">
      <c r="A346" s="50" t="str">
        <f>IF(UpdateHashtag!C344="",ROW(UpdateHashtag!C344),UpdateHashtag!C344)</f>
        <v>Bobi Klintman</v>
      </c>
      <c r="B346" s="53">
        <f>IF(TYPE($A346)=1,"",(UpdateHashtag!M344-B$1)/B$2)</f>
        <v>-2.083312293</v>
      </c>
      <c r="C346" s="53">
        <f>IF(TYPE($A346)=1,"",(UpdateHashtag!L344-C$1)/C$2)</f>
        <v>-1.033010693</v>
      </c>
      <c r="D346" s="53">
        <f>IF(TYPE($A346)=1,"",(UpdateHashtag!N344-D$1)/D$2)</f>
        <v>-1.388942357</v>
      </c>
      <c r="E346" s="53">
        <f>IF(TYPE($A346)=1,"",(UpdateHashtag!O344-E$1)/E$2)</f>
        <v>-1.678974666</v>
      </c>
      <c r="F346" s="53">
        <f>IF(TYPE($A346)=1,"",(UpdateHashtag!P344-F$1)/F$2)</f>
        <v>-1.966035386</v>
      </c>
      <c r="G346" s="53">
        <f>IF(TYPE($A346)=1,"",(UpdateHashtag!Q344-G$1)/G$2)</f>
        <v>-0.7821407085</v>
      </c>
      <c r="H346" s="53">
        <f>IF(TYPE($A346)=1,"",(UpdateHashtag!I344-H$1)/H$2*I346/$I$1)</f>
        <v>-6.750858254</v>
      </c>
      <c r="I346" s="53">
        <f>UpdateHashtag!S344</f>
        <v>4</v>
      </c>
      <c r="J346" s="58">
        <f>IF(TYPE($A346)=1,"",(UpdateHashtag!K344-J$1)/J$2*K346/$K$1)</f>
        <v>-0.04523767046</v>
      </c>
      <c r="K346" s="59">
        <f>UpdateHashtag!T344</f>
        <v>1.4</v>
      </c>
      <c r="L346" s="53">
        <f>IF(TYPE($A346)=1,"",-(UpdateHashtag!R344-L$1)/L$2)</f>
        <v>0.8418166868</v>
      </c>
      <c r="N346" s="106"/>
      <c r="O346" s="106"/>
      <c r="P346" s="163"/>
      <c r="Q346" s="164"/>
      <c r="R346" s="163"/>
      <c r="S346" s="165"/>
      <c r="T346" s="144"/>
      <c r="U346" s="144"/>
      <c r="V346" s="144"/>
      <c r="W346" s="144"/>
      <c r="X346" s="144"/>
      <c r="Y346" s="144"/>
      <c r="Z346" s="144"/>
      <c r="AA346" s="144"/>
      <c r="AB346" s="144"/>
      <c r="AC346" s="166"/>
      <c r="AD346" s="166"/>
      <c r="AE346" s="144"/>
      <c r="AF346" s="144"/>
      <c r="AG346" s="144"/>
      <c r="AH346" s="144"/>
      <c r="AI346" s="144"/>
      <c r="AJ346" s="144"/>
      <c r="AK346" s="144"/>
      <c r="AL346" s="144"/>
      <c r="AM346" s="144"/>
      <c r="AN346" s="144"/>
      <c r="AO346" s="167"/>
      <c r="AP346" s="167"/>
      <c r="AQ346" s="167"/>
      <c r="AR346" s="167"/>
    </row>
    <row r="347">
      <c r="A347" s="50" t="str">
        <f>IF(UpdateHashtag!C345="",ROW(UpdateHashtag!C345),UpdateHashtag!C345)</f>
        <v>Jevon Carter</v>
      </c>
      <c r="B347" s="53">
        <f>IF(TYPE($A347)=1,"",(UpdateHashtag!M345-B$1)/B$2)</f>
        <v>-2.171033599</v>
      </c>
      <c r="C347" s="53">
        <f>IF(TYPE($A347)=1,"",(UpdateHashtag!L345-C$1)/C$2)</f>
        <v>-0.7432606607</v>
      </c>
      <c r="D347" s="53">
        <f>IF(TYPE($A347)=1,"",(UpdateHashtag!N345-D$1)/D$2)</f>
        <v>-1.996972767</v>
      </c>
      <c r="E347" s="53">
        <f>IF(TYPE($A347)=1,"",(UpdateHashtag!O345-E$1)/E$2)</f>
        <v>-1.190460169</v>
      </c>
      <c r="F347" s="53">
        <f>IF(TYPE($A347)=1,"",(UpdateHashtag!P345-F$1)/F$2)</f>
        <v>-1.661312382</v>
      </c>
      <c r="G347" s="53">
        <f>IF(TYPE($A347)=1,"",(UpdateHashtag!Q345-G$1)/G$2)</f>
        <v>-0.963939931</v>
      </c>
      <c r="H347" s="53">
        <f>IF(TYPE($A347)=1,"",(UpdateHashtag!I345-H$1)/H$2*I347/$I$1)</f>
        <v>-11.7877236</v>
      </c>
      <c r="I347" s="53">
        <f>UpdateHashtag!S345</f>
        <v>4.4</v>
      </c>
      <c r="J347" s="58">
        <f>IF(TYPE($A347)=1,"",(UpdateHashtag!K345-J$1)/J$2*K347/$K$1)</f>
        <v>0.07013461538</v>
      </c>
      <c r="K347" s="59">
        <f>UpdateHashtag!T345</f>
        <v>0.2</v>
      </c>
      <c r="L347" s="53">
        <f>IF(TYPE($A347)=1,"",-(UpdateHashtag!R345-L$1)/L$2)</f>
        <v>1.238588102</v>
      </c>
      <c r="N347" s="106"/>
      <c r="O347" s="106"/>
      <c r="P347" s="163"/>
      <c r="Q347" s="164"/>
      <c r="R347" s="163"/>
      <c r="S347" s="165"/>
      <c r="T347" s="144"/>
      <c r="U347" s="144"/>
      <c r="V347" s="144"/>
      <c r="W347" s="144"/>
      <c r="X347" s="144"/>
      <c r="Y347" s="144"/>
      <c r="Z347" s="144"/>
      <c r="AA347" s="144"/>
      <c r="AB347" s="144"/>
      <c r="AC347" s="166"/>
      <c r="AD347" s="166"/>
      <c r="AE347" s="144"/>
      <c r="AF347" s="144"/>
      <c r="AG347" s="144"/>
      <c r="AH347" s="144"/>
      <c r="AI347" s="144"/>
      <c r="AJ347" s="144"/>
      <c r="AK347" s="144"/>
      <c r="AL347" s="144"/>
      <c r="AM347" s="144"/>
      <c r="AN347" s="144"/>
      <c r="AO347" s="167"/>
      <c r="AP347" s="167"/>
      <c r="AQ347" s="167"/>
      <c r="AR347" s="167"/>
    </row>
    <row r="348">
      <c r="A348" s="50" t="str">
        <f>IF(UpdateHashtag!C346="",ROW(UpdateHashtag!C346),UpdateHashtag!C346)</f>
        <v>Tidjane Salaun</v>
      </c>
      <c r="B348" s="53">
        <f>IF(TYPE($A348)=1,"",(UpdateHashtag!M346-B$1)/B$2)</f>
        <v>-1.978046726</v>
      </c>
      <c r="C348" s="53">
        <f>IF(TYPE($A348)=1,"",(UpdateHashtag!L346-C$1)/C$2)</f>
        <v>-0.9364273487</v>
      </c>
      <c r="D348" s="53">
        <f>IF(TYPE($A348)=1,"",(UpdateHashtag!N346-D$1)/D$2)</f>
        <v>-1.510548439</v>
      </c>
      <c r="E348" s="53">
        <f>IF(TYPE($A348)=1,"",(UpdateHashtag!O346-E$1)/E$2)</f>
        <v>-1.581271767</v>
      </c>
      <c r="F348" s="53">
        <f>IF(TYPE($A348)=1,"",(UpdateHashtag!P346-F$1)/F$2)</f>
        <v>-1.051866375</v>
      </c>
      <c r="G348" s="53">
        <f>IF(TYPE($A348)=1,"",(UpdateHashtag!Q346-G$1)/G$2)</f>
        <v>-1.145739154</v>
      </c>
      <c r="H348" s="53">
        <f>IF(TYPE($A348)=1,"",(UpdateHashtag!I346-H$1)/H$2*I348/$I$1)</f>
        <v>-13.6955385</v>
      </c>
      <c r="I348" s="53">
        <f>UpdateHashtag!S346</f>
        <v>5</v>
      </c>
      <c r="J348" s="58">
        <f>IF(TYPE($A348)=1,"",(UpdateHashtag!K346-J$1)/J$2*K348/$K$1)</f>
        <v>-0.2494569951</v>
      </c>
      <c r="K348" s="59">
        <f>UpdateHashtag!T346</f>
        <v>1.3</v>
      </c>
      <c r="L348" s="53">
        <f>IF(TYPE($A348)=1,"",-(UpdateHashtag!R346-L$1)/L$2)</f>
        <v>0.9410095407</v>
      </c>
      <c r="O348" s="106"/>
      <c r="P348" s="163"/>
      <c r="Q348" s="164"/>
      <c r="R348" s="163"/>
      <c r="S348" s="165"/>
      <c r="T348" s="144"/>
      <c r="U348" s="144"/>
      <c r="V348" s="144"/>
      <c r="W348" s="144"/>
      <c r="X348" s="144"/>
      <c r="Y348" s="144"/>
      <c r="Z348" s="144"/>
      <c r="AA348" s="144"/>
      <c r="AB348" s="144"/>
      <c r="AC348" s="166"/>
      <c r="AD348" s="166"/>
      <c r="AE348" s="144"/>
      <c r="AF348" s="144"/>
      <c r="AG348" s="144"/>
      <c r="AH348" s="144"/>
      <c r="AI348" s="144"/>
      <c r="AJ348" s="144"/>
      <c r="AK348" s="144"/>
      <c r="AL348" s="144"/>
      <c r="AM348" s="144"/>
      <c r="AN348" s="144"/>
      <c r="AO348" s="167"/>
      <c r="AP348" s="167"/>
      <c r="AQ348" s="167"/>
      <c r="AR348" s="167"/>
    </row>
    <row r="349">
      <c r="A349" s="50" t="str">
        <f>IF(UpdateHashtag!C347="",ROW(UpdateHashtag!C347),UpdateHashtag!C347)</f>
        <v>Tyler Smith</v>
      </c>
      <c r="B349" s="53">
        <f>IF(TYPE($A349)=1,"",(UpdateHashtag!M347-B$1)/B$2)</f>
        <v>-2.048223771</v>
      </c>
      <c r="C349" s="53">
        <f>IF(TYPE($A349)=1,"",(UpdateHashtag!L347-C$1)/C$2)</f>
        <v>-1.129594037</v>
      </c>
      <c r="D349" s="53">
        <f>IF(TYPE($A349)=1,"",(UpdateHashtag!N347-D$1)/D$2)</f>
        <v>-1.632154521</v>
      </c>
      <c r="E349" s="53">
        <f>IF(TYPE($A349)=1,"",(UpdateHashtag!O347-E$1)/E$2)</f>
        <v>-1.630123217</v>
      </c>
      <c r="F349" s="53">
        <f>IF(TYPE($A349)=1,"",(UpdateHashtag!P347-F$1)/F$2)</f>
        <v>-2.27075839</v>
      </c>
      <c r="G349" s="53">
        <f>IF(TYPE($A349)=1,"",(UpdateHashtag!Q347-G$1)/G$2)</f>
        <v>-0.600341486</v>
      </c>
      <c r="H349" s="53">
        <f>IF(TYPE($A349)=1,"",(UpdateHashtag!I347-H$1)/H$2*I349/$I$1)</f>
        <v>-1.500449092</v>
      </c>
      <c r="I349" s="53">
        <f>UpdateHashtag!S347</f>
        <v>4.1</v>
      </c>
      <c r="J349" s="58">
        <f>IF(TYPE($A349)=1,"",(UpdateHashtag!K347-J$1)/J$2*K349/$K$1)</f>
        <v>-0.727990545</v>
      </c>
      <c r="K349" s="59">
        <f>UpdateHashtag!T347</f>
        <v>0.8</v>
      </c>
      <c r="L349" s="53">
        <f>IF(TYPE($A349)=1,"",-(UpdateHashtag!R347-L$1)/L$2)</f>
        <v>1.238588102</v>
      </c>
      <c r="O349" s="106"/>
      <c r="P349" s="163"/>
      <c r="Q349" s="164"/>
      <c r="R349" s="163"/>
      <c r="S349" s="165"/>
      <c r="T349" s="144"/>
      <c r="U349" s="144"/>
      <c r="V349" s="144"/>
      <c r="W349" s="144"/>
      <c r="X349" s="144"/>
      <c r="Y349" s="144"/>
      <c r="Z349" s="144"/>
      <c r="AA349" s="144"/>
      <c r="AB349" s="144"/>
      <c r="AC349" s="166"/>
      <c r="AD349" s="166"/>
      <c r="AE349" s="144"/>
      <c r="AF349" s="144"/>
      <c r="AG349" s="144"/>
      <c r="AH349" s="144"/>
      <c r="AI349" s="144"/>
      <c r="AJ349" s="144"/>
      <c r="AK349" s="144"/>
      <c r="AL349" s="144"/>
      <c r="AM349" s="144"/>
      <c r="AN349" s="144"/>
      <c r="AO349" s="167"/>
      <c r="AP349" s="167"/>
      <c r="AQ349" s="167"/>
      <c r="AR349" s="167"/>
    </row>
    <row r="350">
      <c r="A350" s="50" t="str">
        <f>IF(UpdateHashtag!C348="",ROW(UpdateHashtag!C348),UpdateHashtag!C348)</f>
        <v>Andre Jackson Jr.</v>
      </c>
      <c r="B350" s="53">
        <f>IF(TYPE($A350)=1,"",(UpdateHashtag!M348-B$1)/B$2)</f>
        <v>-2.46928604</v>
      </c>
      <c r="C350" s="53">
        <f>IF(TYPE($A350)=1,"",(UpdateHashtag!L348-C$1)/C$2)</f>
        <v>-1.322760725</v>
      </c>
      <c r="D350" s="53">
        <f>IF(TYPE($A350)=1,"",(UpdateHashtag!N348-D$1)/D$2)</f>
        <v>-1.348406997</v>
      </c>
      <c r="E350" s="53">
        <f>IF(TYPE($A350)=1,"",(UpdateHashtag!O348-E$1)/E$2)</f>
        <v>-1.239311619</v>
      </c>
      <c r="F350" s="53">
        <f>IF(TYPE($A350)=1,"",(UpdateHashtag!P348-F$1)/F$2)</f>
        <v>-1.966035386</v>
      </c>
      <c r="G350" s="53">
        <f>IF(TYPE($A350)=1,"",(UpdateHashtag!Q348-G$1)/G$2)</f>
        <v>-0.963939931</v>
      </c>
      <c r="H350" s="53">
        <f>IF(TYPE($A350)=1,"",(UpdateHashtag!I348-H$1)/H$2*I350/$I$1)</f>
        <v>0.2115846623</v>
      </c>
      <c r="I350" s="53">
        <f>UpdateHashtag!S348</f>
        <v>2.5</v>
      </c>
      <c r="J350" s="58">
        <f>IF(TYPE($A350)=1,"",(UpdateHashtag!K348-J$1)/J$2*K350/$K$1)</f>
        <v>-0.3543809153</v>
      </c>
      <c r="K350" s="59">
        <f>UpdateHashtag!T348</f>
        <v>0.3</v>
      </c>
      <c r="L350" s="53">
        <f>IF(TYPE($A350)=1,"",-(UpdateHashtag!R348-L$1)/L$2)</f>
        <v>1.040202395</v>
      </c>
      <c r="N350" s="106"/>
      <c r="O350" s="106"/>
      <c r="P350" s="163"/>
      <c r="Q350" s="164"/>
      <c r="R350" s="163"/>
      <c r="S350" s="165"/>
      <c r="T350" s="144"/>
      <c r="U350" s="144"/>
      <c r="V350" s="144"/>
      <c r="W350" s="144"/>
      <c r="X350" s="144"/>
      <c r="Y350" s="144"/>
      <c r="Z350" s="144"/>
      <c r="AA350" s="144"/>
      <c r="AB350" s="144"/>
      <c r="AC350" s="166"/>
      <c r="AD350" s="166"/>
      <c r="AE350" s="144"/>
      <c r="AF350" s="144"/>
      <c r="AG350" s="144"/>
      <c r="AH350" s="144"/>
      <c r="AI350" s="144"/>
      <c r="AJ350" s="144"/>
      <c r="AK350" s="144"/>
      <c r="AL350" s="144"/>
      <c r="AM350" s="144"/>
      <c r="AN350" s="144"/>
      <c r="AO350" s="167"/>
      <c r="AP350" s="167"/>
      <c r="AQ350" s="167"/>
      <c r="AR350" s="167"/>
    </row>
    <row r="351">
      <c r="A351" s="50" t="str">
        <f>IF(UpdateHashtag!C349="",ROW(UpdateHashtag!C349),UpdateHashtag!C349)</f>
        <v>Jaylon Tyson</v>
      </c>
      <c r="B351" s="53">
        <f>IF(TYPE($A351)=1,"",(UpdateHashtag!M349-B$1)/B$2)</f>
        <v>-1.89032542</v>
      </c>
      <c r="C351" s="53">
        <f>IF(TYPE($A351)=1,"",(UpdateHashtag!L349-C$1)/C$2)</f>
        <v>-1.226177381</v>
      </c>
      <c r="D351" s="53">
        <f>IF(TYPE($A351)=1,"",(UpdateHashtag!N349-D$1)/D$2)</f>
        <v>-1.5510838</v>
      </c>
      <c r="E351" s="53">
        <f>IF(TYPE($A351)=1,"",(UpdateHashtag!O349-E$1)/E$2)</f>
        <v>-1.288163069</v>
      </c>
      <c r="F351" s="53">
        <f>IF(TYPE($A351)=1,"",(UpdateHashtag!P349-F$1)/F$2)</f>
        <v>-1.966035386</v>
      </c>
      <c r="G351" s="53">
        <f>IF(TYPE($A351)=1,"",(UpdateHashtag!Q349-G$1)/G$2)</f>
        <v>-0.963939931</v>
      </c>
      <c r="H351" s="53">
        <f>IF(TYPE($A351)=1,"",(UpdateHashtag!I349-H$1)/H$2*I351/$I$1)</f>
        <v>-6.745424989</v>
      </c>
      <c r="I351" s="53">
        <f>UpdateHashtag!S349</f>
        <v>5.2</v>
      </c>
      <c r="J351" s="58">
        <f>IF(TYPE($A351)=1,"",(UpdateHashtag!K349-J$1)/J$2*K351/$K$1)</f>
        <v>-0.2160251758</v>
      </c>
      <c r="K351" s="59">
        <f>UpdateHashtag!T349</f>
        <v>1.5</v>
      </c>
      <c r="L351" s="53">
        <f>IF(TYPE($A351)=1,"",-(UpdateHashtag!R349-L$1)/L$2)</f>
        <v>0.7426238329</v>
      </c>
      <c r="N351" s="106"/>
      <c r="O351" s="106"/>
      <c r="P351" s="163"/>
      <c r="Q351" s="164"/>
      <c r="R351" s="163"/>
      <c r="S351" s="165"/>
      <c r="T351" s="144"/>
      <c r="U351" s="144"/>
      <c r="V351" s="144"/>
      <c r="W351" s="144"/>
      <c r="X351" s="144"/>
      <c r="Y351" s="144"/>
      <c r="Z351" s="144"/>
      <c r="AA351" s="144"/>
      <c r="AB351" s="144"/>
      <c r="AC351" s="166"/>
      <c r="AD351" s="166"/>
      <c r="AE351" s="144"/>
      <c r="AF351" s="144"/>
      <c r="AG351" s="144"/>
      <c r="AH351" s="144"/>
      <c r="AI351" s="144"/>
      <c r="AJ351" s="144"/>
      <c r="AK351" s="144"/>
      <c r="AL351" s="144"/>
      <c r="AM351" s="144"/>
      <c r="AN351" s="144"/>
      <c r="AO351" s="167"/>
      <c r="AP351" s="167"/>
      <c r="AQ351" s="167"/>
      <c r="AR351" s="167"/>
    </row>
    <row r="352">
      <c r="A352" s="50" t="str">
        <f>IF(UpdateHashtag!C350="",ROW(UpdateHashtag!C350),UpdateHashtag!C350)</f>
        <v>Keon Johnson</v>
      </c>
      <c r="B352" s="53">
        <f>IF(TYPE($A352)=1,"",(UpdateHashtag!M350-B$1)/B$2)</f>
        <v>-1.802604114</v>
      </c>
      <c r="C352" s="53">
        <f>IF(TYPE($A352)=1,"",(UpdateHashtag!L350-C$1)/C$2)</f>
        <v>-0.7432606607</v>
      </c>
      <c r="D352" s="53">
        <f>IF(TYPE($A352)=1,"",(UpdateHashtag!N350-D$1)/D$2)</f>
        <v>-1.834831324</v>
      </c>
      <c r="E352" s="53">
        <f>IF(TYPE($A352)=1,"",(UpdateHashtag!O350-E$1)/E$2)</f>
        <v>-0.8973514709</v>
      </c>
      <c r="F352" s="53">
        <f>IF(TYPE($A352)=1,"",(UpdateHashtag!P350-F$1)/F$2)</f>
        <v>-1.051866375</v>
      </c>
      <c r="G352" s="53">
        <f>IF(TYPE($A352)=1,"",(UpdateHashtag!Q350-G$1)/G$2)</f>
        <v>-0.963939931</v>
      </c>
      <c r="H352" s="53">
        <f>IF(TYPE($A352)=1,"",(UpdateHashtag!I350-H$1)/H$2*I352/$I$1)</f>
        <v>-22.55539991</v>
      </c>
      <c r="I352" s="53">
        <f>UpdateHashtag!S350</f>
        <v>6.3</v>
      </c>
      <c r="J352" s="58">
        <f>IF(TYPE($A352)=1,"",(UpdateHashtag!K350-J$1)/J$2*K352/$K$1)</f>
        <v>-1.872517752</v>
      </c>
      <c r="K352" s="59">
        <f>UpdateHashtag!T350</f>
        <v>1.7</v>
      </c>
      <c r="L352" s="53">
        <f>IF(TYPE($A352)=1,"",-(UpdateHashtag!R350-L$1)/L$2)</f>
        <v>0.2466595634</v>
      </c>
      <c r="O352" s="106"/>
      <c r="P352" s="163"/>
      <c r="Q352" s="164"/>
      <c r="R352" s="163"/>
      <c r="S352" s="165"/>
      <c r="T352" s="144"/>
      <c r="U352" s="144"/>
      <c r="V352" s="144"/>
      <c r="W352" s="144"/>
      <c r="X352" s="144"/>
      <c r="Y352" s="144"/>
      <c r="Z352" s="144"/>
      <c r="AA352" s="144"/>
      <c r="AB352" s="144"/>
      <c r="AC352" s="166"/>
      <c r="AD352" s="166"/>
      <c r="AE352" s="144"/>
      <c r="AF352" s="144"/>
      <c r="AG352" s="144"/>
      <c r="AH352" s="144"/>
      <c r="AI352" s="144"/>
      <c r="AJ352" s="144"/>
      <c r="AK352" s="144"/>
      <c r="AL352" s="144"/>
      <c r="AM352" s="144"/>
      <c r="AN352" s="144"/>
      <c r="AO352" s="167"/>
      <c r="AP352" s="167"/>
      <c r="AQ352" s="167"/>
      <c r="AR352" s="167"/>
    </row>
    <row r="353">
      <c r="A353" s="50" t="str">
        <f>IF(UpdateHashtag!C351="",ROW(UpdateHashtag!C351),UpdateHashtag!C351)</f>
        <v>Chris Duarte</v>
      </c>
      <c r="B353" s="53">
        <f>IF(TYPE($A353)=1,"",(UpdateHashtag!M351-B$1)/B$2)</f>
        <v>-2.03067951</v>
      </c>
      <c r="C353" s="53">
        <f>IF(TYPE($A353)=1,"",(UpdateHashtag!L351-C$1)/C$2)</f>
        <v>-0.8398440047</v>
      </c>
      <c r="D353" s="53">
        <f>IF(TYPE($A353)=1,"",(UpdateHashtag!N351-D$1)/D$2)</f>
        <v>-1.632154521</v>
      </c>
      <c r="E353" s="53">
        <f>IF(TYPE($A353)=1,"",(UpdateHashtag!O351-E$1)/E$2)</f>
        <v>-1.385865968</v>
      </c>
      <c r="F353" s="53">
        <f>IF(TYPE($A353)=1,"",(UpdateHashtag!P351-F$1)/F$2)</f>
        <v>-1.661312382</v>
      </c>
      <c r="G353" s="53">
        <f>IF(TYPE($A353)=1,"",(UpdateHashtag!Q351-G$1)/G$2)</f>
        <v>-0.963939931</v>
      </c>
      <c r="H353" s="53">
        <f>IF(TYPE($A353)=1,"",(UpdateHashtag!I351-H$1)/H$2*I353/$I$1)</f>
        <v>-18.71874226</v>
      </c>
      <c r="I353" s="53">
        <f>UpdateHashtag!S351</f>
        <v>5.1</v>
      </c>
      <c r="J353" s="58">
        <f>IF(TYPE($A353)=1,"",(UpdateHashtag!K351-J$1)/J$2*K353/$K$1)</f>
        <v>0.7815319879</v>
      </c>
      <c r="K353" s="59">
        <f>UpdateHashtag!T351</f>
        <v>1</v>
      </c>
      <c r="L353" s="53">
        <f>IF(TYPE($A353)=1,"",-(UpdateHashtag!R351-L$1)/L$2)</f>
        <v>1.139395249</v>
      </c>
      <c r="O353" s="106"/>
      <c r="P353" s="163"/>
      <c r="Q353" s="164"/>
      <c r="R353" s="163"/>
      <c r="S353" s="165"/>
      <c r="T353" s="144"/>
      <c r="U353" s="144"/>
      <c r="V353" s="144"/>
      <c r="W353" s="144"/>
      <c r="X353" s="144"/>
      <c r="Y353" s="144"/>
      <c r="Z353" s="144"/>
      <c r="AA353" s="144"/>
      <c r="AB353" s="144"/>
      <c r="AC353" s="166"/>
      <c r="AD353" s="166"/>
      <c r="AE353" s="144"/>
      <c r="AF353" s="144"/>
      <c r="AG353" s="144"/>
      <c r="AH353" s="144"/>
      <c r="AI353" s="144"/>
      <c r="AJ353" s="144"/>
      <c r="AK353" s="144"/>
      <c r="AL353" s="144"/>
      <c r="AM353" s="144"/>
      <c r="AN353" s="144"/>
      <c r="AO353" s="167"/>
      <c r="AP353" s="167"/>
      <c r="AQ353" s="167"/>
      <c r="AR353" s="167"/>
    </row>
    <row r="354">
      <c r="A354" s="50" t="str">
        <f>IF(UpdateHashtag!C352="",ROW(UpdateHashtag!C352),UpdateHashtag!C352)</f>
        <v>Alex Len</v>
      </c>
      <c r="B354" s="53">
        <f>IF(TYPE($A354)=1,"",(UpdateHashtag!M352-B$1)/B$2)</f>
        <v>-2.557007346</v>
      </c>
      <c r="C354" s="53">
        <f>IF(TYPE($A354)=1,"",(UpdateHashtag!L352-C$1)/C$2)</f>
        <v>-1.709094101</v>
      </c>
      <c r="D354" s="53">
        <f>IF(TYPE($A354)=1,"",(UpdateHashtag!N352-D$1)/D$2)</f>
        <v>-1.267336276</v>
      </c>
      <c r="E354" s="53">
        <f>IF(TYPE($A354)=1,"",(UpdateHashtag!O352-E$1)/E$2)</f>
        <v>-1.385865968</v>
      </c>
      <c r="F354" s="53">
        <f>IF(TYPE($A354)=1,"",(UpdateHashtag!P352-F$1)/F$2)</f>
        <v>-2.575481394</v>
      </c>
      <c r="G354" s="53">
        <f>IF(TYPE($A354)=1,"",(UpdateHashtag!Q352-G$1)/G$2)</f>
        <v>-0.05494381853</v>
      </c>
      <c r="H354" s="53">
        <f>IF(TYPE($A354)=1,"",(UpdateHashtag!I352-H$1)/H$2*I354/$I$1)</f>
        <v>4.944238229</v>
      </c>
      <c r="I354" s="53">
        <f>UpdateHashtag!S352</f>
        <v>1.7</v>
      </c>
      <c r="J354" s="58">
        <f>IF(TYPE($A354)=1,"",(UpdateHashtag!K352-J$1)/J$2*K354/$K$1)</f>
        <v>-2.04290811</v>
      </c>
      <c r="K354" s="59">
        <f>UpdateHashtag!T352</f>
        <v>0.8</v>
      </c>
      <c r="L354" s="53">
        <f>IF(TYPE($A354)=1,"",-(UpdateHashtag!R352-L$1)/L$2)</f>
        <v>1.040202395</v>
      </c>
      <c r="N354" s="106"/>
      <c r="O354" s="106"/>
      <c r="P354" s="163"/>
      <c r="Q354" s="164"/>
      <c r="R354" s="163"/>
      <c r="S354" s="165"/>
      <c r="T354" s="144"/>
      <c r="U354" s="144"/>
      <c r="V354" s="144"/>
      <c r="W354" s="144"/>
      <c r="X354" s="144"/>
      <c r="Y354" s="144"/>
      <c r="Z354" s="144"/>
      <c r="AA354" s="144"/>
      <c r="AB354" s="144"/>
      <c r="AC354" s="166"/>
      <c r="AD354" s="166"/>
      <c r="AE354" s="144"/>
      <c r="AF354" s="144"/>
      <c r="AG354" s="144"/>
      <c r="AH354" s="144"/>
      <c r="AI354" s="144"/>
      <c r="AJ354" s="144"/>
      <c r="AK354" s="144"/>
      <c r="AL354" s="144"/>
      <c r="AM354" s="144"/>
      <c r="AN354" s="144"/>
      <c r="AO354" s="167"/>
      <c r="AP354" s="167"/>
      <c r="AQ354" s="167"/>
      <c r="AR354" s="167"/>
    </row>
    <row r="355">
      <c r="A355" s="50" t="str">
        <f>IF(UpdateHashtag!C353="",ROW(UpdateHashtag!C353),UpdateHashtag!C353)</f>
        <v>Kevon Looney</v>
      </c>
      <c r="B355" s="53">
        <f>IF(TYPE($A355)=1,"",(UpdateHashtag!M353-B$1)/B$2)</f>
        <v>-2.486830301</v>
      </c>
      <c r="C355" s="53">
        <f>IF(TYPE($A355)=1,"",(UpdateHashtag!L353-C$1)/C$2)</f>
        <v>-1.709094101</v>
      </c>
      <c r="D355" s="53">
        <f>IF(TYPE($A355)=1,"",(UpdateHashtag!N353-D$1)/D$2)</f>
        <v>-0.9025180299</v>
      </c>
      <c r="E355" s="53">
        <f>IF(TYPE($A355)=1,"",(UpdateHashtag!O353-E$1)/E$2)</f>
        <v>-1.337014518</v>
      </c>
      <c r="F355" s="53">
        <f>IF(TYPE($A355)=1,"",(UpdateHashtag!P353-F$1)/F$2)</f>
        <v>-2.27075839</v>
      </c>
      <c r="G355" s="53">
        <f>IF(TYPE($A355)=1,"",(UpdateHashtag!Q353-G$1)/G$2)</f>
        <v>-0.7821407085</v>
      </c>
      <c r="H355" s="53">
        <f>IF(TYPE($A355)=1,"",(UpdateHashtag!I353-H$1)/H$2*I355/$I$1)</f>
        <v>7.684678104</v>
      </c>
      <c r="I355" s="53">
        <f>UpdateHashtag!S353</f>
        <v>2.1</v>
      </c>
      <c r="J355" s="58">
        <f>IF(TYPE($A355)=1,"",(UpdateHashtag!K353-J$1)/J$2*K355/$K$1)</f>
        <v>-1.979077161</v>
      </c>
      <c r="K355" s="59">
        <f>UpdateHashtag!T353</f>
        <v>0.8</v>
      </c>
      <c r="L355" s="53">
        <f>IF(TYPE($A355)=1,"",-(UpdateHashtag!R353-L$1)/L$2)</f>
        <v>1.43697381</v>
      </c>
      <c r="N355" s="106"/>
      <c r="O355" s="106"/>
      <c r="P355" s="163"/>
      <c r="Q355" s="164"/>
      <c r="R355" s="163"/>
      <c r="S355" s="165"/>
      <c r="T355" s="144"/>
      <c r="U355" s="144"/>
      <c r="V355" s="144"/>
      <c r="W355" s="144"/>
      <c r="X355" s="144"/>
      <c r="Y355" s="144"/>
      <c r="Z355" s="144"/>
      <c r="AA355" s="144"/>
      <c r="AB355" s="144"/>
      <c r="AC355" s="166"/>
      <c r="AD355" s="166"/>
      <c r="AE355" s="144"/>
      <c r="AF355" s="144"/>
      <c r="AG355" s="144"/>
      <c r="AH355" s="144"/>
      <c r="AI355" s="144"/>
      <c r="AJ355" s="144"/>
      <c r="AK355" s="144"/>
      <c r="AL355" s="144"/>
      <c r="AM355" s="144"/>
      <c r="AN355" s="144"/>
      <c r="AO355" s="167"/>
      <c r="AP355" s="167"/>
      <c r="AQ355" s="167"/>
      <c r="AR355" s="167"/>
    </row>
    <row r="356">
      <c r="A356" s="50" t="str">
        <f>IF(UpdateHashtag!C354="",ROW(UpdateHashtag!C354),UpdateHashtag!C354)</f>
        <v>Jeremiah Robinson-Earl</v>
      </c>
      <c r="B356" s="53">
        <f>IF(TYPE($A356)=1,"",(UpdateHashtag!M354-B$1)/B$2)</f>
        <v>-2.258754905</v>
      </c>
      <c r="C356" s="53">
        <f>IF(TYPE($A356)=1,"",(UpdateHashtag!L354-C$1)/C$2)</f>
        <v>-1.226177381</v>
      </c>
      <c r="D356" s="53">
        <f>IF(TYPE($A356)=1,"",(UpdateHashtag!N354-D$1)/D$2)</f>
        <v>-1.388942357</v>
      </c>
      <c r="E356" s="53">
        <f>IF(TYPE($A356)=1,"",(UpdateHashtag!O354-E$1)/E$2)</f>
        <v>-1.532420317</v>
      </c>
      <c r="F356" s="53">
        <f>IF(TYPE($A356)=1,"",(UpdateHashtag!P354-F$1)/F$2)</f>
        <v>-1.966035386</v>
      </c>
      <c r="G356" s="53">
        <f>IF(TYPE($A356)=1,"",(UpdateHashtag!Q354-G$1)/G$2)</f>
        <v>-0.963939931</v>
      </c>
      <c r="H356" s="53">
        <f>IF(TYPE($A356)=1,"",(UpdateHashtag!I354-H$1)/H$2*I356/$I$1)</f>
        <v>-4.799629319</v>
      </c>
      <c r="I356" s="53">
        <f>UpdateHashtag!S354</f>
        <v>3.7</v>
      </c>
      <c r="J356" s="58">
        <f>IF(TYPE($A356)=1,"",(UpdateHashtag!K354-J$1)/J$2*K356/$K$1)</f>
        <v>0.1721052763</v>
      </c>
      <c r="K356" s="59">
        <f>UpdateHashtag!T354</f>
        <v>0.6</v>
      </c>
      <c r="L356" s="53">
        <f>IF(TYPE($A356)=1,"",-(UpdateHashtag!R354-L$1)/L$2)</f>
        <v>1.337780956</v>
      </c>
      <c r="O356" s="106"/>
      <c r="P356" s="163"/>
      <c r="Q356" s="164"/>
      <c r="R356" s="163"/>
      <c r="S356" s="165"/>
      <c r="T356" s="144"/>
      <c r="U356" s="144"/>
      <c r="V356" s="144"/>
      <c r="W356" s="144"/>
      <c r="X356" s="144"/>
      <c r="Y356" s="144"/>
      <c r="Z356" s="144"/>
      <c r="AA356" s="144"/>
      <c r="AB356" s="144"/>
      <c r="AC356" s="166"/>
      <c r="AD356" s="166"/>
      <c r="AE356" s="144"/>
      <c r="AF356" s="144"/>
      <c r="AG356" s="144"/>
      <c r="AH356" s="144"/>
      <c r="AI356" s="144"/>
      <c r="AJ356" s="144"/>
      <c r="AK356" s="144"/>
      <c r="AL356" s="144"/>
      <c r="AM356" s="144"/>
      <c r="AN356" s="144"/>
      <c r="AO356" s="167"/>
      <c r="AP356" s="167"/>
      <c r="AQ356" s="167"/>
      <c r="AR356" s="167"/>
    </row>
    <row r="357">
      <c r="A357" s="50" t="str">
        <f>IF(UpdateHashtag!C355="",ROW(UpdateHashtag!C355),UpdateHashtag!C355)</f>
        <v>Jamal Cain</v>
      </c>
      <c r="B357" s="53">
        <f>IF(TYPE($A357)=1,"",(UpdateHashtag!M355-B$1)/B$2)</f>
        <v>-2.241210644</v>
      </c>
      <c r="C357" s="53">
        <f>IF(TYPE($A357)=1,"",(UpdateHashtag!L355-C$1)/C$2)</f>
        <v>-1.322760725</v>
      </c>
      <c r="D357" s="53">
        <f>IF(TYPE($A357)=1,"",(UpdateHashtag!N355-D$1)/D$2)</f>
        <v>-1.672689882</v>
      </c>
      <c r="E357" s="53">
        <f>IF(TYPE($A357)=1,"",(UpdateHashtag!O355-E$1)/E$2)</f>
        <v>-1.630123217</v>
      </c>
      <c r="F357" s="53">
        <f>IF(TYPE($A357)=1,"",(UpdateHashtag!P355-F$1)/F$2)</f>
        <v>-1.661312382</v>
      </c>
      <c r="G357" s="53">
        <f>IF(TYPE($A357)=1,"",(UpdateHashtag!Q355-G$1)/G$2)</f>
        <v>-1.145739154</v>
      </c>
      <c r="H357" s="53">
        <f>IF(TYPE($A357)=1,"",(UpdateHashtag!I355-H$1)/H$2*I357/$I$1)</f>
        <v>-0.7120217736</v>
      </c>
      <c r="I357" s="53">
        <f>UpdateHashtag!S355</f>
        <v>3.3</v>
      </c>
      <c r="J357" s="58">
        <f>IF(TYPE($A357)=1,"",(UpdateHashtag!K355-J$1)/J$2*K357/$K$1)</f>
        <v>-0.09614357154</v>
      </c>
      <c r="K357" s="59">
        <f>UpdateHashtag!T355</f>
        <v>1</v>
      </c>
      <c r="L357" s="53">
        <f>IF(TYPE($A357)=1,"",-(UpdateHashtag!R355-L$1)/L$2)</f>
        <v>1.43697381</v>
      </c>
      <c r="O357" s="106"/>
      <c r="P357" s="163"/>
      <c r="Q357" s="164"/>
      <c r="R357" s="163"/>
      <c r="S357" s="165"/>
      <c r="T357" s="144"/>
      <c r="U357" s="144"/>
      <c r="V357" s="144"/>
      <c r="W357" s="144"/>
      <c r="X357" s="144"/>
      <c r="Y357" s="144"/>
      <c r="Z357" s="144"/>
      <c r="AA357" s="144"/>
      <c r="AB357" s="144"/>
      <c r="AC357" s="166"/>
      <c r="AD357" s="166"/>
      <c r="AE357" s="144"/>
      <c r="AF357" s="144"/>
      <c r="AG357" s="144"/>
      <c r="AH357" s="144"/>
      <c r="AI357" s="144"/>
      <c r="AJ357" s="144"/>
      <c r="AK357" s="144"/>
      <c r="AL357" s="144"/>
      <c r="AM357" s="144"/>
      <c r="AN357" s="144"/>
      <c r="AO357" s="167"/>
      <c r="AP357" s="167"/>
      <c r="AQ357" s="167"/>
      <c r="AR357" s="167"/>
    </row>
    <row r="358">
      <c r="A358" s="50" t="str">
        <f>IF(UpdateHashtag!C356="",ROW(UpdateHashtag!C356),UpdateHashtag!C356)</f>
        <v>Dru Smith</v>
      </c>
      <c r="B358" s="53">
        <f>IF(TYPE($A358)=1,"",(UpdateHashtag!M356-B$1)/B$2)</f>
        <v>-2.557007346</v>
      </c>
      <c r="C358" s="53">
        <f>IF(TYPE($A358)=1,"",(UpdateHashtag!L356-C$1)/C$2)</f>
        <v>-1.322760725</v>
      </c>
      <c r="D358" s="53">
        <f>IF(TYPE($A358)=1,"",(UpdateHashtag!N356-D$1)/D$2)</f>
        <v>-1.996972767</v>
      </c>
      <c r="E358" s="53">
        <f>IF(TYPE($A358)=1,"",(UpdateHashtag!O356-E$1)/E$2)</f>
        <v>-1.337014518</v>
      </c>
      <c r="F358" s="53">
        <f>IF(TYPE($A358)=1,"",(UpdateHashtag!P356-F$1)/F$2)</f>
        <v>-1.356589379</v>
      </c>
      <c r="G358" s="53">
        <f>IF(TYPE($A358)=1,"",(UpdateHashtag!Q356-G$1)/G$2)</f>
        <v>-0.963939931</v>
      </c>
      <c r="H358" s="53">
        <f>IF(TYPE($A358)=1,"",(UpdateHashtag!I356-H$1)/H$2*I358/$I$1)</f>
        <v>-5.34823448</v>
      </c>
      <c r="I358" s="53">
        <f>UpdateHashtag!S356</f>
        <v>2.4</v>
      </c>
      <c r="J358" s="58">
        <f>IF(TYPE($A358)=1,"",(UpdateHashtag!K356-J$1)/J$2*K358/$K$1)</f>
        <v>0.6765286383</v>
      </c>
      <c r="K358" s="59">
        <f>UpdateHashtag!T356</f>
        <v>0.2</v>
      </c>
      <c r="L358" s="53">
        <f>IF(TYPE($A358)=1,"",-(UpdateHashtag!R356-L$1)/L$2)</f>
        <v>1.43697381</v>
      </c>
      <c r="N358" s="106"/>
      <c r="O358" s="106"/>
      <c r="P358" s="163"/>
      <c r="Q358" s="164"/>
      <c r="R358" s="163"/>
      <c r="S358" s="165"/>
      <c r="T358" s="144"/>
      <c r="U358" s="144"/>
      <c r="V358" s="144"/>
      <c r="W358" s="144"/>
      <c r="X358" s="144"/>
      <c r="Y358" s="144"/>
      <c r="Z358" s="144"/>
      <c r="AA358" s="144"/>
      <c r="AB358" s="144"/>
      <c r="AC358" s="166"/>
      <c r="AD358" s="166"/>
      <c r="AE358" s="144"/>
      <c r="AF358" s="144"/>
      <c r="AG358" s="144"/>
      <c r="AH358" s="144"/>
      <c r="AI358" s="144"/>
      <c r="AJ358" s="144"/>
      <c r="AK358" s="144"/>
      <c r="AL358" s="144"/>
      <c r="AM358" s="144"/>
      <c r="AN358" s="144"/>
      <c r="AO358" s="167"/>
      <c r="AP358" s="167"/>
      <c r="AQ358" s="167"/>
      <c r="AR358" s="167"/>
    </row>
    <row r="359">
      <c r="A359" s="50" t="str">
        <f>IF(UpdateHashtag!C357="",ROW(UpdateHashtag!C357),UpdateHashtag!C357)</f>
        <v>Zeke Nnaji</v>
      </c>
      <c r="B359" s="53">
        <f>IF(TYPE($A359)=1,"",(UpdateHashtag!M357-B$1)/B$2)</f>
        <v>-2.258754905</v>
      </c>
      <c r="C359" s="53">
        <f>IF(TYPE($A359)=1,"",(UpdateHashtag!L357-C$1)/C$2)</f>
        <v>-1.515927413</v>
      </c>
      <c r="D359" s="53">
        <f>IF(TYPE($A359)=1,"",(UpdateHashtag!N357-D$1)/D$2)</f>
        <v>-1.470013079</v>
      </c>
      <c r="E359" s="53">
        <f>IF(TYPE($A359)=1,"",(UpdateHashtag!O357-E$1)/E$2)</f>
        <v>-1.630123217</v>
      </c>
      <c r="F359" s="53">
        <f>IF(TYPE($A359)=1,"",(UpdateHashtag!P357-F$1)/F$2)</f>
        <v>-2.27075839</v>
      </c>
      <c r="G359" s="53">
        <f>IF(TYPE($A359)=1,"",(UpdateHashtag!Q357-G$1)/G$2)</f>
        <v>-0.236743041</v>
      </c>
      <c r="H359" s="53">
        <f>IF(TYPE($A359)=1,"",(UpdateHashtag!I357-H$1)/H$2*I359/$I$1)</f>
        <v>2.289503188</v>
      </c>
      <c r="I359" s="53">
        <f>UpdateHashtag!S357</f>
        <v>3.2</v>
      </c>
      <c r="J359" s="58">
        <f>IF(TYPE($A359)=1,"",(UpdateHashtag!K357-J$1)/J$2*K359/$K$1)</f>
        <v>-2.374987908</v>
      </c>
      <c r="K359" s="59">
        <f>UpdateHashtag!T357</f>
        <v>1.2</v>
      </c>
      <c r="L359" s="53">
        <f>IF(TYPE($A359)=1,"",-(UpdateHashtag!R357-L$1)/L$2)</f>
        <v>1.238588102</v>
      </c>
      <c r="N359" s="106"/>
      <c r="O359" s="106"/>
      <c r="P359" s="163"/>
      <c r="Q359" s="164"/>
      <c r="R359" s="163"/>
      <c r="S359" s="165"/>
      <c r="T359" s="144"/>
      <c r="U359" s="144"/>
      <c r="V359" s="144"/>
      <c r="W359" s="144"/>
      <c r="X359" s="144"/>
      <c r="Y359" s="144"/>
      <c r="Z359" s="144"/>
      <c r="AA359" s="144"/>
      <c r="AB359" s="144"/>
      <c r="AC359" s="166"/>
      <c r="AD359" s="166"/>
      <c r="AE359" s="144"/>
      <c r="AF359" s="144"/>
      <c r="AG359" s="144"/>
      <c r="AH359" s="144"/>
      <c r="AI359" s="144"/>
      <c r="AJ359" s="144"/>
      <c r="AK359" s="144"/>
      <c r="AL359" s="144"/>
      <c r="AM359" s="144"/>
      <c r="AN359" s="144"/>
      <c r="AO359" s="167"/>
      <c r="AP359" s="167"/>
      <c r="AQ359" s="167"/>
      <c r="AR359" s="167"/>
    </row>
    <row r="360">
      <c r="A360" s="50" t="str">
        <f>IF(UpdateHashtag!C358="",ROW(UpdateHashtag!C358),UpdateHashtag!C358)</f>
        <v>Kobe Bufkin</v>
      </c>
      <c r="B360" s="53">
        <f>IF(TYPE($A360)=1,"",(UpdateHashtag!M358-B$1)/B$2)</f>
        <v>-1.89032542</v>
      </c>
      <c r="C360" s="53">
        <f>IF(TYPE($A360)=1,"",(UpdateHashtag!L358-C$1)/C$2)</f>
        <v>-1.033010693</v>
      </c>
      <c r="D360" s="53">
        <f>IF(TYPE($A360)=1,"",(UpdateHashtag!N358-D$1)/D$2)</f>
        <v>-1.429477718</v>
      </c>
      <c r="E360" s="53">
        <f>IF(TYPE($A360)=1,"",(UpdateHashtag!O358-E$1)/E$2)</f>
        <v>-0.8485000212</v>
      </c>
      <c r="F360" s="53">
        <f>IF(TYPE($A360)=1,"",(UpdateHashtag!P358-F$1)/F$2)</f>
        <v>-1.356589379</v>
      </c>
      <c r="G360" s="53">
        <f>IF(TYPE($A360)=1,"",(UpdateHashtag!Q358-G$1)/G$2)</f>
        <v>-0.600341486</v>
      </c>
      <c r="H360" s="53">
        <f>IF(TYPE($A360)=1,"",(UpdateHashtag!I358-H$1)/H$2*I360/$I$1)</f>
        <v>-27.45136553</v>
      </c>
      <c r="I360" s="53">
        <f>UpdateHashtag!S358</f>
        <v>7.3</v>
      </c>
      <c r="J360" s="58">
        <f>IF(TYPE($A360)=1,"",(UpdateHashtag!K358-J$1)/J$2*K360/$K$1)</f>
        <v>-2.681138179</v>
      </c>
      <c r="K360" s="59">
        <f>UpdateHashtag!T358</f>
        <v>0.6</v>
      </c>
      <c r="L360" s="53">
        <f>IF(TYPE($A360)=1,"",-(UpdateHashtag!R358-L$1)/L$2)</f>
        <v>0.9410095407</v>
      </c>
      <c r="O360" s="106"/>
      <c r="P360" s="163"/>
      <c r="Q360" s="164"/>
      <c r="R360" s="163"/>
      <c r="S360" s="165"/>
      <c r="T360" s="144"/>
      <c r="U360" s="144"/>
      <c r="V360" s="144"/>
      <c r="W360" s="144"/>
      <c r="X360" s="144"/>
      <c r="Y360" s="144"/>
      <c r="Z360" s="144"/>
      <c r="AA360" s="144"/>
      <c r="AB360" s="144"/>
      <c r="AC360" s="166"/>
      <c r="AD360" s="166"/>
      <c r="AE360" s="144"/>
      <c r="AF360" s="144"/>
      <c r="AG360" s="144"/>
      <c r="AH360" s="144"/>
      <c r="AI360" s="144"/>
      <c r="AJ360" s="144"/>
      <c r="AK360" s="144"/>
      <c r="AL360" s="144"/>
      <c r="AM360" s="144"/>
      <c r="AN360" s="144"/>
      <c r="AO360" s="167"/>
      <c r="AP360" s="167"/>
      <c r="AQ360" s="167"/>
      <c r="AR360" s="167"/>
    </row>
    <row r="361">
      <c r="A361" s="50" t="str">
        <f>IF(UpdateHashtag!C359="",ROW(UpdateHashtag!C359),UpdateHashtag!C359)</f>
        <v>Trendon Watford</v>
      </c>
      <c r="B361" s="53">
        <f>IF(TYPE($A361)=1,"",(UpdateHashtag!M359-B$1)/B$2)</f>
        <v>-2.223666383</v>
      </c>
      <c r="C361" s="53">
        <f>IF(TYPE($A361)=1,"",(UpdateHashtag!L359-C$1)/C$2)</f>
        <v>-1.419344069</v>
      </c>
      <c r="D361" s="53">
        <f>IF(TYPE($A361)=1,"",(UpdateHashtag!N359-D$1)/D$2)</f>
        <v>-1.591619161</v>
      </c>
      <c r="E361" s="53">
        <f>IF(TYPE($A361)=1,"",(UpdateHashtag!O359-E$1)/E$2)</f>
        <v>-1.337014518</v>
      </c>
      <c r="F361" s="53">
        <f>IF(TYPE($A361)=1,"",(UpdateHashtag!P359-F$1)/F$2)</f>
        <v>-2.27075839</v>
      </c>
      <c r="G361" s="53">
        <f>IF(TYPE($A361)=1,"",(UpdateHashtag!Q359-G$1)/G$2)</f>
        <v>-0.963939931</v>
      </c>
      <c r="H361" s="53">
        <f>IF(TYPE($A361)=1,"",(UpdateHashtag!I359-H$1)/H$2*I361/$I$1)</f>
        <v>4.884942243</v>
      </c>
      <c r="I361" s="53">
        <f>UpdateHashtag!S359</f>
        <v>3.2</v>
      </c>
      <c r="J361" s="58">
        <f>IF(TYPE($A361)=1,"",(UpdateHashtag!K359-J$1)/J$2*K361/$K$1)</f>
        <v>-0.4791292702</v>
      </c>
      <c r="K361" s="59">
        <f>UpdateHashtag!T359</f>
        <v>1</v>
      </c>
      <c r="L361" s="53">
        <f>IF(TYPE($A361)=1,"",-(UpdateHashtag!R359-L$1)/L$2)</f>
        <v>1.040202395</v>
      </c>
      <c r="O361" s="106"/>
      <c r="P361" s="163"/>
      <c r="Q361" s="164"/>
      <c r="R361" s="163"/>
      <c r="S361" s="165"/>
      <c r="T361" s="144"/>
      <c r="U361" s="144"/>
      <c r="V361" s="144"/>
      <c r="W361" s="144"/>
      <c r="X361" s="144"/>
      <c r="Y361" s="144"/>
      <c r="Z361" s="144"/>
      <c r="AA361" s="144"/>
      <c r="AB361" s="144"/>
      <c r="AC361" s="166"/>
      <c r="AD361" s="166"/>
      <c r="AE361" s="144"/>
      <c r="AF361" s="144"/>
      <c r="AG361" s="144"/>
      <c r="AH361" s="144"/>
      <c r="AI361" s="144"/>
      <c r="AJ361" s="144"/>
      <c r="AK361" s="144"/>
      <c r="AL361" s="144"/>
      <c r="AM361" s="144"/>
      <c r="AN361" s="144"/>
      <c r="AO361" s="167"/>
      <c r="AP361" s="167"/>
      <c r="AQ361" s="167"/>
      <c r="AR361" s="167"/>
    </row>
    <row r="362">
      <c r="A362" s="50" t="str">
        <f>IF(UpdateHashtag!C360="",ROW(UpdateHashtag!C360),UpdateHashtag!C360)</f>
        <v>Garrison Mathews</v>
      </c>
      <c r="B362" s="53">
        <f>IF(TYPE($A362)=1,"",(UpdateHashtag!M360-B$1)/B$2)</f>
        <v>-2.223666383</v>
      </c>
      <c r="C362" s="53">
        <f>IF(TYPE($A362)=1,"",(UpdateHashtag!L360-C$1)/C$2)</f>
        <v>-0.6466773167</v>
      </c>
      <c r="D362" s="53">
        <f>IF(TYPE($A362)=1,"",(UpdateHashtag!N360-D$1)/D$2)</f>
        <v>-1.956437406</v>
      </c>
      <c r="E362" s="53">
        <f>IF(TYPE($A362)=1,"",(UpdateHashtag!O360-E$1)/E$2)</f>
        <v>-1.630123217</v>
      </c>
      <c r="F362" s="53">
        <f>IF(TYPE($A362)=1,"",(UpdateHashtag!P360-F$1)/F$2)</f>
        <v>-2.27075839</v>
      </c>
      <c r="G362" s="53">
        <f>IF(TYPE($A362)=1,"",(UpdateHashtag!Q360-G$1)/G$2)</f>
        <v>-1.145739154</v>
      </c>
      <c r="H362" s="53">
        <f>IF(TYPE($A362)=1,"",(UpdateHashtag!I360-H$1)/H$2*I362/$I$1)</f>
        <v>-8.047741879</v>
      </c>
      <c r="I362" s="53">
        <f>UpdateHashtag!S360</f>
        <v>3.3</v>
      </c>
      <c r="J362" s="58">
        <f>IF(TYPE($A362)=1,"",(UpdateHashtag!K360-J$1)/J$2*K362/$K$1)</f>
        <v>0.837503213</v>
      </c>
      <c r="K362" s="59">
        <f>UpdateHashtag!T360</f>
        <v>0.7</v>
      </c>
      <c r="L362" s="53">
        <f>IF(TYPE($A362)=1,"",-(UpdateHashtag!R360-L$1)/L$2)</f>
        <v>1.43697381</v>
      </c>
      <c r="N362" s="106"/>
      <c r="O362" s="106"/>
      <c r="P362" s="163"/>
      <c r="Q362" s="164"/>
      <c r="R362" s="163"/>
      <c r="S362" s="165"/>
      <c r="T362" s="144"/>
      <c r="U362" s="144"/>
      <c r="V362" s="144"/>
      <c r="W362" s="144"/>
      <c r="X362" s="144"/>
      <c r="Y362" s="144"/>
      <c r="Z362" s="144"/>
      <c r="AA362" s="144"/>
      <c r="AB362" s="144"/>
      <c r="AC362" s="166"/>
      <c r="AD362" s="166"/>
      <c r="AE362" s="144"/>
      <c r="AF362" s="144"/>
      <c r="AG362" s="144"/>
      <c r="AH362" s="144"/>
      <c r="AI362" s="144"/>
      <c r="AJ362" s="144"/>
      <c r="AK362" s="144"/>
      <c r="AL362" s="144"/>
      <c r="AM362" s="144"/>
      <c r="AN362" s="144"/>
      <c r="AO362" s="167"/>
      <c r="AP362" s="167"/>
      <c r="AQ362" s="167"/>
      <c r="AR362" s="167"/>
    </row>
    <row r="363">
      <c r="A363" s="50" t="str">
        <f>IF(UpdateHashtag!C361="",ROW(UpdateHashtag!C361),UpdateHashtag!C361)</f>
        <v>Nikola Djurisic</v>
      </c>
      <c r="B363" s="53">
        <f>IF(TYPE($A363)=1,"",(UpdateHashtag!M361-B$1)/B$2)</f>
        <v>-1.872781159</v>
      </c>
      <c r="C363" s="53">
        <f>IF(TYPE($A363)=1,"",(UpdateHashtag!L361-C$1)/C$2)</f>
        <v>-1.226177381</v>
      </c>
      <c r="D363" s="53">
        <f>IF(TYPE($A363)=1,"",(UpdateHashtag!N361-D$1)/D$2)</f>
        <v>-1.996972767</v>
      </c>
      <c r="E363" s="53">
        <f>IF(TYPE($A363)=1,"",(UpdateHashtag!O361-E$1)/E$2)</f>
        <v>-1.141608719</v>
      </c>
      <c r="F363" s="53">
        <f>IF(TYPE($A363)=1,"",(UpdateHashtag!P361-F$1)/F$2)</f>
        <v>-1.661312382</v>
      </c>
      <c r="G363" s="53">
        <f>IF(TYPE($A363)=1,"",(UpdateHashtag!Q361-G$1)/G$2)</f>
        <v>-0.963939931</v>
      </c>
      <c r="H363" s="53">
        <f>IF(TYPE($A363)=1,"",(UpdateHashtag!I361-H$1)/H$2*I363/$I$1)</f>
        <v>-6.659119319</v>
      </c>
      <c r="I363" s="53">
        <f>UpdateHashtag!S361</f>
        <v>4.8</v>
      </c>
      <c r="J363" s="58">
        <f>IF(TYPE($A363)=1,"",(UpdateHashtag!K361-J$1)/J$2*K363/$K$1)</f>
        <v>-1.018977372</v>
      </c>
      <c r="K363" s="59">
        <f>UpdateHashtag!T361</f>
        <v>2.2</v>
      </c>
      <c r="L363" s="53">
        <f>IF(TYPE($A363)=1,"",-(UpdateHashtag!R361-L$1)/L$2)</f>
        <v>0.3458524173</v>
      </c>
      <c r="N363" s="106"/>
      <c r="O363" s="106"/>
      <c r="P363" s="163"/>
      <c r="Q363" s="164"/>
      <c r="R363" s="163"/>
      <c r="S363" s="165"/>
      <c r="T363" s="144"/>
      <c r="U363" s="144"/>
      <c r="V363" s="144"/>
      <c r="W363" s="144"/>
      <c r="X363" s="144"/>
      <c r="Y363" s="144"/>
      <c r="Z363" s="144"/>
      <c r="AA363" s="144"/>
      <c r="AB363" s="144"/>
      <c r="AC363" s="166"/>
      <c r="AD363" s="166"/>
      <c r="AE363" s="144"/>
      <c r="AF363" s="144"/>
      <c r="AG363" s="144"/>
      <c r="AH363" s="144"/>
      <c r="AI363" s="144"/>
      <c r="AJ363" s="144"/>
      <c r="AK363" s="144"/>
      <c r="AL363" s="144"/>
      <c r="AM363" s="144"/>
      <c r="AN363" s="144"/>
      <c r="AO363" s="167"/>
      <c r="AP363" s="167"/>
      <c r="AQ363" s="167"/>
      <c r="AR363" s="167"/>
    </row>
    <row r="364">
      <c r="A364" s="50" t="str">
        <f>IF(UpdateHashtag!C362="",ROW(UpdateHashtag!C362),UpdateHashtag!C362)</f>
        <v>Adem Bona</v>
      </c>
      <c r="B364" s="53">
        <f>IF(TYPE($A364)=1,"",(UpdateHashtag!M362-B$1)/B$2)</f>
        <v>-2.32893195</v>
      </c>
      <c r="C364" s="53">
        <f>IF(TYPE($A364)=1,"",(UpdateHashtag!L362-C$1)/C$2)</f>
        <v>-1.709094101</v>
      </c>
      <c r="D364" s="53">
        <f>IF(TYPE($A364)=1,"",(UpdateHashtag!N362-D$1)/D$2)</f>
        <v>-1.713225242</v>
      </c>
      <c r="E364" s="53">
        <f>IF(TYPE($A364)=1,"",(UpdateHashtag!O362-E$1)/E$2)</f>
        <v>-1.678974666</v>
      </c>
      <c r="F364" s="53">
        <f>IF(TYPE($A364)=1,"",(UpdateHashtag!P362-F$1)/F$2)</f>
        <v>-1.966035386</v>
      </c>
      <c r="G364" s="53">
        <f>IF(TYPE($A364)=1,"",(UpdateHashtag!Q362-G$1)/G$2)</f>
        <v>-0.236743041</v>
      </c>
      <c r="H364" s="53">
        <f>IF(TYPE($A364)=1,"",(UpdateHashtag!I362-H$1)/H$2*I364/$I$1)</f>
        <v>7.120739553</v>
      </c>
      <c r="I364" s="53">
        <f>UpdateHashtag!S362</f>
        <v>2.5</v>
      </c>
      <c r="J364" s="58">
        <f>IF(TYPE($A364)=1,"",(UpdateHashtag!K362-J$1)/J$2*K364/$K$1)</f>
        <v>-1.921867594</v>
      </c>
      <c r="K364" s="59">
        <f>UpdateHashtag!T362</f>
        <v>1.4</v>
      </c>
      <c r="L364" s="53">
        <f>IF(TYPE($A364)=1,"",-(UpdateHashtag!R362-L$1)/L$2)</f>
        <v>0.9410095407</v>
      </c>
      <c r="O364" s="106"/>
      <c r="P364" s="163"/>
      <c r="Q364" s="164"/>
      <c r="R364" s="163"/>
      <c r="S364" s="165"/>
      <c r="T364" s="144"/>
      <c r="U364" s="144"/>
      <c r="V364" s="144"/>
      <c r="W364" s="144"/>
      <c r="X364" s="144"/>
      <c r="Y364" s="144"/>
      <c r="Z364" s="144"/>
      <c r="AA364" s="144"/>
      <c r="AB364" s="144"/>
      <c r="AC364" s="166"/>
      <c r="AD364" s="166"/>
      <c r="AE364" s="144"/>
      <c r="AF364" s="144"/>
      <c r="AG364" s="144"/>
      <c r="AH364" s="144"/>
      <c r="AI364" s="144"/>
      <c r="AJ364" s="144"/>
      <c r="AK364" s="144"/>
      <c r="AL364" s="144"/>
      <c r="AM364" s="144"/>
      <c r="AN364" s="144"/>
      <c r="AO364" s="167"/>
      <c r="AP364" s="167"/>
      <c r="AQ364" s="167"/>
      <c r="AR364" s="167"/>
    </row>
    <row r="365">
      <c r="A365" s="50" t="str">
        <f>IF(UpdateHashtag!C363="",ROW(UpdateHashtag!C363),UpdateHashtag!C363)</f>
        <v>Cody Williams</v>
      </c>
      <c r="B365" s="53">
        <f>IF(TYPE($A365)=1,"",(UpdateHashtag!M363-B$1)/B$2)</f>
        <v>-2.048223771</v>
      </c>
      <c r="C365" s="53">
        <f>IF(TYPE($A365)=1,"",(UpdateHashtag!L363-C$1)/C$2)</f>
        <v>-1.419344069</v>
      </c>
      <c r="D365" s="53">
        <f>IF(TYPE($A365)=1,"",(UpdateHashtag!N363-D$1)/D$2)</f>
        <v>-1.915902046</v>
      </c>
      <c r="E365" s="53">
        <f>IF(TYPE($A365)=1,"",(UpdateHashtag!O363-E$1)/E$2)</f>
        <v>-1.532420317</v>
      </c>
      <c r="F365" s="53">
        <f>IF(TYPE($A365)=1,"",(UpdateHashtag!P363-F$1)/F$2)</f>
        <v>-2.27075839</v>
      </c>
      <c r="G365" s="53">
        <f>IF(TYPE($A365)=1,"",(UpdateHashtag!Q363-G$1)/G$2)</f>
        <v>-0.7821407085</v>
      </c>
      <c r="H365" s="53">
        <f>IF(TYPE($A365)=1,"",(UpdateHashtag!I363-H$1)/H$2*I365/$I$1)</f>
        <v>6.315098114</v>
      </c>
      <c r="I365" s="53">
        <f>UpdateHashtag!S363</f>
        <v>3.7</v>
      </c>
      <c r="J365" s="58">
        <f>IF(TYPE($A365)=1,"",(UpdateHashtag!K363-J$1)/J$2*K365/$K$1)</f>
        <v>-1.724031364</v>
      </c>
      <c r="K365" s="59">
        <f>UpdateHashtag!T363</f>
        <v>1.5</v>
      </c>
      <c r="L365" s="53">
        <f>IF(TYPE($A365)=1,"",-(UpdateHashtag!R363-L$1)/L$2)</f>
        <v>0.8418166868</v>
      </c>
      <c r="O365" s="106"/>
      <c r="P365" s="163"/>
      <c r="Q365" s="164"/>
      <c r="R365" s="163"/>
      <c r="S365" s="165"/>
      <c r="T365" s="144"/>
      <c r="U365" s="144"/>
      <c r="V365" s="144"/>
      <c r="W365" s="144"/>
      <c r="X365" s="144"/>
      <c r="Y365" s="144"/>
      <c r="Z365" s="144"/>
      <c r="AA365" s="144"/>
      <c r="AB365" s="144"/>
      <c r="AC365" s="166"/>
      <c r="AD365" s="166"/>
      <c r="AE365" s="144"/>
      <c r="AF365" s="144"/>
      <c r="AG365" s="144"/>
      <c r="AH365" s="144"/>
      <c r="AI365" s="144"/>
      <c r="AJ365" s="144"/>
      <c r="AK365" s="144"/>
      <c r="AL365" s="144"/>
      <c r="AM365" s="144"/>
      <c r="AN365" s="144"/>
      <c r="AO365" s="167"/>
      <c r="AP365" s="167"/>
      <c r="AQ365" s="167"/>
      <c r="AR365" s="167"/>
    </row>
    <row r="366">
      <c r="A366" s="50" t="str">
        <f>IF(UpdateHashtag!C364="",ROW(UpdateHashtag!C364),UpdateHashtag!C364)</f>
        <v>MarJon Beauchamp</v>
      </c>
      <c r="B366" s="53">
        <f>IF(TYPE($A366)=1,"",(UpdateHashtag!M364-B$1)/B$2)</f>
        <v>-2.118400816</v>
      </c>
      <c r="C366" s="53">
        <f>IF(TYPE($A366)=1,"",(UpdateHashtag!L364-C$1)/C$2)</f>
        <v>-0.9364273487</v>
      </c>
      <c r="D366" s="53">
        <f>IF(TYPE($A366)=1,"",(UpdateHashtag!N364-D$1)/D$2)</f>
        <v>-1.5510838</v>
      </c>
      <c r="E366" s="53">
        <f>IF(TYPE($A366)=1,"",(UpdateHashtag!O364-E$1)/E$2)</f>
        <v>-1.532420317</v>
      </c>
      <c r="F366" s="53">
        <f>IF(TYPE($A366)=1,"",(UpdateHashtag!P364-F$1)/F$2)</f>
        <v>-1.966035386</v>
      </c>
      <c r="G366" s="53">
        <f>IF(TYPE($A366)=1,"",(UpdateHashtag!Q364-G$1)/G$2)</f>
        <v>-0.963939931</v>
      </c>
      <c r="H366" s="53">
        <f>IF(TYPE($A366)=1,"",(UpdateHashtag!I364-H$1)/H$2*I366/$I$1)</f>
        <v>-8.351170039</v>
      </c>
      <c r="I366" s="53">
        <f>UpdateHashtag!S364</f>
        <v>4.4</v>
      </c>
      <c r="J366" s="58">
        <f>IF(TYPE($A366)=1,"",(UpdateHashtag!K364-J$1)/J$2*K366/$K$1)</f>
        <v>-0.8715704673</v>
      </c>
      <c r="K366" s="59">
        <f>UpdateHashtag!T364</f>
        <v>0.7</v>
      </c>
      <c r="L366" s="53">
        <f>IF(TYPE($A366)=1,"",-(UpdateHashtag!R364-L$1)/L$2)</f>
        <v>0.9410095407</v>
      </c>
      <c r="N366" s="106"/>
      <c r="O366" s="106"/>
      <c r="P366" s="163"/>
      <c r="Q366" s="164"/>
      <c r="R366" s="163"/>
      <c r="S366" s="165"/>
      <c r="T366" s="144"/>
      <c r="U366" s="144"/>
      <c r="V366" s="144"/>
      <c r="W366" s="144"/>
      <c r="X366" s="144"/>
      <c r="Y366" s="144"/>
      <c r="Z366" s="144"/>
      <c r="AA366" s="144"/>
      <c r="AB366" s="144"/>
      <c r="AC366" s="166"/>
      <c r="AD366" s="166"/>
      <c r="AE366" s="144"/>
      <c r="AF366" s="144"/>
      <c r="AG366" s="144"/>
      <c r="AH366" s="144"/>
      <c r="AI366" s="144"/>
      <c r="AJ366" s="144"/>
      <c r="AK366" s="144"/>
      <c r="AL366" s="144"/>
      <c r="AM366" s="144"/>
      <c r="AN366" s="144"/>
      <c r="AO366" s="167"/>
      <c r="AP366" s="167"/>
      <c r="AQ366" s="167"/>
      <c r="AR366" s="167"/>
    </row>
    <row r="367">
      <c r="A367" s="50" t="str">
        <f>IF(UpdateHashtag!C365="",ROW(UpdateHashtag!C365),UpdateHashtag!C365)</f>
        <v>Tristan Vukcevic</v>
      </c>
      <c r="B367" s="53">
        <f>IF(TYPE($A367)=1,"",(UpdateHashtag!M365-B$1)/B$2)</f>
        <v>-2.241210644</v>
      </c>
      <c r="C367" s="53">
        <f>IF(TYPE($A367)=1,"",(UpdateHashtag!L365-C$1)/C$2)</f>
        <v>-1.226177381</v>
      </c>
      <c r="D367" s="53">
        <f>IF(TYPE($A367)=1,"",(UpdateHashtag!N365-D$1)/D$2)</f>
        <v>-1.713225242</v>
      </c>
      <c r="E367" s="53">
        <f>IF(TYPE($A367)=1,"",(UpdateHashtag!O365-E$1)/E$2)</f>
        <v>-1.532420317</v>
      </c>
      <c r="F367" s="53">
        <f>IF(TYPE($A367)=1,"",(UpdateHashtag!P365-F$1)/F$2)</f>
        <v>-2.27075839</v>
      </c>
      <c r="G367" s="53">
        <f>IF(TYPE($A367)=1,"",(UpdateHashtag!Q365-G$1)/G$2)</f>
        <v>-0.600341486</v>
      </c>
      <c r="H367" s="53">
        <f>IF(TYPE($A367)=1,"",(UpdateHashtag!I365-H$1)/H$2*I367/$I$1)</f>
        <v>-6.43269754</v>
      </c>
      <c r="I367" s="53">
        <f>UpdateHashtag!S365</f>
        <v>3.5</v>
      </c>
      <c r="J367" s="58">
        <f>IF(TYPE($A367)=1,"",(UpdateHashtag!K365-J$1)/J$2*K367/$K$1)</f>
        <v>-0.2812930406</v>
      </c>
      <c r="K367" s="59">
        <f>UpdateHashtag!T365</f>
        <v>1.1</v>
      </c>
      <c r="L367" s="53">
        <f>IF(TYPE($A367)=1,"",-(UpdateHashtag!R365-L$1)/L$2)</f>
        <v>1.238588102</v>
      </c>
      <c r="N367" s="106"/>
      <c r="O367" s="106"/>
      <c r="P367" s="163"/>
      <c r="Q367" s="164"/>
      <c r="R367" s="163"/>
      <c r="S367" s="165"/>
      <c r="T367" s="144"/>
      <c r="U367" s="144"/>
      <c r="V367" s="144"/>
      <c r="W367" s="144"/>
      <c r="X367" s="144"/>
      <c r="Y367" s="144"/>
      <c r="Z367" s="144"/>
      <c r="AA367" s="144"/>
      <c r="AB367" s="144"/>
      <c r="AC367" s="166"/>
      <c r="AD367" s="166"/>
      <c r="AE367" s="144"/>
      <c r="AF367" s="144"/>
      <c r="AG367" s="144"/>
      <c r="AH367" s="144"/>
      <c r="AI367" s="144"/>
      <c r="AJ367" s="144"/>
      <c r="AK367" s="144"/>
      <c r="AL367" s="144"/>
      <c r="AM367" s="144"/>
      <c r="AN367" s="144"/>
      <c r="AO367" s="167"/>
      <c r="AP367" s="167"/>
      <c r="AQ367" s="167"/>
      <c r="AR367" s="167"/>
    </row>
    <row r="368">
      <c r="A368" s="50" t="str">
        <f>IF(UpdateHashtag!C366="",ROW(UpdateHashtag!C366),UpdateHashtag!C366)</f>
        <v>Aaron Holiday</v>
      </c>
      <c r="B368" s="53">
        <f>IF(TYPE($A368)=1,"",(UpdateHashtag!M366-B$1)/B$2)</f>
        <v>-2.346476211</v>
      </c>
      <c r="C368" s="53">
        <f>IF(TYPE($A368)=1,"",(UpdateHashtag!L366-C$1)/C$2)</f>
        <v>-1.129594037</v>
      </c>
      <c r="D368" s="53">
        <f>IF(TYPE($A368)=1,"",(UpdateHashtag!N366-D$1)/D$2)</f>
        <v>-2.078043488</v>
      </c>
      <c r="E368" s="53">
        <f>IF(TYPE($A368)=1,"",(UpdateHashtag!O366-E$1)/E$2)</f>
        <v>-1.337014518</v>
      </c>
      <c r="F368" s="53">
        <f>IF(TYPE($A368)=1,"",(UpdateHashtag!P366-F$1)/F$2)</f>
        <v>-1.966035386</v>
      </c>
      <c r="G368" s="53">
        <f>IF(TYPE($A368)=1,"",(UpdateHashtag!Q366-G$1)/G$2)</f>
        <v>-1.145739154</v>
      </c>
      <c r="H368" s="53">
        <f>IF(TYPE($A368)=1,"",(UpdateHashtag!I366-H$1)/H$2*I368/$I$1)</f>
        <v>-5.592941348</v>
      </c>
      <c r="I368" s="53">
        <f>UpdateHashtag!S366</f>
        <v>3.2</v>
      </c>
      <c r="J368" s="58">
        <f>IF(TYPE($A368)=1,"",(UpdateHashtag!K366-J$1)/J$2*K368/$K$1)</f>
        <v>0.8455615111</v>
      </c>
      <c r="K368" s="59">
        <f>UpdateHashtag!T366</f>
        <v>0.5</v>
      </c>
      <c r="L368" s="53">
        <f>IF(TYPE($A368)=1,"",-(UpdateHashtag!R366-L$1)/L$2)</f>
        <v>1.337780956</v>
      </c>
      <c r="O368" s="106"/>
      <c r="P368" s="163"/>
      <c r="Q368" s="164"/>
      <c r="R368" s="163"/>
      <c r="S368" s="165"/>
      <c r="T368" s="144"/>
      <c r="U368" s="144"/>
      <c r="V368" s="144"/>
      <c r="W368" s="144"/>
      <c r="X368" s="144"/>
      <c r="Y368" s="144"/>
      <c r="Z368" s="144"/>
      <c r="AA368" s="144"/>
      <c r="AB368" s="144"/>
      <c r="AC368" s="166"/>
      <c r="AD368" s="166"/>
      <c r="AE368" s="144"/>
      <c r="AF368" s="144"/>
      <c r="AG368" s="144"/>
      <c r="AH368" s="144"/>
      <c r="AI368" s="144"/>
      <c r="AJ368" s="144"/>
      <c r="AK368" s="144"/>
      <c r="AL368" s="144"/>
      <c r="AM368" s="144"/>
      <c r="AN368" s="144"/>
      <c r="AO368" s="167"/>
      <c r="AP368" s="167"/>
      <c r="AQ368" s="167"/>
      <c r="AR368" s="167"/>
    </row>
    <row r="369">
      <c r="A369" s="50" t="str">
        <f>IF(UpdateHashtag!C367="",ROW(UpdateHashtag!C367),UpdateHashtag!C367)</f>
        <v>Derrick Rose</v>
      </c>
      <c r="B369" s="53">
        <f>IF(TYPE($A369)=1,"",(UpdateHashtag!M367-B$1)/B$2)</f>
        <v>-2.065768032</v>
      </c>
      <c r="C369" s="53">
        <f>IF(TYPE($A369)=1,"",(UpdateHashtag!L367-C$1)/C$2)</f>
        <v>-1.226177381</v>
      </c>
      <c r="D369" s="53">
        <f>IF(TYPE($A369)=1,"",(UpdateHashtag!N367-D$1)/D$2)</f>
        <v>-1.956437406</v>
      </c>
      <c r="E369" s="53">
        <f>IF(TYPE($A369)=1,"",(UpdateHashtag!O367-E$1)/E$2)</f>
        <v>-0.9462029206</v>
      </c>
      <c r="F369" s="53">
        <f>IF(TYPE($A369)=1,"",(UpdateHashtag!P367-F$1)/F$2)</f>
        <v>-2.575481394</v>
      </c>
      <c r="G369" s="53">
        <f>IF(TYPE($A369)=1,"",(UpdateHashtag!Q367-G$1)/G$2)</f>
        <v>-1.145739154</v>
      </c>
      <c r="H369" s="53">
        <f>IF(TYPE($A369)=1,"",(UpdateHashtag!I367-H$1)/H$2*I369/$I$1)</f>
        <v>-11.05859227</v>
      </c>
      <c r="I369" s="53">
        <f>UpdateHashtag!S367</f>
        <v>5.1</v>
      </c>
      <c r="J369" s="58">
        <f>IF(TYPE($A369)=1,"",(UpdateHashtag!K367-J$1)/J$2*K369/$K$1)</f>
        <v>1.091270953</v>
      </c>
      <c r="K369" s="59">
        <f>UpdateHashtag!T367</f>
        <v>0.6</v>
      </c>
      <c r="L369" s="53">
        <f>IF(TYPE($A369)=1,"",-(UpdateHashtag!R367-L$1)/L$2)</f>
        <v>0.9410095407</v>
      </c>
      <c r="O369" s="106"/>
      <c r="P369" s="163"/>
      <c r="Q369" s="164"/>
      <c r="R369" s="163"/>
      <c r="S369" s="165"/>
      <c r="T369" s="144"/>
      <c r="U369" s="144"/>
      <c r="V369" s="144"/>
      <c r="W369" s="144"/>
      <c r="X369" s="144"/>
      <c r="Y369" s="144"/>
      <c r="Z369" s="144"/>
      <c r="AA369" s="144"/>
      <c r="AB369" s="144"/>
      <c r="AC369" s="166"/>
      <c r="AD369" s="166"/>
      <c r="AE369" s="144"/>
      <c r="AF369" s="144"/>
      <c r="AG369" s="144"/>
      <c r="AH369" s="144"/>
      <c r="AI369" s="144"/>
      <c r="AJ369" s="144"/>
      <c r="AK369" s="144"/>
      <c r="AL369" s="144"/>
      <c r="AM369" s="144"/>
      <c r="AN369" s="144"/>
      <c r="AO369" s="167"/>
      <c r="AP369" s="167"/>
      <c r="AQ369" s="167"/>
      <c r="AR369" s="167"/>
    </row>
    <row r="370">
      <c r="A370" s="50" t="str">
        <f>IF(UpdateHashtag!C368="",ROW(UpdateHashtag!C368),UpdateHashtag!C368)</f>
        <v>Jordan Walsh</v>
      </c>
      <c r="B370" s="53">
        <f>IF(TYPE($A370)=1,"",(UpdateHashtag!M368-B$1)/B$2)</f>
        <v>-2.662272913</v>
      </c>
      <c r="C370" s="53">
        <f>IF(TYPE($A370)=1,"",(UpdateHashtag!L368-C$1)/C$2)</f>
        <v>-1.419344069</v>
      </c>
      <c r="D370" s="53">
        <f>IF(TYPE($A370)=1,"",(UpdateHashtag!N368-D$1)/D$2)</f>
        <v>-1.388942357</v>
      </c>
      <c r="E370" s="53">
        <f>IF(TYPE($A370)=1,"",(UpdateHashtag!O368-E$1)/E$2)</f>
        <v>-1.532420317</v>
      </c>
      <c r="F370" s="53">
        <f>IF(TYPE($A370)=1,"",(UpdateHashtag!P368-F$1)/F$2)</f>
        <v>-1.051866375</v>
      </c>
      <c r="G370" s="53">
        <f>IF(TYPE($A370)=1,"",(UpdateHashtag!Q368-G$1)/G$2)</f>
        <v>-1.145739154</v>
      </c>
      <c r="H370" s="53">
        <f>IF(TYPE($A370)=1,"",(UpdateHashtag!I368-H$1)/H$2*I370/$I$1)</f>
        <v>-5.658454222</v>
      </c>
      <c r="I370" s="53">
        <f>UpdateHashtag!S368</f>
        <v>2</v>
      </c>
      <c r="J370" s="58">
        <f>IF(TYPE($A370)=1,"",(UpdateHashtag!K368-J$1)/J$2*K370/$K$1)</f>
        <v>-1.469826763</v>
      </c>
      <c r="K370" s="59">
        <f>UpdateHashtag!T368</f>
        <v>0.3</v>
      </c>
      <c r="L370" s="53">
        <f>IF(TYPE($A370)=1,"",-(UpdateHashtag!R368-L$1)/L$2)</f>
        <v>1.337780956</v>
      </c>
      <c r="N370" s="106"/>
      <c r="O370" s="106"/>
      <c r="P370" s="163"/>
      <c r="Q370" s="164"/>
      <c r="R370" s="163"/>
      <c r="S370" s="165"/>
      <c r="T370" s="144"/>
      <c r="U370" s="144"/>
      <c r="V370" s="144"/>
      <c r="W370" s="144"/>
      <c r="X370" s="144"/>
      <c r="Y370" s="144"/>
      <c r="Z370" s="144"/>
      <c r="AA370" s="144"/>
      <c r="AB370" s="144"/>
      <c r="AC370" s="166"/>
      <c r="AD370" s="166"/>
      <c r="AE370" s="144"/>
      <c r="AF370" s="144"/>
      <c r="AG370" s="144"/>
      <c r="AH370" s="144"/>
      <c r="AI370" s="144"/>
      <c r="AJ370" s="144"/>
      <c r="AK370" s="144"/>
      <c r="AL370" s="144"/>
      <c r="AM370" s="144"/>
      <c r="AN370" s="144"/>
      <c r="AO370" s="167"/>
      <c r="AP370" s="167"/>
      <c r="AQ370" s="167"/>
      <c r="AR370" s="167"/>
    </row>
    <row r="371">
      <c r="A371" s="50" t="str">
        <f>IF(UpdateHashtag!C369="",ROW(UpdateHashtag!C369),UpdateHashtag!C369)</f>
        <v>Dalano Banton</v>
      </c>
      <c r="B371" s="53">
        <f>IF(TYPE($A371)=1,"",(UpdateHashtag!M369-B$1)/B$2)</f>
        <v>-2.083312293</v>
      </c>
      <c r="C371" s="53">
        <f>IF(TYPE($A371)=1,"",(UpdateHashtag!L369-C$1)/C$2)</f>
        <v>-1.129594037</v>
      </c>
      <c r="D371" s="53">
        <f>IF(TYPE($A371)=1,"",(UpdateHashtag!N369-D$1)/D$2)</f>
        <v>-1.794295964</v>
      </c>
      <c r="E371" s="53">
        <f>IF(TYPE($A371)=1,"",(UpdateHashtag!O369-E$1)/E$2)</f>
        <v>-1.288163069</v>
      </c>
      <c r="F371" s="53">
        <f>IF(TYPE($A371)=1,"",(UpdateHashtag!P369-F$1)/F$2)</f>
        <v>-1.966035386</v>
      </c>
      <c r="G371" s="53">
        <f>IF(TYPE($A371)=1,"",(UpdateHashtag!Q369-G$1)/G$2)</f>
        <v>-0.7821407085</v>
      </c>
      <c r="H371" s="53">
        <f>IF(TYPE($A371)=1,"",(UpdateHashtag!I369-H$1)/H$2*I371/$I$1)</f>
        <v>-12.57095272</v>
      </c>
      <c r="I371" s="53">
        <f>UpdateHashtag!S369</f>
        <v>4.8</v>
      </c>
      <c r="J371" s="58">
        <f>IF(TYPE($A371)=1,"",(UpdateHashtag!K369-J$1)/J$2*K371/$K$1)</f>
        <v>-0.2637395294</v>
      </c>
      <c r="K371" s="59">
        <f>UpdateHashtag!T369</f>
        <v>1.1</v>
      </c>
      <c r="L371" s="53">
        <f>IF(TYPE($A371)=1,"",-(UpdateHashtag!R369-L$1)/L$2)</f>
        <v>1.040202395</v>
      </c>
      <c r="N371" s="106"/>
      <c r="O371" s="106"/>
      <c r="P371" s="163"/>
      <c r="Q371" s="164"/>
      <c r="R371" s="163"/>
      <c r="S371" s="165"/>
      <c r="T371" s="144"/>
      <c r="U371" s="144"/>
      <c r="V371" s="144"/>
      <c r="W371" s="144"/>
      <c r="X371" s="144"/>
      <c r="Y371" s="144"/>
      <c r="Z371" s="144"/>
      <c r="AA371" s="144"/>
      <c r="AB371" s="144"/>
      <c r="AC371" s="166"/>
      <c r="AD371" s="166"/>
      <c r="AE371" s="144"/>
      <c r="AF371" s="144"/>
      <c r="AG371" s="144"/>
      <c r="AH371" s="144"/>
      <c r="AI371" s="144"/>
      <c r="AJ371" s="144"/>
      <c r="AK371" s="144"/>
      <c r="AL371" s="144"/>
      <c r="AM371" s="144"/>
      <c r="AN371" s="144"/>
      <c r="AO371" s="167"/>
      <c r="AP371" s="167"/>
      <c r="AQ371" s="167"/>
      <c r="AR371" s="167"/>
    </row>
    <row r="372">
      <c r="A372" s="50" t="str">
        <f>IF(UpdateHashtag!C370="",ROW(UpdateHashtag!C370),UpdateHashtag!C370)</f>
        <v>Jalen McDaniels</v>
      </c>
      <c r="B372" s="53">
        <f>IF(TYPE($A372)=1,"",(UpdateHashtag!M370-B$1)/B$2)</f>
        <v>-2.311387689</v>
      </c>
      <c r="C372" s="53">
        <f>IF(TYPE($A372)=1,"",(UpdateHashtag!L370-C$1)/C$2)</f>
        <v>-1.322760725</v>
      </c>
      <c r="D372" s="53">
        <f>IF(TYPE($A372)=1,"",(UpdateHashtag!N370-D$1)/D$2)</f>
        <v>-1.753760603</v>
      </c>
      <c r="E372" s="53">
        <f>IF(TYPE($A372)=1,"",(UpdateHashtag!O370-E$1)/E$2)</f>
        <v>-1.532420317</v>
      </c>
      <c r="F372" s="53">
        <f>IF(TYPE($A372)=1,"",(UpdateHashtag!P370-F$1)/F$2)</f>
        <v>-1.966035386</v>
      </c>
      <c r="G372" s="53">
        <f>IF(TYPE($A372)=1,"",(UpdateHashtag!Q370-G$1)/G$2)</f>
        <v>-0.963939931</v>
      </c>
      <c r="H372" s="53">
        <f>IF(TYPE($A372)=1,"",(UpdateHashtag!I370-H$1)/H$2*I372/$I$1)</f>
        <v>-6.958394108</v>
      </c>
      <c r="I372" s="53">
        <f>UpdateHashtag!S370</f>
        <v>3.5</v>
      </c>
      <c r="J372" s="58">
        <f>IF(TYPE($A372)=1,"",(UpdateHashtag!K370-J$1)/J$2*K372/$K$1)</f>
        <v>0.3188370314</v>
      </c>
      <c r="K372" s="59">
        <f>UpdateHashtag!T370</f>
        <v>0.8</v>
      </c>
      <c r="L372" s="53">
        <f>IF(TYPE($A372)=1,"",-(UpdateHashtag!R370-L$1)/L$2)</f>
        <v>1.238588102</v>
      </c>
      <c r="O372" s="106"/>
      <c r="P372" s="163"/>
      <c r="Q372" s="164"/>
      <c r="R372" s="163"/>
      <c r="S372" s="165"/>
      <c r="T372" s="144"/>
      <c r="U372" s="144"/>
      <c r="V372" s="144"/>
      <c r="W372" s="144"/>
      <c r="X372" s="144"/>
      <c r="Y372" s="144"/>
      <c r="Z372" s="144"/>
      <c r="AA372" s="144"/>
      <c r="AB372" s="144"/>
      <c r="AC372" s="166"/>
      <c r="AD372" s="166"/>
      <c r="AE372" s="144"/>
      <c r="AF372" s="144"/>
      <c r="AG372" s="144"/>
      <c r="AH372" s="144"/>
      <c r="AI372" s="144"/>
      <c r="AJ372" s="144"/>
      <c r="AK372" s="144"/>
      <c r="AL372" s="144"/>
      <c r="AM372" s="144"/>
      <c r="AN372" s="144"/>
      <c r="AO372" s="167"/>
      <c r="AP372" s="167"/>
      <c r="AQ372" s="167"/>
      <c r="AR372" s="167"/>
    </row>
    <row r="373">
      <c r="A373" s="50" t="str">
        <f>IF(UpdateHashtag!C371="",ROW(UpdateHashtag!C371),UpdateHashtag!C371)</f>
        <v>Jalen Wilson</v>
      </c>
      <c r="B373" s="53">
        <f>IF(TYPE($A373)=1,"",(UpdateHashtag!M371-B$1)/B$2)</f>
        <v>-2.241210644</v>
      </c>
      <c r="C373" s="53">
        <f>IF(TYPE($A373)=1,"",(UpdateHashtag!L371-C$1)/C$2)</f>
        <v>-1.226177381</v>
      </c>
      <c r="D373" s="53">
        <f>IF(TYPE($A373)=1,"",(UpdateHashtag!N371-D$1)/D$2)</f>
        <v>-1.388942357</v>
      </c>
      <c r="E373" s="53">
        <f>IF(TYPE($A373)=1,"",(UpdateHashtag!O371-E$1)/E$2)</f>
        <v>-1.434717418</v>
      </c>
      <c r="F373" s="53">
        <f>IF(TYPE($A373)=1,"",(UpdateHashtag!P371-F$1)/F$2)</f>
        <v>-2.575481394</v>
      </c>
      <c r="G373" s="53">
        <f>IF(TYPE($A373)=1,"",(UpdateHashtag!Q371-G$1)/G$2)</f>
        <v>-1.145739154</v>
      </c>
      <c r="H373" s="53">
        <f>IF(TYPE($A373)=1,"",(UpdateHashtag!I371-H$1)/H$2*I373/$I$1)</f>
        <v>-7.800605726</v>
      </c>
      <c r="I373" s="53">
        <f>UpdateHashtag!S371</f>
        <v>3.7</v>
      </c>
      <c r="J373" s="58">
        <f>IF(TYPE($A373)=1,"",(UpdateHashtag!K371-J$1)/J$2*K373/$K$1)</f>
        <v>0.6028450432</v>
      </c>
      <c r="K373" s="59">
        <f>UpdateHashtag!T371</f>
        <v>0.9</v>
      </c>
      <c r="L373" s="53">
        <f>IF(TYPE($A373)=1,"",-(UpdateHashtag!R371-L$1)/L$2)</f>
        <v>1.337780956</v>
      </c>
      <c r="O373" s="106"/>
      <c r="P373" s="163"/>
      <c r="Q373" s="164"/>
      <c r="R373" s="163"/>
      <c r="S373" s="165"/>
      <c r="T373" s="144"/>
      <c r="U373" s="144"/>
      <c r="V373" s="144"/>
      <c r="W373" s="144"/>
      <c r="X373" s="144"/>
      <c r="Y373" s="144"/>
      <c r="Z373" s="144"/>
      <c r="AA373" s="144"/>
      <c r="AB373" s="144"/>
      <c r="AC373" s="166"/>
      <c r="AD373" s="166"/>
      <c r="AE373" s="144"/>
      <c r="AF373" s="144"/>
      <c r="AG373" s="144"/>
      <c r="AH373" s="144"/>
      <c r="AI373" s="144"/>
      <c r="AJ373" s="144"/>
      <c r="AK373" s="144"/>
      <c r="AL373" s="144"/>
      <c r="AM373" s="144"/>
      <c r="AN373" s="144"/>
      <c r="AO373" s="167"/>
      <c r="AP373" s="167"/>
      <c r="AQ373" s="167"/>
      <c r="AR373" s="167"/>
    </row>
    <row r="374">
      <c r="A374" s="50" t="str">
        <f>IF(UpdateHashtag!C372="",ROW(UpdateHashtag!C372),UpdateHashtag!C372)</f>
        <v>Devonte' Graham</v>
      </c>
      <c r="B374" s="53">
        <f>IF(TYPE($A374)=1,"",(UpdateHashtag!M372-B$1)/B$2)</f>
        <v>-2.241210644</v>
      </c>
      <c r="C374" s="53">
        <f>IF(TYPE($A374)=1,"",(UpdateHashtag!L372-C$1)/C$2)</f>
        <v>-0.7432606607</v>
      </c>
      <c r="D374" s="53">
        <f>IF(TYPE($A374)=1,"",(UpdateHashtag!N372-D$1)/D$2)</f>
        <v>-2.037508127</v>
      </c>
      <c r="E374" s="53">
        <f>IF(TYPE($A374)=1,"",(UpdateHashtag!O372-E$1)/E$2)</f>
        <v>-1.04390582</v>
      </c>
      <c r="F374" s="53">
        <f>IF(TYPE($A374)=1,"",(UpdateHashtag!P372-F$1)/F$2)</f>
        <v>-1.966035386</v>
      </c>
      <c r="G374" s="53">
        <f>IF(TYPE($A374)=1,"",(UpdateHashtag!Q372-G$1)/G$2)</f>
        <v>-1.145739154</v>
      </c>
      <c r="H374" s="53">
        <f>IF(TYPE($A374)=1,"",(UpdateHashtag!I372-H$1)/H$2*I374/$I$1)</f>
        <v>-14.02485309</v>
      </c>
      <c r="I374" s="53">
        <f>UpdateHashtag!S372</f>
        <v>3.7</v>
      </c>
      <c r="J374" s="58">
        <f>IF(TYPE($A374)=1,"",(UpdateHashtag!K372-J$1)/J$2*K374/$K$1)</f>
        <v>-0.6067911698</v>
      </c>
      <c r="K374" s="59">
        <f>UpdateHashtag!T372</f>
        <v>1</v>
      </c>
      <c r="L374" s="53">
        <f>IF(TYPE($A374)=1,"",-(UpdateHashtag!R372-L$1)/L$2)</f>
        <v>1.238588102</v>
      </c>
      <c r="N374" s="106"/>
      <c r="O374" s="106"/>
      <c r="P374" s="163"/>
      <c r="Q374" s="164"/>
      <c r="R374" s="163"/>
      <c r="S374" s="165"/>
      <c r="T374" s="144"/>
      <c r="U374" s="144"/>
      <c r="V374" s="144"/>
      <c r="W374" s="144"/>
      <c r="X374" s="144"/>
      <c r="Y374" s="144"/>
      <c r="Z374" s="144"/>
      <c r="AA374" s="144"/>
      <c r="AB374" s="144"/>
      <c r="AC374" s="166"/>
      <c r="AD374" s="166"/>
      <c r="AE374" s="144"/>
      <c r="AF374" s="144"/>
      <c r="AG374" s="144"/>
      <c r="AH374" s="144"/>
      <c r="AI374" s="144"/>
      <c r="AJ374" s="144"/>
      <c r="AK374" s="144"/>
      <c r="AL374" s="144"/>
      <c r="AM374" s="144"/>
      <c r="AN374" s="144"/>
      <c r="AO374" s="167"/>
      <c r="AP374" s="167"/>
      <c r="AQ374" s="167"/>
      <c r="AR374" s="167"/>
    </row>
    <row r="375">
      <c r="A375" s="50" t="str">
        <f>IF(UpdateHashtag!C373="",ROW(UpdateHashtag!C373),UpdateHashtag!C373)</f>
        <v>David Jones</v>
      </c>
      <c r="B375" s="53">
        <f>IF(TYPE($A375)=1,"",(UpdateHashtag!M373-B$1)/B$2)</f>
        <v>-2.258754905</v>
      </c>
      <c r="C375" s="53">
        <f>IF(TYPE($A375)=1,"",(UpdateHashtag!L373-C$1)/C$2)</f>
        <v>-1.226177381</v>
      </c>
      <c r="D375" s="53">
        <f>IF(TYPE($A375)=1,"",(UpdateHashtag!N373-D$1)/D$2)</f>
        <v>-1.875366685</v>
      </c>
      <c r="E375" s="53">
        <f>IF(TYPE($A375)=1,"",(UpdateHashtag!O373-E$1)/E$2)</f>
        <v>-1.678974666</v>
      </c>
      <c r="F375" s="53">
        <f>IF(TYPE($A375)=1,"",(UpdateHashtag!P373-F$1)/F$2)</f>
        <v>-1.966035386</v>
      </c>
      <c r="G375" s="53">
        <f>IF(TYPE($A375)=1,"",(UpdateHashtag!Q373-G$1)/G$2)</f>
        <v>-1.145739154</v>
      </c>
      <c r="H375" s="53">
        <f>IF(TYPE($A375)=1,"",(UpdateHashtag!I373-H$1)/H$2*I375/$I$1)</f>
        <v>-3.080516635</v>
      </c>
      <c r="I375" s="53">
        <f>UpdateHashtag!S373</f>
        <v>3</v>
      </c>
      <c r="J375" s="58">
        <f>IF(TYPE($A375)=1,"",(UpdateHashtag!K373-J$1)/J$2*K375/$K$1)</f>
        <v>0.1446991198</v>
      </c>
      <c r="K375" s="59">
        <f>UpdateHashtag!T373</f>
        <v>1.3</v>
      </c>
      <c r="L375" s="53">
        <f>IF(TYPE($A375)=1,"",-(UpdateHashtag!R373-L$1)/L$2)</f>
        <v>1.139395249</v>
      </c>
      <c r="N375" s="106"/>
      <c r="O375" s="106"/>
      <c r="P375" s="163"/>
      <c r="Q375" s="164"/>
      <c r="R375" s="163"/>
      <c r="S375" s="165"/>
      <c r="T375" s="144"/>
      <c r="U375" s="144"/>
      <c r="V375" s="144"/>
      <c r="W375" s="144"/>
      <c r="X375" s="144"/>
      <c r="Y375" s="144"/>
      <c r="Z375" s="144"/>
      <c r="AA375" s="144"/>
      <c r="AB375" s="144"/>
      <c r="AC375" s="166"/>
      <c r="AD375" s="166"/>
      <c r="AE375" s="144"/>
      <c r="AF375" s="144"/>
      <c r="AG375" s="144"/>
      <c r="AH375" s="144"/>
      <c r="AI375" s="144"/>
      <c r="AJ375" s="144"/>
      <c r="AK375" s="144"/>
      <c r="AL375" s="144"/>
      <c r="AM375" s="144"/>
      <c r="AN375" s="144"/>
      <c r="AO375" s="167"/>
      <c r="AP375" s="167"/>
      <c r="AQ375" s="167"/>
      <c r="AR375" s="167"/>
    </row>
    <row r="376">
      <c r="A376" s="50" t="str">
        <f>IF(UpdateHashtag!C374="",ROW(UpdateHashtag!C374),UpdateHashtag!C374)</f>
        <v>Orlando Robinson</v>
      </c>
      <c r="B376" s="53">
        <f>IF(TYPE($A376)=1,"",(UpdateHashtag!M374-B$1)/B$2)</f>
        <v>-2.521918823</v>
      </c>
      <c r="C376" s="53">
        <f>IF(TYPE($A376)=1,"",(UpdateHashtag!L374-C$1)/C$2)</f>
        <v>-1.612510757</v>
      </c>
      <c r="D376" s="53">
        <f>IF(TYPE($A376)=1,"",(UpdateHashtag!N374-D$1)/D$2)</f>
        <v>-1.388942357</v>
      </c>
      <c r="E376" s="53">
        <f>IF(TYPE($A376)=1,"",(UpdateHashtag!O374-E$1)/E$2)</f>
        <v>-1.483568867</v>
      </c>
      <c r="F376" s="53">
        <f>IF(TYPE($A376)=1,"",(UpdateHashtag!P374-F$1)/F$2)</f>
        <v>-2.27075839</v>
      </c>
      <c r="G376" s="53">
        <f>IF(TYPE($A376)=1,"",(UpdateHashtag!Q374-G$1)/G$2)</f>
        <v>-0.7821407085</v>
      </c>
      <c r="H376" s="53">
        <f>IF(TYPE($A376)=1,"",(UpdateHashtag!I374-H$1)/H$2*I376/$I$1)</f>
        <v>1.187068526</v>
      </c>
      <c r="I376" s="53">
        <f>UpdateHashtag!S374</f>
        <v>2.1</v>
      </c>
      <c r="J376" s="58">
        <f>IF(TYPE($A376)=1,"",(UpdateHashtag!K374-J$1)/J$2*K376/$K$1)</f>
        <v>-0.6928438079</v>
      </c>
      <c r="K376" s="59">
        <f>UpdateHashtag!T374</f>
        <v>0.7</v>
      </c>
      <c r="L376" s="53">
        <f>IF(TYPE($A376)=1,"",-(UpdateHashtag!R374-L$1)/L$2)</f>
        <v>1.337780956</v>
      </c>
      <c r="O376" s="106"/>
      <c r="P376" s="163"/>
      <c r="Q376" s="164"/>
      <c r="R376" s="163"/>
      <c r="S376" s="165"/>
      <c r="T376" s="144"/>
      <c r="U376" s="144"/>
      <c r="V376" s="144"/>
      <c r="W376" s="144"/>
      <c r="X376" s="144"/>
      <c r="Y376" s="144"/>
      <c r="Z376" s="144"/>
      <c r="AA376" s="144"/>
      <c r="AB376" s="144"/>
      <c r="AC376" s="166"/>
      <c r="AD376" s="166"/>
      <c r="AE376" s="144"/>
      <c r="AF376" s="144"/>
      <c r="AG376" s="144"/>
      <c r="AH376" s="144"/>
      <c r="AI376" s="144"/>
      <c r="AJ376" s="144"/>
      <c r="AK376" s="144"/>
      <c r="AL376" s="144"/>
      <c r="AM376" s="144"/>
      <c r="AN376" s="144"/>
      <c r="AO376" s="167"/>
      <c r="AP376" s="167"/>
      <c r="AQ376" s="167"/>
      <c r="AR376" s="167"/>
    </row>
    <row r="377">
      <c r="A377" s="50" t="str">
        <f>IF(UpdateHashtag!C375="",ROW(UpdateHashtag!C375),UpdateHashtag!C375)</f>
        <v>Baylor Scheierman</v>
      </c>
      <c r="B377" s="53">
        <f>IF(TYPE($A377)=1,"",(UpdateHashtag!M375-B$1)/B$2)</f>
        <v>-2.293843428</v>
      </c>
      <c r="C377" s="53">
        <f>IF(TYPE($A377)=1,"",(UpdateHashtag!L375-C$1)/C$2)</f>
        <v>-1.033010693</v>
      </c>
      <c r="D377" s="53">
        <f>IF(TYPE($A377)=1,"",(UpdateHashtag!N375-D$1)/D$2)</f>
        <v>-1.672689882</v>
      </c>
      <c r="E377" s="53">
        <f>IF(TYPE($A377)=1,"",(UpdateHashtag!O375-E$1)/E$2)</f>
        <v>-1.434717418</v>
      </c>
      <c r="F377" s="53">
        <f>IF(TYPE($A377)=1,"",(UpdateHashtag!P375-F$1)/F$2)</f>
        <v>-2.575481394</v>
      </c>
      <c r="G377" s="53">
        <f>IF(TYPE($A377)=1,"",(UpdateHashtag!Q375-G$1)/G$2)</f>
        <v>-1.327538376</v>
      </c>
      <c r="H377" s="53">
        <f>IF(TYPE($A377)=1,"",(UpdateHashtag!I375-H$1)/H$2*I377/$I$1)</f>
        <v>-5.112304486</v>
      </c>
      <c r="I377" s="53">
        <f>UpdateHashtag!S375</f>
        <v>3.2</v>
      </c>
      <c r="J377" s="58">
        <f>IF(TYPE($A377)=1,"",(UpdateHashtag!K375-J$1)/J$2*K377/$K$1)</f>
        <v>0.3795161484</v>
      </c>
      <c r="K377" s="59">
        <f>UpdateHashtag!T375</f>
        <v>0.7</v>
      </c>
      <c r="L377" s="53">
        <f>IF(TYPE($A377)=1,"",-(UpdateHashtag!R375-L$1)/L$2)</f>
        <v>1.238588102</v>
      </c>
      <c r="O377" s="106"/>
      <c r="P377" s="163"/>
      <c r="Q377" s="164"/>
      <c r="R377" s="163"/>
      <c r="S377" s="165"/>
      <c r="T377" s="144"/>
      <c r="U377" s="144"/>
      <c r="V377" s="144"/>
      <c r="W377" s="144"/>
      <c r="X377" s="144"/>
      <c r="Y377" s="144"/>
      <c r="Z377" s="144"/>
      <c r="AA377" s="144"/>
      <c r="AB377" s="144"/>
      <c r="AC377" s="166"/>
      <c r="AD377" s="166"/>
      <c r="AE377" s="144"/>
      <c r="AF377" s="144"/>
      <c r="AG377" s="144"/>
      <c r="AH377" s="144"/>
      <c r="AI377" s="144"/>
      <c r="AJ377" s="144"/>
      <c r="AK377" s="144"/>
      <c r="AL377" s="144"/>
      <c r="AM377" s="144"/>
      <c r="AN377" s="144"/>
      <c r="AO377" s="167"/>
      <c r="AP377" s="167"/>
      <c r="AQ377" s="167"/>
      <c r="AR377" s="167"/>
    </row>
    <row r="378">
      <c r="A378" s="50" t="str">
        <f>IF(UpdateHashtag!C376="",ROW(UpdateHashtag!C376),UpdateHashtag!C376)</f>
        <v>AJ Green</v>
      </c>
      <c r="B378" s="53">
        <f>IF(TYPE($A378)=1,"",(UpdateHashtag!M376-B$1)/B$2)</f>
        <v>-2.223666383</v>
      </c>
      <c r="C378" s="53">
        <f>IF(TYPE($A378)=1,"",(UpdateHashtag!L376-C$1)/C$2)</f>
        <v>-0.5500939728</v>
      </c>
      <c r="D378" s="53">
        <f>IF(TYPE($A378)=1,"",(UpdateHashtag!N376-D$1)/D$2)</f>
        <v>-1.996972767</v>
      </c>
      <c r="E378" s="53">
        <f>IF(TYPE($A378)=1,"",(UpdateHashtag!O376-E$1)/E$2)</f>
        <v>-1.581271767</v>
      </c>
      <c r="F378" s="53">
        <f>IF(TYPE($A378)=1,"",(UpdateHashtag!P376-F$1)/F$2)</f>
        <v>-2.575481394</v>
      </c>
      <c r="G378" s="53">
        <f>IF(TYPE($A378)=1,"",(UpdateHashtag!Q376-G$1)/G$2)</f>
        <v>-1.327538376</v>
      </c>
      <c r="H378" s="53">
        <f>IF(TYPE($A378)=1,"",(UpdateHashtag!I376-H$1)/H$2*I378/$I$1)</f>
        <v>-7.378951362</v>
      </c>
      <c r="I378" s="53">
        <f>UpdateHashtag!S376</f>
        <v>3.5</v>
      </c>
      <c r="J378" s="58">
        <f>IF(TYPE($A378)=1,"",(UpdateHashtag!K376-J$1)/J$2*K378/$K$1)</f>
        <v>0.6318072587</v>
      </c>
      <c r="K378" s="59">
        <f>UpdateHashtag!T376</f>
        <v>0.3</v>
      </c>
      <c r="L378" s="53">
        <f>IF(TYPE($A378)=1,"",-(UpdateHashtag!R376-L$1)/L$2)</f>
        <v>1.536166664</v>
      </c>
      <c r="N378" s="106"/>
      <c r="O378" s="106"/>
      <c r="P378" s="163"/>
      <c r="Q378" s="164"/>
      <c r="R378" s="163"/>
      <c r="S378" s="165"/>
      <c r="T378" s="144"/>
      <c r="U378" s="144"/>
      <c r="V378" s="144"/>
      <c r="W378" s="144"/>
      <c r="X378" s="144"/>
      <c r="Y378" s="144"/>
      <c r="Z378" s="144"/>
      <c r="AA378" s="144"/>
      <c r="AB378" s="144"/>
      <c r="AC378" s="166"/>
      <c r="AD378" s="166"/>
      <c r="AE378" s="144"/>
      <c r="AF378" s="144"/>
      <c r="AG378" s="144"/>
      <c r="AH378" s="144"/>
      <c r="AI378" s="144"/>
      <c r="AJ378" s="144"/>
      <c r="AK378" s="144"/>
      <c r="AL378" s="144"/>
      <c r="AM378" s="144"/>
      <c r="AN378" s="144"/>
      <c r="AO378" s="167"/>
      <c r="AP378" s="167"/>
      <c r="AQ378" s="167"/>
      <c r="AR378" s="167"/>
    </row>
    <row r="379">
      <c r="A379" s="50" t="str">
        <f>IF(UpdateHashtag!C377="",ROW(UpdateHashtag!C377),UpdateHashtag!C377)</f>
        <v>Isaiah Collier</v>
      </c>
      <c r="B379" s="53">
        <f>IF(TYPE($A379)=1,"",(UpdateHashtag!M377-B$1)/B$2)</f>
        <v>-1.907869681</v>
      </c>
      <c r="C379" s="53">
        <f>IF(TYPE($A379)=1,"",(UpdateHashtag!L377-C$1)/C$2)</f>
        <v>-1.322760725</v>
      </c>
      <c r="D379" s="53">
        <f>IF(TYPE($A379)=1,"",(UpdateHashtag!N377-D$1)/D$2)</f>
        <v>-2.037508127</v>
      </c>
      <c r="E379" s="53">
        <f>IF(TYPE($A379)=1,"",(UpdateHashtag!O377-E$1)/E$2)</f>
        <v>-1.04390582</v>
      </c>
      <c r="F379" s="53">
        <f>IF(TYPE($A379)=1,"",(UpdateHashtag!P377-F$1)/F$2)</f>
        <v>-1.356589379</v>
      </c>
      <c r="G379" s="53">
        <f>IF(TYPE($A379)=1,"",(UpdateHashtag!Q377-G$1)/G$2)</f>
        <v>-1.145739154</v>
      </c>
      <c r="H379" s="53">
        <f>IF(TYPE($A379)=1,"",(UpdateHashtag!I377-H$1)/H$2*I379/$I$1)</f>
        <v>-0.5654014299</v>
      </c>
      <c r="I379" s="53">
        <f>UpdateHashtag!S377</f>
        <v>4.5</v>
      </c>
      <c r="J379" s="58">
        <f>IF(TYPE($A379)=1,"",(UpdateHashtag!K377-J$1)/J$2*K379/$K$1)</f>
        <v>-4.295140584</v>
      </c>
      <c r="K379" s="59">
        <f>UpdateHashtag!T377</f>
        <v>2.3</v>
      </c>
      <c r="L379" s="53">
        <f>IF(TYPE($A379)=1,"",-(UpdateHashtag!R377-L$1)/L$2)</f>
        <v>0.4450452712</v>
      </c>
      <c r="N379" s="106"/>
      <c r="O379" s="106"/>
      <c r="P379" s="163"/>
      <c r="Q379" s="164"/>
      <c r="R379" s="163"/>
      <c r="S379" s="165"/>
      <c r="T379" s="144"/>
      <c r="U379" s="144"/>
      <c r="V379" s="144"/>
      <c r="W379" s="144"/>
      <c r="X379" s="144"/>
      <c r="Y379" s="144"/>
      <c r="Z379" s="144"/>
      <c r="AA379" s="144"/>
      <c r="AB379" s="144"/>
      <c r="AC379" s="166"/>
      <c r="AD379" s="166"/>
      <c r="AE379" s="144"/>
      <c r="AF379" s="144"/>
      <c r="AG379" s="144"/>
      <c r="AH379" s="144"/>
      <c r="AI379" s="144"/>
      <c r="AJ379" s="144"/>
      <c r="AK379" s="144"/>
      <c r="AL379" s="144"/>
      <c r="AM379" s="144"/>
      <c r="AN379" s="144"/>
      <c r="AO379" s="167"/>
      <c r="AP379" s="167"/>
      <c r="AQ379" s="167"/>
      <c r="AR379" s="167"/>
    </row>
    <row r="380">
      <c r="A380" s="50" t="str">
        <f>IF(UpdateHashtag!C378="",ROW(UpdateHashtag!C378),UpdateHashtag!C378)</f>
        <v>Cory Joseph</v>
      </c>
      <c r="B380" s="53">
        <f>IF(TYPE($A380)=1,"",(UpdateHashtag!M378-B$1)/B$2)</f>
        <v>-2.381564734</v>
      </c>
      <c r="C380" s="53">
        <f>IF(TYPE($A380)=1,"",(UpdateHashtag!L378-C$1)/C$2)</f>
        <v>-1.129594037</v>
      </c>
      <c r="D380" s="53">
        <f>IF(TYPE($A380)=1,"",(UpdateHashtag!N378-D$1)/D$2)</f>
        <v>-2.078043488</v>
      </c>
      <c r="E380" s="53">
        <f>IF(TYPE($A380)=1,"",(UpdateHashtag!O378-E$1)/E$2)</f>
        <v>-0.9462029206</v>
      </c>
      <c r="F380" s="53">
        <f>IF(TYPE($A380)=1,"",(UpdateHashtag!P378-F$1)/F$2)</f>
        <v>-2.27075839</v>
      </c>
      <c r="G380" s="53">
        <f>IF(TYPE($A380)=1,"",(UpdateHashtag!Q378-G$1)/G$2)</f>
        <v>-1.145739154</v>
      </c>
      <c r="H380" s="53">
        <f>IF(TYPE($A380)=1,"",(UpdateHashtag!I378-H$1)/H$2*I380/$I$1)</f>
        <v>-7.373753163</v>
      </c>
      <c r="I380" s="53">
        <f>UpdateHashtag!S378</f>
        <v>3.1</v>
      </c>
      <c r="J380" s="58">
        <f>IF(TYPE($A380)=1,"",(UpdateHashtag!K378-J$1)/J$2*K380/$K$1)</f>
        <v>-0.1151339977</v>
      </c>
      <c r="K380" s="59">
        <f>UpdateHashtag!T378</f>
        <v>0.6</v>
      </c>
      <c r="L380" s="53">
        <f>IF(TYPE($A380)=1,"",-(UpdateHashtag!R378-L$1)/L$2)</f>
        <v>1.238588102</v>
      </c>
      <c r="O380" s="106"/>
      <c r="P380" s="163"/>
      <c r="Q380" s="164"/>
      <c r="R380" s="163"/>
      <c r="S380" s="165"/>
      <c r="T380" s="144"/>
      <c r="U380" s="144"/>
      <c r="V380" s="144"/>
      <c r="W380" s="144"/>
      <c r="X380" s="144"/>
      <c r="Y380" s="144"/>
      <c r="Z380" s="144"/>
      <c r="AA380" s="144"/>
      <c r="AB380" s="144"/>
      <c r="AC380" s="166"/>
      <c r="AD380" s="166"/>
      <c r="AE380" s="144"/>
      <c r="AF380" s="144"/>
      <c r="AG380" s="144"/>
      <c r="AH380" s="144"/>
      <c r="AI380" s="144"/>
      <c r="AJ380" s="144"/>
      <c r="AK380" s="144"/>
      <c r="AL380" s="144"/>
      <c r="AM380" s="144"/>
      <c r="AN380" s="144"/>
      <c r="AO380" s="167"/>
      <c r="AP380" s="167"/>
      <c r="AQ380" s="167"/>
      <c r="AR380" s="167"/>
    </row>
    <row r="381">
      <c r="A381" s="50" t="str">
        <f>IF(UpdateHashtag!C379="",ROW(UpdateHashtag!C379),UpdateHashtag!C379)</f>
        <v>DeAndre Jordan</v>
      </c>
      <c r="B381" s="53">
        <f>IF(TYPE($A381)=1,"",(UpdateHashtag!M379-B$1)/B$2)</f>
        <v>-2.399108995</v>
      </c>
      <c r="C381" s="53">
        <f>IF(TYPE($A381)=1,"",(UpdateHashtag!L379-C$1)/C$2)</f>
        <v>-1.709094101</v>
      </c>
      <c r="D381" s="53">
        <f>IF(TYPE($A381)=1,"",(UpdateHashtag!N379-D$1)/D$2)</f>
        <v>-0.9835887512</v>
      </c>
      <c r="E381" s="53">
        <f>IF(TYPE($A381)=1,"",(UpdateHashtag!O379-E$1)/E$2)</f>
        <v>-1.581271767</v>
      </c>
      <c r="F381" s="53">
        <f>IF(TYPE($A381)=1,"",(UpdateHashtag!P379-F$1)/F$2)</f>
        <v>-2.575481394</v>
      </c>
      <c r="G381" s="53">
        <f>IF(TYPE($A381)=1,"",(UpdateHashtag!Q379-G$1)/G$2)</f>
        <v>-0.600341486</v>
      </c>
      <c r="H381" s="53">
        <f>IF(TYPE($A381)=1,"",(UpdateHashtag!I379-H$1)/H$2*I381/$I$1)</f>
        <v>12.98369951</v>
      </c>
      <c r="I381" s="53">
        <f>UpdateHashtag!S379</f>
        <v>2.1</v>
      </c>
      <c r="J381" s="58">
        <f>IF(TYPE($A381)=1,"",(UpdateHashtag!K379-J$1)/J$2*K381/$K$1)</f>
        <v>-5.058999917</v>
      </c>
      <c r="K381" s="59">
        <f>UpdateHashtag!T379</f>
        <v>1</v>
      </c>
      <c r="L381" s="53">
        <f>IF(TYPE($A381)=1,"",-(UpdateHashtag!R379-L$1)/L$2)</f>
        <v>1.040202395</v>
      </c>
      <c r="O381" s="106"/>
      <c r="P381" s="163"/>
      <c r="Q381" s="164"/>
      <c r="R381" s="163"/>
      <c r="S381" s="165"/>
      <c r="T381" s="144"/>
      <c r="U381" s="144"/>
      <c r="V381" s="144"/>
      <c r="W381" s="144"/>
      <c r="X381" s="144"/>
      <c r="Y381" s="144"/>
      <c r="Z381" s="144"/>
      <c r="AA381" s="144"/>
      <c r="AB381" s="144"/>
      <c r="AC381" s="166"/>
      <c r="AD381" s="166"/>
      <c r="AE381" s="144"/>
      <c r="AF381" s="144"/>
      <c r="AG381" s="144"/>
      <c r="AH381" s="144"/>
      <c r="AI381" s="144"/>
      <c r="AJ381" s="144"/>
      <c r="AK381" s="144"/>
      <c r="AL381" s="144"/>
      <c r="AM381" s="144"/>
      <c r="AN381" s="144"/>
      <c r="AO381" s="167"/>
      <c r="AP381" s="167"/>
      <c r="AQ381" s="167"/>
      <c r="AR381" s="167"/>
    </row>
    <row r="382">
      <c r="A382" s="50" t="str">
        <f>IF(UpdateHashtag!C380="",ROW(UpdateHashtag!C380),UpdateHashtag!C380)</f>
        <v>Pelle Larsson</v>
      </c>
      <c r="B382" s="53">
        <f>IF(TYPE($A382)=1,"",(UpdateHashtag!M380-B$1)/B$2)</f>
        <v>-2.311387689</v>
      </c>
      <c r="C382" s="53">
        <f>IF(TYPE($A382)=1,"",(UpdateHashtag!L380-C$1)/C$2)</f>
        <v>-1.322760725</v>
      </c>
      <c r="D382" s="53">
        <f>IF(TYPE($A382)=1,"",(UpdateHashtag!N380-D$1)/D$2)</f>
        <v>-1.956437406</v>
      </c>
      <c r="E382" s="53">
        <f>IF(TYPE($A382)=1,"",(UpdateHashtag!O380-E$1)/E$2)</f>
        <v>-1.288163069</v>
      </c>
      <c r="F382" s="53">
        <f>IF(TYPE($A382)=1,"",(UpdateHashtag!P380-F$1)/F$2)</f>
        <v>-2.27075839</v>
      </c>
      <c r="G382" s="53">
        <f>IF(TYPE($A382)=1,"",(UpdateHashtag!Q380-G$1)/G$2)</f>
        <v>-1.145739154</v>
      </c>
      <c r="H382" s="53">
        <f>IF(TYPE($A382)=1,"",(UpdateHashtag!I380-H$1)/H$2*I382/$I$1)</f>
        <v>1.931768315</v>
      </c>
      <c r="I382" s="53">
        <f>UpdateHashtag!S380</f>
        <v>2.7</v>
      </c>
      <c r="J382" s="58">
        <f>IF(TYPE($A382)=1,"",(UpdateHashtag!K380-J$1)/J$2*K382/$K$1)</f>
        <v>-0.6067911698</v>
      </c>
      <c r="K382" s="59">
        <f>UpdateHashtag!T380</f>
        <v>1</v>
      </c>
      <c r="L382" s="53">
        <f>IF(TYPE($A382)=1,"",-(UpdateHashtag!R380-L$1)/L$2)</f>
        <v>1.139395249</v>
      </c>
      <c r="N382" s="106"/>
      <c r="O382" s="106"/>
      <c r="P382" s="163"/>
      <c r="Q382" s="164"/>
      <c r="R382" s="163"/>
      <c r="S382" s="165"/>
      <c r="T382" s="144"/>
      <c r="U382" s="144"/>
      <c r="V382" s="144"/>
      <c r="W382" s="144"/>
      <c r="X382" s="144"/>
      <c r="Y382" s="144"/>
      <c r="Z382" s="144"/>
      <c r="AA382" s="144"/>
      <c r="AB382" s="144"/>
      <c r="AC382" s="166"/>
      <c r="AD382" s="166"/>
      <c r="AE382" s="144"/>
      <c r="AF382" s="144"/>
      <c r="AG382" s="144"/>
      <c r="AH382" s="144"/>
      <c r="AI382" s="144"/>
      <c r="AJ382" s="144"/>
      <c r="AK382" s="144"/>
      <c r="AL382" s="144"/>
      <c r="AM382" s="144"/>
      <c r="AN382" s="144"/>
      <c r="AO382" s="167"/>
      <c r="AP382" s="167"/>
      <c r="AQ382" s="167"/>
      <c r="AR382" s="167"/>
    </row>
    <row r="383">
      <c r="A383" s="50" t="str">
        <f>IF(UpdateHashtag!C381="",ROW(UpdateHashtag!C381),UpdateHashtag!C381)</f>
        <v>Keita Bates-Diop</v>
      </c>
      <c r="B383" s="53">
        <f>IF(TYPE($A383)=1,"",(UpdateHashtag!M381-B$1)/B$2)</f>
        <v>-2.399108995</v>
      </c>
      <c r="C383" s="53">
        <f>IF(TYPE($A383)=1,"",(UpdateHashtag!L381-C$1)/C$2)</f>
        <v>-1.419344069</v>
      </c>
      <c r="D383" s="53">
        <f>IF(TYPE($A383)=1,"",(UpdateHashtag!N381-D$1)/D$2)</f>
        <v>-1.875366685</v>
      </c>
      <c r="E383" s="53">
        <f>IF(TYPE($A383)=1,"",(UpdateHashtag!O381-E$1)/E$2)</f>
        <v>-1.581271767</v>
      </c>
      <c r="F383" s="53">
        <f>IF(TYPE($A383)=1,"",(UpdateHashtag!P381-F$1)/F$2)</f>
        <v>-2.27075839</v>
      </c>
      <c r="G383" s="53">
        <f>IF(TYPE($A383)=1,"",(UpdateHashtag!Q381-G$1)/G$2)</f>
        <v>-0.963939931</v>
      </c>
      <c r="H383" s="53">
        <f>IF(TYPE($A383)=1,"",(UpdateHashtag!I381-H$1)/H$2*I383/$I$1)</f>
        <v>-0.6636707398</v>
      </c>
      <c r="I383" s="53">
        <f>UpdateHashtag!S381</f>
        <v>2.7</v>
      </c>
      <c r="J383" s="58">
        <f>IF(TYPE($A383)=1,"",(UpdateHashtag!K381-J$1)/J$2*K383/$K$1)</f>
        <v>-0.1279796171</v>
      </c>
      <c r="K383" s="59">
        <f>UpdateHashtag!T381</f>
        <v>0.8</v>
      </c>
      <c r="L383" s="53">
        <f>IF(TYPE($A383)=1,"",-(UpdateHashtag!R381-L$1)/L$2)</f>
        <v>1.43697381</v>
      </c>
      <c r="N383" s="106"/>
      <c r="O383" s="106"/>
      <c r="P383" s="163"/>
      <c r="Q383" s="164"/>
      <c r="R383" s="163"/>
      <c r="S383" s="165"/>
      <c r="T383" s="144"/>
      <c r="U383" s="144"/>
      <c r="V383" s="144"/>
      <c r="W383" s="144"/>
      <c r="X383" s="144"/>
      <c r="Y383" s="144"/>
      <c r="Z383" s="144"/>
      <c r="AA383" s="144"/>
      <c r="AB383" s="144"/>
      <c r="AC383" s="166"/>
      <c r="AD383" s="166"/>
      <c r="AE383" s="144"/>
      <c r="AF383" s="144"/>
      <c r="AG383" s="144"/>
      <c r="AH383" s="144"/>
      <c r="AI383" s="144"/>
      <c r="AJ383" s="144"/>
      <c r="AK383" s="144"/>
      <c r="AL383" s="144"/>
      <c r="AM383" s="144"/>
      <c r="AN383" s="144"/>
      <c r="AO383" s="167"/>
      <c r="AP383" s="167"/>
      <c r="AQ383" s="167"/>
      <c r="AR383" s="167"/>
    </row>
    <row r="384">
      <c r="A384" s="50" t="str">
        <f>IF(UpdateHashtag!C382="",ROW(UpdateHashtag!C382),UpdateHashtag!C382)</f>
        <v>Johnny Juzang</v>
      </c>
      <c r="B384" s="53">
        <f>IF(TYPE($A384)=1,"",(UpdateHashtag!M382-B$1)/B$2)</f>
        <v>-1.995590987</v>
      </c>
      <c r="C384" s="53">
        <f>IF(TYPE($A384)=1,"",(UpdateHashtag!L382-C$1)/C$2)</f>
        <v>-0.5500939728</v>
      </c>
      <c r="D384" s="53">
        <f>IF(TYPE($A384)=1,"",(UpdateHashtag!N382-D$1)/D$2)</f>
        <v>-1.713225242</v>
      </c>
      <c r="E384" s="53">
        <f>IF(TYPE($A384)=1,"",(UpdateHashtag!O382-E$1)/E$2)</f>
        <v>-1.483568867</v>
      </c>
      <c r="F384" s="53">
        <f>IF(TYPE($A384)=1,"",(UpdateHashtag!P382-F$1)/F$2)</f>
        <v>-2.575481394</v>
      </c>
      <c r="G384" s="53">
        <f>IF(TYPE($A384)=1,"",(UpdateHashtag!Q382-G$1)/G$2)</f>
        <v>-1.145739154</v>
      </c>
      <c r="H384" s="53">
        <f>IF(TYPE($A384)=1,"",(UpdateHashtag!I382-H$1)/H$2*I384/$I$1)</f>
        <v>-14.83569273</v>
      </c>
      <c r="I384" s="53">
        <f>UpdateHashtag!S382</f>
        <v>5.3</v>
      </c>
      <c r="J384" s="58">
        <f>IF(TYPE($A384)=1,"",(UpdateHashtag!K382-J$1)/J$2*K384/$K$1)</f>
        <v>-0.9656416888</v>
      </c>
      <c r="K384" s="59">
        <f>UpdateHashtag!T382</f>
        <v>0.5</v>
      </c>
      <c r="L384" s="53">
        <f>IF(TYPE($A384)=1,"",-(UpdateHashtag!R382-L$1)/L$2)</f>
        <v>1.337780956</v>
      </c>
      <c r="O384" s="106"/>
      <c r="P384" s="163"/>
      <c r="Q384" s="164"/>
      <c r="R384" s="163"/>
      <c r="S384" s="165"/>
      <c r="T384" s="144"/>
      <c r="U384" s="144"/>
      <c r="V384" s="144"/>
      <c r="W384" s="144"/>
      <c r="X384" s="144"/>
      <c r="Y384" s="144"/>
      <c r="Z384" s="144"/>
      <c r="AA384" s="144"/>
      <c r="AB384" s="144"/>
      <c r="AC384" s="166"/>
      <c r="AD384" s="166"/>
      <c r="AE384" s="144"/>
      <c r="AF384" s="144"/>
      <c r="AG384" s="144"/>
      <c r="AH384" s="144"/>
      <c r="AI384" s="144"/>
      <c r="AJ384" s="144"/>
      <c r="AK384" s="144"/>
      <c r="AL384" s="144"/>
      <c r="AM384" s="144"/>
      <c r="AN384" s="144"/>
      <c r="AO384" s="167"/>
      <c r="AP384" s="167"/>
      <c r="AQ384" s="167"/>
      <c r="AR384" s="167"/>
    </row>
    <row r="385">
      <c r="A385" s="50" t="str">
        <f>IF(UpdateHashtag!C383="",ROW(UpdateHashtag!C383),UpdateHashtag!C383)</f>
        <v>Nick Smith Jr.</v>
      </c>
      <c r="B385" s="53">
        <f>IF(TYPE($A385)=1,"",(UpdateHashtag!M383-B$1)/B$2)</f>
        <v>-2.048223771</v>
      </c>
      <c r="C385" s="53">
        <f>IF(TYPE($A385)=1,"",(UpdateHashtag!L383-C$1)/C$2)</f>
        <v>-0.6466773167</v>
      </c>
      <c r="D385" s="53">
        <f>IF(TYPE($A385)=1,"",(UpdateHashtag!N383-D$1)/D$2)</f>
        <v>-1.956437406</v>
      </c>
      <c r="E385" s="53">
        <f>IF(TYPE($A385)=1,"",(UpdateHashtag!O383-E$1)/E$2)</f>
        <v>-1.337014518</v>
      </c>
      <c r="F385" s="53">
        <f>IF(TYPE($A385)=1,"",(UpdateHashtag!P383-F$1)/F$2)</f>
        <v>-2.575481394</v>
      </c>
      <c r="G385" s="53">
        <f>IF(TYPE($A385)=1,"",(UpdateHashtag!Q383-G$1)/G$2)</f>
        <v>-1.145739154</v>
      </c>
      <c r="H385" s="53">
        <f>IF(TYPE($A385)=1,"",(UpdateHashtag!I383-H$1)/H$2*I385/$I$1)</f>
        <v>-16.74622425</v>
      </c>
      <c r="I385" s="53">
        <f>UpdateHashtag!S383</f>
        <v>5.3</v>
      </c>
      <c r="J385" s="58">
        <f>IF(TYPE($A385)=1,"",(UpdateHashtag!K383-J$1)/J$2*K385/$K$1)</f>
        <v>0.4834003005</v>
      </c>
      <c r="K385" s="59">
        <f>UpdateHashtag!T383</f>
        <v>0.3</v>
      </c>
      <c r="L385" s="53">
        <f>IF(TYPE($A385)=1,"",-(UpdateHashtag!R383-L$1)/L$2)</f>
        <v>1.040202395</v>
      </c>
      <c r="O385" s="106"/>
      <c r="P385" s="163"/>
      <c r="Q385" s="164"/>
      <c r="R385" s="163"/>
      <c r="S385" s="165"/>
      <c r="T385" s="144"/>
      <c r="U385" s="144"/>
      <c r="V385" s="144"/>
      <c r="W385" s="144"/>
      <c r="X385" s="144"/>
      <c r="Y385" s="144"/>
      <c r="Z385" s="144"/>
      <c r="AA385" s="144"/>
      <c r="AB385" s="144"/>
      <c r="AC385" s="166"/>
      <c r="AD385" s="166"/>
      <c r="AE385" s="144"/>
      <c r="AF385" s="144"/>
      <c r="AG385" s="144"/>
      <c r="AH385" s="144"/>
      <c r="AI385" s="144"/>
      <c r="AJ385" s="144"/>
      <c r="AK385" s="144"/>
      <c r="AL385" s="144"/>
      <c r="AM385" s="144"/>
      <c r="AN385" s="144"/>
      <c r="AO385" s="167"/>
      <c r="AP385" s="167"/>
      <c r="AQ385" s="167"/>
      <c r="AR385" s="167"/>
    </row>
    <row r="386">
      <c r="A386" s="50" t="str">
        <f>IF(UpdateHashtag!C384="",ROW(UpdateHashtag!C384),UpdateHashtag!C384)</f>
        <v>Vlatko Cancar</v>
      </c>
      <c r="B386" s="53">
        <f>IF(TYPE($A386)=1,"",(UpdateHashtag!M384-B$1)/B$2)</f>
        <v>-2.486830301</v>
      </c>
      <c r="C386" s="53">
        <f>IF(TYPE($A386)=1,"",(UpdateHashtag!L384-C$1)/C$2)</f>
        <v>-1.322760725</v>
      </c>
      <c r="D386" s="53">
        <f>IF(TYPE($A386)=1,"",(UpdateHashtag!N384-D$1)/D$2)</f>
        <v>-1.956437406</v>
      </c>
      <c r="E386" s="53">
        <f>IF(TYPE($A386)=1,"",(UpdateHashtag!O384-E$1)/E$2)</f>
        <v>-1.483568867</v>
      </c>
      <c r="F386" s="53">
        <f>IF(TYPE($A386)=1,"",(UpdateHashtag!P384-F$1)/F$2)</f>
        <v>-2.575481394</v>
      </c>
      <c r="G386" s="53">
        <f>IF(TYPE($A386)=1,"",(UpdateHashtag!Q384-G$1)/G$2)</f>
        <v>-1.145739154</v>
      </c>
      <c r="H386" s="53">
        <f>IF(TYPE($A386)=1,"",(UpdateHashtag!I384-H$1)/H$2*I386/$I$1)</f>
        <v>-1.325356187</v>
      </c>
      <c r="I386" s="53">
        <f>UpdateHashtag!S384</f>
        <v>2.3</v>
      </c>
      <c r="J386" s="58">
        <f>IF(TYPE($A386)=1,"",(UpdateHashtag!K384-J$1)/J$2*K386/$K$1)</f>
        <v>0.8870913432</v>
      </c>
      <c r="K386" s="59">
        <f>UpdateHashtag!T384</f>
        <v>0.4</v>
      </c>
      <c r="L386" s="53">
        <f>IF(TYPE($A386)=1,"",-(UpdateHashtag!R384-L$1)/L$2)</f>
        <v>1.337780956</v>
      </c>
      <c r="N386" s="106"/>
      <c r="O386" s="106"/>
      <c r="P386" s="163"/>
      <c r="Q386" s="164"/>
      <c r="R386" s="163"/>
      <c r="S386" s="165"/>
      <c r="T386" s="144"/>
      <c r="U386" s="144"/>
      <c r="V386" s="144"/>
      <c r="W386" s="144"/>
      <c r="X386" s="144"/>
      <c r="Y386" s="144"/>
      <c r="Z386" s="144"/>
      <c r="AA386" s="144"/>
      <c r="AB386" s="144"/>
      <c r="AC386" s="166"/>
      <c r="AD386" s="166"/>
      <c r="AE386" s="144"/>
      <c r="AF386" s="144"/>
      <c r="AG386" s="144"/>
      <c r="AH386" s="144"/>
      <c r="AI386" s="144"/>
      <c r="AJ386" s="144"/>
      <c r="AK386" s="144"/>
      <c r="AL386" s="144"/>
      <c r="AM386" s="144"/>
      <c r="AN386" s="144"/>
      <c r="AO386" s="167"/>
      <c r="AP386" s="167"/>
      <c r="AQ386" s="167"/>
      <c r="AR386" s="167"/>
    </row>
    <row r="387">
      <c r="A387" s="50" t="str">
        <f>IF(UpdateHashtag!C385="",ROW(UpdateHashtag!C385),UpdateHashtag!C385)</f>
        <v>KJ Simpson</v>
      </c>
      <c r="B387" s="53">
        <f>IF(TYPE($A387)=1,"",(UpdateHashtag!M385-B$1)/B$2)</f>
        <v>-2.399108995</v>
      </c>
      <c r="C387" s="53">
        <f>IF(TYPE($A387)=1,"",(UpdateHashtag!L385-C$1)/C$2)</f>
        <v>-1.322760725</v>
      </c>
      <c r="D387" s="53">
        <f>IF(TYPE($A387)=1,"",(UpdateHashtag!N385-D$1)/D$2)</f>
        <v>-2.078043488</v>
      </c>
      <c r="E387" s="53">
        <f>IF(TYPE($A387)=1,"",(UpdateHashtag!O385-E$1)/E$2)</f>
        <v>-1.434717418</v>
      </c>
      <c r="F387" s="53">
        <f>IF(TYPE($A387)=1,"",(UpdateHashtag!P385-F$1)/F$2)</f>
        <v>-2.27075839</v>
      </c>
      <c r="G387" s="53">
        <f>IF(TYPE($A387)=1,"",(UpdateHashtag!Q385-G$1)/G$2)</f>
        <v>-1.327538376</v>
      </c>
      <c r="H387" s="53">
        <f>IF(TYPE($A387)=1,"",(UpdateHashtag!I385-H$1)/H$2*I387/$I$1)</f>
        <v>-1.440604551</v>
      </c>
      <c r="I387" s="53">
        <f>UpdateHashtag!S385</f>
        <v>2.5</v>
      </c>
      <c r="J387" s="58">
        <f>IF(TYPE($A387)=1,"",(UpdateHashtag!K385-J$1)/J$2*K387/$K$1)</f>
        <v>1.292219301</v>
      </c>
      <c r="K387" s="59">
        <f>UpdateHashtag!T385</f>
        <v>0.9</v>
      </c>
      <c r="L387" s="53">
        <f>IF(TYPE($A387)=1,"",-(UpdateHashtag!R385-L$1)/L$2)</f>
        <v>1.337780956</v>
      </c>
      <c r="N387" s="106"/>
      <c r="O387" s="106"/>
      <c r="P387" s="163"/>
      <c r="Q387" s="164"/>
      <c r="R387" s="163"/>
      <c r="S387" s="165"/>
      <c r="T387" s="144"/>
      <c r="U387" s="144"/>
      <c r="V387" s="144"/>
      <c r="W387" s="144"/>
      <c r="X387" s="144"/>
      <c r="Y387" s="144"/>
      <c r="Z387" s="144"/>
      <c r="AA387" s="144"/>
      <c r="AB387" s="144"/>
      <c r="AC387" s="166"/>
      <c r="AD387" s="166"/>
      <c r="AE387" s="144"/>
      <c r="AF387" s="144"/>
      <c r="AG387" s="144"/>
      <c r="AH387" s="144"/>
      <c r="AI387" s="144"/>
      <c r="AJ387" s="144"/>
      <c r="AK387" s="144"/>
      <c r="AL387" s="144"/>
      <c r="AM387" s="144"/>
      <c r="AN387" s="144"/>
      <c r="AO387" s="167"/>
      <c r="AP387" s="167"/>
      <c r="AQ387" s="167"/>
      <c r="AR387" s="167"/>
    </row>
    <row r="388">
      <c r="A388" s="50" t="str">
        <f>IF(UpdateHashtag!C386="",ROW(UpdateHashtag!C386),UpdateHashtag!C386)</f>
        <v>DaRon Holmes II</v>
      </c>
      <c r="B388" s="53">
        <f>IF(TYPE($A388)=1,"",(UpdateHashtag!M386-B$1)/B$2)</f>
        <v>-2.276299166</v>
      </c>
      <c r="C388" s="53">
        <f>IF(TYPE($A388)=1,"",(UpdateHashtag!L386-C$1)/C$2)</f>
        <v>-1.515927413</v>
      </c>
      <c r="D388" s="53">
        <f>IF(TYPE($A388)=1,"",(UpdateHashtag!N386-D$1)/D$2)</f>
        <v>-1.794295964</v>
      </c>
      <c r="E388" s="53">
        <f>IF(TYPE($A388)=1,"",(UpdateHashtag!O386-E$1)/E$2)</f>
        <v>-1.630123217</v>
      </c>
      <c r="F388" s="53">
        <f>IF(TYPE($A388)=1,"",(UpdateHashtag!P386-F$1)/F$2)</f>
        <v>-2.575481394</v>
      </c>
      <c r="G388" s="53">
        <f>IF(TYPE($A388)=1,"",(UpdateHashtag!Q386-G$1)/G$2)</f>
        <v>-0.600341486</v>
      </c>
      <c r="H388" s="53">
        <f>IF(TYPE($A388)=1,"",(UpdateHashtag!I386-H$1)/H$2*I388/$I$1)</f>
        <v>3.741261617</v>
      </c>
      <c r="I388" s="53">
        <f>UpdateHashtag!S386</f>
        <v>2.5</v>
      </c>
      <c r="J388" s="58">
        <f>IF(TYPE($A388)=1,"",(UpdateHashtag!K386-J$1)/J$2*K388/$K$1)</f>
        <v>-2.155009419</v>
      </c>
      <c r="K388" s="59">
        <f>UpdateHashtag!T386</f>
        <v>1.8</v>
      </c>
      <c r="L388" s="53">
        <f>IF(TYPE($A388)=1,"",-(UpdateHashtag!R386-L$1)/L$2)</f>
        <v>1.238588102</v>
      </c>
      <c r="O388" s="106"/>
      <c r="P388" s="163"/>
      <c r="Q388" s="164"/>
      <c r="R388" s="163"/>
      <c r="S388" s="165"/>
      <c r="T388" s="144"/>
      <c r="U388" s="144"/>
      <c r="V388" s="144"/>
      <c r="W388" s="144"/>
      <c r="X388" s="144"/>
      <c r="Y388" s="144"/>
      <c r="Z388" s="144"/>
      <c r="AA388" s="144"/>
      <c r="AB388" s="144"/>
      <c r="AC388" s="166"/>
      <c r="AD388" s="166"/>
      <c r="AE388" s="144"/>
      <c r="AF388" s="144"/>
      <c r="AG388" s="144"/>
      <c r="AH388" s="144"/>
      <c r="AI388" s="144"/>
      <c r="AJ388" s="144"/>
      <c r="AK388" s="144"/>
      <c r="AL388" s="144"/>
      <c r="AM388" s="144"/>
      <c r="AN388" s="144"/>
      <c r="AO388" s="167"/>
      <c r="AP388" s="167"/>
      <c r="AQ388" s="167"/>
      <c r="AR388" s="167"/>
    </row>
    <row r="389">
      <c r="A389" s="50" t="str">
        <f>IF(UpdateHashtag!C387="",ROW(UpdateHashtag!C387),UpdateHashtag!C387)</f>
        <v>Jeff Green</v>
      </c>
      <c r="B389" s="53">
        <f>IF(TYPE($A389)=1,"",(UpdateHashtag!M387-B$1)/B$2)</f>
        <v>-2.223666383</v>
      </c>
      <c r="C389" s="53">
        <f>IF(TYPE($A389)=1,"",(UpdateHashtag!L387-C$1)/C$2)</f>
        <v>-1.322760725</v>
      </c>
      <c r="D389" s="53">
        <f>IF(TYPE($A389)=1,"",(UpdateHashtag!N387-D$1)/D$2)</f>
        <v>-1.875366685</v>
      </c>
      <c r="E389" s="53">
        <f>IF(TYPE($A389)=1,"",(UpdateHashtag!O387-E$1)/E$2)</f>
        <v>-1.532420317</v>
      </c>
      <c r="F389" s="53">
        <f>IF(TYPE($A389)=1,"",(UpdateHashtag!P387-F$1)/F$2)</f>
        <v>-2.575481394</v>
      </c>
      <c r="G389" s="53">
        <f>IF(TYPE($A389)=1,"",(UpdateHashtag!Q387-G$1)/G$2)</f>
        <v>-0.963939931</v>
      </c>
      <c r="H389" s="53">
        <f>IF(TYPE($A389)=1,"",(UpdateHashtag!I387-H$1)/H$2*I389/$I$1)</f>
        <v>-2.397254771</v>
      </c>
      <c r="I389" s="53">
        <f>UpdateHashtag!S387</f>
        <v>3.3</v>
      </c>
      <c r="J389" s="58">
        <f>IF(TYPE($A389)=1,"",(UpdateHashtag!K387-J$1)/J$2*K389/$K$1)</f>
        <v>-0.1457317017</v>
      </c>
      <c r="K389" s="59">
        <f>UpdateHashtag!T387</f>
        <v>1.3</v>
      </c>
      <c r="L389" s="53">
        <f>IF(TYPE($A389)=1,"",-(UpdateHashtag!R387-L$1)/L$2)</f>
        <v>1.337780956</v>
      </c>
      <c r="O389" s="106"/>
      <c r="P389" s="163"/>
      <c r="Q389" s="164"/>
      <c r="R389" s="163"/>
      <c r="S389" s="165"/>
      <c r="T389" s="144"/>
      <c r="U389" s="144"/>
      <c r="V389" s="144"/>
      <c r="W389" s="144"/>
      <c r="X389" s="144"/>
      <c r="Y389" s="144"/>
      <c r="Z389" s="144"/>
      <c r="AA389" s="144"/>
      <c r="AB389" s="144"/>
      <c r="AC389" s="166"/>
      <c r="AD389" s="166"/>
      <c r="AE389" s="144"/>
      <c r="AF389" s="144"/>
      <c r="AG389" s="144"/>
      <c r="AH389" s="144"/>
      <c r="AI389" s="144"/>
      <c r="AJ389" s="144"/>
      <c r="AK389" s="144"/>
      <c r="AL389" s="144"/>
      <c r="AM389" s="144"/>
      <c r="AN389" s="144"/>
      <c r="AO389" s="167"/>
      <c r="AP389" s="167"/>
      <c r="AQ389" s="167"/>
      <c r="AR389" s="167"/>
    </row>
    <row r="390">
      <c r="A390" s="50" t="str">
        <f>IF(UpdateHashtag!C388="",ROW(UpdateHashtag!C388),UpdateHashtag!C388)</f>
        <v>Caleb Houstan</v>
      </c>
      <c r="B390" s="53">
        <f>IF(TYPE($A390)=1,"",(UpdateHashtag!M388-B$1)/B$2)</f>
        <v>-2.311387689</v>
      </c>
      <c r="C390" s="53">
        <f>IF(TYPE($A390)=1,"",(UpdateHashtag!L388-C$1)/C$2)</f>
        <v>-0.6466773167</v>
      </c>
      <c r="D390" s="53">
        <f>IF(TYPE($A390)=1,"",(UpdateHashtag!N388-D$1)/D$2)</f>
        <v>-1.834831324</v>
      </c>
      <c r="E390" s="53">
        <f>IF(TYPE($A390)=1,"",(UpdateHashtag!O388-E$1)/E$2)</f>
        <v>-1.630123217</v>
      </c>
      <c r="F390" s="53">
        <f>IF(TYPE($A390)=1,"",(UpdateHashtag!P388-F$1)/F$2)</f>
        <v>-2.575481394</v>
      </c>
      <c r="G390" s="53">
        <f>IF(TYPE($A390)=1,"",(UpdateHashtag!Q388-G$1)/G$2)</f>
        <v>-1.145739154</v>
      </c>
      <c r="H390" s="53">
        <f>IF(TYPE($A390)=1,"",(UpdateHashtag!I388-H$1)/H$2*I390/$I$1)</f>
        <v>-12.63591704</v>
      </c>
      <c r="I390" s="53">
        <f>UpdateHashtag!S388</f>
        <v>3.5</v>
      </c>
      <c r="J390" s="58">
        <f>IF(TYPE($A390)=1,"",(UpdateHashtag!K388-J$1)/J$2*K390/$K$1)</f>
        <v>0.2104832755</v>
      </c>
      <c r="K390" s="59">
        <f>UpdateHashtag!T388</f>
        <v>0.4</v>
      </c>
      <c r="L390" s="53">
        <f>IF(TYPE($A390)=1,"",-(UpdateHashtag!R388-L$1)/L$2)</f>
        <v>1.43697381</v>
      </c>
      <c r="N390" s="106"/>
      <c r="O390" s="106"/>
      <c r="P390" s="163"/>
      <c r="Q390" s="164"/>
      <c r="R390" s="163"/>
      <c r="S390" s="165"/>
      <c r="T390" s="144"/>
      <c r="U390" s="144"/>
      <c r="V390" s="144"/>
      <c r="W390" s="144"/>
      <c r="X390" s="144"/>
      <c r="Y390" s="144"/>
      <c r="Z390" s="144"/>
      <c r="AA390" s="144"/>
      <c r="AB390" s="144"/>
      <c r="AC390" s="166"/>
      <c r="AD390" s="166"/>
      <c r="AE390" s="144"/>
      <c r="AF390" s="144"/>
      <c r="AG390" s="144"/>
      <c r="AH390" s="144"/>
      <c r="AI390" s="144"/>
      <c r="AJ390" s="144"/>
      <c r="AK390" s="144"/>
      <c r="AL390" s="144"/>
      <c r="AM390" s="144"/>
      <c r="AN390" s="144"/>
      <c r="AO390" s="167"/>
      <c r="AP390" s="167"/>
      <c r="AQ390" s="167"/>
      <c r="AR390" s="167"/>
    </row>
    <row r="391">
      <c r="A391" s="50" t="str">
        <f>IF(UpdateHashtag!C389="",ROW(UpdateHashtag!C389),UpdateHashtag!C389)</f>
        <v>Nassir Little</v>
      </c>
      <c r="B391" s="53">
        <f>IF(TYPE($A391)=1,"",(UpdateHashtag!M389-B$1)/B$2)</f>
        <v>-2.364020472</v>
      </c>
      <c r="C391" s="53">
        <f>IF(TYPE($A391)=1,"",(UpdateHashtag!L389-C$1)/C$2)</f>
        <v>-1.129594037</v>
      </c>
      <c r="D391" s="53">
        <f>IF(TYPE($A391)=1,"",(UpdateHashtag!N389-D$1)/D$2)</f>
        <v>-1.834831324</v>
      </c>
      <c r="E391" s="53">
        <f>IF(TYPE($A391)=1,"",(UpdateHashtag!O389-E$1)/E$2)</f>
        <v>-1.630123217</v>
      </c>
      <c r="F391" s="53">
        <f>IF(TYPE($A391)=1,"",(UpdateHashtag!P389-F$1)/F$2)</f>
        <v>-2.575481394</v>
      </c>
      <c r="G391" s="53">
        <f>IF(TYPE($A391)=1,"",(UpdateHashtag!Q389-G$1)/G$2)</f>
        <v>-0.963939931</v>
      </c>
      <c r="H391" s="53">
        <f>IF(TYPE($A391)=1,"",(UpdateHashtag!I389-H$1)/H$2*I391/$I$1)</f>
        <v>-4.580051403</v>
      </c>
      <c r="I391" s="53">
        <f>UpdateHashtag!S389</f>
        <v>3.1</v>
      </c>
      <c r="J391" s="58">
        <f>IF(TYPE($A391)=1,"",(UpdateHashtag!K389-J$1)/J$2*K391/$K$1)</f>
        <v>-0.1757336853</v>
      </c>
      <c r="K391" s="59">
        <f>UpdateHashtag!T389</f>
        <v>0.5</v>
      </c>
      <c r="L391" s="53">
        <f>IF(TYPE($A391)=1,"",-(UpdateHashtag!R389-L$1)/L$2)</f>
        <v>1.337780956</v>
      </c>
      <c r="N391" s="106"/>
      <c r="O391" s="106"/>
      <c r="P391" s="163"/>
      <c r="Q391" s="164"/>
      <c r="R391" s="163"/>
      <c r="S391" s="165"/>
      <c r="T391" s="144"/>
      <c r="U391" s="144"/>
      <c r="V391" s="144"/>
      <c r="W391" s="144"/>
      <c r="X391" s="144"/>
      <c r="Y391" s="144"/>
      <c r="Z391" s="144"/>
      <c r="AA391" s="144"/>
      <c r="AB391" s="144"/>
      <c r="AC391" s="166"/>
      <c r="AD391" s="166"/>
      <c r="AE391" s="144"/>
      <c r="AF391" s="144"/>
      <c r="AG391" s="144"/>
      <c r="AH391" s="144"/>
      <c r="AI391" s="144"/>
      <c r="AJ391" s="144"/>
      <c r="AK391" s="144"/>
      <c r="AL391" s="144"/>
      <c r="AM391" s="144"/>
      <c r="AN391" s="144"/>
      <c r="AO391" s="167"/>
      <c r="AP391" s="167"/>
      <c r="AQ391" s="167"/>
      <c r="AR391" s="167"/>
    </row>
    <row r="392">
      <c r="A392" s="50" t="str">
        <f>IF(UpdateHashtag!C390="",ROW(UpdateHashtag!C390),UpdateHashtag!C390)</f>
        <v>Ariel Hukporti</v>
      </c>
      <c r="B392" s="53">
        <f>IF(TYPE($A392)=1,"",(UpdateHashtag!M390-B$1)/B$2)</f>
        <v>-2.486830301</v>
      </c>
      <c r="C392" s="53">
        <f>IF(TYPE($A392)=1,"",(UpdateHashtag!L390-C$1)/C$2)</f>
        <v>-1.709094101</v>
      </c>
      <c r="D392" s="53">
        <f>IF(TYPE($A392)=1,"",(UpdateHashtag!N390-D$1)/D$2)</f>
        <v>-1.429477718</v>
      </c>
      <c r="E392" s="53">
        <f>IF(TYPE($A392)=1,"",(UpdateHashtag!O390-E$1)/E$2)</f>
        <v>-1.727826116</v>
      </c>
      <c r="F392" s="53">
        <f>IF(TYPE($A392)=1,"",(UpdateHashtag!P390-F$1)/F$2)</f>
        <v>-2.575481394</v>
      </c>
      <c r="G392" s="53">
        <f>IF(TYPE($A392)=1,"",(UpdateHashtag!Q390-G$1)/G$2)</f>
        <v>-0.236743041</v>
      </c>
      <c r="H392" s="53">
        <f>IF(TYPE($A392)=1,"",(UpdateHashtag!I390-H$1)/H$2*I392/$I$1)</f>
        <v>4.278164345</v>
      </c>
      <c r="I392" s="53">
        <f>UpdateHashtag!S390</f>
        <v>2.1</v>
      </c>
      <c r="J392" s="58">
        <f>IF(TYPE($A392)=1,"",(UpdateHashtag!K390-J$1)/J$2*K392/$K$1)</f>
        <v>-2.761085725</v>
      </c>
      <c r="K392" s="59">
        <f>UpdateHashtag!T390</f>
        <v>1</v>
      </c>
      <c r="L392" s="53">
        <f>IF(TYPE($A392)=1,"",-(UpdateHashtag!R390-L$1)/L$2)</f>
        <v>1.139395249</v>
      </c>
      <c r="O392" s="106"/>
      <c r="P392" s="163"/>
      <c r="Q392" s="164"/>
      <c r="R392" s="163"/>
      <c r="S392" s="165"/>
      <c r="T392" s="144"/>
      <c r="U392" s="144"/>
      <c r="V392" s="144"/>
      <c r="W392" s="144"/>
      <c r="X392" s="144"/>
      <c r="Y392" s="144"/>
      <c r="Z392" s="144"/>
      <c r="AA392" s="144"/>
      <c r="AB392" s="144"/>
      <c r="AC392" s="166"/>
      <c r="AD392" s="166"/>
      <c r="AE392" s="144"/>
      <c r="AF392" s="144"/>
      <c r="AG392" s="144"/>
      <c r="AH392" s="144"/>
      <c r="AI392" s="144"/>
      <c r="AJ392" s="144"/>
      <c r="AK392" s="144"/>
      <c r="AL392" s="144"/>
      <c r="AM392" s="144"/>
      <c r="AN392" s="144"/>
      <c r="AO392" s="167"/>
      <c r="AP392" s="167"/>
      <c r="AQ392" s="167"/>
      <c r="AR392" s="167"/>
    </row>
    <row r="393">
      <c r="A393" s="50" t="str">
        <f>IF(UpdateHashtag!C391="",ROW(UpdateHashtag!C391),UpdateHashtag!C391)</f>
        <v>Matt Ryan</v>
      </c>
      <c r="B393" s="53">
        <f>IF(TYPE($A393)=1,"",(UpdateHashtag!M391-B$1)/B$2)</f>
        <v>-2.241210644</v>
      </c>
      <c r="C393" s="53">
        <f>IF(TYPE($A393)=1,"",(UpdateHashtag!L391-C$1)/C$2)</f>
        <v>-0.5500939728</v>
      </c>
      <c r="D393" s="53">
        <f>IF(TYPE($A393)=1,"",(UpdateHashtag!N391-D$1)/D$2)</f>
        <v>-2.037508127</v>
      </c>
      <c r="E393" s="53">
        <f>IF(TYPE($A393)=1,"",(UpdateHashtag!O391-E$1)/E$2)</f>
        <v>-1.630123217</v>
      </c>
      <c r="F393" s="53">
        <f>IF(TYPE($A393)=1,"",(UpdateHashtag!P391-F$1)/F$2)</f>
        <v>-2.575481394</v>
      </c>
      <c r="G393" s="53">
        <f>IF(TYPE($A393)=1,"",(UpdateHashtag!Q391-G$1)/G$2)</f>
        <v>-1.327538376</v>
      </c>
      <c r="H393" s="53">
        <f>IF(TYPE($A393)=1,"",(UpdateHashtag!I391-H$1)/H$2*I393/$I$1)</f>
        <v>-9.902294888</v>
      </c>
      <c r="I393" s="53">
        <f>UpdateHashtag!S391</f>
        <v>3.5</v>
      </c>
      <c r="J393" s="58">
        <f>IF(TYPE($A393)=1,"",(UpdateHashtag!K391-J$1)/J$2*K393/$K$1)</f>
        <v>0.5934689742</v>
      </c>
      <c r="K393" s="59">
        <f>UpdateHashtag!T391</f>
        <v>0.4</v>
      </c>
      <c r="L393" s="53">
        <f>IF(TYPE($A393)=1,"",-(UpdateHashtag!R391-L$1)/L$2)</f>
        <v>1.337780956</v>
      </c>
      <c r="O393" s="106"/>
      <c r="P393" s="163"/>
      <c r="Q393" s="164"/>
      <c r="R393" s="163"/>
      <c r="S393" s="165"/>
      <c r="T393" s="144"/>
      <c r="U393" s="144"/>
      <c r="V393" s="144"/>
      <c r="W393" s="144"/>
      <c r="X393" s="144"/>
      <c r="Y393" s="144"/>
      <c r="Z393" s="144"/>
      <c r="AA393" s="144"/>
      <c r="AB393" s="144"/>
      <c r="AC393" s="166"/>
      <c r="AD393" s="166"/>
      <c r="AE393" s="144"/>
      <c r="AF393" s="144"/>
      <c r="AG393" s="144"/>
      <c r="AH393" s="144"/>
      <c r="AI393" s="144"/>
      <c r="AJ393" s="144"/>
      <c r="AK393" s="144"/>
      <c r="AL393" s="144"/>
      <c r="AM393" s="144"/>
      <c r="AN393" s="144"/>
      <c r="AO393" s="167"/>
      <c r="AP393" s="167"/>
      <c r="AQ393" s="167"/>
      <c r="AR393" s="167"/>
    </row>
    <row r="394">
      <c r="A394" s="50" t="str">
        <f>IF(UpdateHashtag!C392="",ROW(UpdateHashtag!C392),UpdateHashtag!C392)</f>
        <v>Ousmane Dieng</v>
      </c>
      <c r="B394" s="53">
        <f>IF(TYPE($A394)=1,"",(UpdateHashtag!M392-B$1)/B$2)</f>
        <v>-2.364020472</v>
      </c>
      <c r="C394" s="53">
        <f>IF(TYPE($A394)=1,"",(UpdateHashtag!L392-C$1)/C$2)</f>
        <v>-1.226177381</v>
      </c>
      <c r="D394" s="53">
        <f>IF(TYPE($A394)=1,"",(UpdateHashtag!N392-D$1)/D$2)</f>
        <v>-1.753760603</v>
      </c>
      <c r="E394" s="53">
        <f>IF(TYPE($A394)=1,"",(UpdateHashtag!O392-E$1)/E$2)</f>
        <v>-1.434717418</v>
      </c>
      <c r="F394" s="53">
        <f>IF(TYPE($A394)=1,"",(UpdateHashtag!P392-F$1)/F$2)</f>
        <v>-2.27075839</v>
      </c>
      <c r="G394" s="53">
        <f>IF(TYPE($A394)=1,"",(UpdateHashtag!Q392-G$1)/G$2)</f>
        <v>-1.145739154</v>
      </c>
      <c r="H394" s="53">
        <f>IF(TYPE($A394)=1,"",(UpdateHashtag!I392-H$1)/H$2*I394/$I$1)</f>
        <v>-7.254691057</v>
      </c>
      <c r="I394" s="53">
        <f>UpdateHashtag!S392</f>
        <v>3.3</v>
      </c>
      <c r="J394" s="58">
        <f>IF(TYPE($A394)=1,"",(UpdateHashtag!K392-J$1)/J$2*K394/$K$1)</f>
        <v>-0.2427164679</v>
      </c>
      <c r="K394" s="59">
        <f>UpdateHashtag!T392</f>
        <v>0.4</v>
      </c>
      <c r="L394" s="53">
        <f>IF(TYPE($A394)=1,"",-(UpdateHashtag!R392-L$1)/L$2)</f>
        <v>1.238588102</v>
      </c>
      <c r="N394" s="106"/>
      <c r="O394" s="106"/>
      <c r="P394" s="163"/>
      <c r="Q394" s="164"/>
      <c r="R394" s="163"/>
      <c r="S394" s="165"/>
      <c r="T394" s="144"/>
      <c r="U394" s="144"/>
      <c r="V394" s="144"/>
      <c r="W394" s="144"/>
      <c r="X394" s="144"/>
      <c r="Y394" s="144"/>
      <c r="Z394" s="144"/>
      <c r="AA394" s="144"/>
      <c r="AB394" s="144"/>
      <c r="AC394" s="166"/>
      <c r="AD394" s="166"/>
      <c r="AE394" s="144"/>
      <c r="AF394" s="144"/>
      <c r="AG394" s="144"/>
      <c r="AH394" s="144"/>
      <c r="AI394" s="144"/>
      <c r="AJ394" s="144"/>
      <c r="AK394" s="144"/>
      <c r="AL394" s="144"/>
      <c r="AM394" s="144"/>
      <c r="AN394" s="144"/>
      <c r="AO394" s="167"/>
      <c r="AP394" s="167"/>
      <c r="AQ394" s="167"/>
      <c r="AR394" s="167"/>
    </row>
    <row r="395">
      <c r="A395" s="50" t="str">
        <f>IF(UpdateHashtag!C393="",ROW(UpdateHashtag!C393),UpdateHashtag!C393)</f>
        <v>Kris Murray</v>
      </c>
      <c r="B395" s="53">
        <f>IF(TYPE($A395)=1,"",(UpdateHashtag!M393-B$1)/B$2)</f>
        <v>-2.451741778</v>
      </c>
      <c r="C395" s="53">
        <f>IF(TYPE($A395)=1,"",(UpdateHashtag!L393-C$1)/C$2)</f>
        <v>-1.322760725</v>
      </c>
      <c r="D395" s="53">
        <f>IF(TYPE($A395)=1,"",(UpdateHashtag!N393-D$1)/D$2)</f>
        <v>-1.713225242</v>
      </c>
      <c r="E395" s="53">
        <f>IF(TYPE($A395)=1,"",(UpdateHashtag!O393-E$1)/E$2)</f>
        <v>-1.532420317</v>
      </c>
      <c r="F395" s="53">
        <f>IF(TYPE($A395)=1,"",(UpdateHashtag!P393-F$1)/F$2)</f>
        <v>-1.966035386</v>
      </c>
      <c r="G395" s="53">
        <f>IF(TYPE($A395)=1,"",(UpdateHashtag!Q393-G$1)/G$2)</f>
        <v>-0.963939931</v>
      </c>
      <c r="H395" s="53">
        <f>IF(TYPE($A395)=1,"",(UpdateHashtag!I393-H$1)/H$2*I395/$I$1)</f>
        <v>-9.143097611</v>
      </c>
      <c r="I395" s="53">
        <f>UpdateHashtag!S393</f>
        <v>3.1</v>
      </c>
      <c r="J395" s="58">
        <f>IF(TYPE($A395)=1,"",(UpdateHashtag!K393-J$1)/J$2*K395/$K$1)</f>
        <v>-1.02149377</v>
      </c>
      <c r="K395" s="59">
        <f>UpdateHashtag!T393</f>
        <v>0.5</v>
      </c>
      <c r="L395" s="53">
        <f>IF(TYPE($A395)=1,"",-(UpdateHashtag!R393-L$1)/L$2)</f>
        <v>1.238588102</v>
      </c>
      <c r="N395" s="106"/>
      <c r="O395" s="106"/>
      <c r="P395" s="163"/>
      <c r="Q395" s="164"/>
      <c r="R395" s="163"/>
      <c r="S395" s="165"/>
      <c r="T395" s="144"/>
      <c r="U395" s="144"/>
      <c r="V395" s="144"/>
      <c r="W395" s="144"/>
      <c r="X395" s="144"/>
      <c r="Y395" s="144"/>
      <c r="Z395" s="144"/>
      <c r="AA395" s="144"/>
      <c r="AB395" s="144"/>
      <c r="AC395" s="166"/>
      <c r="AD395" s="166"/>
      <c r="AE395" s="144"/>
      <c r="AF395" s="144"/>
      <c r="AG395" s="144"/>
      <c r="AH395" s="144"/>
      <c r="AI395" s="144"/>
      <c r="AJ395" s="144"/>
      <c r="AK395" s="144"/>
      <c r="AL395" s="144"/>
      <c r="AM395" s="144"/>
      <c r="AN395" s="144"/>
      <c r="AO395" s="167"/>
      <c r="AP395" s="167"/>
      <c r="AQ395" s="167"/>
      <c r="AR395" s="167"/>
    </row>
    <row r="396">
      <c r="A396" s="50" t="str">
        <f>IF(UpdateHashtag!C394="",ROW(UpdateHashtag!C394),UpdateHashtag!C394)</f>
        <v>Garrett Temple</v>
      </c>
      <c r="B396" s="53">
        <f>IF(TYPE($A396)=1,"",(UpdateHashtag!M394-B$1)/B$2)</f>
        <v>-2.557007346</v>
      </c>
      <c r="C396" s="53">
        <f>IF(TYPE($A396)=1,"",(UpdateHashtag!L394-C$1)/C$2)</f>
        <v>-1.322760725</v>
      </c>
      <c r="D396" s="53">
        <f>IF(TYPE($A396)=1,"",(UpdateHashtag!N394-D$1)/D$2)</f>
        <v>-1.996972767</v>
      </c>
      <c r="E396" s="53">
        <f>IF(TYPE($A396)=1,"",(UpdateHashtag!O394-E$1)/E$2)</f>
        <v>-1.483568867</v>
      </c>
      <c r="F396" s="53">
        <f>IF(TYPE($A396)=1,"",(UpdateHashtag!P394-F$1)/F$2)</f>
        <v>-1.966035386</v>
      </c>
      <c r="G396" s="53">
        <f>IF(TYPE($A396)=1,"",(UpdateHashtag!Q394-G$1)/G$2)</f>
        <v>-1.145739154</v>
      </c>
      <c r="H396" s="53">
        <f>IF(TYPE($A396)=1,"",(UpdateHashtag!I394-H$1)/H$2*I396/$I$1)</f>
        <v>-7.681778686</v>
      </c>
      <c r="I396" s="53">
        <f>UpdateHashtag!S394</f>
        <v>2.3</v>
      </c>
      <c r="J396" s="58">
        <f>IF(TYPE($A396)=1,"",(UpdateHashtag!K394-J$1)/J$2*K396/$K$1)</f>
        <v>0.2232097508</v>
      </c>
      <c r="K396" s="59">
        <f>UpdateHashtag!T394</f>
        <v>0.5</v>
      </c>
      <c r="L396" s="53">
        <f>IF(TYPE($A396)=1,"",-(UpdateHashtag!R394-L$1)/L$2)</f>
        <v>1.43697381</v>
      </c>
      <c r="O396" s="106"/>
      <c r="P396" s="163"/>
      <c r="Q396" s="164"/>
      <c r="R396" s="163"/>
      <c r="S396" s="165"/>
      <c r="T396" s="144"/>
      <c r="U396" s="144"/>
      <c r="V396" s="144"/>
      <c r="W396" s="144"/>
      <c r="X396" s="144"/>
      <c r="Y396" s="144"/>
      <c r="Z396" s="144"/>
      <c r="AA396" s="144"/>
      <c r="AB396" s="144"/>
      <c r="AC396" s="166"/>
      <c r="AD396" s="166"/>
      <c r="AE396" s="144"/>
      <c r="AF396" s="144"/>
      <c r="AG396" s="144"/>
      <c r="AH396" s="144"/>
      <c r="AI396" s="144"/>
      <c r="AJ396" s="144"/>
      <c r="AK396" s="144"/>
      <c r="AL396" s="144"/>
      <c r="AM396" s="144"/>
      <c r="AN396" s="144"/>
      <c r="AO396" s="167"/>
      <c r="AP396" s="167"/>
      <c r="AQ396" s="167"/>
      <c r="AR396" s="167"/>
    </row>
    <row r="397">
      <c r="A397" s="50" t="str">
        <f>IF(UpdateHashtag!C395="",ROW(UpdateHashtag!C395),UpdateHashtag!C395)</f>
        <v>Terrence Shannon Jr.</v>
      </c>
      <c r="B397" s="53">
        <f>IF(TYPE($A397)=1,"",(UpdateHashtag!M395-B$1)/B$2)</f>
        <v>-2.276299166</v>
      </c>
      <c r="C397" s="53">
        <f>IF(TYPE($A397)=1,"",(UpdateHashtag!L395-C$1)/C$2)</f>
        <v>-1.322760725</v>
      </c>
      <c r="D397" s="53">
        <f>IF(TYPE($A397)=1,"",(UpdateHashtag!N395-D$1)/D$2)</f>
        <v>-2.19964957</v>
      </c>
      <c r="E397" s="53">
        <f>IF(TYPE($A397)=1,"",(UpdateHashtag!O395-E$1)/E$2)</f>
        <v>-1.678974666</v>
      </c>
      <c r="F397" s="53">
        <f>IF(TYPE($A397)=1,"",(UpdateHashtag!P395-F$1)/F$2)</f>
        <v>-2.575481394</v>
      </c>
      <c r="G397" s="53">
        <f>IF(TYPE($A397)=1,"",(UpdateHashtag!Q395-G$1)/G$2)</f>
        <v>-0.963939931</v>
      </c>
      <c r="H397" s="53">
        <f>IF(TYPE($A397)=1,"",(UpdateHashtag!I395-H$1)/H$2*I397/$I$1)</f>
        <v>-1.576332223</v>
      </c>
      <c r="I397" s="53">
        <f>UpdateHashtag!S395</f>
        <v>2.6</v>
      </c>
      <c r="J397" s="58">
        <f>IF(TYPE($A397)=1,"",(UpdateHashtag!K395-J$1)/J$2*K397/$K$1)</f>
        <v>0.3312855039</v>
      </c>
      <c r="K397" s="59">
        <f>UpdateHashtag!T395</f>
        <v>1.6</v>
      </c>
      <c r="L397" s="53">
        <f>IF(TYPE($A397)=1,"",-(UpdateHashtag!R395-L$1)/L$2)</f>
        <v>1.337780956</v>
      </c>
      <c r="O397" s="106"/>
      <c r="P397" s="163"/>
      <c r="Q397" s="164"/>
      <c r="R397" s="163"/>
      <c r="S397" s="165"/>
      <c r="T397" s="144"/>
      <c r="U397" s="144"/>
      <c r="V397" s="144"/>
      <c r="W397" s="144"/>
      <c r="X397" s="144"/>
      <c r="Y397" s="144"/>
      <c r="Z397" s="144"/>
      <c r="AA397" s="144"/>
      <c r="AB397" s="144"/>
      <c r="AC397" s="166"/>
      <c r="AD397" s="166"/>
      <c r="AE397" s="144"/>
      <c r="AF397" s="144"/>
      <c r="AG397" s="144"/>
      <c r="AH397" s="144"/>
      <c r="AI397" s="144"/>
      <c r="AJ397" s="144"/>
      <c r="AK397" s="144"/>
      <c r="AL397" s="144"/>
      <c r="AM397" s="144"/>
      <c r="AN397" s="144"/>
      <c r="AO397" s="167"/>
      <c r="AP397" s="167"/>
      <c r="AQ397" s="167"/>
      <c r="AR397" s="167"/>
    </row>
    <row r="398">
      <c r="A398" s="50" t="str">
        <f>IF(UpdateHashtag!C396="",ROW(UpdateHashtag!C396),UpdateHashtag!C396)</f>
        <v>Jamal Shead</v>
      </c>
      <c r="B398" s="53">
        <f>IF(TYPE($A398)=1,"",(UpdateHashtag!M396-B$1)/B$2)</f>
        <v>-2.574551607</v>
      </c>
      <c r="C398" s="53">
        <f>IF(TYPE($A398)=1,"",(UpdateHashtag!L396-C$1)/C$2)</f>
        <v>-1.515927413</v>
      </c>
      <c r="D398" s="53">
        <f>IF(TYPE($A398)=1,"",(UpdateHashtag!N396-D$1)/D$2)</f>
        <v>-2.19964957</v>
      </c>
      <c r="E398" s="53">
        <f>IF(TYPE($A398)=1,"",(UpdateHashtag!O396-E$1)/E$2)</f>
        <v>-1.288163069</v>
      </c>
      <c r="F398" s="53">
        <f>IF(TYPE($A398)=1,"",(UpdateHashtag!P396-F$1)/F$2)</f>
        <v>-1.966035386</v>
      </c>
      <c r="G398" s="53">
        <f>IF(TYPE($A398)=1,"",(UpdateHashtag!Q396-G$1)/G$2)</f>
        <v>-1.145739154</v>
      </c>
      <c r="H398" s="53">
        <f>IF(TYPE($A398)=1,"",(UpdateHashtag!I396-H$1)/H$2*I398/$I$1)</f>
        <v>-6.092673061</v>
      </c>
      <c r="I398" s="53">
        <f>UpdateHashtag!S396</f>
        <v>2.3</v>
      </c>
      <c r="J398" s="58">
        <f>IF(TYPE($A398)=1,"",(UpdateHashtag!K396-J$1)/J$2*K398/$K$1)</f>
        <v>-0.07998726066</v>
      </c>
      <c r="K398" s="59">
        <f>UpdateHashtag!T396</f>
        <v>0.5</v>
      </c>
      <c r="L398" s="53">
        <f>IF(TYPE($A398)=1,"",-(UpdateHashtag!R396-L$1)/L$2)</f>
        <v>1.337780956</v>
      </c>
      <c r="N398" s="106"/>
      <c r="O398" s="106"/>
      <c r="P398" s="163"/>
      <c r="Q398" s="164"/>
      <c r="R398" s="163"/>
      <c r="S398" s="165"/>
      <c r="T398" s="144"/>
      <c r="U398" s="144"/>
      <c r="V398" s="144"/>
      <c r="W398" s="144"/>
      <c r="X398" s="144"/>
      <c r="Y398" s="144"/>
      <c r="Z398" s="144"/>
      <c r="AA398" s="144"/>
      <c r="AB398" s="144"/>
      <c r="AC398" s="166"/>
      <c r="AD398" s="166"/>
      <c r="AE398" s="144"/>
      <c r="AF398" s="144"/>
      <c r="AG398" s="144"/>
      <c r="AH398" s="144"/>
      <c r="AI398" s="144"/>
      <c r="AJ398" s="144"/>
      <c r="AK398" s="144"/>
      <c r="AL398" s="144"/>
      <c r="AM398" s="144"/>
      <c r="AN398" s="144"/>
      <c r="AO398" s="167"/>
      <c r="AP398" s="167"/>
      <c r="AQ398" s="167"/>
      <c r="AR398" s="167"/>
    </row>
    <row r="399">
      <c r="A399" s="50" t="str">
        <f>IF(UpdateHashtag!C397="",ROW(UpdateHashtag!C397),UpdateHashtag!C397)</f>
        <v>Blake Wesley</v>
      </c>
      <c r="B399" s="53">
        <f>IF(TYPE($A399)=1,"",(UpdateHashtag!M397-B$1)/B$2)</f>
        <v>-2.364020472</v>
      </c>
      <c r="C399" s="53">
        <f>IF(TYPE($A399)=1,"",(UpdateHashtag!L397-C$1)/C$2)</f>
        <v>-1.419344069</v>
      </c>
      <c r="D399" s="53">
        <f>IF(TYPE($A399)=1,"",(UpdateHashtag!N397-D$1)/D$2)</f>
        <v>-1.915902046</v>
      </c>
      <c r="E399" s="53">
        <f>IF(TYPE($A399)=1,"",(UpdateHashtag!O397-E$1)/E$2)</f>
        <v>-0.7996485715</v>
      </c>
      <c r="F399" s="53">
        <f>IF(TYPE($A399)=1,"",(UpdateHashtag!P397-F$1)/F$2)</f>
        <v>-1.966035386</v>
      </c>
      <c r="G399" s="53">
        <f>IF(TYPE($A399)=1,"",(UpdateHashtag!Q397-G$1)/G$2)</f>
        <v>-1.145739154</v>
      </c>
      <c r="H399" s="53">
        <f>IF(TYPE($A399)=1,"",(UpdateHashtag!I397-H$1)/H$2*I399/$I$1)</f>
        <v>-10.21771283</v>
      </c>
      <c r="I399" s="53">
        <f>UpdateHashtag!S397</f>
        <v>3.5</v>
      </c>
      <c r="J399" s="58">
        <f>IF(TYPE($A399)=1,"",(UpdateHashtag!K397-J$1)/J$2*K399/$K$1)</f>
        <v>-2.425973238</v>
      </c>
      <c r="K399" s="59">
        <f>UpdateHashtag!T397</f>
        <v>1</v>
      </c>
      <c r="L399" s="53">
        <f>IF(TYPE($A399)=1,"",-(UpdateHashtag!R397-L$1)/L$2)</f>
        <v>0.7426238329</v>
      </c>
      <c r="N399" s="106"/>
      <c r="O399" s="106"/>
      <c r="P399" s="163"/>
      <c r="Q399" s="164"/>
      <c r="R399" s="163"/>
      <c r="S399" s="165"/>
      <c r="T399" s="144"/>
      <c r="U399" s="144"/>
      <c r="V399" s="144"/>
      <c r="W399" s="144"/>
      <c r="X399" s="144"/>
      <c r="Y399" s="144"/>
      <c r="Z399" s="144"/>
      <c r="AA399" s="144"/>
      <c r="AB399" s="144"/>
      <c r="AC399" s="166"/>
      <c r="AD399" s="166"/>
      <c r="AE399" s="144"/>
      <c r="AF399" s="144"/>
      <c r="AG399" s="144"/>
      <c r="AH399" s="144"/>
      <c r="AI399" s="144"/>
      <c r="AJ399" s="144"/>
      <c r="AK399" s="144"/>
      <c r="AL399" s="144"/>
      <c r="AM399" s="144"/>
      <c r="AN399" s="144"/>
      <c r="AO399" s="167"/>
      <c r="AP399" s="167"/>
      <c r="AQ399" s="167"/>
      <c r="AR399" s="167"/>
    </row>
    <row r="400">
      <c r="A400" s="50" t="str">
        <f>IF(UpdateHashtag!C398="",ROW(UpdateHashtag!C398),UpdateHashtag!C398)</f>
        <v>Dalen Terry</v>
      </c>
      <c r="B400" s="53">
        <f>IF(TYPE($A400)=1,"",(UpdateHashtag!M398-B$1)/B$2)</f>
        <v>-2.574551607</v>
      </c>
      <c r="C400" s="53">
        <f>IF(TYPE($A400)=1,"",(UpdateHashtag!L398-C$1)/C$2)</f>
        <v>-1.515927413</v>
      </c>
      <c r="D400" s="53">
        <f>IF(TYPE($A400)=1,"",(UpdateHashtag!N398-D$1)/D$2)</f>
        <v>-1.915902046</v>
      </c>
      <c r="E400" s="53">
        <f>IF(TYPE($A400)=1,"",(UpdateHashtag!O398-E$1)/E$2)</f>
        <v>-1.385865968</v>
      </c>
      <c r="F400" s="53">
        <f>IF(TYPE($A400)=1,"",(UpdateHashtag!P398-F$1)/F$2)</f>
        <v>-1.966035386</v>
      </c>
      <c r="G400" s="53">
        <f>IF(TYPE($A400)=1,"",(UpdateHashtag!Q398-G$1)/G$2)</f>
        <v>-0.963939931</v>
      </c>
      <c r="H400" s="53">
        <f>IF(TYPE($A400)=1,"",(UpdateHashtag!I398-H$1)/H$2*I400/$I$1)</f>
        <v>-3.514709334</v>
      </c>
      <c r="I400" s="53">
        <f>UpdateHashtag!S398</f>
        <v>2.2</v>
      </c>
      <c r="J400" s="58">
        <f>IF(TYPE($A400)=1,"",(UpdateHashtag!K398-J$1)/J$2*K400/$K$1)</f>
        <v>-1.733248575</v>
      </c>
      <c r="K400" s="59">
        <f>UpdateHashtag!T398</f>
        <v>0.6</v>
      </c>
      <c r="L400" s="53">
        <f>IF(TYPE($A400)=1,"",-(UpdateHashtag!R398-L$1)/L$2)</f>
        <v>1.337780956</v>
      </c>
      <c r="O400" s="106"/>
      <c r="P400" s="163"/>
      <c r="Q400" s="164"/>
      <c r="R400" s="163"/>
      <c r="S400" s="165"/>
      <c r="T400" s="144"/>
      <c r="U400" s="144"/>
      <c r="V400" s="144"/>
      <c r="W400" s="144"/>
      <c r="X400" s="144"/>
      <c r="Y400" s="144"/>
      <c r="Z400" s="144"/>
      <c r="AA400" s="144"/>
      <c r="AB400" s="144"/>
      <c r="AC400" s="166"/>
      <c r="AD400" s="166"/>
      <c r="AE400" s="144"/>
      <c r="AF400" s="144"/>
      <c r="AG400" s="144"/>
      <c r="AH400" s="144"/>
      <c r="AI400" s="144"/>
      <c r="AJ400" s="144"/>
      <c r="AK400" s="144"/>
      <c r="AL400" s="144"/>
      <c r="AM400" s="144"/>
      <c r="AN400" s="144"/>
      <c r="AO400" s="167"/>
      <c r="AP400" s="167"/>
      <c r="AQ400" s="167"/>
      <c r="AR400" s="167"/>
    </row>
    <row r="401">
      <c r="A401" s="50" t="str">
        <f>IF(UpdateHashtag!C399="",ROW(UpdateHashtag!C399),UpdateHashtag!C399)</f>
        <v>Vít Krejcí</v>
      </c>
      <c r="B401" s="53">
        <f>IF(TYPE($A401)=1,"",(UpdateHashtag!M399-B$1)/B$2)</f>
        <v>-2.62718439</v>
      </c>
      <c r="C401" s="53">
        <f>IF(TYPE($A401)=1,"",(UpdateHashtag!L399-C$1)/C$2)</f>
        <v>-1.322760725</v>
      </c>
      <c r="D401" s="53">
        <f>IF(TYPE($A401)=1,"",(UpdateHashtag!N399-D$1)/D$2)</f>
        <v>-2.078043488</v>
      </c>
      <c r="E401" s="53">
        <f>IF(TYPE($A401)=1,"",(UpdateHashtag!O399-E$1)/E$2)</f>
        <v>-1.483568867</v>
      </c>
      <c r="F401" s="53">
        <f>IF(TYPE($A401)=1,"",(UpdateHashtag!P399-F$1)/F$2)</f>
        <v>-2.575481394</v>
      </c>
      <c r="G401" s="53">
        <f>IF(TYPE($A401)=1,"",(UpdateHashtag!Q399-G$1)/G$2)</f>
        <v>-1.145739154</v>
      </c>
      <c r="H401" s="53">
        <f>IF(TYPE($A401)=1,"",(UpdateHashtag!I399-H$1)/H$2*I401/$I$1)</f>
        <v>-1.415736805</v>
      </c>
      <c r="I401" s="53">
        <f>UpdateHashtag!S399</f>
        <v>1.8</v>
      </c>
      <c r="J401" s="58">
        <f>IF(TYPE($A401)=1,"",(UpdateHashtag!K399-J$1)/J$2*K401/$K$1)</f>
        <v>0.01910957025</v>
      </c>
      <c r="K401" s="59">
        <f>UpdateHashtag!T399</f>
        <v>0.1</v>
      </c>
      <c r="L401" s="53">
        <f>IF(TYPE($A401)=1,"",-(UpdateHashtag!R399-L$1)/L$2)</f>
        <v>1.43697381</v>
      </c>
      <c r="O401" s="106"/>
      <c r="P401" s="163"/>
      <c r="Q401" s="164"/>
      <c r="R401" s="163"/>
      <c r="S401" s="165"/>
      <c r="T401" s="144"/>
      <c r="U401" s="144"/>
      <c r="V401" s="144"/>
      <c r="W401" s="144"/>
      <c r="X401" s="144"/>
      <c r="Y401" s="144"/>
      <c r="Z401" s="144"/>
      <c r="AA401" s="144"/>
      <c r="AB401" s="144"/>
      <c r="AC401" s="166"/>
      <c r="AD401" s="166"/>
      <c r="AE401" s="144"/>
      <c r="AF401" s="144"/>
      <c r="AG401" s="144"/>
      <c r="AH401" s="144"/>
      <c r="AI401" s="144"/>
      <c r="AJ401" s="144"/>
      <c r="AK401" s="144"/>
      <c r="AL401" s="144"/>
      <c r="AM401" s="144"/>
      <c r="AN401" s="144"/>
      <c r="AO401" s="167"/>
      <c r="AP401" s="167"/>
      <c r="AQ401" s="167"/>
      <c r="AR401" s="167"/>
    </row>
    <row r="402">
      <c r="A402" s="50" t="str">
        <f>IF(UpdateHashtag!C400="",ROW(UpdateHashtag!C400),UpdateHashtag!C400)</f>
        <v>Anthony Gill</v>
      </c>
      <c r="B402" s="53">
        <f>IF(TYPE($A402)=1,"",(UpdateHashtag!M400-B$1)/B$2)</f>
        <v>-2.46928604</v>
      </c>
      <c r="C402" s="53">
        <f>IF(TYPE($A402)=1,"",(UpdateHashtag!L400-C$1)/C$2)</f>
        <v>-1.612510757</v>
      </c>
      <c r="D402" s="53">
        <f>IF(TYPE($A402)=1,"",(UpdateHashtag!N400-D$1)/D$2)</f>
        <v>-1.834831324</v>
      </c>
      <c r="E402" s="53">
        <f>IF(TYPE($A402)=1,"",(UpdateHashtag!O400-E$1)/E$2)</f>
        <v>-1.581271767</v>
      </c>
      <c r="F402" s="53">
        <f>IF(TYPE($A402)=1,"",(UpdateHashtag!P400-F$1)/F$2)</f>
        <v>-2.575481394</v>
      </c>
      <c r="G402" s="53">
        <f>IF(TYPE($A402)=1,"",(UpdateHashtag!Q400-G$1)/G$2)</f>
        <v>-0.963939931</v>
      </c>
      <c r="H402" s="53">
        <f>IF(TYPE($A402)=1,"",(UpdateHashtag!I400-H$1)/H$2*I402/$I$1)</f>
        <v>0.3473123344</v>
      </c>
      <c r="I402" s="53">
        <f>UpdateHashtag!S400</f>
        <v>2.4</v>
      </c>
      <c r="J402" s="58">
        <f>IF(TYPE($A402)=1,"",(UpdateHashtag!K400-J$1)/J$2*K402/$K$1)</f>
        <v>-0.3322386563</v>
      </c>
      <c r="K402" s="59">
        <f>UpdateHashtag!T400</f>
        <v>0.8</v>
      </c>
      <c r="L402" s="53">
        <f>IF(TYPE($A402)=1,"",-(UpdateHashtag!R400-L$1)/L$2)</f>
        <v>1.43697381</v>
      </c>
      <c r="N402" s="106"/>
      <c r="O402" s="106"/>
      <c r="P402" s="163"/>
      <c r="Q402" s="164"/>
      <c r="R402" s="163"/>
      <c r="S402" s="165"/>
      <c r="T402" s="144"/>
      <c r="U402" s="144"/>
      <c r="V402" s="144"/>
      <c r="W402" s="144"/>
      <c r="X402" s="144"/>
      <c r="Y402" s="144"/>
      <c r="Z402" s="144"/>
      <c r="AA402" s="144"/>
      <c r="AB402" s="144"/>
      <c r="AC402" s="166"/>
      <c r="AD402" s="166"/>
      <c r="AE402" s="144"/>
      <c r="AF402" s="144"/>
      <c r="AG402" s="144"/>
      <c r="AH402" s="144"/>
      <c r="AI402" s="144"/>
      <c r="AJ402" s="144"/>
      <c r="AK402" s="144"/>
      <c r="AL402" s="144"/>
      <c r="AM402" s="144"/>
      <c r="AN402" s="144"/>
      <c r="AO402" s="167"/>
      <c r="AP402" s="167"/>
      <c r="AQ402" s="167"/>
      <c r="AR402" s="167"/>
    </row>
    <row r="403">
      <c r="A403" s="50" t="str">
        <f>IF(UpdateHashtag!C401="",ROW(UpdateHashtag!C401),UpdateHashtag!C401)</f>
        <v>Jared McCain</v>
      </c>
      <c r="B403" s="53">
        <f>IF(TYPE($A403)=1,"",(UpdateHashtag!M401-B$1)/B$2)</f>
        <v>-2.504374562</v>
      </c>
      <c r="C403" s="53">
        <f>IF(TYPE($A403)=1,"",(UpdateHashtag!L401-C$1)/C$2)</f>
        <v>-1.226177381</v>
      </c>
      <c r="D403" s="53">
        <f>IF(TYPE($A403)=1,"",(UpdateHashtag!N401-D$1)/D$2)</f>
        <v>-2.078043488</v>
      </c>
      <c r="E403" s="53">
        <f>IF(TYPE($A403)=1,"",(UpdateHashtag!O401-E$1)/E$2)</f>
        <v>-1.678974666</v>
      </c>
      <c r="F403" s="53">
        <f>IF(TYPE($A403)=1,"",(UpdateHashtag!P401-F$1)/F$2)</f>
        <v>-2.575481394</v>
      </c>
      <c r="G403" s="53">
        <f>IF(TYPE($A403)=1,"",(UpdateHashtag!Q401-G$1)/G$2)</f>
        <v>-1.327538376</v>
      </c>
      <c r="H403" s="53">
        <f>IF(TYPE($A403)=1,"",(UpdateHashtag!I401-H$1)/H$2*I403/$I$1)</f>
        <v>-2.093278056</v>
      </c>
      <c r="I403" s="53">
        <f>UpdateHashtag!S401</f>
        <v>2.1</v>
      </c>
      <c r="J403" s="58">
        <f>IF(TYPE($A403)=1,"",(UpdateHashtag!K401-J$1)/J$2*K403/$K$1)</f>
        <v>0.8615192486</v>
      </c>
      <c r="K403" s="59">
        <f>UpdateHashtag!T401</f>
        <v>0.5</v>
      </c>
      <c r="L403" s="53">
        <f>IF(TYPE($A403)=1,"",-(UpdateHashtag!R401-L$1)/L$2)</f>
        <v>1.43697381</v>
      </c>
      <c r="N403" s="106"/>
      <c r="O403" s="106"/>
      <c r="P403" s="163"/>
      <c r="Q403" s="164"/>
      <c r="R403" s="163"/>
      <c r="S403" s="165"/>
      <c r="T403" s="144"/>
      <c r="U403" s="144"/>
      <c r="V403" s="144"/>
      <c r="W403" s="144"/>
      <c r="X403" s="144"/>
      <c r="Y403" s="144"/>
      <c r="Z403" s="144"/>
      <c r="AA403" s="144"/>
      <c r="AB403" s="144"/>
      <c r="AC403" s="166"/>
      <c r="AD403" s="166"/>
      <c r="AE403" s="144"/>
      <c r="AF403" s="144"/>
      <c r="AG403" s="144"/>
      <c r="AH403" s="144"/>
      <c r="AI403" s="144"/>
      <c r="AJ403" s="144"/>
      <c r="AK403" s="144"/>
      <c r="AL403" s="144"/>
      <c r="AM403" s="144"/>
      <c r="AN403" s="144"/>
      <c r="AO403" s="167"/>
      <c r="AP403" s="167"/>
      <c r="AQ403" s="167"/>
      <c r="AR403" s="167"/>
    </row>
    <row r="404">
      <c r="A404">
        <f>IF(UpdateHashtag!C402="",ROW(UpdateHashtag!C402),UpdateHashtag!C402)</f>
        <v>402</v>
      </c>
      <c r="B404" s="53" t="str">
        <f>IF(TYPE($A404)=1,"",(UpdateHashtag!M402-B$1)/B$2)</f>
        <v/>
      </c>
      <c r="C404" s="53" t="str">
        <f>IF(TYPE($A404)=1,"",(UpdateHashtag!L402-C$1)/C$2)</f>
        <v/>
      </c>
      <c r="D404" s="53" t="str">
        <f>IF(TYPE($A404)=1,"",(UpdateHashtag!N402-D$1)/D$2)</f>
        <v/>
      </c>
      <c r="E404" s="53" t="str">
        <f>IF(TYPE($A404)=1,"",(UpdateHashtag!O402-E$1)/E$2)</f>
        <v/>
      </c>
      <c r="F404" s="53" t="str">
        <f>IF(TYPE($A404)=1,"",(UpdateHashtag!P402-F$1)/F$2)</f>
        <v/>
      </c>
      <c r="G404" s="53" t="str">
        <f>IF(TYPE($A404)=1,"",(UpdateHashtag!Q402-G$1)/G$2)</f>
        <v/>
      </c>
      <c r="H404" s="53" t="str">
        <f>IF(TYPE($A404)=1,"",(UpdateHashtag!I402-H$1)/H$2*I404/$I$1)</f>
        <v/>
      </c>
      <c r="I404" s="53" t="str">
        <f>UpdateHashtag!S402</f>
        <v/>
      </c>
      <c r="J404" s="58" t="str">
        <f>IF(TYPE($A404)=1,"",(UpdateHashtag!K402-J$1)/J$2*K404/$K$1)</f>
        <v/>
      </c>
      <c r="K404" s="59" t="str">
        <f>UpdateHashtag!T402</f>
        <v/>
      </c>
      <c r="L404" s="53" t="str">
        <f>IF(TYPE($A404)=1,"",-(UpdateHashtag!R402-L$1)/L$2)</f>
        <v/>
      </c>
      <c r="O404" s="106"/>
      <c r="P404" s="163"/>
      <c r="Q404" s="164"/>
      <c r="R404" s="163"/>
      <c r="S404" s="165"/>
      <c r="T404" s="144"/>
      <c r="U404" s="144"/>
      <c r="V404" s="144"/>
      <c r="W404" s="144"/>
      <c r="X404" s="144"/>
      <c r="Y404" s="144"/>
      <c r="Z404" s="144"/>
      <c r="AA404" s="144"/>
      <c r="AB404" s="144"/>
      <c r="AC404" s="166"/>
      <c r="AD404" s="166"/>
      <c r="AE404" s="144"/>
      <c r="AF404" s="144"/>
      <c r="AG404" s="144"/>
      <c r="AH404" s="144"/>
      <c r="AI404" s="144"/>
      <c r="AJ404" s="144"/>
      <c r="AK404" s="144"/>
      <c r="AL404" s="144"/>
      <c r="AM404" s="144"/>
      <c r="AN404" s="144"/>
      <c r="AO404" s="167"/>
      <c r="AP404" s="167"/>
      <c r="AQ404" s="167"/>
      <c r="AR404" s="167"/>
    </row>
    <row r="405">
      <c r="A405">
        <f>IF(UpdateHashtag!C403="",ROW(UpdateHashtag!C403),UpdateHashtag!C403)</f>
        <v>403</v>
      </c>
      <c r="B405" s="53" t="str">
        <f>IF(TYPE($A405)=1,"",(UpdateHashtag!M403-B$1)/B$2)</f>
        <v/>
      </c>
      <c r="C405" s="53" t="str">
        <f>IF(TYPE($A405)=1,"",(UpdateHashtag!L403-C$1)/C$2)</f>
        <v/>
      </c>
      <c r="D405" s="53" t="str">
        <f>IF(TYPE($A405)=1,"",(UpdateHashtag!N403-D$1)/D$2)</f>
        <v/>
      </c>
      <c r="E405" s="53" t="str">
        <f>IF(TYPE($A405)=1,"",(UpdateHashtag!O403-E$1)/E$2)</f>
        <v/>
      </c>
      <c r="F405" s="53" t="str">
        <f>IF(TYPE($A405)=1,"",(UpdateHashtag!P403-F$1)/F$2)</f>
        <v/>
      </c>
      <c r="G405" s="53" t="str">
        <f>IF(TYPE($A405)=1,"",(UpdateHashtag!Q403-G$1)/G$2)</f>
        <v/>
      </c>
      <c r="H405" s="53" t="str">
        <f>IF(TYPE($A405)=1,"",(UpdateHashtag!I403-H$1)/H$2*I405/$I$1)</f>
        <v/>
      </c>
      <c r="I405" s="53" t="str">
        <f>UpdateHashtag!S403</f>
        <v/>
      </c>
      <c r="J405" s="58" t="str">
        <f>IF(TYPE($A405)=1,"",(UpdateHashtag!K403-J$1)/J$2*K405/$K$1)</f>
        <v/>
      </c>
      <c r="K405" s="59" t="str">
        <f>UpdateHashtag!T403</f>
        <v/>
      </c>
      <c r="L405" s="53" t="str">
        <f>IF(TYPE($A405)=1,"",-(UpdateHashtag!R403-L$1)/L$2)</f>
        <v/>
      </c>
      <c r="O405" s="106"/>
      <c r="P405" s="163"/>
      <c r="Q405" s="164"/>
      <c r="R405" s="163"/>
      <c r="S405" s="165"/>
      <c r="T405" s="144"/>
      <c r="U405" s="144"/>
      <c r="V405" s="144"/>
      <c r="W405" s="144"/>
      <c r="X405" s="144"/>
      <c r="Y405" s="144"/>
      <c r="Z405" s="144"/>
      <c r="AA405" s="144"/>
      <c r="AB405" s="144"/>
      <c r="AC405" s="166"/>
      <c r="AD405" s="166"/>
      <c r="AE405" s="144"/>
      <c r="AF405" s="144"/>
      <c r="AG405" s="144"/>
      <c r="AH405" s="144"/>
      <c r="AI405" s="144"/>
      <c r="AJ405" s="144"/>
      <c r="AK405" s="144"/>
      <c r="AL405" s="144"/>
      <c r="AM405" s="144"/>
      <c r="AN405" s="144"/>
      <c r="AO405" s="167"/>
      <c r="AP405" s="167"/>
      <c r="AQ405" s="167"/>
      <c r="AR405" s="167"/>
    </row>
    <row r="406">
      <c r="A406">
        <f>IF(UpdateHashtag!C404="",ROW(UpdateHashtag!C404),UpdateHashtag!C404)</f>
        <v>404</v>
      </c>
      <c r="B406" s="53" t="str">
        <f>IF(TYPE($A406)=1,"",(UpdateHashtag!M404-B$1)/B$2)</f>
        <v/>
      </c>
      <c r="C406" s="53" t="str">
        <f>IF(TYPE($A406)=1,"",(UpdateHashtag!L404-C$1)/C$2)</f>
        <v/>
      </c>
      <c r="D406" s="53" t="str">
        <f>IF(TYPE($A406)=1,"",(UpdateHashtag!N404-D$1)/D$2)</f>
        <v/>
      </c>
      <c r="E406" s="53" t="str">
        <f>IF(TYPE($A406)=1,"",(UpdateHashtag!O404-E$1)/E$2)</f>
        <v/>
      </c>
      <c r="F406" s="53" t="str">
        <f>IF(TYPE($A406)=1,"",(UpdateHashtag!P404-F$1)/F$2)</f>
        <v/>
      </c>
      <c r="G406" s="53" t="str">
        <f>IF(TYPE($A406)=1,"",(UpdateHashtag!Q404-G$1)/G$2)</f>
        <v/>
      </c>
      <c r="H406" s="53" t="str">
        <f>IF(TYPE($A406)=1,"",(UpdateHashtag!I404-H$1)/H$2*I406/$I$1)</f>
        <v/>
      </c>
      <c r="I406" s="53" t="str">
        <f>UpdateHashtag!S404</f>
        <v/>
      </c>
      <c r="J406" s="58" t="str">
        <f>IF(TYPE($A406)=1,"",(UpdateHashtag!K404-J$1)/J$2*K406/$K$1)</f>
        <v/>
      </c>
      <c r="K406" s="59" t="str">
        <f>UpdateHashtag!T404</f>
        <v/>
      </c>
      <c r="L406" s="53" t="str">
        <f>IF(TYPE($A406)=1,"",-(UpdateHashtag!R404-L$1)/L$2)</f>
        <v/>
      </c>
      <c r="N406" s="106"/>
      <c r="O406" s="106"/>
      <c r="P406" s="163"/>
      <c r="Q406" s="164"/>
      <c r="R406" s="163"/>
      <c r="S406" s="165"/>
      <c r="T406" s="144"/>
      <c r="U406" s="144"/>
      <c r="V406" s="144"/>
      <c r="W406" s="144"/>
      <c r="X406" s="144"/>
      <c r="Y406" s="144"/>
      <c r="Z406" s="144"/>
      <c r="AA406" s="144"/>
      <c r="AB406" s="144"/>
      <c r="AC406" s="166"/>
      <c r="AD406" s="166"/>
      <c r="AE406" s="144"/>
      <c r="AF406" s="144"/>
      <c r="AG406" s="144"/>
      <c r="AH406" s="144"/>
      <c r="AI406" s="144"/>
      <c r="AJ406" s="144"/>
      <c r="AK406" s="144"/>
      <c r="AL406" s="144"/>
      <c r="AM406" s="144"/>
      <c r="AN406" s="144"/>
      <c r="AO406" s="167"/>
      <c r="AP406" s="167"/>
      <c r="AQ406" s="167"/>
      <c r="AR406" s="167"/>
    </row>
    <row r="407">
      <c r="A407">
        <f>IF(UpdateHashtag!C405="",ROW(UpdateHashtag!C405),UpdateHashtag!C405)</f>
        <v>405</v>
      </c>
      <c r="B407" s="53" t="str">
        <f>IF(TYPE($A407)=1,"",(UpdateHashtag!M405-B$1)/B$2)</f>
        <v/>
      </c>
      <c r="C407" s="53" t="str">
        <f>IF(TYPE($A407)=1,"",(UpdateHashtag!L405-C$1)/C$2)</f>
        <v/>
      </c>
      <c r="D407" s="53" t="str">
        <f>IF(TYPE($A407)=1,"",(UpdateHashtag!N405-D$1)/D$2)</f>
        <v/>
      </c>
      <c r="E407" s="53" t="str">
        <f>IF(TYPE($A407)=1,"",(UpdateHashtag!O405-E$1)/E$2)</f>
        <v/>
      </c>
      <c r="F407" s="53" t="str">
        <f>IF(TYPE($A407)=1,"",(UpdateHashtag!P405-F$1)/F$2)</f>
        <v/>
      </c>
      <c r="G407" s="53" t="str">
        <f>IF(TYPE($A407)=1,"",(UpdateHashtag!Q405-G$1)/G$2)</f>
        <v/>
      </c>
      <c r="H407" s="53" t="str">
        <f>IF(TYPE($A407)=1,"",(UpdateHashtag!I405-H$1)/H$2*I407/$I$1)</f>
        <v/>
      </c>
      <c r="I407" s="53" t="str">
        <f>UpdateHashtag!S405</f>
        <v/>
      </c>
      <c r="J407" s="58" t="str">
        <f>IF(TYPE($A407)=1,"",(UpdateHashtag!K405-J$1)/J$2*K407/$K$1)</f>
        <v/>
      </c>
      <c r="K407" s="59" t="str">
        <f>UpdateHashtag!T405</f>
        <v/>
      </c>
      <c r="L407" s="53" t="str">
        <f>IF(TYPE($A407)=1,"",-(UpdateHashtag!R405-L$1)/L$2)</f>
        <v/>
      </c>
      <c r="N407" s="106"/>
      <c r="O407" s="106"/>
      <c r="P407" s="163"/>
      <c r="Q407" s="164"/>
      <c r="R407" s="163"/>
      <c r="S407" s="165"/>
      <c r="T407" s="144"/>
      <c r="U407" s="144"/>
      <c r="V407" s="144"/>
      <c r="W407" s="144"/>
      <c r="X407" s="144"/>
      <c r="Y407" s="144"/>
      <c r="Z407" s="144"/>
      <c r="AA407" s="144"/>
      <c r="AB407" s="144"/>
      <c r="AC407" s="166"/>
      <c r="AD407" s="166"/>
      <c r="AE407" s="144"/>
      <c r="AF407" s="144"/>
      <c r="AG407" s="144"/>
      <c r="AH407" s="144"/>
      <c r="AI407" s="144"/>
      <c r="AJ407" s="144"/>
      <c r="AK407" s="144"/>
      <c r="AL407" s="144"/>
      <c r="AM407" s="144"/>
      <c r="AN407" s="144"/>
      <c r="AO407" s="167"/>
      <c r="AP407" s="167"/>
      <c r="AQ407" s="167"/>
      <c r="AR407" s="167"/>
    </row>
    <row r="408">
      <c r="A408">
        <f>IF(UpdateHashtag!C406="",ROW(UpdateHashtag!C406),UpdateHashtag!C406)</f>
        <v>406</v>
      </c>
      <c r="B408" s="53" t="str">
        <f>IF(TYPE($A408)=1,"",(UpdateHashtag!M406-B$1)/B$2)</f>
        <v/>
      </c>
      <c r="C408" s="53" t="str">
        <f>IF(TYPE($A408)=1,"",(UpdateHashtag!L406-C$1)/C$2)</f>
        <v/>
      </c>
      <c r="D408" s="53" t="str">
        <f>IF(TYPE($A408)=1,"",(UpdateHashtag!N406-D$1)/D$2)</f>
        <v/>
      </c>
      <c r="E408" s="53" t="str">
        <f>IF(TYPE($A408)=1,"",(UpdateHashtag!O406-E$1)/E$2)</f>
        <v/>
      </c>
      <c r="F408" s="53" t="str">
        <f>IF(TYPE($A408)=1,"",(UpdateHashtag!P406-F$1)/F$2)</f>
        <v/>
      </c>
      <c r="G408" s="53" t="str">
        <f>IF(TYPE($A408)=1,"",(UpdateHashtag!Q406-G$1)/G$2)</f>
        <v/>
      </c>
      <c r="H408" s="53" t="str">
        <f>IF(TYPE($A408)=1,"",(UpdateHashtag!I406-H$1)/H$2*I408/$I$1)</f>
        <v/>
      </c>
      <c r="I408" s="53" t="str">
        <f>UpdateHashtag!S406</f>
        <v/>
      </c>
      <c r="J408" s="58" t="str">
        <f>IF(TYPE($A408)=1,"",(UpdateHashtag!K406-J$1)/J$2*K408/$K$1)</f>
        <v/>
      </c>
      <c r="K408" s="59" t="str">
        <f>UpdateHashtag!T406</f>
        <v/>
      </c>
      <c r="L408" s="53" t="str">
        <f>IF(TYPE($A408)=1,"",-(UpdateHashtag!R406-L$1)/L$2)</f>
        <v/>
      </c>
      <c r="O408" s="106"/>
      <c r="P408" s="163"/>
      <c r="Q408" s="164"/>
      <c r="R408" s="163"/>
      <c r="S408" s="165"/>
      <c r="T408" s="144"/>
      <c r="U408" s="144"/>
      <c r="V408" s="144"/>
      <c r="W408" s="144"/>
      <c r="X408" s="144"/>
      <c r="Y408" s="144"/>
      <c r="Z408" s="144"/>
      <c r="AA408" s="144"/>
      <c r="AB408" s="144"/>
      <c r="AC408" s="166"/>
      <c r="AD408" s="166"/>
      <c r="AE408" s="144"/>
      <c r="AF408" s="144"/>
      <c r="AG408" s="144"/>
      <c r="AH408" s="144"/>
      <c r="AI408" s="144"/>
      <c r="AJ408" s="144"/>
      <c r="AK408" s="144"/>
      <c r="AL408" s="144"/>
      <c r="AM408" s="144"/>
      <c r="AN408" s="144"/>
      <c r="AO408" s="167"/>
      <c r="AP408" s="167"/>
      <c r="AQ408" s="167"/>
      <c r="AR408" s="167"/>
    </row>
    <row r="409">
      <c r="A409">
        <f>IF(UpdateHashtag!C407="",ROW(UpdateHashtag!C407),UpdateHashtag!C407)</f>
        <v>407</v>
      </c>
      <c r="B409" s="53" t="str">
        <f>IF(TYPE($A409)=1,"",(UpdateHashtag!M407-B$1)/B$2)</f>
        <v/>
      </c>
      <c r="C409" s="53" t="str">
        <f>IF(TYPE($A409)=1,"",(UpdateHashtag!L407-C$1)/C$2)</f>
        <v/>
      </c>
      <c r="D409" s="53" t="str">
        <f>IF(TYPE($A409)=1,"",(UpdateHashtag!N407-D$1)/D$2)</f>
        <v/>
      </c>
      <c r="E409" s="53" t="str">
        <f>IF(TYPE($A409)=1,"",(UpdateHashtag!O407-E$1)/E$2)</f>
        <v/>
      </c>
      <c r="F409" s="53" t="str">
        <f>IF(TYPE($A409)=1,"",(UpdateHashtag!P407-F$1)/F$2)</f>
        <v/>
      </c>
      <c r="G409" s="53" t="str">
        <f>IF(TYPE($A409)=1,"",(UpdateHashtag!Q407-G$1)/G$2)</f>
        <v/>
      </c>
      <c r="H409" s="53" t="str">
        <f>IF(TYPE($A409)=1,"",(UpdateHashtag!I407-H$1)/H$2*I409/$I$1)</f>
        <v/>
      </c>
      <c r="I409" s="53" t="str">
        <f>UpdateHashtag!S407</f>
        <v/>
      </c>
      <c r="J409" s="58" t="str">
        <f>IF(TYPE($A409)=1,"",(UpdateHashtag!K407-J$1)/J$2*K409/$K$1)</f>
        <v/>
      </c>
      <c r="K409" s="59" t="str">
        <f>UpdateHashtag!T407</f>
        <v/>
      </c>
      <c r="L409" s="53" t="str">
        <f>IF(TYPE($A409)=1,"",-(UpdateHashtag!R407-L$1)/L$2)</f>
        <v/>
      </c>
      <c r="O409" s="106"/>
      <c r="P409" s="163"/>
      <c r="Q409" s="164"/>
      <c r="R409" s="163"/>
      <c r="S409" s="165"/>
      <c r="T409" s="144"/>
      <c r="U409" s="144"/>
      <c r="V409" s="144"/>
      <c r="W409" s="144"/>
      <c r="X409" s="144"/>
      <c r="Y409" s="144"/>
      <c r="Z409" s="144"/>
      <c r="AA409" s="144"/>
      <c r="AB409" s="144"/>
      <c r="AC409" s="166"/>
      <c r="AD409" s="166"/>
      <c r="AE409" s="144"/>
      <c r="AF409" s="144"/>
      <c r="AG409" s="144"/>
      <c r="AH409" s="144"/>
      <c r="AI409" s="144"/>
      <c r="AJ409" s="144"/>
      <c r="AK409" s="144"/>
      <c r="AL409" s="144"/>
      <c r="AM409" s="144"/>
      <c r="AN409" s="144"/>
      <c r="AO409" s="167"/>
      <c r="AP409" s="167"/>
      <c r="AQ409" s="167"/>
      <c r="AR409" s="167"/>
    </row>
    <row r="410">
      <c r="A410">
        <f>IF(UpdateHashtag!C408="",ROW(UpdateHashtag!C408),UpdateHashtag!C408)</f>
        <v>408</v>
      </c>
      <c r="B410" s="53" t="str">
        <f>IF(TYPE($A410)=1,"",(UpdateHashtag!M408-B$1)/B$2)</f>
        <v/>
      </c>
      <c r="C410" s="53" t="str">
        <f>IF(TYPE($A410)=1,"",(UpdateHashtag!L408-C$1)/C$2)</f>
        <v/>
      </c>
      <c r="D410" s="53" t="str">
        <f>IF(TYPE($A410)=1,"",(UpdateHashtag!N408-D$1)/D$2)</f>
        <v/>
      </c>
      <c r="E410" s="53" t="str">
        <f>IF(TYPE($A410)=1,"",(UpdateHashtag!O408-E$1)/E$2)</f>
        <v/>
      </c>
      <c r="F410" s="53" t="str">
        <f>IF(TYPE($A410)=1,"",(UpdateHashtag!P408-F$1)/F$2)</f>
        <v/>
      </c>
      <c r="G410" s="53" t="str">
        <f>IF(TYPE($A410)=1,"",(UpdateHashtag!Q408-G$1)/G$2)</f>
        <v/>
      </c>
      <c r="H410" s="53" t="str">
        <f>IF(TYPE($A410)=1,"",(UpdateHashtag!I408-H$1)/H$2*I410/$I$1)</f>
        <v/>
      </c>
      <c r="I410" s="53" t="str">
        <f>UpdateHashtag!S408</f>
        <v/>
      </c>
      <c r="J410" s="58" t="str">
        <f>IF(TYPE($A410)=1,"",(UpdateHashtag!K408-J$1)/J$2*K410/$K$1)</f>
        <v/>
      </c>
      <c r="K410" s="59" t="str">
        <f>UpdateHashtag!T408</f>
        <v/>
      </c>
      <c r="L410" s="53" t="str">
        <f>IF(TYPE($A410)=1,"",-(UpdateHashtag!R408-L$1)/L$2)</f>
        <v/>
      </c>
      <c r="N410" s="106"/>
      <c r="O410" s="106"/>
      <c r="P410" s="163"/>
      <c r="Q410" s="164"/>
      <c r="R410" s="163"/>
      <c r="S410" s="165"/>
      <c r="T410" s="144"/>
      <c r="U410" s="144"/>
      <c r="V410" s="144"/>
      <c r="W410" s="144"/>
      <c r="X410" s="144"/>
      <c r="Y410" s="144"/>
      <c r="Z410" s="144"/>
      <c r="AA410" s="144"/>
      <c r="AB410" s="144"/>
      <c r="AC410" s="166"/>
      <c r="AD410" s="166"/>
      <c r="AE410" s="144"/>
      <c r="AF410" s="144"/>
      <c r="AG410" s="144"/>
      <c r="AH410" s="144"/>
      <c r="AI410" s="144"/>
      <c r="AJ410" s="144"/>
      <c r="AK410" s="144"/>
      <c r="AL410" s="144"/>
      <c r="AM410" s="144"/>
      <c r="AN410" s="144"/>
      <c r="AO410" s="167"/>
      <c r="AP410" s="167"/>
      <c r="AQ410" s="167"/>
      <c r="AR410" s="167"/>
    </row>
    <row r="411">
      <c r="A411">
        <f>IF(UpdateHashtag!C409="",ROW(UpdateHashtag!C409),UpdateHashtag!C409)</f>
        <v>409</v>
      </c>
      <c r="B411" s="53" t="str">
        <f>IF(TYPE($A411)=1,"",(UpdateHashtag!M409-B$1)/B$2)</f>
        <v/>
      </c>
      <c r="C411" s="53" t="str">
        <f>IF(TYPE($A411)=1,"",(UpdateHashtag!L409-C$1)/C$2)</f>
        <v/>
      </c>
      <c r="D411" s="53" t="str">
        <f>IF(TYPE($A411)=1,"",(UpdateHashtag!N409-D$1)/D$2)</f>
        <v/>
      </c>
      <c r="E411" s="53" t="str">
        <f>IF(TYPE($A411)=1,"",(UpdateHashtag!O409-E$1)/E$2)</f>
        <v/>
      </c>
      <c r="F411" s="53" t="str">
        <f>IF(TYPE($A411)=1,"",(UpdateHashtag!P409-F$1)/F$2)</f>
        <v/>
      </c>
      <c r="G411" s="53" t="str">
        <f>IF(TYPE($A411)=1,"",(UpdateHashtag!Q409-G$1)/G$2)</f>
        <v/>
      </c>
      <c r="H411" s="53" t="str">
        <f>IF(TYPE($A411)=1,"",(UpdateHashtag!I409-H$1)/H$2*I411/$I$1)</f>
        <v/>
      </c>
      <c r="I411" s="53" t="str">
        <f>UpdateHashtag!S409</f>
        <v/>
      </c>
      <c r="J411" s="58" t="str">
        <f>IF(TYPE($A411)=1,"",(UpdateHashtag!K409-J$1)/J$2*K411/$K$1)</f>
        <v/>
      </c>
      <c r="K411" s="59" t="str">
        <f>UpdateHashtag!T409</f>
        <v/>
      </c>
      <c r="L411" s="53" t="str">
        <f>IF(TYPE($A411)=1,"",-(UpdateHashtag!R409-L$1)/L$2)</f>
        <v/>
      </c>
      <c r="N411" s="106"/>
      <c r="O411" s="106"/>
      <c r="P411" s="163"/>
      <c r="Q411" s="164"/>
      <c r="R411" s="163"/>
      <c r="S411" s="165"/>
      <c r="T411" s="144"/>
      <c r="U411" s="144"/>
      <c r="V411" s="144"/>
      <c r="W411" s="144"/>
      <c r="X411" s="144"/>
      <c r="Y411" s="144"/>
      <c r="Z411" s="144"/>
      <c r="AA411" s="144"/>
      <c r="AB411" s="144"/>
      <c r="AC411" s="166"/>
      <c r="AD411" s="166"/>
      <c r="AE411" s="144"/>
      <c r="AF411" s="144"/>
      <c r="AG411" s="144"/>
      <c r="AH411" s="144"/>
      <c r="AI411" s="144"/>
      <c r="AJ411" s="144"/>
      <c r="AK411" s="144"/>
      <c r="AL411" s="144"/>
      <c r="AM411" s="144"/>
      <c r="AN411" s="144"/>
      <c r="AO411" s="167"/>
      <c r="AP411" s="167"/>
      <c r="AQ411" s="167"/>
      <c r="AR411" s="167"/>
    </row>
    <row r="412">
      <c r="A412">
        <f>IF(UpdateHashtag!C410="",ROW(UpdateHashtag!C410),UpdateHashtag!C410)</f>
        <v>410</v>
      </c>
      <c r="B412" s="53" t="str">
        <f>IF(TYPE($A412)=1,"",(UpdateHashtag!M410-B$1)/B$2)</f>
        <v/>
      </c>
      <c r="C412" s="53" t="str">
        <f>IF(TYPE($A412)=1,"",(UpdateHashtag!L410-C$1)/C$2)</f>
        <v/>
      </c>
      <c r="D412" s="53" t="str">
        <f>IF(TYPE($A412)=1,"",(UpdateHashtag!N410-D$1)/D$2)</f>
        <v/>
      </c>
      <c r="E412" s="53" t="str">
        <f>IF(TYPE($A412)=1,"",(UpdateHashtag!O410-E$1)/E$2)</f>
        <v/>
      </c>
      <c r="F412" s="53" t="str">
        <f>IF(TYPE($A412)=1,"",(UpdateHashtag!P410-F$1)/F$2)</f>
        <v/>
      </c>
      <c r="G412" s="53" t="str">
        <f>IF(TYPE($A412)=1,"",(UpdateHashtag!Q410-G$1)/G$2)</f>
        <v/>
      </c>
      <c r="H412" s="53" t="str">
        <f>IF(TYPE($A412)=1,"",(UpdateHashtag!I410-H$1)/H$2*I412/$I$1)</f>
        <v/>
      </c>
      <c r="I412" s="53" t="str">
        <f>UpdateHashtag!S410</f>
        <v/>
      </c>
      <c r="J412" s="58" t="str">
        <f>IF(TYPE($A412)=1,"",(UpdateHashtag!K410-J$1)/J$2*K412/$K$1)</f>
        <v/>
      </c>
      <c r="K412" s="59" t="str">
        <f>UpdateHashtag!T410</f>
        <v/>
      </c>
      <c r="L412" s="53" t="str">
        <f>IF(TYPE($A412)=1,"",-(UpdateHashtag!R410-L$1)/L$2)</f>
        <v/>
      </c>
      <c r="O412" s="106"/>
      <c r="P412" s="163"/>
      <c r="Q412" s="164"/>
      <c r="R412" s="163"/>
      <c r="S412" s="165"/>
      <c r="T412" s="144"/>
      <c r="U412" s="144"/>
      <c r="V412" s="144"/>
      <c r="W412" s="144"/>
      <c r="X412" s="144"/>
      <c r="Y412" s="144"/>
      <c r="Z412" s="144"/>
      <c r="AA412" s="144"/>
      <c r="AB412" s="144"/>
      <c r="AC412" s="166"/>
      <c r="AD412" s="166"/>
      <c r="AE412" s="144"/>
      <c r="AF412" s="144"/>
      <c r="AG412" s="144"/>
      <c r="AH412" s="144"/>
      <c r="AI412" s="144"/>
      <c r="AJ412" s="144"/>
      <c r="AK412" s="144"/>
      <c r="AL412" s="144"/>
      <c r="AM412" s="144"/>
      <c r="AN412" s="144"/>
      <c r="AO412" s="167"/>
      <c r="AP412" s="167"/>
      <c r="AQ412" s="167"/>
      <c r="AR412" s="167"/>
    </row>
    <row r="413">
      <c r="A413">
        <f>IF(UpdateHashtag!C411="",ROW(UpdateHashtag!C411),UpdateHashtag!C411)</f>
        <v>411</v>
      </c>
      <c r="B413" s="53" t="str">
        <f>IF(TYPE($A413)=1,"",(UpdateHashtag!M411-B$1)/B$2)</f>
        <v/>
      </c>
      <c r="C413" s="53" t="str">
        <f>IF(TYPE($A413)=1,"",(UpdateHashtag!L411-C$1)/C$2)</f>
        <v/>
      </c>
      <c r="D413" s="53" t="str">
        <f>IF(TYPE($A413)=1,"",(UpdateHashtag!N411-D$1)/D$2)</f>
        <v/>
      </c>
      <c r="E413" s="53" t="str">
        <f>IF(TYPE($A413)=1,"",(UpdateHashtag!O411-E$1)/E$2)</f>
        <v/>
      </c>
      <c r="F413" s="53" t="str">
        <f>IF(TYPE($A413)=1,"",(UpdateHashtag!P411-F$1)/F$2)</f>
        <v/>
      </c>
      <c r="G413" s="53" t="str">
        <f>IF(TYPE($A413)=1,"",(UpdateHashtag!Q411-G$1)/G$2)</f>
        <v/>
      </c>
      <c r="H413" s="53" t="str">
        <f>IF(TYPE($A413)=1,"",(UpdateHashtag!I411-H$1)/H$2*I413/$I$1)</f>
        <v/>
      </c>
      <c r="I413" s="53" t="str">
        <f>UpdateHashtag!S411</f>
        <v/>
      </c>
      <c r="J413" s="58" t="str">
        <f>IF(TYPE($A413)=1,"",(UpdateHashtag!K411-J$1)/J$2*K413/$K$1)</f>
        <v/>
      </c>
      <c r="K413" s="59" t="str">
        <f>UpdateHashtag!T411</f>
        <v/>
      </c>
      <c r="L413" s="53" t="str">
        <f>IF(TYPE($A413)=1,"",-(UpdateHashtag!R411-L$1)/L$2)</f>
        <v/>
      </c>
      <c r="O413" s="106"/>
      <c r="P413" s="163"/>
      <c r="Q413" s="164"/>
      <c r="R413" s="163"/>
      <c r="S413" s="165"/>
      <c r="T413" s="144"/>
      <c r="U413" s="144"/>
      <c r="V413" s="144"/>
      <c r="W413" s="144"/>
      <c r="X413" s="144"/>
      <c r="Y413" s="144"/>
      <c r="Z413" s="144"/>
      <c r="AA413" s="144"/>
      <c r="AB413" s="144"/>
      <c r="AC413" s="166"/>
      <c r="AD413" s="166"/>
      <c r="AE413" s="144"/>
      <c r="AF413" s="144"/>
      <c r="AG413" s="144"/>
      <c r="AH413" s="144"/>
      <c r="AI413" s="144"/>
      <c r="AJ413" s="144"/>
      <c r="AK413" s="144"/>
      <c r="AL413" s="144"/>
      <c r="AM413" s="144"/>
      <c r="AN413" s="144"/>
      <c r="AO413" s="167"/>
      <c r="AP413" s="167"/>
      <c r="AQ413" s="167"/>
      <c r="AR413" s="167"/>
    </row>
    <row r="414">
      <c r="A414">
        <f>IF(UpdateHashtag!C412="",ROW(UpdateHashtag!C412),UpdateHashtag!C412)</f>
        <v>412</v>
      </c>
      <c r="B414" s="53" t="str">
        <f>IF(TYPE($A414)=1,"",(UpdateHashtag!M412-B$1)/B$2)</f>
        <v/>
      </c>
      <c r="C414" s="53" t="str">
        <f>IF(TYPE($A414)=1,"",(UpdateHashtag!L412-C$1)/C$2)</f>
        <v/>
      </c>
      <c r="D414" s="53" t="str">
        <f>IF(TYPE($A414)=1,"",(UpdateHashtag!N412-D$1)/D$2)</f>
        <v/>
      </c>
      <c r="E414" s="53" t="str">
        <f>IF(TYPE($A414)=1,"",(UpdateHashtag!O412-E$1)/E$2)</f>
        <v/>
      </c>
      <c r="F414" s="53" t="str">
        <f>IF(TYPE($A414)=1,"",(UpdateHashtag!P412-F$1)/F$2)</f>
        <v/>
      </c>
      <c r="G414" s="53" t="str">
        <f>IF(TYPE($A414)=1,"",(UpdateHashtag!Q412-G$1)/G$2)</f>
        <v/>
      </c>
      <c r="H414" s="53" t="str">
        <f>IF(TYPE($A414)=1,"",(UpdateHashtag!I412-H$1)/H$2*I414/$I$1)</f>
        <v/>
      </c>
      <c r="I414" s="53" t="str">
        <f>UpdateHashtag!S412</f>
        <v/>
      </c>
      <c r="J414" s="58" t="str">
        <f>IF(TYPE($A414)=1,"",(UpdateHashtag!K412-J$1)/J$2*K414/$K$1)</f>
        <v/>
      </c>
      <c r="K414" s="59" t="str">
        <f>UpdateHashtag!T412</f>
        <v/>
      </c>
      <c r="L414" s="53" t="str">
        <f>IF(TYPE($A414)=1,"",-(UpdateHashtag!R412-L$1)/L$2)</f>
        <v/>
      </c>
      <c r="N414" s="106"/>
      <c r="O414" s="106"/>
      <c r="P414" s="163"/>
      <c r="Q414" s="164"/>
      <c r="R414" s="163"/>
      <c r="S414" s="165"/>
      <c r="T414" s="144"/>
      <c r="U414" s="144"/>
      <c r="V414" s="144"/>
      <c r="W414" s="144"/>
      <c r="X414" s="144"/>
      <c r="Y414" s="144"/>
      <c r="Z414" s="144"/>
      <c r="AA414" s="144"/>
      <c r="AB414" s="144"/>
      <c r="AC414" s="166"/>
      <c r="AD414" s="166"/>
      <c r="AE414" s="144"/>
      <c r="AF414" s="144"/>
      <c r="AG414" s="144"/>
      <c r="AH414" s="144"/>
      <c r="AI414" s="144"/>
      <c r="AJ414" s="144"/>
      <c r="AK414" s="144"/>
      <c r="AL414" s="144"/>
      <c r="AM414" s="144"/>
      <c r="AN414" s="144"/>
      <c r="AO414" s="167"/>
      <c r="AP414" s="167"/>
      <c r="AQ414" s="167"/>
      <c r="AR414" s="167"/>
    </row>
    <row r="415">
      <c r="A415">
        <f>IF(UpdateHashtag!C413="",ROW(UpdateHashtag!C413),UpdateHashtag!C413)</f>
        <v>413</v>
      </c>
      <c r="B415" s="53" t="str">
        <f>IF(TYPE($A415)=1,"",(UpdateHashtag!M413-B$1)/B$2)</f>
        <v/>
      </c>
      <c r="C415" s="53" t="str">
        <f>IF(TYPE($A415)=1,"",(UpdateHashtag!L413-C$1)/C$2)</f>
        <v/>
      </c>
      <c r="D415" s="53" t="str">
        <f>IF(TYPE($A415)=1,"",(UpdateHashtag!N413-D$1)/D$2)</f>
        <v/>
      </c>
      <c r="E415" s="53" t="str">
        <f>IF(TYPE($A415)=1,"",(UpdateHashtag!O413-E$1)/E$2)</f>
        <v/>
      </c>
      <c r="F415" s="53" t="str">
        <f>IF(TYPE($A415)=1,"",(UpdateHashtag!P413-F$1)/F$2)</f>
        <v/>
      </c>
      <c r="G415" s="53" t="str">
        <f>IF(TYPE($A415)=1,"",(UpdateHashtag!Q413-G$1)/G$2)</f>
        <v/>
      </c>
      <c r="H415" s="53" t="str">
        <f>IF(TYPE($A415)=1,"",(UpdateHashtag!I413-H$1)/H$2*I415/$I$1)</f>
        <v/>
      </c>
      <c r="I415" s="53" t="str">
        <f>UpdateHashtag!S413</f>
        <v/>
      </c>
      <c r="J415" s="58" t="str">
        <f>IF(TYPE($A415)=1,"",(UpdateHashtag!K413-J$1)/J$2*K415/$K$1)</f>
        <v/>
      </c>
      <c r="K415" s="59" t="str">
        <f>UpdateHashtag!T413</f>
        <v/>
      </c>
      <c r="L415" s="53" t="str">
        <f>IF(TYPE($A415)=1,"",-(UpdateHashtag!R413-L$1)/L$2)</f>
        <v/>
      </c>
      <c r="N415" s="106"/>
      <c r="O415" s="106"/>
      <c r="P415" s="163"/>
      <c r="Q415" s="164"/>
      <c r="R415" s="163"/>
      <c r="S415" s="165"/>
      <c r="T415" s="144"/>
      <c r="U415" s="144"/>
      <c r="V415" s="144"/>
      <c r="W415" s="144"/>
      <c r="X415" s="144"/>
      <c r="Y415" s="144"/>
      <c r="Z415" s="144"/>
      <c r="AA415" s="144"/>
      <c r="AB415" s="144"/>
      <c r="AC415" s="166"/>
      <c r="AD415" s="166"/>
      <c r="AE415" s="144"/>
      <c r="AF415" s="144"/>
      <c r="AG415" s="144"/>
      <c r="AH415" s="144"/>
      <c r="AI415" s="144"/>
      <c r="AJ415" s="144"/>
      <c r="AK415" s="144"/>
      <c r="AL415" s="144"/>
      <c r="AM415" s="144"/>
      <c r="AN415" s="144"/>
      <c r="AO415" s="167"/>
      <c r="AP415" s="167"/>
      <c r="AQ415" s="167"/>
      <c r="AR415" s="167"/>
    </row>
    <row r="416">
      <c r="A416">
        <f>IF(UpdateHashtag!C414="",ROW(UpdateHashtag!C414),UpdateHashtag!C414)</f>
        <v>414</v>
      </c>
      <c r="B416" s="53" t="str">
        <f>IF(TYPE($A416)=1,"",(UpdateHashtag!M414-B$1)/B$2)</f>
        <v/>
      </c>
      <c r="C416" s="53" t="str">
        <f>IF(TYPE($A416)=1,"",(UpdateHashtag!L414-C$1)/C$2)</f>
        <v/>
      </c>
      <c r="D416" s="53" t="str">
        <f>IF(TYPE($A416)=1,"",(UpdateHashtag!N414-D$1)/D$2)</f>
        <v/>
      </c>
      <c r="E416" s="53" t="str">
        <f>IF(TYPE($A416)=1,"",(UpdateHashtag!O414-E$1)/E$2)</f>
        <v/>
      </c>
      <c r="F416" s="53" t="str">
        <f>IF(TYPE($A416)=1,"",(UpdateHashtag!P414-F$1)/F$2)</f>
        <v/>
      </c>
      <c r="G416" s="53" t="str">
        <f>IF(TYPE($A416)=1,"",(UpdateHashtag!Q414-G$1)/G$2)</f>
        <v/>
      </c>
      <c r="H416" s="53" t="str">
        <f>IF(TYPE($A416)=1,"",(UpdateHashtag!I414-H$1)/H$2*I416/$I$1)</f>
        <v/>
      </c>
      <c r="I416" s="53" t="str">
        <f>UpdateHashtag!S414</f>
        <v/>
      </c>
      <c r="J416" s="58" t="str">
        <f>IF(TYPE($A416)=1,"",(UpdateHashtag!K414-J$1)/J$2*K416/$K$1)</f>
        <v/>
      </c>
      <c r="K416" s="59" t="str">
        <f>UpdateHashtag!T414</f>
        <v/>
      </c>
      <c r="L416" s="53" t="str">
        <f>IF(TYPE($A416)=1,"",-(UpdateHashtag!R414-L$1)/L$2)</f>
        <v/>
      </c>
      <c r="O416" s="106"/>
      <c r="P416" s="163"/>
      <c r="Q416" s="164"/>
      <c r="R416" s="163"/>
      <c r="S416" s="165"/>
      <c r="T416" s="144"/>
      <c r="U416" s="144"/>
      <c r="V416" s="144"/>
      <c r="W416" s="144"/>
      <c r="X416" s="144"/>
      <c r="Y416" s="144"/>
      <c r="Z416" s="144"/>
      <c r="AA416" s="144"/>
      <c r="AB416" s="144"/>
      <c r="AC416" s="166"/>
      <c r="AD416" s="166"/>
      <c r="AE416" s="144"/>
      <c r="AF416" s="144"/>
      <c r="AG416" s="144"/>
      <c r="AH416" s="144"/>
      <c r="AI416" s="144"/>
      <c r="AJ416" s="144"/>
      <c r="AK416" s="144"/>
      <c r="AL416" s="144"/>
      <c r="AM416" s="144"/>
      <c r="AN416" s="144"/>
      <c r="AO416" s="167"/>
      <c r="AP416" s="167"/>
      <c r="AQ416" s="167"/>
      <c r="AR416" s="167"/>
    </row>
    <row r="417">
      <c r="A417">
        <f>IF(UpdateHashtag!C415="",ROW(UpdateHashtag!C415),UpdateHashtag!C415)</f>
        <v>415</v>
      </c>
      <c r="B417" s="53" t="str">
        <f>IF(TYPE($A417)=1,"",(UpdateHashtag!M415-B$1)/B$2)</f>
        <v/>
      </c>
      <c r="C417" s="53" t="str">
        <f>IF(TYPE($A417)=1,"",(UpdateHashtag!L415-C$1)/C$2)</f>
        <v/>
      </c>
      <c r="D417" s="53" t="str">
        <f>IF(TYPE($A417)=1,"",(UpdateHashtag!N415-D$1)/D$2)</f>
        <v/>
      </c>
      <c r="E417" s="53" t="str">
        <f>IF(TYPE($A417)=1,"",(UpdateHashtag!O415-E$1)/E$2)</f>
        <v/>
      </c>
      <c r="F417" s="53" t="str">
        <f>IF(TYPE($A417)=1,"",(UpdateHashtag!P415-F$1)/F$2)</f>
        <v/>
      </c>
      <c r="G417" s="53" t="str">
        <f>IF(TYPE($A417)=1,"",(UpdateHashtag!Q415-G$1)/G$2)</f>
        <v/>
      </c>
      <c r="H417" s="53" t="str">
        <f>IF(TYPE($A417)=1,"",(UpdateHashtag!I415-H$1)/H$2*I417/$I$1)</f>
        <v/>
      </c>
      <c r="I417" s="53" t="str">
        <f>UpdateHashtag!S415</f>
        <v/>
      </c>
      <c r="J417" s="58" t="str">
        <f>IF(TYPE($A417)=1,"",(UpdateHashtag!K415-J$1)/J$2*K417/$K$1)</f>
        <v/>
      </c>
      <c r="K417" s="59" t="str">
        <f>UpdateHashtag!T415</f>
        <v/>
      </c>
      <c r="L417" s="53" t="str">
        <f>IF(TYPE($A417)=1,"",-(UpdateHashtag!R415-L$1)/L$2)</f>
        <v/>
      </c>
      <c r="O417" s="106"/>
      <c r="P417" s="163"/>
      <c r="Q417" s="164"/>
      <c r="R417" s="163"/>
      <c r="S417" s="165"/>
      <c r="T417" s="144"/>
      <c r="U417" s="144"/>
      <c r="V417" s="144"/>
      <c r="W417" s="144"/>
      <c r="X417" s="144"/>
      <c r="Y417" s="144"/>
      <c r="Z417" s="144"/>
      <c r="AA417" s="144"/>
      <c r="AB417" s="144"/>
      <c r="AC417" s="166"/>
      <c r="AD417" s="166"/>
      <c r="AE417" s="144"/>
      <c r="AF417" s="144"/>
      <c r="AG417" s="144"/>
      <c r="AH417" s="144"/>
      <c r="AI417" s="144"/>
      <c r="AJ417" s="144"/>
      <c r="AK417" s="144"/>
      <c r="AL417" s="144"/>
      <c r="AM417" s="144"/>
      <c r="AN417" s="144"/>
      <c r="AO417" s="167"/>
      <c r="AP417" s="167"/>
      <c r="AQ417" s="167"/>
      <c r="AR417" s="167"/>
    </row>
    <row r="418">
      <c r="A418">
        <f>IF(UpdateHashtag!C416="",ROW(UpdateHashtag!C416),UpdateHashtag!C416)</f>
        <v>416</v>
      </c>
      <c r="B418" s="53" t="str">
        <f>IF(TYPE($A418)=1,"",(UpdateHashtag!M416-B$1)/B$2)</f>
        <v/>
      </c>
      <c r="C418" s="53" t="str">
        <f>IF(TYPE($A418)=1,"",(UpdateHashtag!L416-C$1)/C$2)</f>
        <v/>
      </c>
      <c r="D418" s="53" t="str">
        <f>IF(TYPE($A418)=1,"",(UpdateHashtag!N416-D$1)/D$2)</f>
        <v/>
      </c>
      <c r="E418" s="53" t="str">
        <f>IF(TYPE($A418)=1,"",(UpdateHashtag!O416-E$1)/E$2)</f>
        <v/>
      </c>
      <c r="F418" s="53" t="str">
        <f>IF(TYPE($A418)=1,"",(UpdateHashtag!P416-F$1)/F$2)</f>
        <v/>
      </c>
      <c r="G418" s="53" t="str">
        <f>IF(TYPE($A418)=1,"",(UpdateHashtag!Q416-G$1)/G$2)</f>
        <v/>
      </c>
      <c r="H418" s="53" t="str">
        <f>IF(TYPE($A418)=1,"",(UpdateHashtag!I416-H$1)/H$2*I418/$I$1)</f>
        <v/>
      </c>
      <c r="I418" s="53" t="str">
        <f>UpdateHashtag!S416</f>
        <v/>
      </c>
      <c r="J418" s="58" t="str">
        <f>IF(TYPE($A418)=1,"",(UpdateHashtag!K416-J$1)/J$2*K418/$K$1)</f>
        <v/>
      </c>
      <c r="K418" s="59" t="str">
        <f>UpdateHashtag!T416</f>
        <v/>
      </c>
      <c r="L418" s="53" t="str">
        <f>IF(TYPE($A418)=1,"",-(UpdateHashtag!R416-L$1)/L$2)</f>
        <v/>
      </c>
      <c r="N418" s="106"/>
      <c r="O418" s="106"/>
      <c r="P418" s="163"/>
      <c r="Q418" s="164"/>
      <c r="R418" s="163"/>
      <c r="S418" s="165"/>
      <c r="T418" s="144"/>
      <c r="U418" s="144"/>
      <c r="V418" s="144"/>
      <c r="W418" s="144"/>
      <c r="X418" s="144"/>
      <c r="Y418" s="144"/>
      <c r="Z418" s="144"/>
      <c r="AA418" s="144"/>
      <c r="AB418" s="144"/>
      <c r="AC418" s="166"/>
      <c r="AD418" s="166"/>
      <c r="AE418" s="144"/>
      <c r="AF418" s="144"/>
      <c r="AG418" s="144"/>
      <c r="AH418" s="144"/>
      <c r="AI418" s="144"/>
      <c r="AJ418" s="144"/>
      <c r="AK418" s="144"/>
      <c r="AL418" s="144"/>
      <c r="AM418" s="144"/>
      <c r="AN418" s="144"/>
      <c r="AO418" s="167"/>
      <c r="AP418" s="167"/>
      <c r="AQ418" s="167"/>
      <c r="AR418" s="167"/>
    </row>
    <row r="419">
      <c r="A419">
        <f>IF(UpdateHashtag!C417="",ROW(UpdateHashtag!C417),UpdateHashtag!C417)</f>
        <v>417</v>
      </c>
      <c r="B419" s="53" t="str">
        <f>IF(TYPE($A419)=1,"",(UpdateHashtag!M417-B$1)/B$2)</f>
        <v/>
      </c>
      <c r="C419" s="53" t="str">
        <f>IF(TYPE($A419)=1,"",(UpdateHashtag!L417-C$1)/C$2)</f>
        <v/>
      </c>
      <c r="D419" s="53" t="str">
        <f>IF(TYPE($A419)=1,"",(UpdateHashtag!N417-D$1)/D$2)</f>
        <v/>
      </c>
      <c r="E419" s="53" t="str">
        <f>IF(TYPE($A419)=1,"",(UpdateHashtag!O417-E$1)/E$2)</f>
        <v/>
      </c>
      <c r="F419" s="53" t="str">
        <f>IF(TYPE($A419)=1,"",(UpdateHashtag!P417-F$1)/F$2)</f>
        <v/>
      </c>
      <c r="G419" s="53" t="str">
        <f>IF(TYPE($A419)=1,"",(UpdateHashtag!Q417-G$1)/G$2)</f>
        <v/>
      </c>
      <c r="H419" s="53" t="str">
        <f>IF(TYPE($A419)=1,"",(UpdateHashtag!I417-H$1)/H$2*I419/$I$1)</f>
        <v/>
      </c>
      <c r="I419" s="53" t="str">
        <f>UpdateHashtag!S417</f>
        <v/>
      </c>
      <c r="J419" s="58" t="str">
        <f>IF(TYPE($A419)=1,"",(UpdateHashtag!K417-J$1)/J$2*K419/$K$1)</f>
        <v/>
      </c>
      <c r="K419" s="59" t="str">
        <f>UpdateHashtag!T417</f>
        <v/>
      </c>
      <c r="L419" s="53" t="str">
        <f>IF(TYPE($A419)=1,"",-(UpdateHashtag!R417-L$1)/L$2)</f>
        <v/>
      </c>
      <c r="N419" s="106"/>
      <c r="O419" s="106"/>
      <c r="P419" s="163"/>
      <c r="Q419" s="164"/>
      <c r="R419" s="163"/>
      <c r="S419" s="165"/>
      <c r="T419" s="144"/>
      <c r="U419" s="144"/>
      <c r="V419" s="144"/>
      <c r="W419" s="144"/>
      <c r="X419" s="144"/>
      <c r="Y419" s="144"/>
      <c r="Z419" s="144"/>
      <c r="AA419" s="144"/>
      <c r="AB419" s="144"/>
      <c r="AC419" s="166"/>
      <c r="AD419" s="166"/>
      <c r="AE419" s="144"/>
      <c r="AF419" s="144"/>
      <c r="AG419" s="144"/>
      <c r="AH419" s="144"/>
      <c r="AI419" s="144"/>
      <c r="AJ419" s="144"/>
      <c r="AK419" s="144"/>
      <c r="AL419" s="144"/>
      <c r="AM419" s="144"/>
      <c r="AN419" s="144"/>
      <c r="AO419" s="167"/>
      <c r="AP419" s="167"/>
      <c r="AQ419" s="167"/>
      <c r="AR419" s="167"/>
    </row>
    <row r="420">
      <c r="A420">
        <f>IF(UpdateHashtag!C418="",ROW(UpdateHashtag!C418),UpdateHashtag!C418)</f>
        <v>418</v>
      </c>
      <c r="B420" s="53" t="str">
        <f>IF(TYPE($A420)=1,"",(UpdateHashtag!M418-B$1)/B$2)</f>
        <v/>
      </c>
      <c r="C420" s="53" t="str">
        <f>IF(TYPE($A420)=1,"",(UpdateHashtag!L418-C$1)/C$2)</f>
        <v/>
      </c>
      <c r="D420" s="53" t="str">
        <f>IF(TYPE($A420)=1,"",(UpdateHashtag!N418-D$1)/D$2)</f>
        <v/>
      </c>
      <c r="E420" s="53" t="str">
        <f>IF(TYPE($A420)=1,"",(UpdateHashtag!O418-E$1)/E$2)</f>
        <v/>
      </c>
      <c r="F420" s="53" t="str">
        <f>IF(TYPE($A420)=1,"",(UpdateHashtag!P418-F$1)/F$2)</f>
        <v/>
      </c>
      <c r="G420" s="53" t="str">
        <f>IF(TYPE($A420)=1,"",(UpdateHashtag!Q418-G$1)/G$2)</f>
        <v/>
      </c>
      <c r="H420" s="53" t="str">
        <f>IF(TYPE($A420)=1,"",(UpdateHashtag!I418-H$1)/H$2*I420/$I$1)</f>
        <v/>
      </c>
      <c r="I420" s="53" t="str">
        <f>UpdateHashtag!S418</f>
        <v/>
      </c>
      <c r="J420" s="58" t="str">
        <f>IF(TYPE($A420)=1,"",(UpdateHashtag!K418-J$1)/J$2*K420/$K$1)</f>
        <v/>
      </c>
      <c r="K420" s="59" t="str">
        <f>UpdateHashtag!T418</f>
        <v/>
      </c>
      <c r="L420" s="53" t="str">
        <f>IF(TYPE($A420)=1,"",-(UpdateHashtag!R418-L$1)/L$2)</f>
        <v/>
      </c>
      <c r="O420" s="106"/>
      <c r="P420" s="163"/>
      <c r="Q420" s="164"/>
      <c r="R420" s="163"/>
      <c r="S420" s="165"/>
      <c r="T420" s="144"/>
      <c r="U420" s="144"/>
      <c r="V420" s="144"/>
      <c r="W420" s="144"/>
      <c r="X420" s="144"/>
      <c r="Y420" s="144"/>
      <c r="Z420" s="144"/>
      <c r="AA420" s="144"/>
      <c r="AB420" s="144"/>
      <c r="AC420" s="166"/>
      <c r="AD420" s="166"/>
      <c r="AE420" s="144"/>
      <c r="AF420" s="144"/>
      <c r="AG420" s="144"/>
      <c r="AH420" s="144"/>
      <c r="AI420" s="144"/>
      <c r="AJ420" s="144"/>
      <c r="AK420" s="144"/>
      <c r="AL420" s="144"/>
      <c r="AM420" s="144"/>
      <c r="AN420" s="144"/>
      <c r="AO420" s="167"/>
      <c r="AP420" s="167"/>
      <c r="AQ420" s="167"/>
      <c r="AR420" s="167"/>
    </row>
    <row r="421">
      <c r="A421">
        <f>IF(UpdateHashtag!C419="",ROW(UpdateHashtag!C419),UpdateHashtag!C419)</f>
        <v>419</v>
      </c>
      <c r="B421" s="53" t="str">
        <f>IF(TYPE($A421)=1,"",(UpdateHashtag!M419-B$1)/B$2)</f>
        <v/>
      </c>
      <c r="C421" s="53" t="str">
        <f>IF(TYPE($A421)=1,"",(UpdateHashtag!L419-C$1)/C$2)</f>
        <v/>
      </c>
      <c r="D421" s="53" t="str">
        <f>IF(TYPE($A421)=1,"",(UpdateHashtag!N419-D$1)/D$2)</f>
        <v/>
      </c>
      <c r="E421" s="53" t="str">
        <f>IF(TYPE($A421)=1,"",(UpdateHashtag!O419-E$1)/E$2)</f>
        <v/>
      </c>
      <c r="F421" s="53" t="str">
        <f>IF(TYPE($A421)=1,"",(UpdateHashtag!P419-F$1)/F$2)</f>
        <v/>
      </c>
      <c r="G421" s="53" t="str">
        <f>IF(TYPE($A421)=1,"",(UpdateHashtag!Q419-G$1)/G$2)</f>
        <v/>
      </c>
      <c r="H421" s="53" t="str">
        <f>IF(TYPE($A421)=1,"",(UpdateHashtag!I419-H$1)/H$2*I421/$I$1)</f>
        <v/>
      </c>
      <c r="I421" s="53" t="str">
        <f>UpdateHashtag!S419</f>
        <v/>
      </c>
      <c r="J421" s="58" t="str">
        <f>IF(TYPE($A421)=1,"",(UpdateHashtag!K419-J$1)/J$2*K421/$K$1)</f>
        <v/>
      </c>
      <c r="K421" s="59" t="str">
        <f>UpdateHashtag!T419</f>
        <v/>
      </c>
      <c r="L421" s="53" t="str">
        <f>IF(TYPE($A421)=1,"",-(UpdateHashtag!R419-L$1)/L$2)</f>
        <v/>
      </c>
      <c r="N421" s="106"/>
      <c r="O421" s="106"/>
      <c r="P421" s="163"/>
      <c r="Q421" s="164"/>
      <c r="R421" s="163"/>
      <c r="S421" s="165"/>
      <c r="T421" s="144"/>
      <c r="U421" s="144"/>
      <c r="V421" s="144"/>
      <c r="W421" s="144"/>
      <c r="X421" s="144"/>
      <c r="Y421" s="144"/>
      <c r="Z421" s="144"/>
      <c r="AA421" s="144"/>
      <c r="AB421" s="144"/>
      <c r="AC421" s="166"/>
      <c r="AD421" s="166"/>
      <c r="AE421" s="144"/>
      <c r="AF421" s="144"/>
      <c r="AG421" s="144"/>
      <c r="AH421" s="144"/>
      <c r="AI421" s="144"/>
      <c r="AJ421" s="144"/>
      <c r="AK421" s="144"/>
      <c r="AL421" s="144"/>
      <c r="AM421" s="144"/>
      <c r="AN421" s="144"/>
      <c r="AO421" s="167"/>
      <c r="AP421" s="167"/>
      <c r="AQ421" s="167"/>
      <c r="AR421" s="167"/>
    </row>
    <row r="422">
      <c r="A422">
        <f>IF(UpdateHashtag!C420="",ROW(UpdateHashtag!C420),UpdateHashtag!C420)</f>
        <v>420</v>
      </c>
      <c r="B422" s="53" t="str">
        <f>IF(TYPE($A422)=1,"",(UpdateHashtag!M420-B$1)/B$2)</f>
        <v/>
      </c>
      <c r="C422" s="53" t="str">
        <f>IF(TYPE($A422)=1,"",(UpdateHashtag!L420-C$1)/C$2)</f>
        <v/>
      </c>
      <c r="D422" s="53" t="str">
        <f>IF(TYPE($A422)=1,"",(UpdateHashtag!N420-D$1)/D$2)</f>
        <v/>
      </c>
      <c r="E422" s="53" t="str">
        <f>IF(TYPE($A422)=1,"",(UpdateHashtag!O420-E$1)/E$2)</f>
        <v/>
      </c>
      <c r="F422" s="53" t="str">
        <f>IF(TYPE($A422)=1,"",(UpdateHashtag!P420-F$1)/F$2)</f>
        <v/>
      </c>
      <c r="G422" s="53" t="str">
        <f>IF(TYPE($A422)=1,"",(UpdateHashtag!Q420-G$1)/G$2)</f>
        <v/>
      </c>
      <c r="H422" s="53" t="str">
        <f>IF(TYPE($A422)=1,"",(UpdateHashtag!I420-H$1)/H$2*I422/$I$1)</f>
        <v/>
      </c>
      <c r="I422" s="53" t="str">
        <f>UpdateHashtag!S420</f>
        <v/>
      </c>
      <c r="J422" s="58" t="str">
        <f>IF(TYPE($A422)=1,"",(UpdateHashtag!K420-J$1)/J$2*K422/$K$1)</f>
        <v/>
      </c>
      <c r="K422" s="59" t="str">
        <f>UpdateHashtag!T420</f>
        <v/>
      </c>
      <c r="L422" s="53" t="str">
        <f>IF(TYPE($A422)=1,"",-(UpdateHashtag!R420-L$1)/L$2)</f>
        <v/>
      </c>
      <c r="N422" s="106"/>
      <c r="O422" s="106"/>
      <c r="P422" s="163"/>
      <c r="Q422" s="164"/>
      <c r="R422" s="163"/>
      <c r="S422" s="165"/>
      <c r="T422" s="144"/>
      <c r="U422" s="144"/>
      <c r="V422" s="144"/>
      <c r="W422" s="144"/>
      <c r="X422" s="144"/>
      <c r="Y422" s="144"/>
      <c r="Z422" s="144"/>
      <c r="AA422" s="144"/>
      <c r="AB422" s="144"/>
      <c r="AC422" s="166"/>
      <c r="AD422" s="166"/>
      <c r="AE422" s="144"/>
      <c r="AF422" s="144"/>
      <c r="AG422" s="144"/>
      <c r="AH422" s="144"/>
      <c r="AI422" s="144"/>
      <c r="AJ422" s="144"/>
      <c r="AK422" s="144"/>
      <c r="AL422" s="144"/>
      <c r="AM422" s="144"/>
      <c r="AN422" s="144"/>
      <c r="AO422" s="167"/>
      <c r="AP422" s="167"/>
      <c r="AQ422" s="167"/>
      <c r="AR422" s="167"/>
    </row>
    <row r="423">
      <c r="A423">
        <f>IF(UpdateHashtag!C421="",ROW(UpdateHashtag!C421),UpdateHashtag!C421)</f>
        <v>421</v>
      </c>
      <c r="B423" s="53" t="str">
        <f>IF(TYPE($A423)=1,"",(UpdateHashtag!M421-B$1)/B$2)</f>
        <v/>
      </c>
      <c r="C423" s="53" t="str">
        <f>IF(TYPE($A423)=1,"",(UpdateHashtag!L421-C$1)/C$2)</f>
        <v/>
      </c>
      <c r="D423" s="53" t="str">
        <f>IF(TYPE($A423)=1,"",(UpdateHashtag!N421-D$1)/D$2)</f>
        <v/>
      </c>
      <c r="E423" s="53" t="str">
        <f>IF(TYPE($A423)=1,"",(UpdateHashtag!O421-E$1)/E$2)</f>
        <v/>
      </c>
      <c r="F423" s="53" t="str">
        <f>IF(TYPE($A423)=1,"",(UpdateHashtag!P421-F$1)/F$2)</f>
        <v/>
      </c>
      <c r="G423" s="53" t="str">
        <f>IF(TYPE($A423)=1,"",(UpdateHashtag!Q421-G$1)/G$2)</f>
        <v/>
      </c>
      <c r="H423" s="53" t="str">
        <f>IF(TYPE($A423)=1,"",(UpdateHashtag!I421-H$1)/H$2*I423/$I$1)</f>
        <v/>
      </c>
      <c r="I423" s="53" t="str">
        <f>UpdateHashtag!S421</f>
        <v/>
      </c>
      <c r="J423" s="58" t="str">
        <f>IF(TYPE($A423)=1,"",(UpdateHashtag!K421-J$1)/J$2*K423/$K$1)</f>
        <v/>
      </c>
      <c r="K423" s="59" t="str">
        <f>UpdateHashtag!T421</f>
        <v/>
      </c>
      <c r="L423" s="53" t="str">
        <f>IF(TYPE($A423)=1,"",-(UpdateHashtag!R421-L$1)/L$2)</f>
        <v/>
      </c>
      <c r="N423" s="106"/>
      <c r="O423" s="106"/>
      <c r="P423" s="163"/>
      <c r="Q423" s="164"/>
      <c r="R423" s="163"/>
      <c r="S423" s="165"/>
      <c r="T423" s="144"/>
      <c r="U423" s="144"/>
      <c r="V423" s="144"/>
      <c r="W423" s="144"/>
      <c r="X423" s="144"/>
      <c r="Y423" s="144"/>
      <c r="Z423" s="144"/>
      <c r="AA423" s="144"/>
      <c r="AB423" s="144"/>
      <c r="AC423" s="166"/>
      <c r="AD423" s="166"/>
      <c r="AE423" s="144"/>
      <c r="AF423" s="144"/>
      <c r="AG423" s="144"/>
      <c r="AH423" s="144"/>
      <c r="AI423" s="144"/>
      <c r="AJ423" s="144"/>
      <c r="AK423" s="144"/>
      <c r="AL423" s="144"/>
      <c r="AM423" s="144"/>
      <c r="AN423" s="144"/>
      <c r="AO423" s="167"/>
      <c r="AP423" s="167"/>
      <c r="AQ423" s="167"/>
      <c r="AR423" s="167"/>
    </row>
    <row r="424">
      <c r="A424">
        <f>IF(UpdateHashtag!C422="",ROW(UpdateHashtag!C422),UpdateHashtag!C422)</f>
        <v>422</v>
      </c>
      <c r="B424" s="53" t="str">
        <f>IF(TYPE($A424)=1,"",(UpdateHashtag!M422-B$1)/B$2)</f>
        <v/>
      </c>
      <c r="C424" s="53" t="str">
        <f>IF(TYPE($A424)=1,"",(UpdateHashtag!L422-C$1)/C$2)</f>
        <v/>
      </c>
      <c r="D424" s="53" t="str">
        <f>IF(TYPE($A424)=1,"",(UpdateHashtag!N422-D$1)/D$2)</f>
        <v/>
      </c>
      <c r="E424" s="53" t="str">
        <f>IF(TYPE($A424)=1,"",(UpdateHashtag!O422-E$1)/E$2)</f>
        <v/>
      </c>
      <c r="F424" s="53" t="str">
        <f>IF(TYPE($A424)=1,"",(UpdateHashtag!P422-F$1)/F$2)</f>
        <v/>
      </c>
      <c r="G424" s="53" t="str">
        <f>IF(TYPE($A424)=1,"",(UpdateHashtag!Q422-G$1)/G$2)</f>
        <v/>
      </c>
      <c r="H424" s="53" t="str">
        <f>IF(TYPE($A424)=1,"",(UpdateHashtag!I422-H$1)/H$2*I424/$I$1)</f>
        <v/>
      </c>
      <c r="I424" s="53" t="str">
        <f>UpdateHashtag!S422</f>
        <v/>
      </c>
      <c r="J424" s="58" t="str">
        <f>IF(TYPE($A424)=1,"",(UpdateHashtag!K422-J$1)/J$2*K424/$K$1)</f>
        <v/>
      </c>
      <c r="K424" s="59" t="str">
        <f>UpdateHashtag!T422</f>
        <v/>
      </c>
      <c r="L424" s="53" t="str">
        <f>IF(TYPE($A424)=1,"",-(UpdateHashtag!R422-L$1)/L$2)</f>
        <v/>
      </c>
      <c r="N424" s="106"/>
      <c r="O424" s="106"/>
      <c r="P424" s="163"/>
      <c r="Q424" s="164"/>
      <c r="R424" s="163"/>
      <c r="S424" s="165"/>
      <c r="T424" s="144"/>
      <c r="U424" s="144"/>
      <c r="V424" s="144"/>
      <c r="W424" s="144"/>
      <c r="X424" s="144"/>
      <c r="Y424" s="144"/>
      <c r="Z424" s="144"/>
      <c r="AA424" s="144"/>
      <c r="AB424" s="144"/>
      <c r="AC424" s="166"/>
      <c r="AD424" s="166"/>
      <c r="AE424" s="144"/>
      <c r="AF424" s="144"/>
      <c r="AG424" s="144"/>
      <c r="AH424" s="144"/>
      <c r="AI424" s="144"/>
      <c r="AJ424" s="144"/>
      <c r="AK424" s="144"/>
      <c r="AL424" s="144"/>
      <c r="AM424" s="144"/>
      <c r="AN424" s="144"/>
      <c r="AO424" s="167"/>
      <c r="AP424" s="167"/>
      <c r="AQ424" s="167"/>
      <c r="AR424" s="167"/>
    </row>
    <row r="425">
      <c r="A425">
        <f>IF(UpdateHashtag!C423="",ROW(UpdateHashtag!C423),UpdateHashtag!C423)</f>
        <v>423</v>
      </c>
      <c r="B425" s="53" t="str">
        <f>IF(TYPE($A425)=1,"",(UpdateHashtag!M423-B$1)/B$2)</f>
        <v/>
      </c>
      <c r="C425" s="53" t="str">
        <f>IF(TYPE($A425)=1,"",(UpdateHashtag!L423-C$1)/C$2)</f>
        <v/>
      </c>
      <c r="D425" s="53" t="str">
        <f>IF(TYPE($A425)=1,"",(UpdateHashtag!N423-D$1)/D$2)</f>
        <v/>
      </c>
      <c r="E425" s="53" t="str">
        <f>IF(TYPE($A425)=1,"",(UpdateHashtag!O423-E$1)/E$2)</f>
        <v/>
      </c>
      <c r="F425" s="53" t="str">
        <f>IF(TYPE($A425)=1,"",(UpdateHashtag!P423-F$1)/F$2)</f>
        <v/>
      </c>
      <c r="G425" s="53" t="str">
        <f>IF(TYPE($A425)=1,"",(UpdateHashtag!Q423-G$1)/G$2)</f>
        <v/>
      </c>
      <c r="H425" s="53" t="str">
        <f>IF(TYPE($A425)=1,"",(UpdateHashtag!I423-H$1)/H$2*I425/$I$1)</f>
        <v/>
      </c>
      <c r="I425" s="53" t="str">
        <f>UpdateHashtag!S423</f>
        <v/>
      </c>
      <c r="J425" s="58" t="str">
        <f>IF(TYPE($A425)=1,"",(UpdateHashtag!K423-J$1)/J$2*K425/$K$1)</f>
        <v/>
      </c>
      <c r="K425" s="59" t="str">
        <f>UpdateHashtag!T423</f>
        <v/>
      </c>
      <c r="L425" s="53" t="str">
        <f>IF(TYPE($A425)=1,"",-(UpdateHashtag!R423-L$1)/L$2)</f>
        <v/>
      </c>
      <c r="N425" s="106"/>
      <c r="O425" s="106"/>
      <c r="P425" s="163"/>
      <c r="Q425" s="164"/>
      <c r="R425" s="163"/>
      <c r="S425" s="165"/>
      <c r="T425" s="144"/>
      <c r="U425" s="144"/>
      <c r="V425" s="144"/>
      <c r="W425" s="144"/>
      <c r="X425" s="144"/>
      <c r="Y425" s="144"/>
      <c r="Z425" s="144"/>
      <c r="AA425" s="144"/>
      <c r="AB425" s="144"/>
      <c r="AC425" s="166"/>
      <c r="AD425" s="166"/>
      <c r="AE425" s="144"/>
      <c r="AF425" s="144"/>
      <c r="AG425" s="144"/>
      <c r="AH425" s="144"/>
      <c r="AI425" s="144"/>
      <c r="AJ425" s="144"/>
      <c r="AK425" s="144"/>
      <c r="AL425" s="144"/>
      <c r="AM425" s="144"/>
      <c r="AN425" s="144"/>
      <c r="AO425" s="167"/>
      <c r="AP425" s="167"/>
      <c r="AQ425" s="167"/>
      <c r="AR425" s="167"/>
    </row>
    <row r="426">
      <c r="A426">
        <f>IF(UpdateHashtag!C424="",ROW(UpdateHashtag!C424),UpdateHashtag!C424)</f>
        <v>424</v>
      </c>
      <c r="B426" s="53" t="str">
        <f>IF(TYPE($A426)=1,"",(UpdateHashtag!M424-B$1)/B$2)</f>
        <v/>
      </c>
      <c r="C426" s="53" t="str">
        <f>IF(TYPE($A426)=1,"",(UpdateHashtag!L424-C$1)/C$2)</f>
        <v/>
      </c>
      <c r="D426" s="53" t="str">
        <f>IF(TYPE($A426)=1,"",(UpdateHashtag!N424-D$1)/D$2)</f>
        <v/>
      </c>
      <c r="E426" s="53" t="str">
        <f>IF(TYPE($A426)=1,"",(UpdateHashtag!O424-E$1)/E$2)</f>
        <v/>
      </c>
      <c r="F426" s="53" t="str">
        <f>IF(TYPE($A426)=1,"",(UpdateHashtag!P424-F$1)/F$2)</f>
        <v/>
      </c>
      <c r="G426" s="53" t="str">
        <f>IF(TYPE($A426)=1,"",(UpdateHashtag!Q424-G$1)/G$2)</f>
        <v/>
      </c>
      <c r="H426" s="53" t="str">
        <f>IF(TYPE($A426)=1,"",(UpdateHashtag!I424-H$1)/H$2*I426/$I$1)</f>
        <v/>
      </c>
      <c r="I426" s="53" t="str">
        <f>UpdateHashtag!S424</f>
        <v/>
      </c>
      <c r="J426" s="58" t="str">
        <f>IF(TYPE($A426)=1,"",(UpdateHashtag!K424-J$1)/J$2*K426/$K$1)</f>
        <v/>
      </c>
      <c r="K426" s="59" t="str">
        <f>UpdateHashtag!T424</f>
        <v/>
      </c>
      <c r="L426" s="53" t="str">
        <f>IF(TYPE($A426)=1,"",-(UpdateHashtag!R424-L$1)/L$2)</f>
        <v/>
      </c>
      <c r="N426" s="106"/>
      <c r="O426" s="106"/>
      <c r="P426" s="163"/>
      <c r="Q426" s="164"/>
      <c r="R426" s="163"/>
      <c r="S426" s="165"/>
      <c r="T426" s="144"/>
      <c r="U426" s="144"/>
      <c r="V426" s="144"/>
      <c r="W426" s="144"/>
      <c r="X426" s="144"/>
      <c r="Y426" s="144"/>
      <c r="Z426" s="144"/>
      <c r="AA426" s="144"/>
      <c r="AB426" s="144"/>
      <c r="AC426" s="166"/>
      <c r="AD426" s="166"/>
      <c r="AE426" s="144"/>
      <c r="AF426" s="144"/>
      <c r="AG426" s="144"/>
      <c r="AH426" s="144"/>
      <c r="AI426" s="144"/>
      <c r="AJ426" s="144"/>
      <c r="AK426" s="144"/>
      <c r="AL426" s="144"/>
      <c r="AM426" s="144"/>
      <c r="AN426" s="144"/>
      <c r="AO426" s="167"/>
      <c r="AP426" s="167"/>
      <c r="AQ426" s="167"/>
      <c r="AR426" s="167"/>
    </row>
    <row r="427">
      <c r="A427">
        <f>IF(UpdateHashtag!C425="",ROW(UpdateHashtag!C425),UpdateHashtag!C425)</f>
        <v>425</v>
      </c>
      <c r="B427" s="53" t="str">
        <f>IF(TYPE($A427)=1,"",(UpdateHashtag!M425-B$1)/B$2)</f>
        <v/>
      </c>
      <c r="C427" s="53" t="str">
        <f>IF(TYPE($A427)=1,"",(UpdateHashtag!L425-C$1)/C$2)</f>
        <v/>
      </c>
      <c r="D427" s="53" t="str">
        <f>IF(TYPE($A427)=1,"",(UpdateHashtag!N425-D$1)/D$2)</f>
        <v/>
      </c>
      <c r="E427" s="53" t="str">
        <f>IF(TYPE($A427)=1,"",(UpdateHashtag!O425-E$1)/E$2)</f>
        <v/>
      </c>
      <c r="F427" s="53" t="str">
        <f>IF(TYPE($A427)=1,"",(UpdateHashtag!P425-F$1)/F$2)</f>
        <v/>
      </c>
      <c r="G427" s="53" t="str">
        <f>IF(TYPE($A427)=1,"",(UpdateHashtag!Q425-G$1)/G$2)</f>
        <v/>
      </c>
      <c r="H427" s="53" t="str">
        <f>IF(TYPE($A427)=1,"",(UpdateHashtag!I425-H$1)/H$2*I427/$I$1)</f>
        <v/>
      </c>
      <c r="I427" s="53" t="str">
        <f>UpdateHashtag!S425</f>
        <v/>
      </c>
      <c r="J427" s="58" t="str">
        <f>IF(TYPE($A427)=1,"",(UpdateHashtag!K425-J$1)/J$2*K427/$K$1)</f>
        <v/>
      </c>
      <c r="K427" s="59" t="str">
        <f>UpdateHashtag!T425</f>
        <v/>
      </c>
      <c r="L427" s="53" t="str">
        <f>IF(TYPE($A427)=1,"",-(UpdateHashtag!R425-L$1)/L$2)</f>
        <v/>
      </c>
      <c r="N427" s="106"/>
      <c r="O427" s="106"/>
      <c r="P427" s="163"/>
      <c r="Q427" s="164"/>
      <c r="R427" s="163"/>
      <c r="S427" s="165"/>
      <c r="T427" s="144"/>
      <c r="U427" s="144"/>
      <c r="V427" s="144"/>
      <c r="W427" s="144"/>
      <c r="X427" s="144"/>
      <c r="Y427" s="144"/>
      <c r="Z427" s="144"/>
      <c r="AA427" s="144"/>
      <c r="AB427" s="144"/>
      <c r="AC427" s="166"/>
      <c r="AD427" s="166"/>
      <c r="AE427" s="144"/>
      <c r="AF427" s="144"/>
      <c r="AG427" s="144"/>
      <c r="AH427" s="144"/>
      <c r="AI427" s="144"/>
      <c r="AJ427" s="144"/>
      <c r="AK427" s="144"/>
      <c r="AL427" s="144"/>
      <c r="AM427" s="144"/>
      <c r="AN427" s="144"/>
      <c r="AO427" s="167"/>
      <c r="AP427" s="167"/>
      <c r="AQ427" s="167"/>
      <c r="AR427" s="167"/>
    </row>
    <row r="428">
      <c r="A428">
        <f>IF(UpdateHashtag!C426="",ROW(UpdateHashtag!C426),UpdateHashtag!C426)</f>
        <v>426</v>
      </c>
      <c r="B428" s="53" t="str">
        <f>IF(TYPE($A428)=1,"",(UpdateHashtag!M426-B$1)/B$2)</f>
        <v/>
      </c>
      <c r="C428" s="53" t="str">
        <f>IF(TYPE($A428)=1,"",(UpdateHashtag!L426-C$1)/C$2)</f>
        <v/>
      </c>
      <c r="D428" s="53" t="str">
        <f>IF(TYPE($A428)=1,"",(UpdateHashtag!N426-D$1)/D$2)</f>
        <v/>
      </c>
      <c r="E428" s="53" t="str">
        <f>IF(TYPE($A428)=1,"",(UpdateHashtag!O426-E$1)/E$2)</f>
        <v/>
      </c>
      <c r="F428" s="53" t="str">
        <f>IF(TYPE($A428)=1,"",(UpdateHashtag!P426-F$1)/F$2)</f>
        <v/>
      </c>
      <c r="G428" s="53" t="str">
        <f>IF(TYPE($A428)=1,"",(UpdateHashtag!Q426-G$1)/G$2)</f>
        <v/>
      </c>
      <c r="H428" s="53" t="str">
        <f>IF(TYPE($A428)=1,"",(UpdateHashtag!I426-H$1)/H$2*I428/$I$1)</f>
        <v/>
      </c>
      <c r="I428" s="53" t="str">
        <f>UpdateHashtag!S426</f>
        <v/>
      </c>
      <c r="J428" s="58" t="str">
        <f>IF(TYPE($A428)=1,"",(UpdateHashtag!K426-J$1)/J$2*K428/$K$1)</f>
        <v/>
      </c>
      <c r="K428" s="59" t="str">
        <f>UpdateHashtag!T426</f>
        <v/>
      </c>
      <c r="L428" s="53" t="str">
        <f>IF(TYPE($A428)=1,"",-(UpdateHashtag!R426-L$1)/L$2)</f>
        <v/>
      </c>
      <c r="N428" s="106"/>
      <c r="O428" s="106"/>
      <c r="P428" s="163"/>
      <c r="Q428" s="164"/>
      <c r="R428" s="163"/>
      <c r="S428" s="165"/>
      <c r="T428" s="144"/>
      <c r="U428" s="144"/>
      <c r="V428" s="144"/>
      <c r="W428" s="144"/>
      <c r="X428" s="144"/>
      <c r="Y428" s="144"/>
      <c r="Z428" s="144"/>
      <c r="AA428" s="144"/>
      <c r="AB428" s="144"/>
      <c r="AC428" s="166"/>
      <c r="AD428" s="166"/>
      <c r="AE428" s="144"/>
      <c r="AF428" s="144"/>
      <c r="AG428" s="144"/>
      <c r="AH428" s="144"/>
      <c r="AI428" s="144"/>
      <c r="AJ428" s="144"/>
      <c r="AK428" s="144"/>
      <c r="AL428" s="144"/>
      <c r="AM428" s="144"/>
      <c r="AN428" s="144"/>
      <c r="AO428" s="167"/>
      <c r="AP428" s="167"/>
      <c r="AQ428" s="167"/>
      <c r="AR428" s="167"/>
    </row>
    <row r="429">
      <c r="A429">
        <f>IF(UpdateHashtag!C427="",ROW(UpdateHashtag!C427),UpdateHashtag!C427)</f>
        <v>427</v>
      </c>
      <c r="B429" s="53" t="str">
        <f>IF(TYPE($A429)=1,"",(UpdateHashtag!M427-B$1)/B$2)</f>
        <v/>
      </c>
      <c r="C429" s="53" t="str">
        <f>IF(TYPE($A429)=1,"",(UpdateHashtag!L427-C$1)/C$2)</f>
        <v/>
      </c>
      <c r="D429" s="53" t="str">
        <f>IF(TYPE($A429)=1,"",(UpdateHashtag!N427-D$1)/D$2)</f>
        <v/>
      </c>
      <c r="E429" s="53" t="str">
        <f>IF(TYPE($A429)=1,"",(UpdateHashtag!O427-E$1)/E$2)</f>
        <v/>
      </c>
      <c r="F429" s="53" t="str">
        <f>IF(TYPE($A429)=1,"",(UpdateHashtag!P427-F$1)/F$2)</f>
        <v/>
      </c>
      <c r="G429" s="53" t="str">
        <f>IF(TYPE($A429)=1,"",(UpdateHashtag!Q427-G$1)/G$2)</f>
        <v/>
      </c>
      <c r="H429" s="53" t="str">
        <f>IF(TYPE($A429)=1,"",(UpdateHashtag!I427-H$1)/H$2*I429/$I$1)</f>
        <v/>
      </c>
      <c r="I429" s="53" t="str">
        <f>UpdateHashtag!S427</f>
        <v/>
      </c>
      <c r="J429" s="58" t="str">
        <f>IF(TYPE($A429)=1,"",(UpdateHashtag!K427-J$1)/J$2*K429/$K$1)</f>
        <v/>
      </c>
      <c r="K429" s="59" t="str">
        <f>UpdateHashtag!T427</f>
        <v/>
      </c>
      <c r="L429" s="53" t="str">
        <f>IF(TYPE($A429)=1,"",-(UpdateHashtag!R427-L$1)/L$2)</f>
        <v/>
      </c>
      <c r="N429" s="106"/>
      <c r="O429" s="106"/>
      <c r="P429" s="163"/>
      <c r="Q429" s="164"/>
      <c r="R429" s="163"/>
      <c r="S429" s="165"/>
      <c r="T429" s="144"/>
      <c r="U429" s="144"/>
      <c r="V429" s="144"/>
      <c r="W429" s="144"/>
      <c r="X429" s="144"/>
      <c r="Y429" s="144"/>
      <c r="Z429" s="144"/>
      <c r="AA429" s="144"/>
      <c r="AB429" s="144"/>
      <c r="AC429" s="166"/>
      <c r="AD429" s="166"/>
      <c r="AE429" s="144"/>
      <c r="AF429" s="144"/>
      <c r="AG429" s="144"/>
      <c r="AH429" s="144"/>
      <c r="AI429" s="144"/>
      <c r="AJ429" s="144"/>
      <c r="AK429" s="144"/>
      <c r="AL429" s="144"/>
      <c r="AM429" s="144"/>
      <c r="AN429" s="144"/>
      <c r="AO429" s="167"/>
      <c r="AP429" s="167"/>
      <c r="AQ429" s="167"/>
      <c r="AR429" s="167"/>
    </row>
    <row r="430">
      <c r="A430">
        <f>IF(UpdateHashtag!C428="",ROW(UpdateHashtag!C428),UpdateHashtag!C428)</f>
        <v>428</v>
      </c>
      <c r="B430" s="53" t="str">
        <f>IF(TYPE($A430)=1,"",(UpdateHashtag!M428-B$1)/B$2)</f>
        <v/>
      </c>
      <c r="C430" s="53" t="str">
        <f>IF(TYPE($A430)=1,"",(UpdateHashtag!L428-C$1)/C$2)</f>
        <v/>
      </c>
      <c r="D430" s="53" t="str">
        <f>IF(TYPE($A430)=1,"",(UpdateHashtag!N428-D$1)/D$2)</f>
        <v/>
      </c>
      <c r="E430" s="53" t="str">
        <f>IF(TYPE($A430)=1,"",(UpdateHashtag!O428-E$1)/E$2)</f>
        <v/>
      </c>
      <c r="F430" s="53" t="str">
        <f>IF(TYPE($A430)=1,"",(UpdateHashtag!P428-F$1)/F$2)</f>
        <v/>
      </c>
      <c r="G430" s="53" t="str">
        <f>IF(TYPE($A430)=1,"",(UpdateHashtag!Q428-G$1)/G$2)</f>
        <v/>
      </c>
      <c r="H430" s="53" t="str">
        <f>IF(TYPE($A430)=1,"",(UpdateHashtag!I428-H$1)/H$2*I430/$I$1)</f>
        <v/>
      </c>
      <c r="I430" s="53" t="str">
        <f>UpdateHashtag!S428</f>
        <v/>
      </c>
      <c r="J430" s="58" t="str">
        <f>IF(TYPE($A430)=1,"",(UpdateHashtag!K428-J$1)/J$2*K430/$K$1)</f>
        <v/>
      </c>
      <c r="K430" s="59" t="str">
        <f>UpdateHashtag!T428</f>
        <v/>
      </c>
      <c r="L430" s="53" t="str">
        <f>IF(TYPE($A430)=1,"",-(UpdateHashtag!R428-L$1)/L$2)</f>
        <v/>
      </c>
      <c r="P430" s="163"/>
      <c r="Q430" s="164"/>
      <c r="R430" s="163"/>
      <c r="S430" s="165"/>
      <c r="T430" s="144"/>
      <c r="U430" s="144"/>
      <c r="V430" s="144"/>
      <c r="W430" s="144"/>
      <c r="X430" s="144"/>
      <c r="Y430" s="144"/>
      <c r="Z430" s="144"/>
      <c r="AA430" s="144"/>
      <c r="AB430" s="144"/>
      <c r="AC430" s="166"/>
      <c r="AD430" s="166"/>
      <c r="AE430" s="144"/>
      <c r="AF430" s="144"/>
      <c r="AG430" s="144"/>
      <c r="AH430" s="144"/>
      <c r="AI430" s="144"/>
      <c r="AJ430" s="144"/>
      <c r="AK430" s="144"/>
      <c r="AL430" s="144"/>
      <c r="AM430" s="144"/>
      <c r="AN430" s="144"/>
      <c r="AO430" s="167"/>
      <c r="AP430" s="167"/>
      <c r="AQ430" s="167"/>
      <c r="AR430" s="167"/>
    </row>
    <row r="431">
      <c r="A431">
        <f>IF(UpdateHashtag!C429="",ROW(UpdateHashtag!C429),UpdateHashtag!C429)</f>
        <v>429</v>
      </c>
      <c r="B431" s="53" t="str">
        <f>IF(TYPE($A431)=1,"",(UpdateHashtag!M429-B$1)/B$2)</f>
        <v/>
      </c>
      <c r="C431" s="53" t="str">
        <f>IF(TYPE($A431)=1,"",(UpdateHashtag!L429-C$1)/C$2)</f>
        <v/>
      </c>
      <c r="D431" s="53" t="str">
        <f>IF(TYPE($A431)=1,"",(UpdateHashtag!N429-D$1)/D$2)</f>
        <v/>
      </c>
      <c r="E431" s="53" t="str">
        <f>IF(TYPE($A431)=1,"",(UpdateHashtag!O429-E$1)/E$2)</f>
        <v/>
      </c>
      <c r="F431" s="53" t="str">
        <f>IF(TYPE($A431)=1,"",(UpdateHashtag!P429-F$1)/F$2)</f>
        <v/>
      </c>
      <c r="G431" s="53" t="str">
        <f>IF(TYPE($A431)=1,"",(UpdateHashtag!Q429-G$1)/G$2)</f>
        <v/>
      </c>
      <c r="H431" s="53" t="str">
        <f>IF(TYPE($A431)=1,"",(UpdateHashtag!I429-H$1)/H$2*I431/$I$1)</f>
        <v/>
      </c>
      <c r="I431" s="53" t="str">
        <f>UpdateHashtag!S429</f>
        <v/>
      </c>
      <c r="J431" s="58" t="str">
        <f>IF(TYPE($A431)=1,"",(UpdateHashtag!K429-J$1)/J$2*K431/$K$1)</f>
        <v/>
      </c>
      <c r="K431" s="59" t="str">
        <f>UpdateHashtag!T429</f>
        <v/>
      </c>
      <c r="L431" s="53" t="str">
        <f>IF(TYPE($A431)=1,"",-(UpdateHashtag!R429-L$1)/L$2)</f>
        <v/>
      </c>
      <c r="P431" s="163"/>
      <c r="Q431" s="164"/>
      <c r="R431" s="163"/>
      <c r="S431" s="165"/>
      <c r="T431" s="144"/>
      <c r="U431" s="144"/>
      <c r="V431" s="144"/>
      <c r="W431" s="144"/>
      <c r="X431" s="144"/>
      <c r="Y431" s="144"/>
      <c r="Z431" s="144"/>
      <c r="AA431" s="144"/>
      <c r="AB431" s="144"/>
      <c r="AC431" s="166"/>
      <c r="AD431" s="166"/>
      <c r="AE431" s="144"/>
      <c r="AF431" s="144"/>
      <c r="AG431" s="144"/>
      <c r="AH431" s="144"/>
      <c r="AI431" s="144"/>
      <c r="AJ431" s="144"/>
      <c r="AK431" s="144"/>
      <c r="AL431" s="144"/>
      <c r="AM431" s="144"/>
      <c r="AN431" s="144"/>
      <c r="AO431" s="167"/>
      <c r="AP431" s="167"/>
      <c r="AQ431" s="167"/>
      <c r="AR431" s="167"/>
    </row>
    <row r="432">
      <c r="A432">
        <f>IF(UpdateHashtag!C430="",ROW(UpdateHashtag!C430),UpdateHashtag!C430)</f>
        <v>430</v>
      </c>
      <c r="B432" s="53" t="str">
        <f>IF(TYPE($A432)=1,"",(UpdateHashtag!M430-B$1)/B$2)</f>
        <v/>
      </c>
      <c r="C432" s="53" t="str">
        <f>IF(TYPE($A432)=1,"",(UpdateHashtag!L430-C$1)/C$2)</f>
        <v/>
      </c>
      <c r="D432" s="53" t="str">
        <f>IF(TYPE($A432)=1,"",(UpdateHashtag!N430-D$1)/D$2)</f>
        <v/>
      </c>
      <c r="E432" s="53" t="str">
        <f>IF(TYPE($A432)=1,"",(UpdateHashtag!O430-E$1)/E$2)</f>
        <v/>
      </c>
      <c r="F432" s="53" t="str">
        <f>IF(TYPE($A432)=1,"",(UpdateHashtag!P430-F$1)/F$2)</f>
        <v/>
      </c>
      <c r="G432" s="53" t="str">
        <f>IF(TYPE($A432)=1,"",(UpdateHashtag!Q430-G$1)/G$2)</f>
        <v/>
      </c>
      <c r="H432" s="53" t="str">
        <f>IF(TYPE($A432)=1,"",(UpdateHashtag!I430-H$1)/H$2*I432/$I$1)</f>
        <v/>
      </c>
      <c r="I432" s="53" t="str">
        <f>UpdateHashtag!S430</f>
        <v/>
      </c>
      <c r="J432" s="58" t="str">
        <f>IF(TYPE($A432)=1,"",(UpdateHashtag!K430-J$1)/J$2*K432/$K$1)</f>
        <v/>
      </c>
      <c r="K432" s="59" t="str">
        <f>UpdateHashtag!T430</f>
        <v/>
      </c>
      <c r="L432" s="53" t="str">
        <f>IF(TYPE($A432)=1,"",-(UpdateHashtag!R430-L$1)/L$2)</f>
        <v/>
      </c>
      <c r="P432" s="163"/>
      <c r="Q432" s="164"/>
      <c r="R432" s="163"/>
      <c r="S432" s="165"/>
      <c r="T432" s="144"/>
      <c r="U432" s="144"/>
      <c r="V432" s="144"/>
      <c r="W432" s="144"/>
      <c r="X432" s="144"/>
      <c r="Y432" s="144"/>
      <c r="Z432" s="144"/>
      <c r="AA432" s="144"/>
      <c r="AB432" s="144"/>
      <c r="AC432" s="166"/>
      <c r="AD432" s="166"/>
      <c r="AE432" s="144"/>
      <c r="AF432" s="144"/>
      <c r="AG432" s="144"/>
      <c r="AH432" s="144"/>
      <c r="AI432" s="144"/>
      <c r="AJ432" s="144"/>
      <c r="AK432" s="144"/>
      <c r="AL432" s="144"/>
      <c r="AM432" s="144"/>
      <c r="AN432" s="144"/>
      <c r="AO432" s="167"/>
      <c r="AP432" s="167"/>
      <c r="AQ432" s="167"/>
      <c r="AR432" s="167"/>
    </row>
    <row r="433">
      <c r="A433">
        <f>IF(UpdateHashtag!C431="",ROW(UpdateHashtag!C431),UpdateHashtag!C431)</f>
        <v>431</v>
      </c>
      <c r="B433" s="53" t="str">
        <f>IF(TYPE($A433)=1,"",(UpdateHashtag!M431-B$1)/B$2)</f>
        <v/>
      </c>
      <c r="C433" s="53" t="str">
        <f>IF(TYPE($A433)=1,"",(UpdateHashtag!L431-C$1)/C$2)</f>
        <v/>
      </c>
      <c r="D433" s="53" t="str">
        <f>IF(TYPE($A433)=1,"",(UpdateHashtag!N431-D$1)/D$2)</f>
        <v/>
      </c>
      <c r="E433" s="53" t="str">
        <f>IF(TYPE($A433)=1,"",(UpdateHashtag!O431-E$1)/E$2)</f>
        <v/>
      </c>
      <c r="F433" s="53" t="str">
        <f>IF(TYPE($A433)=1,"",(UpdateHashtag!P431-F$1)/F$2)</f>
        <v/>
      </c>
      <c r="G433" s="53" t="str">
        <f>IF(TYPE($A433)=1,"",(UpdateHashtag!Q431-G$1)/G$2)</f>
        <v/>
      </c>
      <c r="H433" s="53" t="str">
        <f>IF(TYPE($A433)=1,"",(UpdateHashtag!I431-H$1)/H$2*I433/$I$1)</f>
        <v/>
      </c>
      <c r="I433" s="53" t="str">
        <f>UpdateHashtag!S431</f>
        <v/>
      </c>
      <c r="J433" s="58" t="str">
        <f>IF(TYPE($A433)=1,"",(UpdateHashtag!K431-J$1)/J$2*K433/$K$1)</f>
        <v/>
      </c>
      <c r="K433" s="59" t="str">
        <f>UpdateHashtag!T431</f>
        <v/>
      </c>
      <c r="L433" s="53" t="str">
        <f>IF(TYPE($A433)=1,"",-(UpdateHashtag!R431-L$1)/L$2)</f>
        <v/>
      </c>
      <c r="P433" s="163"/>
      <c r="Q433" s="164"/>
      <c r="R433" s="163"/>
      <c r="S433" s="165"/>
      <c r="T433" s="144"/>
      <c r="U433" s="144"/>
      <c r="V433" s="144"/>
      <c r="W433" s="144"/>
      <c r="X433" s="144"/>
      <c r="Y433" s="144"/>
      <c r="Z433" s="144"/>
      <c r="AA433" s="144"/>
      <c r="AB433" s="144"/>
      <c r="AC433" s="166"/>
      <c r="AD433" s="166"/>
      <c r="AE433" s="144"/>
      <c r="AF433" s="144"/>
      <c r="AG433" s="144"/>
      <c r="AH433" s="144"/>
      <c r="AI433" s="144"/>
      <c r="AJ433" s="144"/>
      <c r="AK433" s="144"/>
      <c r="AL433" s="144"/>
      <c r="AM433" s="144"/>
      <c r="AN433" s="144"/>
      <c r="AO433" s="167"/>
      <c r="AP433" s="167"/>
      <c r="AQ433" s="167"/>
      <c r="AR433" s="167"/>
    </row>
    <row r="434">
      <c r="B434" s="53"/>
      <c r="C434" s="53"/>
      <c r="D434" s="53"/>
      <c r="E434" s="53"/>
      <c r="F434" s="53"/>
      <c r="G434" s="53"/>
      <c r="H434" s="53"/>
      <c r="I434" s="53"/>
      <c r="J434" s="58"/>
      <c r="K434" s="59"/>
      <c r="L434" s="53"/>
      <c r="P434" s="163"/>
      <c r="Q434" s="163"/>
      <c r="R434" s="163"/>
      <c r="S434" s="144"/>
      <c r="T434" s="144"/>
      <c r="U434" s="144"/>
      <c r="V434" s="144"/>
      <c r="W434" s="120"/>
      <c r="X434" s="144"/>
      <c r="Y434" s="144"/>
      <c r="Z434" s="144"/>
      <c r="AA434" s="332"/>
      <c r="AB434" s="144"/>
      <c r="AC434" s="144"/>
      <c r="AD434" s="144"/>
      <c r="AE434" s="144"/>
      <c r="AF434" s="144"/>
      <c r="AG434" s="144"/>
      <c r="AH434" s="144"/>
      <c r="AI434" s="144"/>
      <c r="AJ434" s="144"/>
      <c r="AK434" s="144"/>
      <c r="AL434" s="332"/>
      <c r="AM434" s="144"/>
      <c r="AN434" s="333"/>
      <c r="AO434" s="333"/>
      <c r="AP434" s="333"/>
      <c r="AQ434" s="333"/>
      <c r="AR434" s="333"/>
    </row>
    <row r="435">
      <c r="B435" s="53"/>
      <c r="C435" s="53"/>
      <c r="D435" s="53"/>
      <c r="E435" s="53"/>
      <c r="F435" s="53"/>
      <c r="G435" s="53"/>
      <c r="H435" s="53"/>
      <c r="I435" s="53"/>
      <c r="J435" s="58"/>
      <c r="K435" s="59"/>
      <c r="L435" s="53"/>
      <c r="P435" s="163"/>
      <c r="Q435" s="163"/>
      <c r="R435" s="163"/>
      <c r="S435" s="144"/>
      <c r="T435" s="144"/>
      <c r="U435" s="144"/>
      <c r="V435" s="144"/>
      <c r="W435" s="120"/>
      <c r="X435" s="144"/>
      <c r="Y435" s="144"/>
      <c r="Z435" s="144"/>
      <c r="AA435" s="332"/>
      <c r="AB435" s="144"/>
      <c r="AC435" s="144"/>
      <c r="AD435" s="144"/>
      <c r="AE435" s="144"/>
      <c r="AF435" s="144"/>
      <c r="AG435" s="144"/>
      <c r="AH435" s="144"/>
      <c r="AI435" s="144"/>
      <c r="AJ435" s="144"/>
      <c r="AK435" s="144"/>
      <c r="AL435" s="332"/>
      <c r="AM435" s="144"/>
      <c r="AN435" s="333"/>
      <c r="AO435" s="333"/>
      <c r="AP435" s="333"/>
      <c r="AQ435" s="333"/>
      <c r="AR435" s="333"/>
    </row>
    <row r="436">
      <c r="B436" s="53"/>
      <c r="C436" s="53"/>
      <c r="D436" s="53"/>
      <c r="E436" s="53"/>
      <c r="F436" s="53"/>
      <c r="G436" s="53"/>
      <c r="H436" s="53"/>
      <c r="I436" s="53"/>
      <c r="J436" s="58"/>
      <c r="K436" s="59"/>
      <c r="L436" s="53"/>
      <c r="P436" s="163"/>
      <c r="Q436" s="163"/>
      <c r="R436" s="163"/>
      <c r="S436" s="144"/>
      <c r="T436" s="144"/>
      <c r="U436" s="144"/>
      <c r="V436" s="144"/>
      <c r="W436" s="120"/>
      <c r="X436" s="144"/>
      <c r="Y436" s="144"/>
      <c r="Z436" s="144"/>
      <c r="AA436" s="332"/>
      <c r="AB436" s="144"/>
      <c r="AC436" s="144"/>
      <c r="AD436" s="144"/>
      <c r="AE436" s="144"/>
      <c r="AF436" s="144"/>
      <c r="AG436" s="144"/>
      <c r="AH436" s="144"/>
      <c r="AI436" s="144"/>
      <c r="AJ436" s="144"/>
      <c r="AK436" s="144"/>
      <c r="AL436" s="332"/>
      <c r="AM436" s="144"/>
      <c r="AN436" s="333"/>
      <c r="AO436" s="333"/>
      <c r="AP436" s="333"/>
      <c r="AQ436" s="333"/>
      <c r="AR436" s="333"/>
    </row>
    <row r="437">
      <c r="B437" s="53"/>
      <c r="C437" s="53"/>
      <c r="D437" s="53"/>
      <c r="E437" s="53"/>
      <c r="F437" s="53"/>
      <c r="G437" s="53"/>
      <c r="H437" s="53"/>
      <c r="I437" s="53"/>
      <c r="J437" s="58"/>
      <c r="K437" s="59"/>
      <c r="L437" s="53"/>
      <c r="P437" s="163"/>
      <c r="Q437" s="163"/>
      <c r="R437" s="163"/>
      <c r="S437" s="144"/>
      <c r="T437" s="144"/>
      <c r="U437" s="144"/>
      <c r="V437" s="144"/>
      <c r="W437" s="120"/>
      <c r="X437" s="144"/>
      <c r="Y437" s="144"/>
      <c r="Z437" s="144"/>
      <c r="AA437" s="332"/>
      <c r="AB437" s="144"/>
      <c r="AC437" s="144"/>
      <c r="AD437" s="144"/>
      <c r="AE437" s="144"/>
      <c r="AF437" s="144"/>
      <c r="AG437" s="144"/>
      <c r="AH437" s="144"/>
      <c r="AI437" s="144"/>
      <c r="AJ437" s="144"/>
      <c r="AK437" s="144"/>
      <c r="AL437" s="332"/>
      <c r="AM437" s="144"/>
      <c r="AN437" s="333"/>
      <c r="AO437" s="333"/>
      <c r="AP437" s="333"/>
      <c r="AQ437" s="333"/>
      <c r="AR437" s="333"/>
    </row>
    <row r="438">
      <c r="B438" s="53"/>
      <c r="C438" s="53"/>
      <c r="D438" s="53"/>
      <c r="E438" s="53"/>
      <c r="F438" s="53"/>
      <c r="G438" s="53"/>
      <c r="H438" s="53"/>
      <c r="I438" s="53"/>
      <c r="J438" s="58"/>
      <c r="K438" s="59"/>
      <c r="L438" s="53"/>
      <c r="P438" s="163"/>
      <c r="Q438" s="163"/>
      <c r="R438" s="163"/>
      <c r="S438" s="144"/>
      <c r="T438" s="144"/>
      <c r="U438" s="144"/>
      <c r="V438" s="144"/>
      <c r="W438" s="120"/>
      <c r="X438" s="144"/>
      <c r="Y438" s="144"/>
      <c r="Z438" s="144"/>
      <c r="AA438" s="332"/>
      <c r="AB438" s="144"/>
      <c r="AC438" s="144"/>
      <c r="AD438" s="144"/>
      <c r="AE438" s="144"/>
      <c r="AF438" s="144"/>
      <c r="AG438" s="144"/>
      <c r="AH438" s="144"/>
      <c r="AI438" s="144"/>
      <c r="AJ438" s="144"/>
      <c r="AK438" s="144"/>
      <c r="AL438" s="332"/>
      <c r="AM438" s="144"/>
      <c r="AN438" s="333"/>
      <c r="AO438" s="333"/>
      <c r="AP438" s="333"/>
      <c r="AQ438" s="333"/>
      <c r="AR438" s="333"/>
    </row>
    <row r="439">
      <c r="B439" s="53"/>
      <c r="C439" s="53"/>
      <c r="D439" s="53"/>
      <c r="E439" s="53"/>
      <c r="F439" s="53"/>
      <c r="G439" s="53"/>
      <c r="H439" s="53"/>
      <c r="I439" s="53"/>
      <c r="J439" s="58"/>
      <c r="K439" s="59"/>
      <c r="L439" s="53"/>
      <c r="P439" s="163"/>
      <c r="Q439" s="163"/>
      <c r="R439" s="163"/>
      <c r="S439" s="144"/>
      <c r="T439" s="144"/>
      <c r="U439" s="144"/>
      <c r="V439" s="144"/>
      <c r="W439" s="120"/>
      <c r="X439" s="144"/>
      <c r="Y439" s="144"/>
      <c r="Z439" s="144"/>
      <c r="AA439" s="332"/>
      <c r="AB439" s="144"/>
      <c r="AC439" s="144"/>
      <c r="AD439" s="144"/>
      <c r="AE439" s="144"/>
      <c r="AF439" s="144"/>
      <c r="AG439" s="144"/>
      <c r="AH439" s="144"/>
      <c r="AI439" s="144"/>
      <c r="AJ439" s="144"/>
      <c r="AK439" s="144"/>
      <c r="AL439" s="332"/>
      <c r="AM439" s="144"/>
      <c r="AN439" s="333"/>
      <c r="AO439" s="333"/>
      <c r="AP439" s="333"/>
      <c r="AQ439" s="333"/>
      <c r="AR439" s="333"/>
    </row>
    <row r="440">
      <c r="B440" s="53"/>
      <c r="C440" s="53"/>
      <c r="D440" s="53"/>
      <c r="E440" s="53"/>
      <c r="F440" s="53"/>
      <c r="G440" s="53"/>
      <c r="H440" s="53"/>
      <c r="I440" s="53"/>
      <c r="J440" s="58"/>
      <c r="K440" s="59"/>
      <c r="L440" s="53"/>
      <c r="P440" s="163"/>
      <c r="Q440" s="163"/>
      <c r="R440" s="163"/>
      <c r="S440" s="144"/>
      <c r="T440" s="144"/>
      <c r="U440" s="144"/>
      <c r="V440" s="144"/>
      <c r="W440" s="120"/>
      <c r="X440" s="144"/>
      <c r="Y440" s="144"/>
      <c r="Z440" s="144"/>
      <c r="AA440" s="332"/>
      <c r="AB440" s="144"/>
      <c r="AC440" s="144"/>
      <c r="AD440" s="144"/>
      <c r="AE440" s="144"/>
      <c r="AF440" s="144"/>
      <c r="AG440" s="144"/>
      <c r="AH440" s="144"/>
      <c r="AI440" s="144"/>
      <c r="AJ440" s="144"/>
      <c r="AK440" s="144"/>
      <c r="AL440" s="332"/>
      <c r="AM440" s="144"/>
      <c r="AN440" s="333"/>
      <c r="AO440" s="333"/>
      <c r="AP440" s="333"/>
      <c r="AQ440" s="333"/>
      <c r="AR440" s="333"/>
    </row>
    <row r="441">
      <c r="B441" s="53"/>
      <c r="C441" s="53"/>
      <c r="D441" s="53"/>
      <c r="E441" s="53"/>
      <c r="F441" s="53"/>
      <c r="G441" s="53"/>
      <c r="H441" s="53"/>
      <c r="I441" s="53"/>
      <c r="J441" s="58"/>
      <c r="K441" s="59"/>
      <c r="L441" s="53"/>
      <c r="P441" s="163"/>
      <c r="Q441" s="163"/>
      <c r="R441" s="163"/>
      <c r="S441" s="144"/>
      <c r="T441" s="144"/>
      <c r="U441" s="144"/>
      <c r="V441" s="144"/>
      <c r="W441" s="120"/>
      <c r="X441" s="144"/>
      <c r="Y441" s="144"/>
      <c r="Z441" s="144"/>
      <c r="AA441" s="332"/>
      <c r="AB441" s="144"/>
      <c r="AC441" s="144"/>
      <c r="AD441" s="144"/>
      <c r="AE441" s="144"/>
      <c r="AF441" s="144"/>
      <c r="AG441" s="144"/>
      <c r="AH441" s="144"/>
      <c r="AI441" s="144"/>
      <c r="AJ441" s="144"/>
      <c r="AK441" s="144"/>
      <c r="AL441" s="332"/>
      <c r="AM441" s="144"/>
      <c r="AN441" s="333"/>
      <c r="AO441" s="333"/>
      <c r="AP441" s="333"/>
      <c r="AQ441" s="333"/>
      <c r="AR441" s="333"/>
    </row>
    <row r="442">
      <c r="B442" s="53"/>
      <c r="C442" s="53"/>
      <c r="D442" s="53"/>
      <c r="E442" s="53"/>
      <c r="F442" s="53"/>
      <c r="G442" s="53"/>
      <c r="H442" s="53"/>
      <c r="I442" s="53"/>
      <c r="J442" s="58"/>
      <c r="K442" s="59"/>
      <c r="L442" s="53"/>
      <c r="P442" s="163"/>
      <c r="Q442" s="163"/>
      <c r="R442" s="163"/>
      <c r="S442" s="144"/>
      <c r="T442" s="144"/>
      <c r="U442" s="144"/>
      <c r="V442" s="144"/>
      <c r="W442" s="120"/>
      <c r="X442" s="144"/>
      <c r="Y442" s="144"/>
      <c r="Z442" s="144"/>
      <c r="AA442" s="332"/>
      <c r="AB442" s="144"/>
      <c r="AC442" s="144"/>
      <c r="AD442" s="144"/>
      <c r="AE442" s="144"/>
      <c r="AF442" s="144"/>
      <c r="AG442" s="144"/>
      <c r="AH442" s="144"/>
      <c r="AI442" s="144"/>
      <c r="AJ442" s="144"/>
      <c r="AK442" s="144"/>
      <c r="AL442" s="332"/>
      <c r="AM442" s="144"/>
      <c r="AN442" s="333"/>
      <c r="AO442" s="333"/>
      <c r="AP442" s="333"/>
      <c r="AQ442" s="333"/>
      <c r="AR442" s="333"/>
    </row>
    <row r="443">
      <c r="B443" s="53"/>
      <c r="C443" s="53"/>
      <c r="D443" s="53"/>
      <c r="E443" s="53"/>
      <c r="F443" s="53"/>
      <c r="G443" s="53"/>
      <c r="H443" s="53"/>
      <c r="I443" s="53"/>
      <c r="J443" s="58"/>
      <c r="K443" s="59"/>
      <c r="L443" s="53"/>
      <c r="P443" s="163"/>
      <c r="Q443" s="163"/>
      <c r="R443" s="163"/>
      <c r="S443" s="144"/>
      <c r="T443" s="144"/>
      <c r="U443" s="144"/>
      <c r="V443" s="144"/>
      <c r="W443" s="120"/>
      <c r="X443" s="144"/>
      <c r="Y443" s="144"/>
      <c r="Z443" s="144"/>
      <c r="AA443" s="332"/>
      <c r="AB443" s="144"/>
      <c r="AC443" s="144"/>
      <c r="AD443" s="144"/>
      <c r="AE443" s="144"/>
      <c r="AF443" s="144"/>
      <c r="AG443" s="144"/>
      <c r="AH443" s="144"/>
      <c r="AI443" s="144"/>
      <c r="AJ443" s="144"/>
      <c r="AK443" s="144"/>
      <c r="AL443" s="332"/>
      <c r="AM443" s="144"/>
      <c r="AN443" s="333"/>
      <c r="AO443" s="333"/>
      <c r="AP443" s="333"/>
      <c r="AQ443" s="333"/>
      <c r="AR443" s="333"/>
    </row>
    <row r="444">
      <c r="B444" s="53"/>
      <c r="C444" s="53"/>
      <c r="D444" s="53"/>
      <c r="E444" s="53"/>
      <c r="F444" s="53"/>
      <c r="G444" s="53"/>
      <c r="H444" s="53"/>
      <c r="I444" s="53"/>
      <c r="J444" s="58"/>
      <c r="K444" s="59"/>
      <c r="L444" s="53"/>
      <c r="P444" s="163"/>
      <c r="Q444" s="163"/>
      <c r="R444" s="163"/>
      <c r="S444" s="144"/>
      <c r="T444" s="144"/>
      <c r="U444" s="144"/>
      <c r="V444" s="144"/>
      <c r="W444" s="120"/>
      <c r="X444" s="144"/>
      <c r="Y444" s="144"/>
      <c r="Z444" s="144"/>
      <c r="AA444" s="332"/>
      <c r="AB444" s="144"/>
      <c r="AC444" s="144"/>
      <c r="AD444" s="144"/>
      <c r="AE444" s="144"/>
      <c r="AF444" s="144"/>
      <c r="AG444" s="144"/>
      <c r="AH444" s="144"/>
      <c r="AI444" s="144"/>
      <c r="AJ444" s="144"/>
      <c r="AK444" s="144"/>
      <c r="AL444" s="332"/>
      <c r="AM444" s="144"/>
      <c r="AN444" s="333"/>
      <c r="AO444" s="333"/>
      <c r="AP444" s="333"/>
      <c r="AQ444" s="333"/>
      <c r="AR444" s="333"/>
    </row>
    <row r="445">
      <c r="B445" s="53"/>
      <c r="C445" s="53"/>
      <c r="D445" s="53"/>
      <c r="E445" s="53"/>
      <c r="F445" s="53"/>
      <c r="G445" s="53"/>
      <c r="H445" s="53"/>
      <c r="I445" s="53"/>
      <c r="J445" s="58"/>
      <c r="K445" s="59"/>
      <c r="L445" s="53"/>
      <c r="P445" s="163"/>
      <c r="Q445" s="163"/>
      <c r="R445" s="163"/>
      <c r="S445" s="144"/>
      <c r="T445" s="144"/>
      <c r="U445" s="144"/>
      <c r="V445" s="144"/>
      <c r="W445" s="120"/>
      <c r="X445" s="144"/>
      <c r="Y445" s="144"/>
      <c r="Z445" s="144"/>
      <c r="AA445" s="332"/>
      <c r="AB445" s="144"/>
      <c r="AC445" s="144"/>
      <c r="AD445" s="144"/>
      <c r="AE445" s="144"/>
      <c r="AF445" s="144"/>
      <c r="AG445" s="144"/>
      <c r="AH445" s="144"/>
      <c r="AI445" s="144"/>
      <c r="AJ445" s="144"/>
      <c r="AK445" s="144"/>
      <c r="AL445" s="332"/>
      <c r="AM445" s="144"/>
      <c r="AN445" s="333"/>
      <c r="AO445" s="333"/>
      <c r="AP445" s="333"/>
      <c r="AQ445" s="333"/>
      <c r="AR445" s="333"/>
    </row>
    <row r="446">
      <c r="B446" s="53"/>
      <c r="C446" s="53"/>
      <c r="D446" s="53"/>
      <c r="E446" s="53"/>
      <c r="F446" s="53"/>
      <c r="G446" s="53"/>
      <c r="H446" s="53"/>
      <c r="I446" s="53"/>
      <c r="J446" s="58"/>
      <c r="K446" s="59"/>
      <c r="L446" s="53"/>
      <c r="P446" s="163"/>
      <c r="Q446" s="163"/>
      <c r="R446" s="163"/>
      <c r="S446" s="144"/>
      <c r="T446" s="144"/>
      <c r="U446" s="144"/>
      <c r="V446" s="144"/>
      <c r="W446" s="120"/>
      <c r="X446" s="144"/>
      <c r="Y446" s="144"/>
      <c r="Z446" s="144"/>
      <c r="AA446" s="332"/>
      <c r="AB446" s="144"/>
      <c r="AC446" s="144"/>
      <c r="AD446" s="144"/>
      <c r="AE446" s="144"/>
      <c r="AF446" s="144"/>
      <c r="AG446" s="144"/>
      <c r="AH446" s="144"/>
      <c r="AI446" s="144"/>
      <c r="AJ446" s="144"/>
      <c r="AK446" s="144"/>
      <c r="AL446" s="332"/>
      <c r="AM446" s="144"/>
      <c r="AN446" s="333"/>
      <c r="AO446" s="333"/>
      <c r="AP446" s="333"/>
      <c r="AQ446" s="333"/>
      <c r="AR446" s="333"/>
    </row>
    <row r="447">
      <c r="B447" s="53"/>
      <c r="C447" s="53"/>
      <c r="D447" s="53"/>
      <c r="E447" s="53"/>
      <c r="F447" s="53"/>
      <c r="G447" s="53"/>
      <c r="H447" s="53"/>
      <c r="I447" s="53"/>
      <c r="J447" s="58"/>
      <c r="K447" s="59"/>
      <c r="L447" s="53"/>
      <c r="P447" s="163"/>
      <c r="Q447" s="163"/>
      <c r="R447" s="163"/>
      <c r="S447" s="144"/>
      <c r="T447" s="144"/>
      <c r="U447" s="144"/>
      <c r="V447" s="144"/>
      <c r="W447" s="120"/>
      <c r="X447" s="144"/>
      <c r="Y447" s="144"/>
      <c r="Z447" s="144"/>
      <c r="AA447" s="332"/>
      <c r="AB447" s="144"/>
      <c r="AC447" s="144"/>
      <c r="AD447" s="144"/>
      <c r="AE447" s="144"/>
      <c r="AF447" s="144"/>
      <c r="AG447" s="144"/>
      <c r="AH447" s="144"/>
      <c r="AI447" s="144"/>
      <c r="AJ447" s="144"/>
      <c r="AK447" s="144"/>
      <c r="AL447" s="332"/>
      <c r="AM447" s="144"/>
      <c r="AN447" s="333"/>
      <c r="AO447" s="333"/>
      <c r="AP447" s="333"/>
      <c r="AQ447" s="333"/>
      <c r="AR447" s="333"/>
    </row>
    <row r="448">
      <c r="B448" s="53"/>
      <c r="C448" s="53"/>
      <c r="D448" s="53"/>
      <c r="E448" s="53"/>
      <c r="F448" s="53"/>
      <c r="G448" s="53"/>
      <c r="H448" s="53"/>
      <c r="I448" s="53"/>
      <c r="J448" s="58"/>
      <c r="K448" s="59"/>
      <c r="L448" s="53"/>
      <c r="P448" s="163"/>
      <c r="Q448" s="163"/>
      <c r="R448" s="163"/>
      <c r="S448" s="144"/>
      <c r="T448" s="144"/>
      <c r="U448" s="144"/>
      <c r="V448" s="144"/>
      <c r="W448" s="120"/>
      <c r="X448" s="144"/>
      <c r="Y448" s="144"/>
      <c r="Z448" s="144"/>
      <c r="AA448" s="332"/>
      <c r="AB448" s="144"/>
      <c r="AC448" s="144"/>
      <c r="AD448" s="144"/>
      <c r="AE448" s="144"/>
      <c r="AF448" s="144"/>
      <c r="AG448" s="144"/>
      <c r="AH448" s="144"/>
      <c r="AI448" s="144"/>
      <c r="AJ448" s="144"/>
      <c r="AK448" s="144"/>
      <c r="AL448" s="332"/>
      <c r="AM448" s="144"/>
      <c r="AN448" s="333"/>
      <c r="AO448" s="333"/>
      <c r="AP448" s="333"/>
      <c r="AQ448" s="333"/>
      <c r="AR448" s="333"/>
    </row>
    <row r="449">
      <c r="B449" s="53"/>
      <c r="C449" s="53"/>
      <c r="D449" s="53"/>
      <c r="E449" s="53"/>
      <c r="F449" s="53"/>
      <c r="G449" s="53"/>
      <c r="H449" s="53"/>
      <c r="I449" s="53"/>
      <c r="J449" s="58"/>
      <c r="K449" s="59"/>
      <c r="L449" s="53"/>
      <c r="P449" s="163"/>
      <c r="Q449" s="163"/>
      <c r="R449" s="163"/>
      <c r="S449" s="144"/>
      <c r="T449" s="144"/>
      <c r="U449" s="144"/>
      <c r="V449" s="144"/>
      <c r="W449" s="120"/>
      <c r="X449" s="144"/>
      <c r="Y449" s="144"/>
      <c r="Z449" s="144"/>
      <c r="AA449" s="332"/>
      <c r="AB449" s="144"/>
      <c r="AC449" s="144"/>
      <c r="AD449" s="144"/>
      <c r="AE449" s="144"/>
      <c r="AF449" s="144"/>
      <c r="AG449" s="144"/>
      <c r="AH449" s="144"/>
      <c r="AI449" s="144"/>
      <c r="AJ449" s="144"/>
      <c r="AK449" s="144"/>
      <c r="AL449" s="332"/>
      <c r="AM449" s="144"/>
      <c r="AN449" s="333"/>
      <c r="AO449" s="333"/>
      <c r="AP449" s="333"/>
      <c r="AQ449" s="333"/>
      <c r="AR449" s="333"/>
    </row>
    <row r="450">
      <c r="B450" s="53"/>
      <c r="C450" s="53"/>
      <c r="D450" s="53"/>
      <c r="E450" s="53"/>
      <c r="F450" s="53"/>
      <c r="G450" s="53"/>
      <c r="H450" s="53"/>
      <c r="I450" s="53"/>
      <c r="J450" s="58"/>
      <c r="K450" s="59"/>
      <c r="L450" s="53"/>
      <c r="P450" s="163"/>
      <c r="Q450" s="163"/>
      <c r="R450" s="163"/>
      <c r="S450" s="144"/>
      <c r="T450" s="144"/>
      <c r="U450" s="144"/>
      <c r="V450" s="144"/>
      <c r="W450" s="120"/>
      <c r="X450" s="144"/>
      <c r="Y450" s="144"/>
      <c r="Z450" s="144"/>
      <c r="AA450" s="332"/>
      <c r="AB450" s="144"/>
      <c r="AC450" s="144"/>
      <c r="AD450" s="144"/>
      <c r="AE450" s="144"/>
      <c r="AF450" s="144"/>
      <c r="AG450" s="144"/>
      <c r="AH450" s="144"/>
      <c r="AI450" s="144"/>
      <c r="AJ450" s="144"/>
      <c r="AK450" s="144"/>
      <c r="AL450" s="332"/>
      <c r="AM450" s="144"/>
      <c r="AN450" s="333"/>
      <c r="AO450" s="333"/>
      <c r="AP450" s="333"/>
      <c r="AQ450" s="333"/>
      <c r="AR450" s="333"/>
    </row>
    <row r="451">
      <c r="B451" s="53"/>
      <c r="C451" s="53"/>
      <c r="D451" s="53"/>
      <c r="E451" s="53"/>
      <c r="F451" s="53"/>
      <c r="G451" s="53"/>
      <c r="H451" s="53"/>
      <c r="I451" s="53"/>
      <c r="J451" s="58"/>
      <c r="K451" s="59"/>
      <c r="L451" s="53"/>
    </row>
    <row r="452">
      <c r="B452" s="53"/>
      <c r="C452" s="53"/>
      <c r="D452" s="53"/>
      <c r="E452" s="53"/>
      <c r="F452" s="53"/>
      <c r="G452" s="53"/>
      <c r="H452" s="53"/>
      <c r="I452" s="53"/>
      <c r="J452" s="58"/>
      <c r="K452" s="59"/>
      <c r="L452" s="53"/>
    </row>
    <row r="453">
      <c r="B453" s="53"/>
      <c r="C453" s="53"/>
      <c r="D453" s="53"/>
      <c r="E453" s="53"/>
      <c r="F453" s="53"/>
      <c r="G453" s="53"/>
      <c r="H453" s="53"/>
      <c r="I453" s="53"/>
      <c r="J453" s="58"/>
      <c r="K453" s="59"/>
      <c r="L453" s="53"/>
    </row>
    <row r="454">
      <c r="B454" s="53"/>
      <c r="C454" s="53"/>
      <c r="D454" s="53"/>
      <c r="E454" s="53"/>
      <c r="F454" s="53"/>
      <c r="G454" s="53"/>
      <c r="H454" s="53"/>
      <c r="I454" s="53"/>
      <c r="J454" s="58"/>
      <c r="K454" s="59"/>
      <c r="L454" s="53"/>
    </row>
    <row r="455">
      <c r="B455" s="53"/>
      <c r="C455" s="53"/>
      <c r="D455" s="53"/>
      <c r="E455" s="53"/>
      <c r="F455" s="53"/>
      <c r="G455" s="53"/>
      <c r="H455" s="53"/>
      <c r="I455" s="53"/>
      <c r="J455" s="58"/>
      <c r="K455" s="59"/>
      <c r="L455" s="53"/>
    </row>
    <row r="456">
      <c r="B456" s="53"/>
      <c r="C456" s="53"/>
      <c r="D456" s="53"/>
      <c r="E456" s="53"/>
      <c r="F456" s="53"/>
      <c r="G456" s="53"/>
      <c r="H456" s="53"/>
      <c r="I456" s="53"/>
      <c r="J456" s="58"/>
      <c r="K456" s="59"/>
      <c r="L456" s="53"/>
    </row>
    <row r="457">
      <c r="B457" s="53"/>
      <c r="C457" s="53"/>
      <c r="D457" s="53"/>
      <c r="E457" s="53"/>
      <c r="F457" s="53"/>
      <c r="G457" s="53"/>
      <c r="H457" s="53"/>
      <c r="I457" s="53"/>
      <c r="J457" s="58"/>
      <c r="K457" s="59"/>
      <c r="L457" s="53"/>
    </row>
    <row r="458">
      <c r="B458" s="53"/>
      <c r="C458" s="53"/>
      <c r="D458" s="53"/>
      <c r="E458" s="53"/>
      <c r="F458" s="53"/>
      <c r="G458" s="53"/>
      <c r="H458" s="53"/>
      <c r="I458" s="53"/>
      <c r="J458" s="58"/>
      <c r="K458" s="59"/>
      <c r="L458" s="53"/>
    </row>
    <row r="459">
      <c r="B459" s="53"/>
      <c r="C459" s="53"/>
      <c r="D459" s="53"/>
      <c r="E459" s="53"/>
      <c r="F459" s="53"/>
      <c r="G459" s="53"/>
      <c r="H459" s="53"/>
      <c r="I459" s="53"/>
      <c r="J459" s="58"/>
      <c r="K459" s="59"/>
      <c r="L459" s="53"/>
    </row>
    <row r="460">
      <c r="B460" s="53"/>
      <c r="C460" s="53"/>
      <c r="D460" s="53"/>
      <c r="E460" s="53"/>
      <c r="F460" s="53"/>
      <c r="G460" s="53"/>
      <c r="H460" s="53"/>
      <c r="I460" s="53"/>
      <c r="J460" s="58"/>
      <c r="K460" s="59"/>
      <c r="L460" s="53"/>
    </row>
    <row r="461">
      <c r="B461" s="53"/>
      <c r="C461" s="53"/>
      <c r="D461" s="53"/>
      <c r="E461" s="53"/>
      <c r="F461" s="53"/>
      <c r="G461" s="53"/>
      <c r="H461" s="53"/>
      <c r="I461" s="53"/>
      <c r="J461" s="58"/>
      <c r="K461" s="59"/>
      <c r="L461" s="53"/>
    </row>
    <row r="462">
      <c r="B462" s="53"/>
      <c r="C462" s="53"/>
      <c r="D462" s="53"/>
      <c r="E462" s="53"/>
      <c r="F462" s="53"/>
      <c r="G462" s="53"/>
      <c r="H462" s="53"/>
      <c r="I462" s="53"/>
      <c r="J462" s="58"/>
      <c r="K462" s="59"/>
      <c r="L462" s="53"/>
    </row>
    <row r="463">
      <c r="B463" s="53"/>
      <c r="C463" s="53"/>
      <c r="D463" s="53"/>
      <c r="E463" s="53"/>
      <c r="F463" s="53"/>
      <c r="G463" s="53"/>
      <c r="H463" s="53"/>
      <c r="I463" s="53"/>
      <c r="J463" s="58"/>
      <c r="K463" s="59"/>
      <c r="L463" s="53"/>
    </row>
    <row r="464">
      <c r="B464" s="53"/>
      <c r="C464" s="53"/>
      <c r="D464" s="53"/>
      <c r="E464" s="53"/>
      <c r="F464" s="53"/>
      <c r="G464" s="53"/>
      <c r="H464" s="53"/>
      <c r="I464" s="53"/>
      <c r="J464" s="58"/>
      <c r="K464" s="59"/>
      <c r="L464" s="53"/>
    </row>
    <row r="465">
      <c r="B465" s="53"/>
      <c r="C465" s="53"/>
      <c r="D465" s="53"/>
      <c r="E465" s="53"/>
      <c r="F465" s="53"/>
      <c r="G465" s="53"/>
      <c r="H465" s="53"/>
      <c r="I465" s="53"/>
      <c r="J465" s="58"/>
      <c r="K465" s="59"/>
      <c r="L465" s="53"/>
    </row>
    <row r="466">
      <c r="B466" s="53"/>
      <c r="C466" s="53"/>
      <c r="D466" s="53"/>
      <c r="E466" s="53"/>
      <c r="F466" s="53"/>
      <c r="G466" s="53"/>
      <c r="H466" s="53"/>
      <c r="I466" s="53"/>
      <c r="J466" s="58"/>
      <c r="K466" s="59"/>
      <c r="L466" s="53"/>
    </row>
    <row r="467">
      <c r="B467" s="53"/>
      <c r="C467" s="53"/>
      <c r="D467" s="53"/>
      <c r="E467" s="53"/>
      <c r="F467" s="53"/>
      <c r="G467" s="53"/>
      <c r="H467" s="53"/>
      <c r="I467" s="53"/>
      <c r="J467" s="58"/>
      <c r="K467" s="59"/>
      <c r="L467" s="53"/>
    </row>
    <row r="468">
      <c r="B468" s="53"/>
      <c r="C468" s="53"/>
      <c r="D468" s="53"/>
      <c r="E468" s="53"/>
      <c r="F468" s="53"/>
      <c r="G468" s="53"/>
      <c r="H468" s="53"/>
      <c r="I468" s="53"/>
      <c r="J468" s="58"/>
      <c r="K468" s="59"/>
      <c r="L468" s="53"/>
    </row>
    <row r="469">
      <c r="B469" s="53"/>
      <c r="C469" s="53"/>
      <c r="D469" s="53"/>
      <c r="E469" s="53"/>
      <c r="F469" s="53"/>
      <c r="G469" s="53"/>
      <c r="H469" s="53"/>
      <c r="I469" s="53"/>
      <c r="J469" s="58"/>
      <c r="K469" s="59"/>
      <c r="L469" s="53"/>
    </row>
    <row r="470">
      <c r="B470" s="53"/>
      <c r="C470" s="53"/>
      <c r="D470" s="53"/>
      <c r="E470" s="53"/>
      <c r="F470" s="53"/>
      <c r="G470" s="53"/>
      <c r="H470" s="53"/>
      <c r="I470" s="53"/>
      <c r="J470" s="58"/>
      <c r="K470" s="59"/>
      <c r="L470" s="53"/>
    </row>
    <row r="471">
      <c r="B471" s="53"/>
      <c r="C471" s="53"/>
      <c r="D471" s="53"/>
      <c r="E471" s="53"/>
      <c r="F471" s="53"/>
      <c r="G471" s="53"/>
      <c r="H471" s="53"/>
      <c r="I471" s="53"/>
      <c r="J471" s="58"/>
      <c r="K471" s="59"/>
      <c r="L471" s="53"/>
    </row>
    <row r="472">
      <c r="B472" s="53"/>
      <c r="C472" s="53"/>
      <c r="D472" s="53"/>
      <c r="E472" s="53"/>
      <c r="F472" s="53"/>
      <c r="G472" s="53"/>
      <c r="H472" s="53"/>
      <c r="I472" s="53"/>
      <c r="J472" s="58"/>
      <c r="K472" s="59"/>
      <c r="L472" s="53"/>
    </row>
    <row r="473">
      <c r="B473" s="53"/>
      <c r="C473" s="53"/>
      <c r="D473" s="53"/>
      <c r="E473" s="53"/>
      <c r="F473" s="53"/>
      <c r="G473" s="53"/>
      <c r="H473" s="53"/>
      <c r="I473" s="53"/>
      <c r="J473" s="58"/>
      <c r="K473" s="59"/>
      <c r="L473" s="53"/>
    </row>
    <row r="474">
      <c r="B474" s="53"/>
      <c r="C474" s="53"/>
      <c r="D474" s="53"/>
      <c r="E474" s="53"/>
      <c r="F474" s="53"/>
      <c r="G474" s="53"/>
      <c r="H474" s="53"/>
      <c r="I474" s="53"/>
      <c r="J474" s="58"/>
      <c r="K474" s="59"/>
      <c r="L474" s="53"/>
    </row>
    <row r="475">
      <c r="B475" s="53"/>
      <c r="C475" s="53"/>
      <c r="D475" s="53"/>
      <c r="E475" s="53"/>
      <c r="F475" s="53"/>
      <c r="G475" s="53"/>
      <c r="H475" s="53"/>
      <c r="I475" s="53"/>
      <c r="J475" s="58"/>
      <c r="K475" s="59"/>
      <c r="L475" s="53"/>
    </row>
    <row r="476">
      <c r="B476" s="53"/>
      <c r="C476" s="53"/>
      <c r="D476" s="53"/>
      <c r="E476" s="53"/>
      <c r="F476" s="53"/>
      <c r="G476" s="53"/>
      <c r="H476" s="53"/>
      <c r="I476" s="53"/>
      <c r="J476" s="58"/>
      <c r="K476" s="59"/>
      <c r="L476" s="53"/>
    </row>
    <row r="477">
      <c r="B477" s="53"/>
      <c r="C477" s="53"/>
      <c r="D477" s="53"/>
      <c r="E477" s="53"/>
      <c r="F477" s="53"/>
      <c r="G477" s="53"/>
      <c r="H477" s="53"/>
      <c r="I477" s="53"/>
      <c r="J477" s="58"/>
      <c r="K477" s="59"/>
      <c r="L477" s="53"/>
    </row>
    <row r="478">
      <c r="B478" s="53"/>
      <c r="C478" s="53"/>
      <c r="D478" s="53"/>
      <c r="E478" s="53"/>
      <c r="F478" s="53"/>
      <c r="G478" s="53"/>
      <c r="H478" s="53"/>
      <c r="I478" s="53"/>
      <c r="J478" s="58"/>
      <c r="K478" s="59"/>
      <c r="L478" s="53"/>
    </row>
    <row r="479">
      <c r="B479" s="53"/>
      <c r="C479" s="53"/>
      <c r="D479" s="53"/>
      <c r="E479" s="53"/>
      <c r="F479" s="53"/>
      <c r="G479" s="53"/>
      <c r="H479" s="53"/>
      <c r="I479" s="53"/>
      <c r="J479" s="58"/>
      <c r="K479" s="59"/>
      <c r="L479" s="53"/>
    </row>
    <row r="480">
      <c r="B480" s="53"/>
      <c r="C480" s="53"/>
      <c r="D480" s="53"/>
      <c r="E480" s="53"/>
      <c r="F480" s="53"/>
      <c r="G480" s="53"/>
      <c r="H480" s="53"/>
      <c r="I480" s="53"/>
      <c r="J480" s="58"/>
      <c r="K480" s="59"/>
      <c r="L480" s="53"/>
    </row>
    <row r="481">
      <c r="B481" s="53"/>
      <c r="C481" s="53"/>
      <c r="D481" s="53"/>
      <c r="E481" s="53"/>
      <c r="F481" s="53"/>
      <c r="G481" s="53"/>
      <c r="H481" s="53"/>
      <c r="I481" s="53"/>
      <c r="J481" s="58"/>
      <c r="K481" s="59"/>
      <c r="L481" s="53"/>
    </row>
    <row r="482">
      <c r="B482" s="53"/>
      <c r="C482" s="53"/>
      <c r="D482" s="53"/>
      <c r="E482" s="53"/>
      <c r="F482" s="53"/>
      <c r="G482" s="53"/>
      <c r="H482" s="53"/>
      <c r="I482" s="53"/>
      <c r="J482" s="58"/>
      <c r="K482" s="59"/>
      <c r="L482" s="53"/>
    </row>
    <row r="483">
      <c r="B483" s="53"/>
      <c r="C483" s="53"/>
      <c r="D483" s="53"/>
      <c r="E483" s="53"/>
      <c r="F483" s="53"/>
      <c r="G483" s="53"/>
      <c r="H483" s="53"/>
      <c r="I483" s="53"/>
      <c r="J483" s="58"/>
      <c r="K483" s="59"/>
      <c r="L483" s="53"/>
    </row>
    <row r="484">
      <c r="B484" s="53"/>
      <c r="C484" s="53"/>
      <c r="D484" s="53"/>
      <c r="E484" s="53"/>
      <c r="F484" s="53"/>
      <c r="G484" s="53"/>
      <c r="H484" s="53"/>
      <c r="I484" s="53"/>
      <c r="J484" s="58"/>
      <c r="K484" s="59"/>
      <c r="L484" s="53"/>
    </row>
    <row r="485">
      <c r="B485" s="53"/>
      <c r="C485" s="53"/>
      <c r="D485" s="53"/>
      <c r="E485" s="53"/>
      <c r="F485" s="53"/>
      <c r="G485" s="53"/>
      <c r="H485" s="53"/>
      <c r="I485" s="53"/>
      <c r="J485" s="58"/>
      <c r="K485" s="59"/>
      <c r="L485" s="53"/>
    </row>
    <row r="486">
      <c r="B486" s="53"/>
      <c r="C486" s="53"/>
      <c r="D486" s="53"/>
      <c r="E486" s="53"/>
      <c r="F486" s="53"/>
      <c r="G486" s="53"/>
      <c r="H486" s="53"/>
      <c r="I486" s="53"/>
      <c r="J486" s="58"/>
      <c r="K486" s="59"/>
      <c r="L486" s="53"/>
    </row>
    <row r="487">
      <c r="B487" s="53"/>
      <c r="C487" s="53"/>
      <c r="D487" s="53"/>
      <c r="E487" s="53"/>
      <c r="F487" s="53"/>
      <c r="G487" s="53"/>
      <c r="H487" s="53"/>
      <c r="I487" s="53"/>
      <c r="J487" s="58"/>
      <c r="K487" s="59"/>
      <c r="L487" s="53"/>
    </row>
    <row r="488">
      <c r="B488" s="53"/>
      <c r="C488" s="53"/>
      <c r="D488" s="53"/>
      <c r="E488" s="53"/>
      <c r="F488" s="53"/>
      <c r="G488" s="53"/>
      <c r="H488" s="53"/>
      <c r="I488" s="53"/>
      <c r="J488" s="58"/>
      <c r="K488" s="59"/>
      <c r="L488" s="53"/>
    </row>
    <row r="489">
      <c r="B489" s="53"/>
      <c r="C489" s="53"/>
      <c r="D489" s="53"/>
      <c r="E489" s="53"/>
      <c r="F489" s="53"/>
      <c r="G489" s="53"/>
      <c r="H489" s="53"/>
      <c r="I489" s="53"/>
      <c r="J489" s="58"/>
      <c r="K489" s="59"/>
      <c r="L489" s="53"/>
    </row>
    <row r="490">
      <c r="B490" s="53"/>
      <c r="C490" s="53"/>
      <c r="D490" s="53"/>
      <c r="E490" s="53"/>
      <c r="F490" s="53"/>
      <c r="G490" s="53"/>
      <c r="H490" s="53"/>
      <c r="I490" s="53"/>
      <c r="J490" s="58"/>
      <c r="K490" s="59"/>
      <c r="L490" s="53"/>
    </row>
    <row r="491">
      <c r="B491" s="53"/>
      <c r="C491" s="53"/>
      <c r="D491" s="53"/>
      <c r="E491" s="53"/>
      <c r="F491" s="53"/>
      <c r="G491" s="53"/>
      <c r="H491" s="53"/>
      <c r="I491" s="53"/>
      <c r="J491" s="58"/>
      <c r="K491" s="59"/>
      <c r="L491" s="53"/>
    </row>
    <row r="492">
      <c r="B492" s="53"/>
      <c r="C492" s="53"/>
      <c r="D492" s="53"/>
      <c r="E492" s="53"/>
      <c r="F492" s="53"/>
      <c r="G492" s="53"/>
      <c r="H492" s="53"/>
      <c r="I492" s="53"/>
      <c r="J492" s="58"/>
      <c r="K492" s="59"/>
      <c r="L492" s="53"/>
    </row>
    <row r="493">
      <c r="B493" s="53"/>
      <c r="C493" s="53"/>
      <c r="D493" s="53"/>
      <c r="E493" s="53"/>
      <c r="F493" s="53"/>
      <c r="G493" s="53"/>
      <c r="H493" s="53"/>
      <c r="I493" s="53"/>
      <c r="J493" s="58"/>
      <c r="K493" s="59"/>
      <c r="L493" s="53"/>
    </row>
    <row r="494">
      <c r="B494" s="53"/>
      <c r="C494" s="53"/>
      <c r="D494" s="53"/>
      <c r="E494" s="53"/>
      <c r="F494" s="53"/>
      <c r="G494" s="53"/>
      <c r="H494" s="53"/>
      <c r="I494" s="53"/>
      <c r="J494" s="58"/>
      <c r="K494" s="59"/>
      <c r="L494" s="53"/>
    </row>
    <row r="495">
      <c r="B495" s="53"/>
      <c r="C495" s="53"/>
      <c r="D495" s="53"/>
      <c r="E495" s="53"/>
      <c r="F495" s="53"/>
      <c r="G495" s="53"/>
      <c r="H495" s="53"/>
      <c r="I495" s="53"/>
      <c r="J495" s="58"/>
      <c r="K495" s="59"/>
      <c r="L495" s="53"/>
    </row>
    <row r="496">
      <c r="B496" s="53"/>
      <c r="C496" s="53"/>
      <c r="D496" s="53"/>
      <c r="E496" s="53"/>
      <c r="F496" s="53"/>
      <c r="G496" s="53"/>
      <c r="H496" s="53"/>
      <c r="I496" s="53"/>
      <c r="J496" s="58"/>
      <c r="K496" s="59"/>
      <c r="L496" s="53"/>
    </row>
    <row r="497">
      <c r="B497" s="53"/>
      <c r="C497" s="53"/>
      <c r="D497" s="53"/>
      <c r="E497" s="53"/>
      <c r="F497" s="53"/>
      <c r="G497" s="53"/>
      <c r="H497" s="53"/>
      <c r="I497" s="53"/>
      <c r="J497" s="58"/>
      <c r="K497" s="59"/>
      <c r="L497" s="53"/>
    </row>
    <row r="498">
      <c r="B498" s="53"/>
      <c r="C498" s="53"/>
      <c r="D498" s="53"/>
      <c r="E498" s="53"/>
      <c r="F498" s="53"/>
      <c r="G498" s="53"/>
      <c r="H498" s="53"/>
      <c r="I498" s="53"/>
      <c r="J498" s="58"/>
      <c r="K498" s="59"/>
      <c r="L498" s="53"/>
    </row>
    <row r="499">
      <c r="B499" s="53"/>
      <c r="C499" s="53"/>
      <c r="D499" s="53"/>
      <c r="E499" s="53"/>
      <c r="F499" s="53"/>
      <c r="G499" s="53"/>
      <c r="H499" s="53"/>
      <c r="I499" s="53"/>
      <c r="J499" s="58"/>
      <c r="K499" s="59"/>
      <c r="L499" s="53"/>
    </row>
    <row r="500">
      <c r="B500" s="53"/>
      <c r="C500" s="53"/>
      <c r="D500" s="53"/>
      <c r="E500" s="53"/>
      <c r="F500" s="53"/>
      <c r="G500" s="53"/>
      <c r="H500" s="53"/>
      <c r="I500" s="53"/>
      <c r="J500" s="58"/>
      <c r="K500" s="59"/>
      <c r="L500" s="53"/>
    </row>
    <row r="501">
      <c r="B501" s="53"/>
      <c r="C501" s="53"/>
      <c r="D501" s="53"/>
      <c r="E501" s="53"/>
      <c r="F501" s="53"/>
      <c r="G501" s="53"/>
      <c r="H501" s="53"/>
      <c r="I501" s="53"/>
      <c r="J501" s="58"/>
      <c r="K501" s="59"/>
      <c r="L501" s="53"/>
    </row>
    <row r="502">
      <c r="B502" s="53"/>
      <c r="C502" s="53"/>
      <c r="D502" s="53"/>
      <c r="E502" s="53"/>
      <c r="F502" s="53"/>
      <c r="G502" s="53"/>
      <c r="H502" s="53"/>
      <c r="I502" s="53"/>
      <c r="J502" s="58"/>
      <c r="K502" s="59"/>
      <c r="L502" s="53"/>
    </row>
    <row r="503">
      <c r="B503" s="53"/>
      <c r="C503" s="53"/>
      <c r="D503" s="53"/>
      <c r="E503" s="53"/>
      <c r="F503" s="53"/>
      <c r="G503" s="53"/>
      <c r="H503" s="53"/>
      <c r="I503" s="53"/>
      <c r="J503" s="58"/>
      <c r="K503" s="59"/>
      <c r="L503" s="53"/>
    </row>
    <row r="504">
      <c r="B504" s="53"/>
      <c r="C504" s="53"/>
      <c r="D504" s="53"/>
      <c r="E504" s="53"/>
      <c r="F504" s="53"/>
      <c r="G504" s="53"/>
      <c r="H504" s="53"/>
      <c r="I504" s="53"/>
      <c r="J504" s="58"/>
      <c r="K504" s="59"/>
      <c r="L504" s="53"/>
    </row>
    <row r="505">
      <c r="B505" s="53"/>
      <c r="C505" s="53"/>
      <c r="D505" s="53"/>
      <c r="E505" s="53"/>
      <c r="F505" s="53"/>
      <c r="G505" s="53"/>
      <c r="H505" s="53"/>
      <c r="I505" s="53"/>
      <c r="J505" s="58"/>
      <c r="K505" s="59"/>
      <c r="L505" s="53"/>
    </row>
    <row r="506">
      <c r="B506" s="53"/>
      <c r="C506" s="53"/>
      <c r="D506" s="53"/>
      <c r="E506" s="53"/>
      <c r="F506" s="53"/>
      <c r="G506" s="53"/>
      <c r="H506" s="53"/>
      <c r="I506" s="53"/>
      <c r="J506" s="58"/>
      <c r="K506" s="59"/>
      <c r="L506" s="53"/>
    </row>
    <row r="507">
      <c r="B507" s="53"/>
      <c r="C507" s="53"/>
      <c r="D507" s="53"/>
      <c r="E507" s="53"/>
      <c r="F507" s="53"/>
      <c r="G507" s="53"/>
      <c r="H507" s="53"/>
      <c r="I507" s="53"/>
      <c r="J507" s="58"/>
      <c r="K507" s="59"/>
      <c r="L507" s="53"/>
    </row>
    <row r="508">
      <c r="B508" s="53"/>
      <c r="C508" s="53"/>
      <c r="D508" s="53"/>
      <c r="E508" s="53"/>
      <c r="F508" s="53"/>
      <c r="G508" s="53"/>
      <c r="H508" s="53"/>
      <c r="I508" s="53"/>
      <c r="J508" s="58"/>
      <c r="K508" s="59"/>
      <c r="L508" s="53"/>
    </row>
    <row r="509">
      <c r="B509" s="53"/>
      <c r="C509" s="53"/>
      <c r="D509" s="53"/>
      <c r="E509" s="53"/>
      <c r="F509" s="53"/>
      <c r="G509" s="53"/>
      <c r="H509" s="53"/>
      <c r="I509" s="53"/>
      <c r="J509" s="58"/>
      <c r="K509" s="59"/>
      <c r="L509" s="53"/>
    </row>
    <row r="510">
      <c r="B510" s="53"/>
      <c r="C510" s="53"/>
      <c r="D510" s="53"/>
      <c r="E510" s="53"/>
      <c r="F510" s="53"/>
      <c r="G510" s="53"/>
      <c r="H510" s="53"/>
      <c r="I510" s="53"/>
      <c r="J510" s="58"/>
      <c r="K510" s="59"/>
      <c r="L510" s="53"/>
    </row>
    <row r="511">
      <c r="B511" s="53"/>
      <c r="C511" s="53"/>
      <c r="D511" s="53"/>
      <c r="E511" s="53"/>
      <c r="F511" s="53"/>
      <c r="G511" s="53"/>
      <c r="H511" s="53"/>
      <c r="I511" s="53"/>
      <c r="J511" s="58"/>
      <c r="K511" s="59"/>
      <c r="L511" s="53"/>
    </row>
    <row r="512">
      <c r="B512" s="53"/>
      <c r="C512" s="53"/>
      <c r="D512" s="53"/>
      <c r="E512" s="53"/>
      <c r="F512" s="53"/>
      <c r="G512" s="53"/>
      <c r="H512" s="53"/>
      <c r="I512" s="53"/>
      <c r="J512" s="58"/>
      <c r="K512" s="59"/>
      <c r="L512" s="53"/>
    </row>
    <row r="513">
      <c r="B513" s="53"/>
      <c r="C513" s="53"/>
      <c r="D513" s="53"/>
      <c r="E513" s="53"/>
      <c r="F513" s="53"/>
      <c r="G513" s="53"/>
      <c r="H513" s="53"/>
      <c r="I513" s="53"/>
      <c r="J513" s="58"/>
      <c r="K513" s="59"/>
      <c r="L513" s="53"/>
    </row>
    <row r="514">
      <c r="B514" s="53"/>
      <c r="C514" s="53"/>
      <c r="D514" s="53"/>
      <c r="E514" s="53"/>
      <c r="F514" s="53"/>
      <c r="G514" s="53"/>
      <c r="H514" s="53"/>
      <c r="I514" s="53"/>
      <c r="J514" s="58"/>
      <c r="K514" s="59"/>
      <c r="L514" s="53"/>
    </row>
    <row r="515">
      <c r="B515" s="53"/>
      <c r="C515" s="53"/>
      <c r="D515" s="53"/>
      <c r="E515" s="53"/>
      <c r="F515" s="53"/>
      <c r="G515" s="53"/>
      <c r="H515" s="53"/>
      <c r="I515" s="53"/>
      <c r="J515" s="58"/>
      <c r="K515" s="59"/>
      <c r="L515" s="53"/>
    </row>
    <row r="516">
      <c r="B516" s="53"/>
      <c r="C516" s="53"/>
      <c r="D516" s="53"/>
      <c r="E516" s="53"/>
      <c r="F516" s="53"/>
      <c r="G516" s="53"/>
      <c r="H516" s="53"/>
      <c r="I516" s="53"/>
      <c r="J516" s="58"/>
      <c r="K516" s="59"/>
      <c r="L516" s="53"/>
    </row>
    <row r="517">
      <c r="B517" s="53"/>
      <c r="C517" s="53"/>
      <c r="D517" s="53"/>
      <c r="E517" s="53"/>
      <c r="F517" s="53"/>
      <c r="G517" s="53"/>
      <c r="H517" s="53"/>
      <c r="I517" s="53"/>
      <c r="J517" s="58"/>
      <c r="K517" s="59"/>
      <c r="L517" s="53"/>
    </row>
    <row r="518">
      <c r="B518" s="53"/>
      <c r="C518" s="53"/>
      <c r="D518" s="53"/>
      <c r="E518" s="53"/>
      <c r="F518" s="53"/>
      <c r="G518" s="53"/>
      <c r="H518" s="53"/>
      <c r="I518" s="53"/>
      <c r="J518" s="58"/>
      <c r="K518" s="59"/>
      <c r="L518" s="53"/>
    </row>
    <row r="519">
      <c r="B519" s="53"/>
      <c r="C519" s="53"/>
      <c r="D519" s="53"/>
      <c r="E519" s="53"/>
      <c r="F519" s="53"/>
      <c r="G519" s="53"/>
      <c r="H519" s="53"/>
      <c r="I519" s="53"/>
      <c r="J519" s="58"/>
      <c r="K519" s="59"/>
      <c r="L519" s="53"/>
    </row>
    <row r="520">
      <c r="B520" s="53"/>
      <c r="C520" s="53"/>
      <c r="D520" s="53"/>
      <c r="E520" s="53"/>
      <c r="F520" s="53"/>
      <c r="G520" s="53"/>
      <c r="H520" s="53"/>
      <c r="I520" s="53"/>
      <c r="J520" s="58"/>
      <c r="K520" s="59"/>
      <c r="L520" s="53"/>
    </row>
    <row r="521">
      <c r="B521" s="53"/>
      <c r="C521" s="53"/>
      <c r="D521" s="53"/>
      <c r="E521" s="53"/>
      <c r="F521" s="53"/>
      <c r="G521" s="53"/>
      <c r="H521" s="53"/>
      <c r="I521" s="53"/>
      <c r="J521" s="58"/>
      <c r="K521" s="59"/>
      <c r="L521" s="53"/>
    </row>
    <row r="522">
      <c r="B522" s="53"/>
      <c r="C522" s="53"/>
      <c r="D522" s="53"/>
      <c r="E522" s="53"/>
      <c r="F522" s="53"/>
      <c r="G522" s="53"/>
      <c r="H522" s="53"/>
      <c r="I522" s="53"/>
      <c r="J522" s="58"/>
      <c r="K522" s="59"/>
      <c r="L522" s="53"/>
    </row>
    <row r="523">
      <c r="B523" s="53"/>
      <c r="C523" s="53"/>
      <c r="D523" s="53"/>
      <c r="E523" s="53"/>
      <c r="F523" s="53"/>
      <c r="G523" s="53"/>
      <c r="H523" s="53"/>
      <c r="I523" s="53"/>
      <c r="J523" s="58"/>
      <c r="K523" s="59"/>
      <c r="L523" s="53"/>
    </row>
    <row r="524">
      <c r="B524" s="53"/>
      <c r="C524" s="53"/>
      <c r="D524" s="53"/>
      <c r="E524" s="53"/>
      <c r="F524" s="53"/>
      <c r="G524" s="53"/>
      <c r="H524" s="53"/>
      <c r="I524" s="53"/>
      <c r="J524" s="58"/>
      <c r="K524" s="59"/>
      <c r="L524" s="53"/>
    </row>
    <row r="525">
      <c r="B525" s="53"/>
      <c r="C525" s="53"/>
      <c r="D525" s="53"/>
      <c r="E525" s="53"/>
      <c r="F525" s="53"/>
      <c r="G525" s="53"/>
      <c r="H525" s="53"/>
      <c r="I525" s="53"/>
      <c r="J525" s="58"/>
      <c r="K525" s="59"/>
      <c r="L525" s="53"/>
    </row>
    <row r="526">
      <c r="B526" s="53"/>
      <c r="C526" s="53"/>
      <c r="D526" s="53"/>
      <c r="E526" s="53"/>
      <c r="F526" s="53"/>
      <c r="G526" s="53"/>
      <c r="H526" s="53"/>
      <c r="I526" s="53"/>
      <c r="J526" s="58"/>
      <c r="K526" s="59"/>
      <c r="L526" s="53"/>
    </row>
    <row r="527">
      <c r="B527" s="53"/>
      <c r="C527" s="53"/>
      <c r="D527" s="53"/>
      <c r="E527" s="53"/>
      <c r="F527" s="53"/>
      <c r="G527" s="53"/>
      <c r="H527" s="53"/>
      <c r="I527" s="53"/>
      <c r="J527" s="58"/>
      <c r="K527" s="59"/>
      <c r="L527" s="53"/>
    </row>
    <row r="528">
      <c r="B528" s="53"/>
      <c r="C528" s="53"/>
      <c r="D528" s="53"/>
      <c r="E528" s="53"/>
      <c r="F528" s="53"/>
      <c r="G528" s="53"/>
      <c r="H528" s="53"/>
      <c r="I528" s="53"/>
      <c r="J528" s="58"/>
      <c r="K528" s="59"/>
      <c r="L528" s="53"/>
    </row>
    <row r="529">
      <c r="B529" s="53"/>
      <c r="C529" s="53"/>
      <c r="D529" s="53"/>
      <c r="E529" s="53"/>
      <c r="F529" s="53"/>
      <c r="G529" s="53"/>
      <c r="H529" s="53"/>
      <c r="I529" s="53"/>
      <c r="J529" s="58"/>
      <c r="K529" s="59"/>
      <c r="L529" s="53"/>
    </row>
    <row r="530">
      <c r="B530" s="53"/>
      <c r="C530" s="53"/>
      <c r="D530" s="53"/>
      <c r="E530" s="53"/>
      <c r="F530" s="53"/>
      <c r="G530" s="53"/>
      <c r="H530" s="53"/>
      <c r="I530" s="53"/>
      <c r="J530" s="58"/>
      <c r="K530" s="59"/>
      <c r="L530" s="53"/>
    </row>
    <row r="531">
      <c r="B531" s="53"/>
      <c r="C531" s="53"/>
      <c r="D531" s="53"/>
      <c r="E531" s="53"/>
      <c r="F531" s="53"/>
      <c r="G531" s="53"/>
      <c r="H531" s="53"/>
      <c r="I531" s="53"/>
      <c r="J531" s="58"/>
      <c r="K531" s="59"/>
      <c r="L531" s="53"/>
    </row>
    <row r="532">
      <c r="B532" s="53"/>
      <c r="C532" s="53"/>
      <c r="D532" s="53"/>
      <c r="E532" s="53"/>
      <c r="F532" s="53"/>
      <c r="G532" s="53"/>
      <c r="H532" s="53"/>
      <c r="I532" s="53"/>
      <c r="J532" s="58"/>
      <c r="K532" s="59"/>
      <c r="L532" s="53"/>
    </row>
    <row r="533">
      <c r="B533" s="53"/>
      <c r="C533" s="53"/>
      <c r="D533" s="53"/>
      <c r="E533" s="53"/>
      <c r="F533" s="53"/>
      <c r="G533" s="53"/>
      <c r="H533" s="53"/>
      <c r="I533" s="53"/>
      <c r="J533" s="58"/>
      <c r="K533" s="59"/>
      <c r="L533" s="53"/>
    </row>
    <row r="534">
      <c r="B534" s="53"/>
      <c r="C534" s="53"/>
      <c r="D534" s="53"/>
      <c r="E534" s="53"/>
      <c r="F534" s="53"/>
      <c r="G534" s="53"/>
      <c r="H534" s="53"/>
      <c r="I534" s="53"/>
      <c r="J534" s="58"/>
      <c r="K534" s="59"/>
      <c r="L534" s="53"/>
    </row>
    <row r="535">
      <c r="B535" s="53"/>
      <c r="C535" s="53"/>
      <c r="D535" s="53"/>
      <c r="E535" s="53"/>
      <c r="F535" s="53"/>
      <c r="G535" s="53"/>
      <c r="H535" s="53"/>
      <c r="I535" s="53"/>
      <c r="J535" s="58"/>
      <c r="K535" s="59"/>
      <c r="L535" s="53"/>
    </row>
    <row r="536">
      <c r="B536" s="53"/>
      <c r="C536" s="53"/>
      <c r="D536" s="53"/>
      <c r="E536" s="53"/>
      <c r="F536" s="53"/>
      <c r="G536" s="53"/>
      <c r="H536" s="53"/>
      <c r="I536" s="53"/>
      <c r="J536" s="58"/>
      <c r="K536" s="59"/>
      <c r="L536" s="53"/>
    </row>
    <row r="537">
      <c r="B537" s="53"/>
      <c r="C537" s="53"/>
      <c r="D537" s="53"/>
      <c r="E537" s="53"/>
      <c r="F537" s="53"/>
      <c r="G537" s="53"/>
      <c r="H537" s="53"/>
      <c r="I537" s="53"/>
      <c r="J537" s="58"/>
      <c r="K537" s="59"/>
      <c r="L537" s="53"/>
    </row>
    <row r="538">
      <c r="B538" s="53"/>
      <c r="C538" s="53"/>
      <c r="D538" s="53"/>
      <c r="E538" s="53"/>
      <c r="F538" s="53"/>
      <c r="G538" s="53"/>
      <c r="H538" s="53"/>
      <c r="I538" s="53"/>
      <c r="J538" s="58"/>
      <c r="K538" s="59"/>
      <c r="L538" s="53"/>
    </row>
    <row r="539">
      <c r="B539" s="53"/>
      <c r="C539" s="53"/>
      <c r="D539" s="53"/>
      <c r="E539" s="53"/>
      <c r="F539" s="53"/>
      <c r="G539" s="53"/>
      <c r="H539" s="53"/>
      <c r="I539" s="53"/>
      <c r="J539" s="58"/>
      <c r="K539" s="59"/>
      <c r="L539" s="53"/>
    </row>
    <row r="540">
      <c r="B540" s="53"/>
      <c r="C540" s="53"/>
      <c r="D540" s="53"/>
      <c r="E540" s="53"/>
      <c r="F540" s="53"/>
      <c r="G540" s="53"/>
      <c r="H540" s="53"/>
      <c r="I540" s="53"/>
      <c r="J540" s="58"/>
      <c r="K540" s="59"/>
      <c r="L540" s="53"/>
    </row>
    <row r="541">
      <c r="B541" s="53"/>
      <c r="C541" s="53"/>
      <c r="D541" s="53"/>
      <c r="E541" s="53"/>
      <c r="F541" s="53"/>
      <c r="G541" s="53"/>
      <c r="H541" s="53"/>
      <c r="I541" s="53"/>
      <c r="J541" s="58"/>
      <c r="K541" s="59"/>
      <c r="L541" s="53"/>
    </row>
    <row r="542">
      <c r="B542" s="53"/>
      <c r="C542" s="53"/>
      <c r="D542" s="53"/>
      <c r="E542" s="53"/>
      <c r="F542" s="53"/>
      <c r="G542" s="53"/>
      <c r="H542" s="53"/>
      <c r="I542" s="53"/>
      <c r="J542" s="58"/>
      <c r="K542" s="59"/>
      <c r="L542" s="53"/>
    </row>
    <row r="543">
      <c r="B543" s="53"/>
      <c r="C543" s="53"/>
      <c r="D543" s="53"/>
      <c r="E543" s="53"/>
      <c r="F543" s="53"/>
      <c r="G543" s="53"/>
      <c r="H543" s="53"/>
      <c r="I543" s="53"/>
      <c r="J543" s="58"/>
      <c r="K543" s="59"/>
      <c r="L543" s="53"/>
    </row>
    <row r="544">
      <c r="B544" s="53"/>
      <c r="C544" s="53"/>
      <c r="D544" s="53"/>
      <c r="E544" s="53"/>
      <c r="F544" s="53"/>
      <c r="G544" s="53"/>
      <c r="H544" s="53"/>
      <c r="I544" s="53"/>
      <c r="J544" s="58"/>
      <c r="K544" s="59"/>
      <c r="L544" s="53"/>
    </row>
    <row r="545">
      <c r="B545" s="53"/>
      <c r="C545" s="53"/>
      <c r="D545" s="53"/>
      <c r="E545" s="53"/>
      <c r="F545" s="53"/>
      <c r="G545" s="53"/>
      <c r="H545" s="53"/>
      <c r="I545" s="53"/>
      <c r="J545" s="58"/>
      <c r="K545" s="59"/>
      <c r="L545" s="53"/>
    </row>
    <row r="546">
      <c r="B546" s="53"/>
      <c r="C546" s="53"/>
      <c r="D546" s="53"/>
      <c r="E546" s="53"/>
      <c r="F546" s="53"/>
      <c r="G546" s="53"/>
      <c r="H546" s="53"/>
      <c r="I546" s="53"/>
      <c r="J546" s="58"/>
      <c r="K546" s="59"/>
      <c r="L546" s="53"/>
    </row>
    <row r="547">
      <c r="B547" s="53"/>
      <c r="C547" s="53"/>
      <c r="D547" s="53"/>
      <c r="E547" s="53"/>
      <c r="F547" s="53"/>
      <c r="G547" s="53"/>
      <c r="H547" s="53"/>
      <c r="I547" s="53"/>
      <c r="J547" s="58"/>
      <c r="K547" s="59"/>
      <c r="L547" s="53"/>
    </row>
    <row r="548">
      <c r="B548" s="53"/>
      <c r="C548" s="53"/>
      <c r="D548" s="53"/>
      <c r="E548" s="53"/>
      <c r="F548" s="53"/>
      <c r="G548" s="53"/>
      <c r="H548" s="53"/>
      <c r="I548" s="53"/>
      <c r="J548" s="58"/>
      <c r="K548" s="59"/>
      <c r="L548" s="53"/>
    </row>
    <row r="549">
      <c r="B549" s="53"/>
      <c r="C549" s="53"/>
      <c r="D549" s="53"/>
      <c r="E549" s="53"/>
      <c r="F549" s="53"/>
      <c r="G549" s="53"/>
      <c r="H549" s="53"/>
      <c r="I549" s="53"/>
      <c r="J549" s="58"/>
      <c r="K549" s="59"/>
      <c r="L549" s="53"/>
    </row>
    <row r="550">
      <c r="B550" s="53"/>
      <c r="C550" s="53"/>
      <c r="D550" s="53"/>
      <c r="E550" s="53"/>
      <c r="F550" s="53"/>
      <c r="G550" s="53"/>
      <c r="H550" s="53"/>
      <c r="I550" s="53"/>
      <c r="J550" s="58"/>
      <c r="K550" s="59"/>
      <c r="L550" s="53"/>
    </row>
    <row r="551">
      <c r="B551" s="53"/>
      <c r="C551" s="53"/>
      <c r="D551" s="53"/>
      <c r="E551" s="53"/>
      <c r="F551" s="53"/>
      <c r="G551" s="53"/>
      <c r="H551" s="53"/>
      <c r="I551" s="53"/>
      <c r="J551" s="58"/>
      <c r="K551" s="59"/>
      <c r="L551" s="53"/>
    </row>
    <row r="552">
      <c r="B552" s="53"/>
      <c r="C552" s="53"/>
      <c r="D552" s="53"/>
      <c r="E552" s="53"/>
      <c r="F552" s="53"/>
      <c r="G552" s="53"/>
      <c r="H552" s="53"/>
      <c r="I552" s="53"/>
      <c r="J552" s="58"/>
      <c r="K552" s="59"/>
      <c r="L552" s="53"/>
    </row>
    <row r="553">
      <c r="B553" s="53"/>
      <c r="C553" s="53"/>
      <c r="D553" s="53"/>
      <c r="E553" s="53"/>
      <c r="F553" s="53"/>
      <c r="G553" s="53"/>
      <c r="H553" s="53"/>
      <c r="I553" s="53"/>
      <c r="J553" s="58"/>
      <c r="K553" s="59"/>
      <c r="L553" s="53"/>
    </row>
    <row r="554">
      <c r="B554" s="53"/>
      <c r="C554" s="53"/>
      <c r="D554" s="53"/>
      <c r="E554" s="53"/>
      <c r="F554" s="53"/>
      <c r="G554" s="53"/>
      <c r="H554" s="53"/>
      <c r="I554" s="53"/>
      <c r="J554" s="58"/>
      <c r="K554" s="59"/>
      <c r="L554" s="53"/>
    </row>
    <row r="555">
      <c r="B555" s="53"/>
      <c r="C555" s="53"/>
      <c r="D555" s="53"/>
      <c r="E555" s="53"/>
      <c r="F555" s="53"/>
      <c r="G555" s="53"/>
      <c r="H555" s="53"/>
      <c r="I555" s="53"/>
      <c r="J555" s="58"/>
      <c r="K555" s="59"/>
      <c r="L555" s="53"/>
    </row>
    <row r="556">
      <c r="B556" s="53"/>
      <c r="C556" s="53"/>
      <c r="D556" s="53"/>
      <c r="E556" s="53"/>
      <c r="F556" s="53"/>
      <c r="G556" s="53"/>
      <c r="H556" s="53"/>
      <c r="I556" s="53"/>
      <c r="J556" s="58"/>
      <c r="K556" s="59"/>
      <c r="L556" s="53"/>
    </row>
    <row r="557">
      <c r="B557" s="53"/>
      <c r="C557" s="53"/>
      <c r="D557" s="53"/>
      <c r="E557" s="53"/>
      <c r="F557" s="53"/>
      <c r="G557" s="53"/>
      <c r="H557" s="53"/>
      <c r="I557" s="53"/>
      <c r="J557" s="58"/>
      <c r="K557" s="59"/>
      <c r="L557" s="53"/>
    </row>
    <row r="558">
      <c r="B558" s="53"/>
      <c r="C558" s="53"/>
      <c r="D558" s="53"/>
      <c r="E558" s="53"/>
      <c r="F558" s="53"/>
      <c r="G558" s="53"/>
      <c r="H558" s="53"/>
      <c r="I558" s="53"/>
      <c r="J558" s="58"/>
      <c r="K558" s="59"/>
      <c r="L558" s="53"/>
    </row>
    <row r="559">
      <c r="B559" s="53"/>
      <c r="C559" s="53"/>
      <c r="D559" s="53"/>
      <c r="E559" s="53"/>
      <c r="F559" s="53"/>
      <c r="G559" s="53"/>
      <c r="H559" s="53"/>
      <c r="I559" s="53"/>
      <c r="J559" s="58"/>
      <c r="K559" s="59"/>
      <c r="L559" s="53"/>
    </row>
    <row r="560">
      <c r="B560" s="53"/>
      <c r="C560" s="53"/>
      <c r="D560" s="53"/>
      <c r="E560" s="53"/>
      <c r="F560" s="53"/>
      <c r="G560" s="53"/>
      <c r="H560" s="53"/>
      <c r="I560" s="53"/>
      <c r="J560" s="58"/>
      <c r="K560" s="59"/>
      <c r="L560" s="53"/>
    </row>
    <row r="561">
      <c r="B561" s="53"/>
      <c r="C561" s="53"/>
      <c r="D561" s="53"/>
      <c r="E561" s="53"/>
      <c r="F561" s="53"/>
      <c r="G561" s="53"/>
      <c r="H561" s="53"/>
      <c r="I561" s="53"/>
      <c r="J561" s="58"/>
      <c r="K561" s="59"/>
      <c r="L561" s="53"/>
    </row>
    <row r="562">
      <c r="B562" s="53"/>
      <c r="C562" s="53"/>
      <c r="D562" s="53"/>
      <c r="E562" s="53"/>
      <c r="F562" s="53"/>
      <c r="G562" s="53"/>
      <c r="H562" s="53"/>
      <c r="I562" s="53"/>
      <c r="J562" s="58"/>
      <c r="K562" s="59"/>
      <c r="L562" s="53"/>
    </row>
    <row r="563">
      <c r="B563" s="53"/>
      <c r="C563" s="53"/>
      <c r="D563" s="53"/>
      <c r="E563" s="53"/>
      <c r="F563" s="53"/>
      <c r="G563" s="53"/>
      <c r="H563" s="53"/>
      <c r="I563" s="53"/>
      <c r="J563" s="58"/>
      <c r="K563" s="59"/>
      <c r="L563" s="53"/>
    </row>
    <row r="564">
      <c r="B564" s="53"/>
      <c r="C564" s="53"/>
      <c r="D564" s="53"/>
      <c r="E564" s="53"/>
      <c r="F564" s="53"/>
      <c r="G564" s="53"/>
      <c r="H564" s="53"/>
      <c r="I564" s="53"/>
      <c r="J564" s="58"/>
      <c r="K564" s="59"/>
      <c r="L564" s="53"/>
    </row>
    <row r="565">
      <c r="B565" s="53"/>
      <c r="C565" s="53"/>
      <c r="D565" s="53"/>
      <c r="E565" s="53"/>
      <c r="F565" s="53"/>
      <c r="G565" s="53"/>
      <c r="H565" s="53"/>
      <c r="I565" s="53"/>
      <c r="J565" s="58"/>
      <c r="K565" s="59"/>
      <c r="L565" s="53"/>
    </row>
    <row r="566">
      <c r="B566" s="53"/>
      <c r="C566" s="53"/>
      <c r="D566" s="53"/>
      <c r="E566" s="53"/>
      <c r="F566" s="53"/>
      <c r="G566" s="53"/>
      <c r="H566" s="53"/>
      <c r="I566" s="53"/>
      <c r="J566" s="58"/>
      <c r="K566" s="59"/>
      <c r="L566" s="53"/>
    </row>
  </sheetData>
  <autoFilter ref="$P$20:$AR$420">
    <sortState ref="P20:AR420">
      <sortCondition descending="1" ref="U20:U420"/>
      <sortCondition descending="1" ref="T20:T420"/>
      <sortCondition ref="V20:V42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2</v>
      </c>
      <c r="C1" s="8" t="s">
        <v>3</v>
      </c>
      <c r="D1" s="8" t="s">
        <v>4</v>
      </c>
      <c r="E1" s="8" t="s">
        <v>5</v>
      </c>
      <c r="F1" s="8" t="s">
        <v>6</v>
      </c>
      <c r="G1" s="8" t="s">
        <v>7</v>
      </c>
      <c r="H1" s="8" t="s">
        <v>8</v>
      </c>
      <c r="I1" s="8" t="s">
        <v>9</v>
      </c>
      <c r="J1" s="13">
        <v>0.625</v>
      </c>
      <c r="K1" s="8" t="s">
        <v>10</v>
      </c>
      <c r="L1" s="8" t="s">
        <v>11</v>
      </c>
      <c r="M1" s="8" t="s">
        <v>12</v>
      </c>
      <c r="N1" s="8" t="s">
        <v>13</v>
      </c>
      <c r="O1" s="8" t="s">
        <v>14</v>
      </c>
      <c r="P1" s="8" t="s">
        <v>15</v>
      </c>
      <c r="Q1" s="8" t="s">
        <v>16</v>
      </c>
    </row>
    <row r="2">
      <c r="A2" s="15">
        <v>1.0</v>
      </c>
      <c r="B2" s="15">
        <v>2.0</v>
      </c>
      <c r="C2" s="30" t="s">
        <v>18</v>
      </c>
      <c r="D2" s="15" t="s">
        <v>34</v>
      </c>
      <c r="E2" s="15" t="s">
        <v>35</v>
      </c>
      <c r="F2" s="15">
        <v>70.0</v>
      </c>
      <c r="G2" s="15">
        <v>31.1</v>
      </c>
      <c r="H2" s="15" t="s">
        <v>36</v>
      </c>
      <c r="I2" s="15" t="s">
        <v>37</v>
      </c>
      <c r="J2" s="15">
        <v>2.0</v>
      </c>
      <c r="K2" s="15">
        <v>24.1</v>
      </c>
      <c r="L2" s="15">
        <v>11.6</v>
      </c>
      <c r="M2" s="15">
        <v>4.4</v>
      </c>
      <c r="N2" s="15">
        <v>1.4</v>
      </c>
      <c r="O2" s="15">
        <v>3.9</v>
      </c>
      <c r="P2" s="15">
        <v>3.4</v>
      </c>
      <c r="Q2" s="15">
        <v>13.88</v>
      </c>
    </row>
    <row r="3">
      <c r="A3" s="15">
        <v>2.0</v>
      </c>
      <c r="B3" s="15">
        <v>2.4</v>
      </c>
      <c r="C3" s="30" t="s">
        <v>38</v>
      </c>
      <c r="D3" s="15" t="s">
        <v>34</v>
      </c>
      <c r="E3" s="15" t="s">
        <v>42</v>
      </c>
      <c r="F3" s="15">
        <v>75.0</v>
      </c>
      <c r="G3" s="15">
        <v>34.1</v>
      </c>
      <c r="H3" s="15" t="s">
        <v>43</v>
      </c>
      <c r="I3" s="15" t="s">
        <v>44</v>
      </c>
      <c r="J3" s="15">
        <v>1.1</v>
      </c>
      <c r="K3" s="15">
        <v>26.7</v>
      </c>
      <c r="L3" s="15">
        <v>12.1</v>
      </c>
      <c r="M3" s="15">
        <v>9.0</v>
      </c>
      <c r="N3" s="15">
        <v>1.4</v>
      </c>
      <c r="O3" s="15">
        <v>0.9</v>
      </c>
      <c r="P3" s="15">
        <v>3.0</v>
      </c>
      <c r="Q3" s="15">
        <v>13.86</v>
      </c>
    </row>
    <row r="4">
      <c r="A4" s="15">
        <v>3.0</v>
      </c>
      <c r="B4" s="15">
        <v>4.5</v>
      </c>
      <c r="C4" s="30" t="s">
        <v>45</v>
      </c>
      <c r="D4" s="15" t="s">
        <v>46</v>
      </c>
      <c r="E4" s="15" t="s">
        <v>58</v>
      </c>
      <c r="F4" s="15">
        <v>73.0</v>
      </c>
      <c r="G4" s="15">
        <v>33.5</v>
      </c>
      <c r="H4" s="15" t="s">
        <v>60</v>
      </c>
      <c r="I4" s="15" t="s">
        <v>62</v>
      </c>
      <c r="J4" s="15">
        <v>1.4</v>
      </c>
      <c r="K4" s="15">
        <v>29.9</v>
      </c>
      <c r="L4" s="15">
        <v>5.1</v>
      </c>
      <c r="M4" s="15">
        <v>6.5</v>
      </c>
      <c r="N4" s="15">
        <v>1.9</v>
      </c>
      <c r="O4" s="15">
        <v>0.9</v>
      </c>
      <c r="P4" s="15">
        <v>2.4</v>
      </c>
      <c r="Q4" s="15">
        <v>13.33</v>
      </c>
    </row>
    <row r="5">
      <c r="A5" s="15">
        <v>4.0</v>
      </c>
      <c r="B5" s="15">
        <v>3.8</v>
      </c>
      <c r="C5" s="30" t="s">
        <v>65</v>
      </c>
      <c r="D5" s="15" t="s">
        <v>67</v>
      </c>
      <c r="E5" s="15" t="s">
        <v>68</v>
      </c>
      <c r="F5" s="15">
        <v>68.0</v>
      </c>
      <c r="G5" s="15">
        <v>36.8</v>
      </c>
      <c r="H5" s="15" t="s">
        <v>69</v>
      </c>
      <c r="I5" s="15" t="s">
        <v>70</v>
      </c>
      <c r="J5" s="15">
        <v>4.1</v>
      </c>
      <c r="K5" s="15">
        <v>34.4</v>
      </c>
      <c r="L5" s="15">
        <v>9.3</v>
      </c>
      <c r="M5" s="15">
        <v>9.9</v>
      </c>
      <c r="N5" s="15">
        <v>1.4</v>
      </c>
      <c r="O5" s="15">
        <v>0.5</v>
      </c>
      <c r="P5" s="15">
        <v>3.8</v>
      </c>
      <c r="Q5" s="15">
        <v>12.97</v>
      </c>
    </row>
    <row r="6">
      <c r="A6" s="15">
        <v>5.0</v>
      </c>
      <c r="B6" s="15">
        <v>7.4</v>
      </c>
      <c r="C6" s="30" t="s">
        <v>71</v>
      </c>
      <c r="D6" s="15" t="s">
        <v>74</v>
      </c>
      <c r="E6" s="15" t="s">
        <v>75</v>
      </c>
      <c r="F6" s="15">
        <v>67.0</v>
      </c>
      <c r="G6" s="15">
        <v>34.5</v>
      </c>
      <c r="H6" s="15" t="s">
        <v>76</v>
      </c>
      <c r="I6" s="15" t="s">
        <v>77</v>
      </c>
      <c r="J6" s="15">
        <v>0.4</v>
      </c>
      <c r="K6" s="15">
        <v>25.2</v>
      </c>
      <c r="L6" s="15">
        <v>12.7</v>
      </c>
      <c r="M6" s="15">
        <v>3.6</v>
      </c>
      <c r="N6" s="15">
        <v>1.2</v>
      </c>
      <c r="O6" s="15">
        <v>2.3</v>
      </c>
      <c r="P6" s="15">
        <v>2.1</v>
      </c>
      <c r="Q6" s="15">
        <v>11.91</v>
      </c>
    </row>
    <row r="7">
      <c r="A7" s="15">
        <v>6.0</v>
      </c>
      <c r="B7" s="15">
        <v>9.6</v>
      </c>
      <c r="C7" s="30" t="s">
        <v>78</v>
      </c>
      <c r="D7" s="15" t="s">
        <v>34</v>
      </c>
      <c r="E7" s="15" t="s">
        <v>81</v>
      </c>
      <c r="F7" s="15">
        <v>60.0</v>
      </c>
      <c r="G7" s="15">
        <v>31.4</v>
      </c>
      <c r="H7" s="15" t="s">
        <v>82</v>
      </c>
      <c r="I7" s="15" t="s">
        <v>83</v>
      </c>
      <c r="J7" s="15">
        <v>1.3</v>
      </c>
      <c r="K7" s="15">
        <v>28.1</v>
      </c>
      <c r="L7" s="15">
        <v>10.0</v>
      </c>
      <c r="M7" s="15">
        <v>3.9</v>
      </c>
      <c r="N7" s="15">
        <v>0.9</v>
      </c>
      <c r="O7" s="15">
        <v>1.4</v>
      </c>
      <c r="P7" s="15">
        <v>3.3</v>
      </c>
      <c r="Q7" s="15">
        <v>11.32</v>
      </c>
    </row>
    <row r="8">
      <c r="A8" s="15">
        <v>7.0</v>
      </c>
      <c r="B8" s="15">
        <v>6.7</v>
      </c>
      <c r="C8" s="30" t="s">
        <v>84</v>
      </c>
      <c r="D8" s="15" t="s">
        <v>74</v>
      </c>
      <c r="E8" s="15" t="s">
        <v>85</v>
      </c>
      <c r="F8" s="15">
        <v>71.0</v>
      </c>
      <c r="G8" s="15">
        <v>34.6</v>
      </c>
      <c r="H8" s="15" t="s">
        <v>86</v>
      </c>
      <c r="I8" s="15" t="s">
        <v>87</v>
      </c>
      <c r="J8" s="15">
        <v>0.6</v>
      </c>
      <c r="K8" s="15">
        <v>31.1</v>
      </c>
      <c r="L8" s="15">
        <v>11.8</v>
      </c>
      <c r="M8" s="15">
        <v>6.7</v>
      </c>
      <c r="N8" s="15">
        <v>1.2</v>
      </c>
      <c r="O8" s="15">
        <v>1.1</v>
      </c>
      <c r="P8" s="15">
        <v>3.4</v>
      </c>
      <c r="Q8" s="15">
        <v>9.77</v>
      </c>
    </row>
    <row r="9">
      <c r="A9" s="15">
        <v>8.0</v>
      </c>
      <c r="B9" s="15">
        <v>8.4</v>
      </c>
      <c r="C9" s="30" t="s">
        <v>88</v>
      </c>
      <c r="D9" s="15" t="s">
        <v>67</v>
      </c>
      <c r="E9" s="15" t="s">
        <v>89</v>
      </c>
      <c r="F9" s="15">
        <v>69.0</v>
      </c>
      <c r="G9" s="15">
        <v>33.6</v>
      </c>
      <c r="H9" s="15" t="s">
        <v>90</v>
      </c>
      <c r="I9" s="15" t="s">
        <v>91</v>
      </c>
      <c r="J9" s="15">
        <v>3.0</v>
      </c>
      <c r="K9" s="15">
        <v>21.1</v>
      </c>
      <c r="L9" s="15">
        <v>3.9</v>
      </c>
      <c r="M9" s="15">
        <v>11.1</v>
      </c>
      <c r="N9" s="15">
        <v>1.4</v>
      </c>
      <c r="O9" s="15">
        <v>0.7</v>
      </c>
      <c r="P9" s="15">
        <v>2.5</v>
      </c>
      <c r="Q9" s="15">
        <v>9.51</v>
      </c>
    </row>
    <row r="10">
      <c r="A10" s="15">
        <v>9.0</v>
      </c>
      <c r="B10" s="15">
        <v>12.5</v>
      </c>
      <c r="C10" s="30" t="s">
        <v>92</v>
      </c>
      <c r="D10" s="15" t="s">
        <v>46</v>
      </c>
      <c r="E10" s="15" t="s">
        <v>94</v>
      </c>
      <c r="F10" s="15">
        <v>72.0</v>
      </c>
      <c r="G10" s="15">
        <v>35.2</v>
      </c>
      <c r="H10" s="15" t="s">
        <v>95</v>
      </c>
      <c r="I10" s="15" t="s">
        <v>96</v>
      </c>
      <c r="J10" s="15">
        <v>3.4</v>
      </c>
      <c r="K10" s="15">
        <v>28.1</v>
      </c>
      <c r="L10" s="15">
        <v>2.9</v>
      </c>
      <c r="M10" s="15">
        <v>10.8</v>
      </c>
      <c r="N10" s="15">
        <v>1.2</v>
      </c>
      <c r="O10" s="15">
        <v>0.2</v>
      </c>
      <c r="P10" s="15">
        <v>4.2</v>
      </c>
      <c r="Q10" s="15">
        <v>8.65</v>
      </c>
    </row>
    <row r="11">
      <c r="A11" s="15">
        <v>10.0</v>
      </c>
      <c r="B11" s="15">
        <v>9.5</v>
      </c>
      <c r="C11" s="30" t="s">
        <v>97</v>
      </c>
      <c r="D11" s="15" t="s">
        <v>98</v>
      </c>
      <c r="E11" s="15" t="s">
        <v>99</v>
      </c>
      <c r="F11" s="15">
        <v>75.0</v>
      </c>
      <c r="G11" s="15">
        <v>35.8</v>
      </c>
      <c r="H11" s="15" t="s">
        <v>100</v>
      </c>
      <c r="I11" s="15" t="s">
        <v>101</v>
      </c>
      <c r="J11" s="15">
        <v>2.9</v>
      </c>
      <c r="K11" s="15">
        <v>27.9</v>
      </c>
      <c r="L11" s="15">
        <v>9.0</v>
      </c>
      <c r="M11" s="15">
        <v>5.1</v>
      </c>
      <c r="N11" s="15">
        <v>1.1</v>
      </c>
      <c r="O11" s="15">
        <v>0.7</v>
      </c>
      <c r="P11" s="15">
        <v>2.5</v>
      </c>
      <c r="Q11" s="15">
        <v>8.57</v>
      </c>
    </row>
    <row r="12">
      <c r="A12" s="15">
        <v>11.0</v>
      </c>
      <c r="B12" s="15">
        <v>16.2</v>
      </c>
      <c r="C12" s="30" t="s">
        <v>102</v>
      </c>
      <c r="D12" s="15" t="s">
        <v>67</v>
      </c>
      <c r="E12" s="15" t="s">
        <v>103</v>
      </c>
      <c r="F12" s="15">
        <v>68.0</v>
      </c>
      <c r="G12" s="15">
        <v>34.5</v>
      </c>
      <c r="H12" s="15" t="s">
        <v>104</v>
      </c>
      <c r="I12" s="15" t="s">
        <v>105</v>
      </c>
      <c r="J12" s="15">
        <v>2.8</v>
      </c>
      <c r="K12" s="15">
        <v>20.4</v>
      </c>
      <c r="L12" s="15">
        <v>6.1</v>
      </c>
      <c r="M12" s="15">
        <v>10.4</v>
      </c>
      <c r="N12" s="15">
        <v>1.1</v>
      </c>
      <c r="O12" s="15">
        <v>0.7</v>
      </c>
      <c r="P12" s="15">
        <v>2.9</v>
      </c>
      <c r="Q12" s="15">
        <v>8.34</v>
      </c>
    </row>
    <row r="13">
      <c r="A13" s="15">
        <v>12.0</v>
      </c>
      <c r="B13" s="15">
        <v>12.4</v>
      </c>
      <c r="C13" s="30" t="s">
        <v>112</v>
      </c>
      <c r="D13" s="15" t="s">
        <v>67</v>
      </c>
      <c r="E13" s="15" t="s">
        <v>115</v>
      </c>
      <c r="F13" s="15">
        <v>68.0</v>
      </c>
      <c r="G13" s="15">
        <v>31.4</v>
      </c>
      <c r="H13" s="15" t="s">
        <v>117</v>
      </c>
      <c r="I13" s="15" t="s">
        <v>118</v>
      </c>
      <c r="J13" s="15">
        <v>4.8</v>
      </c>
      <c r="K13" s="15">
        <v>26.4</v>
      </c>
      <c r="L13" s="15">
        <v>4.5</v>
      </c>
      <c r="M13" s="15">
        <v>5.3</v>
      </c>
      <c r="N13" s="15">
        <v>0.8</v>
      </c>
      <c r="O13" s="15">
        <v>0.4</v>
      </c>
      <c r="P13" s="15">
        <v>2.8</v>
      </c>
      <c r="Q13" s="15">
        <v>8.16</v>
      </c>
    </row>
    <row r="14">
      <c r="A14" s="15">
        <v>13.0</v>
      </c>
      <c r="B14" s="15">
        <v>17.0</v>
      </c>
      <c r="C14" s="30" t="s">
        <v>120</v>
      </c>
      <c r="D14" s="15" t="s">
        <v>67</v>
      </c>
      <c r="E14" s="15" t="s">
        <v>121</v>
      </c>
      <c r="F14" s="15">
        <v>67.0</v>
      </c>
      <c r="G14" s="15">
        <v>33.7</v>
      </c>
      <c r="H14" s="15" t="s">
        <v>122</v>
      </c>
      <c r="I14" s="15" t="s">
        <v>123</v>
      </c>
      <c r="J14" s="15">
        <v>3.3</v>
      </c>
      <c r="K14" s="15">
        <v>26.2</v>
      </c>
      <c r="L14" s="15">
        <v>4.4</v>
      </c>
      <c r="M14" s="15">
        <v>5.4</v>
      </c>
      <c r="N14" s="15">
        <v>1.6</v>
      </c>
      <c r="O14" s="15">
        <v>0.4</v>
      </c>
      <c r="P14" s="15">
        <v>2.8</v>
      </c>
      <c r="Q14" s="15">
        <v>7.78</v>
      </c>
    </row>
    <row r="15">
      <c r="A15" s="15">
        <v>14.0</v>
      </c>
      <c r="B15" s="15">
        <v>26.6</v>
      </c>
      <c r="C15" s="30" t="s">
        <v>124</v>
      </c>
      <c r="D15" s="15" t="s">
        <v>67</v>
      </c>
      <c r="E15" s="15" t="s">
        <v>68</v>
      </c>
      <c r="F15" s="15">
        <v>61.0</v>
      </c>
      <c r="G15" s="15">
        <v>34.8</v>
      </c>
      <c r="H15" s="15" t="s">
        <v>125</v>
      </c>
      <c r="I15" s="15" t="s">
        <v>126</v>
      </c>
      <c r="J15" s="15">
        <v>3.0</v>
      </c>
      <c r="K15" s="15">
        <v>24.6</v>
      </c>
      <c r="L15" s="15">
        <v>4.9</v>
      </c>
      <c r="M15" s="15">
        <v>5.2</v>
      </c>
      <c r="N15" s="15">
        <v>1.2</v>
      </c>
      <c r="O15" s="15">
        <v>0.6</v>
      </c>
      <c r="P15" s="15">
        <v>1.8</v>
      </c>
      <c r="Q15" s="15">
        <v>7.76</v>
      </c>
    </row>
    <row r="16">
      <c r="A16" s="15">
        <v>15.0</v>
      </c>
      <c r="B16" s="15">
        <v>18.3</v>
      </c>
      <c r="C16" s="30" t="s">
        <v>127</v>
      </c>
      <c r="D16" s="15" t="s">
        <v>98</v>
      </c>
      <c r="E16" s="15" t="s">
        <v>129</v>
      </c>
      <c r="F16" s="15">
        <v>65.0</v>
      </c>
      <c r="G16" s="15">
        <v>35.2</v>
      </c>
      <c r="H16" s="15" t="s">
        <v>130</v>
      </c>
      <c r="I16" s="15" t="s">
        <v>131</v>
      </c>
      <c r="J16" s="15">
        <v>2.1</v>
      </c>
      <c r="K16" s="15">
        <v>25.7</v>
      </c>
      <c r="L16" s="15">
        <v>6.4</v>
      </c>
      <c r="M16" s="15">
        <v>4.8</v>
      </c>
      <c r="N16" s="15">
        <v>0.8</v>
      </c>
      <c r="O16" s="15">
        <v>1.2</v>
      </c>
      <c r="P16" s="15">
        <v>3.2</v>
      </c>
      <c r="Q16" s="15">
        <v>7.55</v>
      </c>
    </row>
    <row r="17">
      <c r="A17" s="15">
        <v>16.0</v>
      </c>
      <c r="B17" s="15">
        <v>24.2</v>
      </c>
      <c r="C17" s="30" t="s">
        <v>132</v>
      </c>
      <c r="D17" s="15" t="s">
        <v>98</v>
      </c>
      <c r="E17" s="15" t="s">
        <v>75</v>
      </c>
      <c r="F17" s="15">
        <v>67.0</v>
      </c>
      <c r="G17" s="15">
        <v>34.0</v>
      </c>
      <c r="H17" s="15" t="s">
        <v>133</v>
      </c>
      <c r="I17" s="15" t="s">
        <v>135</v>
      </c>
      <c r="J17" s="15">
        <v>2.1</v>
      </c>
      <c r="K17" s="15">
        <v>25.2</v>
      </c>
      <c r="L17" s="15">
        <v>7.2</v>
      </c>
      <c r="M17" s="15">
        <v>8.2</v>
      </c>
      <c r="N17" s="15">
        <v>1.1</v>
      </c>
      <c r="O17" s="15">
        <v>0.5</v>
      </c>
      <c r="P17" s="15">
        <v>3.3</v>
      </c>
      <c r="Q17" s="15">
        <v>7.39</v>
      </c>
    </row>
    <row r="18">
      <c r="A18" s="15">
        <v>17.0</v>
      </c>
      <c r="B18" s="15">
        <v>19.0</v>
      </c>
      <c r="C18" s="30" t="s">
        <v>136</v>
      </c>
      <c r="D18" s="15" t="s">
        <v>137</v>
      </c>
      <c r="E18" s="15" t="s">
        <v>138</v>
      </c>
      <c r="F18" s="15">
        <v>70.0</v>
      </c>
      <c r="G18" s="15">
        <v>34.8</v>
      </c>
      <c r="H18" s="15" t="s">
        <v>139</v>
      </c>
      <c r="I18" s="15" t="s">
        <v>140</v>
      </c>
      <c r="J18" s="15">
        <v>1.7</v>
      </c>
      <c r="K18" s="15">
        <v>19.1</v>
      </c>
      <c r="L18" s="15">
        <v>8.3</v>
      </c>
      <c r="M18" s="15">
        <v>6.0</v>
      </c>
      <c r="N18" s="15">
        <v>1.3</v>
      </c>
      <c r="O18" s="15">
        <v>1.5</v>
      </c>
      <c r="P18" s="15">
        <v>2.4</v>
      </c>
      <c r="Q18" s="15">
        <v>7.17</v>
      </c>
    </row>
    <row r="19">
      <c r="A19" s="15">
        <v>18.0</v>
      </c>
      <c r="B19" s="15">
        <v>24.3</v>
      </c>
      <c r="C19" s="30" t="s">
        <v>141</v>
      </c>
      <c r="D19" s="15" t="s">
        <v>46</v>
      </c>
      <c r="E19" s="15" t="s">
        <v>85</v>
      </c>
      <c r="F19" s="15">
        <v>70.0</v>
      </c>
      <c r="G19" s="15">
        <v>35.2</v>
      </c>
      <c r="H19" s="15" t="s">
        <v>143</v>
      </c>
      <c r="I19" s="15" t="s">
        <v>144</v>
      </c>
      <c r="J19" s="15">
        <v>3.1</v>
      </c>
      <c r="K19" s="15">
        <v>24.9</v>
      </c>
      <c r="L19" s="15">
        <v>4.5</v>
      </c>
      <c r="M19" s="15">
        <v>7.1</v>
      </c>
      <c r="N19" s="15">
        <v>0.9</v>
      </c>
      <c r="O19" s="15">
        <v>0.3</v>
      </c>
      <c r="P19" s="15">
        <v>2.9</v>
      </c>
      <c r="Q19" s="15">
        <v>7.12</v>
      </c>
    </row>
    <row r="20">
      <c r="A20" s="15">
        <v>19.0</v>
      </c>
      <c r="B20" s="15">
        <v>20.0</v>
      </c>
      <c r="C20" s="30" t="s">
        <v>146</v>
      </c>
      <c r="D20" s="15" t="s">
        <v>67</v>
      </c>
      <c r="E20" s="15" t="s">
        <v>129</v>
      </c>
      <c r="F20" s="15">
        <v>68.0</v>
      </c>
      <c r="G20" s="15">
        <v>35.1</v>
      </c>
      <c r="H20" s="15" t="s">
        <v>157</v>
      </c>
      <c r="I20" s="15" t="s">
        <v>158</v>
      </c>
      <c r="J20" s="15">
        <v>2.2</v>
      </c>
      <c r="K20" s="15">
        <v>27.8</v>
      </c>
      <c r="L20" s="15">
        <v>4.5</v>
      </c>
      <c r="M20" s="15">
        <v>5.5</v>
      </c>
      <c r="N20" s="15">
        <v>1.0</v>
      </c>
      <c r="O20" s="15">
        <v>0.4</v>
      </c>
      <c r="P20" s="15">
        <v>2.7</v>
      </c>
      <c r="Q20" s="15">
        <v>7.1</v>
      </c>
    </row>
    <row r="21">
      <c r="A21" s="15">
        <v>20.0</v>
      </c>
      <c r="B21" s="15">
        <v>22.3</v>
      </c>
      <c r="C21" s="30" t="s">
        <v>159</v>
      </c>
      <c r="D21" s="15" t="s">
        <v>67</v>
      </c>
      <c r="E21" s="15" t="s">
        <v>160</v>
      </c>
      <c r="F21" s="15">
        <v>58.0</v>
      </c>
      <c r="G21" s="15">
        <v>32.4</v>
      </c>
      <c r="H21" s="15" t="s">
        <v>161</v>
      </c>
      <c r="I21" s="15" t="s">
        <v>162</v>
      </c>
      <c r="J21" s="15">
        <v>3.6</v>
      </c>
      <c r="K21" s="15">
        <v>23.2</v>
      </c>
      <c r="L21" s="15">
        <v>5.7</v>
      </c>
      <c r="M21" s="15">
        <v>8.6</v>
      </c>
      <c r="N21" s="15">
        <v>1.6</v>
      </c>
      <c r="O21" s="15">
        <v>0.3</v>
      </c>
      <c r="P21" s="15">
        <v>3.5</v>
      </c>
      <c r="Q21" s="15">
        <v>7.04</v>
      </c>
    </row>
    <row r="22">
      <c r="A22" s="15">
        <v>21.0</v>
      </c>
      <c r="B22" s="15">
        <v>22.1</v>
      </c>
      <c r="C22" s="30" t="s">
        <v>163</v>
      </c>
      <c r="D22" s="15" t="s">
        <v>74</v>
      </c>
      <c r="E22" s="15" t="s">
        <v>164</v>
      </c>
      <c r="F22" s="15">
        <v>67.0</v>
      </c>
      <c r="G22" s="15">
        <v>33.7</v>
      </c>
      <c r="H22" s="15" t="s">
        <v>165</v>
      </c>
      <c r="I22" s="15" t="s">
        <v>166</v>
      </c>
      <c r="J22" s="15">
        <v>2.2</v>
      </c>
      <c r="K22" s="15">
        <v>21.4</v>
      </c>
      <c r="L22" s="15">
        <v>9.5</v>
      </c>
      <c r="M22" s="15">
        <v>3.3</v>
      </c>
      <c r="N22" s="15">
        <v>0.7</v>
      </c>
      <c r="O22" s="15">
        <v>1.0</v>
      </c>
      <c r="P22" s="15">
        <v>2.9</v>
      </c>
      <c r="Q22" s="15">
        <v>6.77</v>
      </c>
    </row>
    <row r="23">
      <c r="A23" s="15">
        <v>22.0</v>
      </c>
      <c r="B23" s="15">
        <v>14.6</v>
      </c>
      <c r="C23" s="30" t="s">
        <v>167</v>
      </c>
      <c r="D23" s="15" t="s">
        <v>34</v>
      </c>
      <c r="E23" s="15" t="s">
        <v>168</v>
      </c>
      <c r="F23" s="15">
        <v>77.0</v>
      </c>
      <c r="G23" s="15">
        <v>35.6</v>
      </c>
      <c r="H23" s="15" t="s">
        <v>169</v>
      </c>
      <c r="I23" s="15" t="s">
        <v>170</v>
      </c>
      <c r="J23" s="15">
        <v>0.4</v>
      </c>
      <c r="K23" s="15">
        <v>18.8</v>
      </c>
      <c r="L23" s="15">
        <v>13.2</v>
      </c>
      <c r="M23" s="15">
        <v>7.9</v>
      </c>
      <c r="N23" s="15">
        <v>0.9</v>
      </c>
      <c r="O23" s="15">
        <v>0.6</v>
      </c>
      <c r="P23" s="15">
        <v>3.2</v>
      </c>
      <c r="Q23" s="15">
        <v>6.65</v>
      </c>
    </row>
    <row r="24">
      <c r="A24" s="15">
        <v>23.0</v>
      </c>
      <c r="B24" s="15">
        <v>30.1</v>
      </c>
      <c r="C24" s="30" t="s">
        <v>171</v>
      </c>
      <c r="D24" s="15" t="s">
        <v>98</v>
      </c>
      <c r="E24" s="15" t="s">
        <v>172</v>
      </c>
      <c r="F24" s="15">
        <v>64.0</v>
      </c>
      <c r="G24" s="15">
        <v>33.5</v>
      </c>
      <c r="H24" s="15" t="s">
        <v>173</v>
      </c>
      <c r="I24" s="15" t="s">
        <v>174</v>
      </c>
      <c r="J24" s="15">
        <v>3.1</v>
      </c>
      <c r="K24" s="15">
        <v>24.5</v>
      </c>
      <c r="L24" s="15">
        <v>8.4</v>
      </c>
      <c r="M24" s="15">
        <v>1.9</v>
      </c>
      <c r="N24" s="15">
        <v>0.8</v>
      </c>
      <c r="O24" s="15">
        <v>0.5</v>
      </c>
      <c r="P24" s="15">
        <v>1.7</v>
      </c>
      <c r="Q24" s="15">
        <v>6.58</v>
      </c>
    </row>
    <row r="25">
      <c r="A25" s="15">
        <v>24.0</v>
      </c>
      <c r="B25" s="15">
        <v>17.6</v>
      </c>
      <c r="C25" s="30" t="s">
        <v>175</v>
      </c>
      <c r="D25" s="15" t="s">
        <v>74</v>
      </c>
      <c r="E25" s="15" t="s">
        <v>58</v>
      </c>
      <c r="F25" s="15">
        <v>75.0</v>
      </c>
      <c r="G25" s="15">
        <v>30.6</v>
      </c>
      <c r="H25" s="15" t="s">
        <v>176</v>
      </c>
      <c r="I25" s="15" t="s">
        <v>177</v>
      </c>
      <c r="J25" s="15">
        <v>1.7</v>
      </c>
      <c r="K25" s="15">
        <v>17.4</v>
      </c>
      <c r="L25" s="15">
        <v>8.1</v>
      </c>
      <c r="M25" s="15">
        <v>2.6</v>
      </c>
      <c r="N25" s="15">
        <v>0.7</v>
      </c>
      <c r="O25" s="15">
        <v>2.3</v>
      </c>
      <c r="P25" s="15">
        <v>1.7</v>
      </c>
      <c r="Q25" s="15">
        <v>6.47</v>
      </c>
    </row>
    <row r="26">
      <c r="A26" s="15">
        <v>25.0</v>
      </c>
      <c r="B26" s="15">
        <v>19.1</v>
      </c>
      <c r="C26" s="30" t="s">
        <v>178</v>
      </c>
      <c r="D26" s="15" t="s">
        <v>46</v>
      </c>
      <c r="E26" s="15" t="s">
        <v>164</v>
      </c>
      <c r="F26" s="15">
        <v>74.0</v>
      </c>
      <c r="G26" s="15">
        <v>34.9</v>
      </c>
      <c r="H26" s="15" t="s">
        <v>179</v>
      </c>
      <c r="I26" s="15" t="s">
        <v>180</v>
      </c>
      <c r="J26" s="15">
        <v>2.7</v>
      </c>
      <c r="K26" s="15">
        <v>27.7</v>
      </c>
      <c r="L26" s="15">
        <v>3.7</v>
      </c>
      <c r="M26" s="15">
        <v>7.0</v>
      </c>
      <c r="N26" s="15">
        <v>0.9</v>
      </c>
      <c r="O26" s="15">
        <v>0.2</v>
      </c>
      <c r="P26" s="15">
        <v>2.3</v>
      </c>
      <c r="Q26" s="15">
        <v>6.03</v>
      </c>
    </row>
    <row r="27">
      <c r="A27" s="15">
        <v>26.0</v>
      </c>
      <c r="B27" s="15">
        <v>10.1</v>
      </c>
      <c r="C27" s="30" t="s">
        <v>181</v>
      </c>
      <c r="D27" s="15" t="s">
        <v>182</v>
      </c>
      <c r="E27" s="15" t="s">
        <v>183</v>
      </c>
      <c r="F27" s="15">
        <v>79.0</v>
      </c>
      <c r="G27" s="15">
        <v>35.4</v>
      </c>
      <c r="H27" s="15" t="s">
        <v>184</v>
      </c>
      <c r="I27" s="15" t="s">
        <v>185</v>
      </c>
      <c r="J27" s="15">
        <v>2.5</v>
      </c>
      <c r="K27" s="15">
        <v>26.2</v>
      </c>
      <c r="L27" s="15">
        <v>5.5</v>
      </c>
      <c r="M27" s="15">
        <v>5.2</v>
      </c>
      <c r="N27" s="15">
        <v>1.4</v>
      </c>
      <c r="O27" s="15">
        <v>0.7</v>
      </c>
      <c r="P27" s="15">
        <v>3.1</v>
      </c>
      <c r="Q27" s="15">
        <v>5.96</v>
      </c>
    </row>
    <row r="28">
      <c r="A28" s="15">
        <v>27.0</v>
      </c>
      <c r="B28" s="15">
        <v>32.1</v>
      </c>
      <c r="C28" s="30" t="s">
        <v>186</v>
      </c>
      <c r="D28" s="15" t="s">
        <v>137</v>
      </c>
      <c r="E28" s="15" t="s">
        <v>81</v>
      </c>
      <c r="F28" s="15">
        <v>60.0</v>
      </c>
      <c r="G28" s="15">
        <v>33.0</v>
      </c>
      <c r="H28" s="15" t="s">
        <v>187</v>
      </c>
      <c r="I28" s="15" t="s">
        <v>188</v>
      </c>
      <c r="J28" s="15">
        <v>3.0</v>
      </c>
      <c r="K28" s="15">
        <v>22.1</v>
      </c>
      <c r="L28" s="15">
        <v>5.0</v>
      </c>
      <c r="M28" s="15">
        <v>3.4</v>
      </c>
      <c r="N28" s="15">
        <v>1.4</v>
      </c>
      <c r="O28" s="15">
        <v>0.4</v>
      </c>
      <c r="P28" s="15">
        <v>2.4</v>
      </c>
      <c r="Q28" s="15">
        <v>5.66</v>
      </c>
    </row>
    <row r="29">
      <c r="A29" s="15">
        <v>28.0</v>
      </c>
      <c r="B29" s="15">
        <v>36.0</v>
      </c>
      <c r="C29" s="30" t="s">
        <v>189</v>
      </c>
      <c r="D29" s="15" t="s">
        <v>137</v>
      </c>
      <c r="E29" s="15" t="s">
        <v>58</v>
      </c>
      <c r="F29" s="15">
        <v>73.0</v>
      </c>
      <c r="G29" s="15">
        <v>32.2</v>
      </c>
      <c r="H29" s="15" t="s">
        <v>190</v>
      </c>
      <c r="I29" s="15" t="s">
        <v>191</v>
      </c>
      <c r="J29" s="15">
        <v>1.7</v>
      </c>
      <c r="K29" s="15">
        <v>20.0</v>
      </c>
      <c r="L29" s="15">
        <v>4.6</v>
      </c>
      <c r="M29" s="15">
        <v>4.9</v>
      </c>
      <c r="N29" s="15">
        <v>1.2</v>
      </c>
      <c r="O29" s="15">
        <v>0.6</v>
      </c>
      <c r="P29" s="15">
        <v>1.8</v>
      </c>
      <c r="Q29" s="15">
        <v>5.2</v>
      </c>
    </row>
    <row r="30">
      <c r="A30" s="15">
        <v>29.0</v>
      </c>
      <c r="B30" s="15">
        <v>46.0</v>
      </c>
      <c r="C30" s="30" t="s">
        <v>192</v>
      </c>
      <c r="D30" s="15" t="s">
        <v>98</v>
      </c>
      <c r="E30" s="15" t="s">
        <v>193</v>
      </c>
      <c r="F30" s="15">
        <v>60.0</v>
      </c>
      <c r="G30" s="15">
        <v>33.1</v>
      </c>
      <c r="H30" s="15" t="s">
        <v>194</v>
      </c>
      <c r="I30" s="15" t="s">
        <v>195</v>
      </c>
      <c r="J30" s="15">
        <v>0.8</v>
      </c>
      <c r="K30" s="15">
        <v>20.7</v>
      </c>
      <c r="L30" s="15">
        <v>5.4</v>
      </c>
      <c r="M30" s="15">
        <v>5.1</v>
      </c>
      <c r="N30" s="15">
        <v>1.3</v>
      </c>
      <c r="O30" s="15">
        <v>0.3</v>
      </c>
      <c r="P30" s="15">
        <v>1.6</v>
      </c>
      <c r="Q30" s="15">
        <v>5.2</v>
      </c>
    </row>
    <row r="31">
      <c r="A31" s="15">
        <v>30.0</v>
      </c>
      <c r="B31" s="15">
        <v>37.3</v>
      </c>
      <c r="C31" s="30" t="s">
        <v>196</v>
      </c>
      <c r="D31" s="15" t="s">
        <v>74</v>
      </c>
      <c r="E31" s="15" t="s">
        <v>197</v>
      </c>
      <c r="F31" s="15">
        <v>68.0</v>
      </c>
      <c r="G31" s="15">
        <v>31.2</v>
      </c>
      <c r="H31" s="15" t="s">
        <v>198</v>
      </c>
      <c r="I31" s="15" t="s">
        <v>199</v>
      </c>
      <c r="J31" s="15">
        <v>1.7</v>
      </c>
      <c r="K31" s="15">
        <v>21.3</v>
      </c>
      <c r="L31" s="15">
        <v>6.3</v>
      </c>
      <c r="M31" s="15">
        <v>1.7</v>
      </c>
      <c r="N31" s="15">
        <v>1.2</v>
      </c>
      <c r="O31" s="15">
        <v>1.9</v>
      </c>
      <c r="P31" s="15">
        <v>2.1</v>
      </c>
      <c r="Q31" s="15">
        <v>4.97</v>
      </c>
    </row>
    <row r="32">
      <c r="A32" s="15">
        <v>31.0</v>
      </c>
      <c r="B32" s="15">
        <v>27.8</v>
      </c>
      <c r="C32" s="30" t="s">
        <v>200</v>
      </c>
      <c r="D32" s="15" t="s">
        <v>67</v>
      </c>
      <c r="E32" s="15" t="s">
        <v>81</v>
      </c>
      <c r="F32" s="15">
        <v>70.0</v>
      </c>
      <c r="G32" s="15">
        <v>36.2</v>
      </c>
      <c r="H32" s="15" t="s">
        <v>201</v>
      </c>
      <c r="I32" s="15" t="s">
        <v>202</v>
      </c>
      <c r="J32" s="15">
        <v>3.0</v>
      </c>
      <c r="K32" s="15">
        <v>24.4</v>
      </c>
      <c r="L32" s="15">
        <v>3.5</v>
      </c>
      <c r="M32" s="15">
        <v>5.9</v>
      </c>
      <c r="N32" s="15">
        <v>1.0</v>
      </c>
      <c r="O32" s="15">
        <v>0.3</v>
      </c>
      <c r="P32" s="15">
        <v>1.6</v>
      </c>
      <c r="Q32" s="15">
        <v>4.91</v>
      </c>
    </row>
    <row r="33">
      <c r="A33" s="15">
        <v>32.0</v>
      </c>
      <c r="B33" s="15">
        <v>38.4</v>
      </c>
      <c r="C33" s="30" t="s">
        <v>203</v>
      </c>
      <c r="D33" s="15" t="s">
        <v>46</v>
      </c>
      <c r="E33" s="15" t="s">
        <v>204</v>
      </c>
      <c r="F33" s="15">
        <v>70.0</v>
      </c>
      <c r="G33" s="15">
        <v>36.0</v>
      </c>
      <c r="H33" s="15" t="s">
        <v>205</v>
      </c>
      <c r="I33" s="15" t="s">
        <v>206</v>
      </c>
      <c r="J33" s="15">
        <v>2.9</v>
      </c>
      <c r="K33" s="15">
        <v>17.3</v>
      </c>
      <c r="L33" s="15">
        <v>3.7</v>
      </c>
      <c r="M33" s="15">
        <v>7.6</v>
      </c>
      <c r="N33" s="15">
        <v>1.4</v>
      </c>
      <c r="O33" s="15">
        <v>0.7</v>
      </c>
      <c r="P33" s="15">
        <v>1.8</v>
      </c>
      <c r="Q33" s="15">
        <v>4.73</v>
      </c>
    </row>
    <row r="34">
      <c r="A34" s="15">
        <v>33.0</v>
      </c>
      <c r="B34" s="15">
        <v>41.4</v>
      </c>
      <c r="C34" s="30" t="s">
        <v>207</v>
      </c>
      <c r="D34" s="15" t="s">
        <v>49</v>
      </c>
      <c r="E34" s="15" t="s">
        <v>94</v>
      </c>
      <c r="F34" s="15">
        <v>68.0</v>
      </c>
      <c r="G34" s="15">
        <v>34.2</v>
      </c>
      <c r="H34" s="15" t="s">
        <v>208</v>
      </c>
      <c r="I34" s="15" t="s">
        <v>209</v>
      </c>
      <c r="J34" s="15">
        <v>1.4</v>
      </c>
      <c r="K34" s="15">
        <v>18.2</v>
      </c>
      <c r="L34" s="15">
        <v>9.2</v>
      </c>
      <c r="M34" s="15">
        <v>3.5</v>
      </c>
      <c r="N34" s="15">
        <v>1.3</v>
      </c>
      <c r="O34" s="15">
        <v>1.0</v>
      </c>
      <c r="P34" s="15">
        <v>1.7</v>
      </c>
      <c r="Q34" s="15">
        <v>4.68</v>
      </c>
    </row>
    <row r="35">
      <c r="A35" s="15">
        <v>34.0</v>
      </c>
      <c r="B35" s="15">
        <v>26.1</v>
      </c>
      <c r="C35" s="30" t="s">
        <v>210</v>
      </c>
      <c r="D35" s="15" t="s">
        <v>46</v>
      </c>
      <c r="E35" s="15" t="s">
        <v>168</v>
      </c>
      <c r="F35" s="15">
        <v>72.0</v>
      </c>
      <c r="G35" s="15">
        <v>34.5</v>
      </c>
      <c r="H35" s="15" t="s">
        <v>211</v>
      </c>
      <c r="I35" s="15" t="s">
        <v>212</v>
      </c>
      <c r="J35" s="15">
        <v>2.5</v>
      </c>
      <c r="K35" s="15">
        <v>25.1</v>
      </c>
      <c r="L35" s="15">
        <v>4.2</v>
      </c>
      <c r="M35" s="15">
        <v>5.5</v>
      </c>
      <c r="N35" s="15">
        <v>1.7</v>
      </c>
      <c r="O35" s="15">
        <v>0.4</v>
      </c>
      <c r="P35" s="15">
        <v>2.5</v>
      </c>
      <c r="Q35" s="15">
        <v>4.47</v>
      </c>
    </row>
    <row r="36">
      <c r="A36" s="15">
        <v>35.0</v>
      </c>
      <c r="B36" s="15">
        <v>48.4</v>
      </c>
      <c r="C36" s="30" t="s">
        <v>213</v>
      </c>
      <c r="D36" s="15" t="s">
        <v>67</v>
      </c>
      <c r="E36" s="15" t="s">
        <v>99</v>
      </c>
      <c r="F36" s="15">
        <v>75.0</v>
      </c>
      <c r="G36" s="15">
        <v>32.8</v>
      </c>
      <c r="H36" s="15" t="s">
        <v>214</v>
      </c>
      <c r="I36" s="15" t="s">
        <v>215</v>
      </c>
      <c r="J36" s="15">
        <v>2.7</v>
      </c>
      <c r="K36" s="15">
        <v>15.2</v>
      </c>
      <c r="L36" s="15">
        <v>4.3</v>
      </c>
      <c r="M36" s="15">
        <v>4.9</v>
      </c>
      <c r="N36" s="15">
        <v>0.9</v>
      </c>
      <c r="O36" s="15">
        <v>1.2</v>
      </c>
      <c r="P36" s="15">
        <v>1.5</v>
      </c>
      <c r="Q36" s="15">
        <v>4.43</v>
      </c>
    </row>
    <row r="37">
      <c r="A37" s="15">
        <v>36.0</v>
      </c>
      <c r="B37" s="15">
        <v>35.2</v>
      </c>
      <c r="C37" s="30" t="s">
        <v>216</v>
      </c>
      <c r="D37" s="15" t="s">
        <v>46</v>
      </c>
      <c r="E37" s="15" t="s">
        <v>197</v>
      </c>
      <c r="F37" s="15">
        <v>63.0</v>
      </c>
      <c r="G37" s="15">
        <v>33.6</v>
      </c>
      <c r="H37" s="15" t="s">
        <v>217</v>
      </c>
      <c r="I37" s="15" t="s">
        <v>218</v>
      </c>
      <c r="J37" s="15">
        <v>1.5</v>
      </c>
      <c r="K37" s="15">
        <v>25.8</v>
      </c>
      <c r="L37" s="15">
        <v>5.9</v>
      </c>
      <c r="M37" s="15">
        <v>8.2</v>
      </c>
      <c r="N37" s="15">
        <v>0.9</v>
      </c>
      <c r="O37" s="15">
        <v>0.5</v>
      </c>
      <c r="P37" s="15">
        <v>3.0</v>
      </c>
      <c r="Q37" s="15">
        <v>4.35</v>
      </c>
    </row>
    <row r="38">
      <c r="A38" s="15">
        <v>37.0</v>
      </c>
      <c r="B38" s="15">
        <v>54.1</v>
      </c>
      <c r="C38" s="30" t="s">
        <v>219</v>
      </c>
      <c r="D38" s="15" t="s">
        <v>98</v>
      </c>
      <c r="E38" s="15" t="s">
        <v>168</v>
      </c>
      <c r="F38" s="15">
        <v>76.0</v>
      </c>
      <c r="G38" s="15">
        <v>34.9</v>
      </c>
      <c r="H38" s="15" t="s">
        <v>223</v>
      </c>
      <c r="I38" s="15" t="s">
        <v>224</v>
      </c>
      <c r="J38" s="15">
        <v>1.1</v>
      </c>
      <c r="K38" s="15">
        <v>22.1</v>
      </c>
      <c r="L38" s="15">
        <v>3.8</v>
      </c>
      <c r="M38" s="15">
        <v>3.9</v>
      </c>
      <c r="N38" s="15">
        <v>1.1</v>
      </c>
      <c r="O38" s="15">
        <v>0.6</v>
      </c>
      <c r="P38" s="15">
        <v>1.7</v>
      </c>
      <c r="Q38" s="15">
        <v>4.33</v>
      </c>
    </row>
    <row r="39">
      <c r="A39" s="15">
        <v>38.0</v>
      </c>
      <c r="B39" s="15">
        <v>39.0</v>
      </c>
      <c r="C39" s="30" t="s">
        <v>226</v>
      </c>
      <c r="D39" s="15" t="s">
        <v>74</v>
      </c>
      <c r="E39" s="15" t="s">
        <v>121</v>
      </c>
      <c r="F39" s="15">
        <v>68.0</v>
      </c>
      <c r="G39" s="15">
        <v>32.0</v>
      </c>
      <c r="H39" s="15" t="s">
        <v>228</v>
      </c>
      <c r="I39" s="15" t="s">
        <v>229</v>
      </c>
      <c r="J39" s="15">
        <v>0.4</v>
      </c>
      <c r="K39" s="15">
        <v>16.1</v>
      </c>
      <c r="L39" s="15">
        <v>9.2</v>
      </c>
      <c r="M39" s="15">
        <v>3.4</v>
      </c>
      <c r="N39" s="15">
        <v>0.9</v>
      </c>
      <c r="O39" s="15">
        <v>1.5</v>
      </c>
      <c r="P39" s="15">
        <v>1.8</v>
      </c>
      <c r="Q39" s="15">
        <v>4.31</v>
      </c>
    </row>
    <row r="40">
      <c r="A40" s="15">
        <v>39.0</v>
      </c>
      <c r="B40" s="15">
        <v>49.1</v>
      </c>
      <c r="C40" s="30" t="s">
        <v>230</v>
      </c>
      <c r="D40" s="15" t="s">
        <v>137</v>
      </c>
      <c r="E40" s="15" t="s">
        <v>103</v>
      </c>
      <c r="F40" s="15">
        <v>48.0</v>
      </c>
      <c r="G40" s="15">
        <v>30.0</v>
      </c>
      <c r="H40" s="15" t="s">
        <v>231</v>
      </c>
      <c r="I40" s="15" t="s">
        <v>232</v>
      </c>
      <c r="J40" s="15">
        <v>1.7</v>
      </c>
      <c r="K40" s="15">
        <v>20.2</v>
      </c>
      <c r="L40" s="15">
        <v>5.4</v>
      </c>
      <c r="M40" s="15">
        <v>3.2</v>
      </c>
      <c r="N40" s="15">
        <v>1.1</v>
      </c>
      <c r="O40" s="15">
        <v>0.5</v>
      </c>
      <c r="P40" s="15">
        <v>1.6</v>
      </c>
      <c r="Q40" s="15">
        <v>4.26</v>
      </c>
    </row>
    <row r="41">
      <c r="A41" s="15">
        <v>40.0</v>
      </c>
      <c r="B41" s="15">
        <v>44.1</v>
      </c>
      <c r="C41" s="30" t="s">
        <v>233</v>
      </c>
      <c r="D41" s="15" t="s">
        <v>182</v>
      </c>
      <c r="E41" s="15" t="s">
        <v>197</v>
      </c>
      <c r="F41" s="15">
        <v>68.0</v>
      </c>
      <c r="G41" s="15">
        <v>32.8</v>
      </c>
      <c r="H41" s="15" t="s">
        <v>234</v>
      </c>
      <c r="I41" s="15" t="s">
        <v>235</v>
      </c>
      <c r="J41" s="15">
        <v>2.9</v>
      </c>
      <c r="K41" s="15">
        <v>21.4</v>
      </c>
      <c r="L41" s="15">
        <v>4.5</v>
      </c>
      <c r="M41" s="15">
        <v>4.4</v>
      </c>
      <c r="N41" s="15">
        <v>1.0</v>
      </c>
      <c r="O41" s="15">
        <v>0.4</v>
      </c>
      <c r="P41" s="15">
        <v>2.3</v>
      </c>
      <c r="Q41" s="15">
        <v>4.22</v>
      </c>
    </row>
    <row r="42">
      <c r="A42" s="15">
        <v>41.0</v>
      </c>
      <c r="B42" s="15">
        <v>35.6</v>
      </c>
      <c r="C42" s="30" t="s">
        <v>236</v>
      </c>
      <c r="D42" s="15" t="s">
        <v>67</v>
      </c>
      <c r="E42" s="15" t="s">
        <v>237</v>
      </c>
      <c r="F42" s="15">
        <v>74.0</v>
      </c>
      <c r="G42" s="15">
        <v>32.0</v>
      </c>
      <c r="H42" s="15" t="s">
        <v>238</v>
      </c>
      <c r="I42" s="15" t="s">
        <v>239</v>
      </c>
      <c r="J42" s="15">
        <v>2.2</v>
      </c>
      <c r="K42" s="15">
        <v>19.5</v>
      </c>
      <c r="L42" s="15">
        <v>5.2</v>
      </c>
      <c r="M42" s="15">
        <v>6.5</v>
      </c>
      <c r="N42" s="15">
        <v>1.4</v>
      </c>
      <c r="O42" s="15">
        <v>0.3</v>
      </c>
      <c r="P42" s="15">
        <v>2.1</v>
      </c>
      <c r="Q42" s="15">
        <v>4.1</v>
      </c>
    </row>
    <row r="43">
      <c r="A43" s="15">
        <v>42.0</v>
      </c>
      <c r="B43" s="15">
        <v>27.7</v>
      </c>
      <c r="C43" s="30" t="s">
        <v>240</v>
      </c>
      <c r="D43" s="15" t="s">
        <v>34</v>
      </c>
      <c r="E43" s="15" t="s">
        <v>204</v>
      </c>
      <c r="F43" s="15">
        <v>72.0</v>
      </c>
      <c r="G43" s="15">
        <v>32.6</v>
      </c>
      <c r="H43" s="15" t="s">
        <v>241</v>
      </c>
      <c r="I43" s="15" t="s">
        <v>242</v>
      </c>
      <c r="J43" s="15">
        <v>0.4</v>
      </c>
      <c r="K43" s="15">
        <v>19.4</v>
      </c>
      <c r="L43" s="15">
        <v>9.9</v>
      </c>
      <c r="M43" s="15">
        <v>5.4</v>
      </c>
      <c r="N43" s="15">
        <v>1.2</v>
      </c>
      <c r="O43" s="15">
        <v>0.8</v>
      </c>
      <c r="P43" s="15">
        <v>2.8</v>
      </c>
      <c r="Q43" s="15">
        <v>4.04</v>
      </c>
    </row>
    <row r="44">
      <c r="A44" s="15">
        <v>43.0</v>
      </c>
      <c r="B44" s="15">
        <v>32.2</v>
      </c>
      <c r="C44" s="30" t="s">
        <v>243</v>
      </c>
      <c r="D44" s="15" t="s">
        <v>34</v>
      </c>
      <c r="E44" s="15" t="s">
        <v>193</v>
      </c>
      <c r="F44" s="15">
        <v>73.0</v>
      </c>
      <c r="G44" s="15">
        <v>34.4</v>
      </c>
      <c r="H44" s="15" t="s">
        <v>244</v>
      </c>
      <c r="I44" s="15" t="s">
        <v>245</v>
      </c>
      <c r="J44" s="15">
        <v>0.2</v>
      </c>
      <c r="K44" s="15">
        <v>20.0</v>
      </c>
      <c r="L44" s="15">
        <v>10.4</v>
      </c>
      <c r="M44" s="15">
        <v>3.9</v>
      </c>
      <c r="N44" s="15">
        <v>1.2</v>
      </c>
      <c r="O44" s="15">
        <v>0.9</v>
      </c>
      <c r="P44" s="15">
        <v>2.4</v>
      </c>
      <c r="Q44" s="15">
        <v>4.04</v>
      </c>
    </row>
    <row r="45">
      <c r="A45" s="15">
        <v>44.0</v>
      </c>
      <c r="B45" s="15">
        <v>103.3</v>
      </c>
      <c r="C45" s="30" t="s">
        <v>246</v>
      </c>
      <c r="D45" s="15" t="s">
        <v>74</v>
      </c>
      <c r="E45" s="15" t="s">
        <v>99</v>
      </c>
      <c r="F45" s="15">
        <v>40.0</v>
      </c>
      <c r="G45" s="15">
        <v>27.1</v>
      </c>
      <c r="H45" s="15" t="s">
        <v>247</v>
      </c>
      <c r="I45" s="15" t="s">
        <v>248</v>
      </c>
      <c r="J45" s="15">
        <v>1.8</v>
      </c>
      <c r="K45" s="15">
        <v>17.8</v>
      </c>
      <c r="L45" s="15">
        <v>6.7</v>
      </c>
      <c r="M45" s="15">
        <v>2.0</v>
      </c>
      <c r="N45" s="15">
        <v>0.7</v>
      </c>
      <c r="O45" s="15">
        <v>1.5</v>
      </c>
      <c r="P45" s="15">
        <v>1.6</v>
      </c>
      <c r="Q45" s="15">
        <v>4.01</v>
      </c>
    </row>
    <row r="46">
      <c r="A46" s="15">
        <v>45.0</v>
      </c>
      <c r="B46" s="15">
        <v>34.0</v>
      </c>
      <c r="C46" s="30" t="s">
        <v>249</v>
      </c>
      <c r="D46" s="15" t="s">
        <v>67</v>
      </c>
      <c r="E46" s="15" t="s">
        <v>250</v>
      </c>
      <c r="F46" s="15">
        <v>64.0</v>
      </c>
      <c r="G46" s="15">
        <v>33.7</v>
      </c>
      <c r="H46" s="15" t="s">
        <v>251</v>
      </c>
      <c r="I46" s="15" t="s">
        <v>252</v>
      </c>
      <c r="J46" s="15">
        <v>1.9</v>
      </c>
      <c r="K46" s="15">
        <v>23.2</v>
      </c>
      <c r="L46" s="15">
        <v>4.7</v>
      </c>
      <c r="M46" s="15">
        <v>7.8</v>
      </c>
      <c r="N46" s="15">
        <v>0.9</v>
      </c>
      <c r="O46" s="15">
        <v>0.4</v>
      </c>
      <c r="P46" s="15">
        <v>3.5</v>
      </c>
      <c r="Q46" s="15">
        <v>3.86</v>
      </c>
    </row>
    <row r="47">
      <c r="A47" s="15">
        <v>46.0</v>
      </c>
      <c r="B47" s="15">
        <v>45.0</v>
      </c>
      <c r="C47" s="30" t="s">
        <v>254</v>
      </c>
      <c r="D47" s="15" t="s">
        <v>34</v>
      </c>
      <c r="E47" s="15" t="s">
        <v>89</v>
      </c>
      <c r="F47" s="15">
        <v>72.0</v>
      </c>
      <c r="G47" s="15">
        <v>28.8</v>
      </c>
      <c r="H47" s="15" t="s">
        <v>255</v>
      </c>
      <c r="I47" s="15" t="s">
        <v>256</v>
      </c>
      <c r="J47" s="15">
        <v>1.5</v>
      </c>
      <c r="K47" s="15">
        <v>17.0</v>
      </c>
      <c r="L47" s="15">
        <v>7.0</v>
      </c>
      <c r="M47" s="15">
        <v>1.3</v>
      </c>
      <c r="N47" s="15">
        <v>0.5</v>
      </c>
      <c r="O47" s="15">
        <v>2.0</v>
      </c>
      <c r="P47" s="15">
        <v>1.5</v>
      </c>
      <c r="Q47" s="15">
        <v>3.83</v>
      </c>
    </row>
    <row r="48">
      <c r="A48" s="15">
        <v>47.0</v>
      </c>
      <c r="B48" s="15">
        <v>53.8</v>
      </c>
      <c r="C48" s="30" t="s">
        <v>257</v>
      </c>
      <c r="D48" s="15" t="s">
        <v>67</v>
      </c>
      <c r="E48" s="15" t="s">
        <v>138</v>
      </c>
      <c r="F48" s="15">
        <v>72.0</v>
      </c>
      <c r="G48" s="15">
        <v>33.3</v>
      </c>
      <c r="H48" s="15" t="s">
        <v>258</v>
      </c>
      <c r="I48" s="15" t="s">
        <v>259</v>
      </c>
      <c r="J48" s="15">
        <v>2.6</v>
      </c>
      <c r="K48" s="15">
        <v>18.7</v>
      </c>
      <c r="L48" s="15">
        <v>4.6</v>
      </c>
      <c r="M48" s="15">
        <v>6.8</v>
      </c>
      <c r="N48" s="15">
        <v>1.1</v>
      </c>
      <c r="O48" s="15">
        <v>0.2</v>
      </c>
      <c r="P48" s="15">
        <v>1.6</v>
      </c>
      <c r="Q48" s="15">
        <v>3.78</v>
      </c>
    </row>
    <row r="49">
      <c r="A49" s="15">
        <v>48.0</v>
      </c>
      <c r="B49" s="15">
        <v>52.7</v>
      </c>
      <c r="C49" s="30" t="s">
        <v>260</v>
      </c>
      <c r="D49" s="15" t="s">
        <v>67</v>
      </c>
      <c r="E49" s="15" t="s">
        <v>42</v>
      </c>
      <c r="F49" s="15">
        <v>60.0</v>
      </c>
      <c r="G49" s="15">
        <v>31.1</v>
      </c>
      <c r="H49" s="15" t="s">
        <v>261</v>
      </c>
      <c r="I49" s="15" t="s">
        <v>262</v>
      </c>
      <c r="J49" s="15">
        <v>2.5</v>
      </c>
      <c r="K49" s="15">
        <v>20.0</v>
      </c>
      <c r="L49" s="15">
        <v>3.9</v>
      </c>
      <c r="M49" s="15">
        <v>6.1</v>
      </c>
      <c r="N49" s="15">
        <v>1.0</v>
      </c>
      <c r="O49" s="15">
        <v>0.5</v>
      </c>
      <c r="P49" s="15">
        <v>2.1</v>
      </c>
      <c r="Q49" s="15">
        <v>3.76</v>
      </c>
    </row>
    <row r="50">
      <c r="A50" s="15">
        <v>49.0</v>
      </c>
      <c r="B50" s="15">
        <v>46.1</v>
      </c>
      <c r="C50" s="30" t="s">
        <v>263</v>
      </c>
      <c r="D50" s="15" t="s">
        <v>98</v>
      </c>
      <c r="E50" s="15" t="s">
        <v>264</v>
      </c>
      <c r="F50" s="15">
        <v>76.0</v>
      </c>
      <c r="G50" s="15">
        <v>33.1</v>
      </c>
      <c r="H50" s="15" t="s">
        <v>265</v>
      </c>
      <c r="I50" s="15" t="s">
        <v>266</v>
      </c>
      <c r="J50" s="15">
        <v>1.4</v>
      </c>
      <c r="K50" s="15">
        <v>19.6</v>
      </c>
      <c r="L50" s="15">
        <v>5.4</v>
      </c>
      <c r="M50" s="15">
        <v>3.9</v>
      </c>
      <c r="N50" s="15">
        <v>1.2</v>
      </c>
      <c r="O50" s="15">
        <v>0.4</v>
      </c>
      <c r="P50" s="15">
        <v>2.0</v>
      </c>
      <c r="Q50" s="15">
        <v>3.18</v>
      </c>
    </row>
    <row r="51">
      <c r="A51" s="15">
        <v>50.0</v>
      </c>
      <c r="B51" s="15">
        <v>66.6</v>
      </c>
      <c r="C51" s="30" t="s">
        <v>267</v>
      </c>
      <c r="D51" s="15" t="s">
        <v>98</v>
      </c>
      <c r="E51" s="15" t="s">
        <v>250</v>
      </c>
      <c r="F51" s="15">
        <v>69.0</v>
      </c>
      <c r="G51" s="15">
        <v>31.9</v>
      </c>
      <c r="H51" s="15" t="s">
        <v>268</v>
      </c>
      <c r="I51" s="15" t="s">
        <v>269</v>
      </c>
      <c r="J51" s="15">
        <v>1.6</v>
      </c>
      <c r="K51" s="15">
        <v>17.6</v>
      </c>
      <c r="L51" s="15">
        <v>6.3</v>
      </c>
      <c r="M51" s="15">
        <v>3.0</v>
      </c>
      <c r="N51" s="15">
        <v>1.0</v>
      </c>
      <c r="O51" s="15">
        <v>0.6</v>
      </c>
      <c r="P51" s="15">
        <v>1.3</v>
      </c>
      <c r="Q51" s="15">
        <v>2.99</v>
      </c>
    </row>
    <row r="52">
      <c r="A52" s="15">
        <v>51.0</v>
      </c>
      <c r="B52" s="15">
        <v>55.2</v>
      </c>
      <c r="C52" s="30" t="s">
        <v>270</v>
      </c>
      <c r="D52" s="15" t="s">
        <v>74</v>
      </c>
      <c r="E52" s="15" t="s">
        <v>271</v>
      </c>
      <c r="F52" s="15">
        <v>75.0</v>
      </c>
      <c r="G52" s="15">
        <v>33.2</v>
      </c>
      <c r="H52" s="15" t="s">
        <v>272</v>
      </c>
      <c r="I52" s="15" t="s">
        <v>273</v>
      </c>
      <c r="J52" s="15">
        <v>1.4</v>
      </c>
      <c r="K52" s="15">
        <v>17.1</v>
      </c>
      <c r="L52" s="15">
        <v>10.4</v>
      </c>
      <c r="M52" s="15">
        <v>3.3</v>
      </c>
      <c r="N52" s="15">
        <v>0.7</v>
      </c>
      <c r="O52" s="15">
        <v>0.7</v>
      </c>
      <c r="P52" s="15">
        <v>1.6</v>
      </c>
      <c r="Q52" s="15">
        <v>2.96</v>
      </c>
    </row>
    <row r="53">
      <c r="A53" s="15">
        <v>52.0</v>
      </c>
      <c r="B53" s="15">
        <v>53.2</v>
      </c>
      <c r="C53" s="30" t="s">
        <v>274</v>
      </c>
      <c r="D53" s="15" t="s">
        <v>34</v>
      </c>
      <c r="E53" s="15" t="s">
        <v>121</v>
      </c>
      <c r="F53" s="15">
        <v>70.0</v>
      </c>
      <c r="G53" s="15">
        <v>30.8</v>
      </c>
      <c r="H53" s="15" t="s">
        <v>275</v>
      </c>
      <c r="I53" s="15" t="s">
        <v>276</v>
      </c>
      <c r="J53" s="15">
        <v>0.0</v>
      </c>
      <c r="K53" s="15">
        <v>14.9</v>
      </c>
      <c r="L53" s="15">
        <v>9.9</v>
      </c>
      <c r="M53" s="15">
        <v>2.2</v>
      </c>
      <c r="N53" s="15">
        <v>0.7</v>
      </c>
      <c r="O53" s="15">
        <v>1.1</v>
      </c>
      <c r="P53" s="15">
        <v>1.4</v>
      </c>
      <c r="Q53" s="15">
        <v>2.95</v>
      </c>
    </row>
    <row r="54">
      <c r="A54" s="15">
        <v>53.0</v>
      </c>
      <c r="B54" s="15">
        <v>46.4</v>
      </c>
      <c r="C54" s="30" t="s">
        <v>277</v>
      </c>
      <c r="D54" s="15" t="s">
        <v>34</v>
      </c>
      <c r="E54" s="15" t="s">
        <v>183</v>
      </c>
      <c r="F54" s="15">
        <v>73.0</v>
      </c>
      <c r="G54" s="15">
        <v>33.6</v>
      </c>
      <c r="H54" s="15" t="s">
        <v>278</v>
      </c>
      <c r="I54" s="15" t="s">
        <v>279</v>
      </c>
      <c r="J54" s="15">
        <v>0.0</v>
      </c>
      <c r="K54" s="15">
        <v>14.3</v>
      </c>
      <c r="L54" s="15">
        <v>12.9</v>
      </c>
      <c r="M54" s="15">
        <v>1.4</v>
      </c>
      <c r="N54" s="15">
        <v>0.8</v>
      </c>
      <c r="O54" s="15">
        <v>1.8</v>
      </c>
      <c r="P54" s="15">
        <v>1.7</v>
      </c>
      <c r="Q54" s="15">
        <v>2.94</v>
      </c>
    </row>
    <row r="55">
      <c r="A55" s="15">
        <v>54.0</v>
      </c>
      <c r="B55" s="15">
        <v>62.6</v>
      </c>
      <c r="C55" s="30" t="s">
        <v>280</v>
      </c>
      <c r="D55" s="15" t="s">
        <v>46</v>
      </c>
      <c r="E55" s="15" t="s">
        <v>121</v>
      </c>
      <c r="F55" s="15">
        <v>68.0</v>
      </c>
      <c r="G55" s="15">
        <v>33.0</v>
      </c>
      <c r="H55" s="15" t="s">
        <v>281</v>
      </c>
      <c r="I55" s="15" t="s">
        <v>282</v>
      </c>
      <c r="J55" s="15">
        <v>2.3</v>
      </c>
      <c r="K55" s="15">
        <v>19.3</v>
      </c>
      <c r="L55" s="15">
        <v>2.6</v>
      </c>
      <c r="M55" s="15">
        <v>7.0</v>
      </c>
      <c r="N55" s="15">
        <v>1.2</v>
      </c>
      <c r="O55" s="15">
        <v>0.1</v>
      </c>
      <c r="P55" s="15">
        <v>2.9</v>
      </c>
      <c r="Q55" s="15">
        <v>2.84</v>
      </c>
    </row>
    <row r="56">
      <c r="A56" s="15">
        <v>55.0</v>
      </c>
      <c r="B56" s="15">
        <v>40.9</v>
      </c>
      <c r="C56" s="30" t="s">
        <v>283</v>
      </c>
      <c r="D56" s="15" t="s">
        <v>182</v>
      </c>
      <c r="E56" s="15" t="s">
        <v>99</v>
      </c>
      <c r="F56" s="15">
        <v>70.0</v>
      </c>
      <c r="G56" s="15">
        <v>33.8</v>
      </c>
      <c r="H56" s="15" t="s">
        <v>284</v>
      </c>
      <c r="I56" s="15" t="s">
        <v>285</v>
      </c>
      <c r="J56" s="15">
        <v>2.2</v>
      </c>
      <c r="K56" s="15">
        <v>24.4</v>
      </c>
      <c r="L56" s="15">
        <v>6.1</v>
      </c>
      <c r="M56" s="15">
        <v>3.5</v>
      </c>
      <c r="N56" s="15">
        <v>1.1</v>
      </c>
      <c r="O56" s="15">
        <v>0.5</v>
      </c>
      <c r="P56" s="15">
        <v>2.6</v>
      </c>
      <c r="Q56" s="15">
        <v>2.84</v>
      </c>
    </row>
    <row r="57">
      <c r="A57" s="15">
        <v>56.0</v>
      </c>
      <c r="B57" s="15">
        <v>60.8</v>
      </c>
      <c r="C57" s="30" t="s">
        <v>286</v>
      </c>
      <c r="D57" s="15" t="s">
        <v>34</v>
      </c>
      <c r="E57" s="15" t="s">
        <v>287</v>
      </c>
      <c r="F57" s="15">
        <v>65.0</v>
      </c>
      <c r="G57" s="15">
        <v>31.0</v>
      </c>
      <c r="H57" s="15" t="s">
        <v>288</v>
      </c>
      <c r="I57" s="15" t="s">
        <v>289</v>
      </c>
      <c r="J57" s="15">
        <v>0.1</v>
      </c>
      <c r="K57" s="15">
        <v>17.0</v>
      </c>
      <c r="L57" s="15">
        <v>10.3</v>
      </c>
      <c r="M57" s="15">
        <v>1.7</v>
      </c>
      <c r="N57" s="15">
        <v>0.8</v>
      </c>
      <c r="O57" s="15">
        <v>0.8</v>
      </c>
      <c r="P57" s="15">
        <v>1.8</v>
      </c>
      <c r="Q57" s="15">
        <v>2.83</v>
      </c>
    </row>
    <row r="58">
      <c r="A58" s="15">
        <v>57.0</v>
      </c>
      <c r="B58" s="15">
        <v>72.6</v>
      </c>
      <c r="C58" s="30" t="s">
        <v>290</v>
      </c>
      <c r="D58" s="15" t="s">
        <v>67</v>
      </c>
      <c r="E58" s="15" t="s">
        <v>129</v>
      </c>
      <c r="F58" s="15">
        <v>50.0</v>
      </c>
      <c r="G58" s="15">
        <v>32.0</v>
      </c>
      <c r="H58" s="15" t="s">
        <v>291</v>
      </c>
      <c r="I58" s="15" t="s">
        <v>292</v>
      </c>
      <c r="J58" s="15">
        <v>1.9</v>
      </c>
      <c r="K58" s="15">
        <v>18.9</v>
      </c>
      <c r="L58" s="15">
        <v>3.8</v>
      </c>
      <c r="M58" s="15">
        <v>4.2</v>
      </c>
      <c r="N58" s="15">
        <v>1.0</v>
      </c>
      <c r="O58" s="15">
        <v>0.5</v>
      </c>
      <c r="P58" s="15">
        <v>2.4</v>
      </c>
      <c r="Q58" s="15">
        <v>2.78</v>
      </c>
    </row>
    <row r="59">
      <c r="A59" s="15">
        <v>58.0</v>
      </c>
      <c r="B59" s="15">
        <v>74.0</v>
      </c>
      <c r="C59" s="30" t="s">
        <v>293</v>
      </c>
      <c r="D59" s="15" t="s">
        <v>46</v>
      </c>
      <c r="E59" s="15" t="s">
        <v>75</v>
      </c>
      <c r="F59" s="15">
        <v>72.0</v>
      </c>
      <c r="G59" s="15">
        <v>32.6</v>
      </c>
      <c r="H59" s="15" t="s">
        <v>294</v>
      </c>
      <c r="I59" s="15" t="s">
        <v>295</v>
      </c>
      <c r="J59" s="15">
        <v>2.9</v>
      </c>
      <c r="K59" s="15">
        <v>17.5</v>
      </c>
      <c r="L59" s="15">
        <v>3.1</v>
      </c>
      <c r="M59" s="15">
        <v>6.0</v>
      </c>
      <c r="N59" s="15">
        <v>1.0</v>
      </c>
      <c r="O59" s="15">
        <v>0.5</v>
      </c>
      <c r="P59" s="15">
        <v>2.4</v>
      </c>
      <c r="Q59" s="15">
        <v>2.61</v>
      </c>
    </row>
    <row r="60">
      <c r="A60" s="15">
        <v>59.0</v>
      </c>
      <c r="B60" s="15">
        <v>53.8</v>
      </c>
      <c r="C60" s="30" t="s">
        <v>296</v>
      </c>
      <c r="D60" s="15" t="s">
        <v>34</v>
      </c>
      <c r="E60" s="15" t="s">
        <v>250</v>
      </c>
      <c r="F60" s="15">
        <v>68.0</v>
      </c>
      <c r="G60" s="15">
        <v>30.0</v>
      </c>
      <c r="H60" s="15" t="s">
        <v>297</v>
      </c>
      <c r="I60" s="15" t="s">
        <v>298</v>
      </c>
      <c r="J60" s="15">
        <v>0.0</v>
      </c>
      <c r="K60" s="15">
        <v>12.8</v>
      </c>
      <c r="L60" s="15">
        <v>10.9</v>
      </c>
      <c r="M60" s="15">
        <v>2.0</v>
      </c>
      <c r="N60" s="15">
        <v>0.6</v>
      </c>
      <c r="O60" s="15">
        <v>0.9</v>
      </c>
      <c r="P60" s="15">
        <v>1.9</v>
      </c>
      <c r="Q60" s="15">
        <v>2.51</v>
      </c>
    </row>
    <row r="61">
      <c r="A61" s="15">
        <v>60.0</v>
      </c>
      <c r="B61" s="15">
        <v>78.5</v>
      </c>
      <c r="C61" s="30" t="s">
        <v>299</v>
      </c>
      <c r="D61" s="15" t="s">
        <v>67</v>
      </c>
      <c r="E61" s="15" t="s">
        <v>99</v>
      </c>
      <c r="F61" s="15">
        <v>68.0</v>
      </c>
      <c r="G61" s="15">
        <v>32.5</v>
      </c>
      <c r="H61" s="15" t="s">
        <v>300</v>
      </c>
      <c r="I61" s="15" t="s">
        <v>301</v>
      </c>
      <c r="J61" s="15">
        <v>2.2</v>
      </c>
      <c r="K61" s="15">
        <v>13.5</v>
      </c>
      <c r="L61" s="15">
        <v>5.3</v>
      </c>
      <c r="M61" s="15">
        <v>5.1</v>
      </c>
      <c r="N61" s="15">
        <v>1.0</v>
      </c>
      <c r="O61" s="15">
        <v>0.6</v>
      </c>
      <c r="P61" s="15">
        <v>2.4</v>
      </c>
      <c r="Q61" s="15">
        <v>2.5</v>
      </c>
    </row>
    <row r="62">
      <c r="A62" s="15">
        <v>61.0</v>
      </c>
      <c r="B62" s="15">
        <v>46.6</v>
      </c>
      <c r="C62" s="30" t="s">
        <v>302</v>
      </c>
      <c r="D62" s="15" t="s">
        <v>74</v>
      </c>
      <c r="E62" s="15" t="s">
        <v>237</v>
      </c>
      <c r="F62" s="15">
        <v>67.0</v>
      </c>
      <c r="G62" s="15">
        <v>32.1</v>
      </c>
      <c r="H62" s="15" t="s">
        <v>303</v>
      </c>
      <c r="I62" s="15" t="s">
        <v>304</v>
      </c>
      <c r="J62" s="15">
        <v>0.1</v>
      </c>
      <c r="K62" s="15">
        <v>22.8</v>
      </c>
      <c r="L62" s="15">
        <v>6.2</v>
      </c>
      <c r="M62" s="15">
        <v>5.0</v>
      </c>
      <c r="N62" s="15">
        <v>1.1</v>
      </c>
      <c r="O62" s="15">
        <v>0.7</v>
      </c>
      <c r="P62" s="15">
        <v>3.0</v>
      </c>
      <c r="Q62" s="15">
        <v>2.47</v>
      </c>
    </row>
    <row r="63">
      <c r="A63" s="15">
        <v>62.0</v>
      </c>
      <c r="B63" s="15">
        <v>48.3</v>
      </c>
      <c r="C63" s="30" t="s">
        <v>305</v>
      </c>
      <c r="D63" s="15" t="s">
        <v>98</v>
      </c>
      <c r="E63" s="15" t="s">
        <v>89</v>
      </c>
      <c r="F63" s="15">
        <v>74.0</v>
      </c>
      <c r="G63" s="15">
        <v>32.0</v>
      </c>
      <c r="H63" s="15" t="s">
        <v>306</v>
      </c>
      <c r="I63" s="15" t="s">
        <v>307</v>
      </c>
      <c r="J63" s="15">
        <v>1.1</v>
      </c>
      <c r="K63" s="15">
        <v>21.1</v>
      </c>
      <c r="L63" s="15">
        <v>7.5</v>
      </c>
      <c r="M63" s="15">
        <v>3.9</v>
      </c>
      <c r="N63" s="15">
        <v>0.8</v>
      </c>
      <c r="O63" s="15">
        <v>0.4</v>
      </c>
      <c r="P63" s="15">
        <v>1.5</v>
      </c>
      <c r="Q63" s="15">
        <v>2.45</v>
      </c>
    </row>
    <row r="64">
      <c r="A64" s="15">
        <v>63.0</v>
      </c>
      <c r="B64" s="15">
        <v>63.0</v>
      </c>
      <c r="C64" s="30" t="s">
        <v>308</v>
      </c>
      <c r="D64" s="15" t="s">
        <v>182</v>
      </c>
      <c r="E64" s="15" t="s">
        <v>271</v>
      </c>
      <c r="F64" s="15">
        <v>64.0</v>
      </c>
      <c r="G64" s="15">
        <v>34.4</v>
      </c>
      <c r="H64" s="15" t="s">
        <v>309</v>
      </c>
      <c r="I64" s="15" t="s">
        <v>310</v>
      </c>
      <c r="J64" s="15">
        <v>2.5</v>
      </c>
      <c r="K64" s="15">
        <v>21.6</v>
      </c>
      <c r="L64" s="15">
        <v>4.5</v>
      </c>
      <c r="M64" s="15">
        <v>4.0</v>
      </c>
      <c r="N64" s="15">
        <v>0.9</v>
      </c>
      <c r="O64" s="15">
        <v>0.3</v>
      </c>
      <c r="P64" s="15">
        <v>2.3</v>
      </c>
      <c r="Q64" s="15">
        <v>2.4</v>
      </c>
    </row>
    <row r="65">
      <c r="A65" s="15">
        <v>64.0</v>
      </c>
      <c r="B65" s="15">
        <v>86.4</v>
      </c>
      <c r="C65" s="30" t="s">
        <v>311</v>
      </c>
      <c r="D65" s="15" t="s">
        <v>67</v>
      </c>
      <c r="E65" s="15" t="s">
        <v>312</v>
      </c>
      <c r="F65" s="15">
        <v>77.0</v>
      </c>
      <c r="G65" s="15">
        <v>31.5</v>
      </c>
      <c r="H65" s="15" t="s">
        <v>313</v>
      </c>
      <c r="I65" s="15" t="s">
        <v>314</v>
      </c>
      <c r="J65" s="15">
        <v>2.6</v>
      </c>
      <c r="K65" s="15">
        <v>20.1</v>
      </c>
      <c r="L65" s="15">
        <v>2.9</v>
      </c>
      <c r="M65" s="15">
        <v>5.7</v>
      </c>
      <c r="N65" s="15">
        <v>1.1</v>
      </c>
      <c r="O65" s="15">
        <v>0.3</v>
      </c>
      <c r="P65" s="15">
        <v>2.9</v>
      </c>
      <c r="Q65" s="15">
        <v>2.31</v>
      </c>
    </row>
    <row r="66">
      <c r="A66" s="15">
        <v>65.0</v>
      </c>
      <c r="B66" s="15">
        <v>63.9</v>
      </c>
      <c r="C66" s="30" t="s">
        <v>315</v>
      </c>
      <c r="D66" s="15" t="s">
        <v>34</v>
      </c>
      <c r="E66" s="15" t="s">
        <v>316</v>
      </c>
      <c r="F66" s="15">
        <v>72.0</v>
      </c>
      <c r="G66" s="15">
        <v>30.1</v>
      </c>
      <c r="H66" s="15" t="s">
        <v>317</v>
      </c>
      <c r="I66" s="15" t="s">
        <v>318</v>
      </c>
      <c r="J66" s="15">
        <v>0.0</v>
      </c>
      <c r="K66" s="15">
        <v>12.5</v>
      </c>
      <c r="L66" s="15">
        <v>9.8</v>
      </c>
      <c r="M66" s="15">
        <v>2.0</v>
      </c>
      <c r="N66" s="15">
        <v>0.8</v>
      </c>
      <c r="O66" s="15">
        <v>2.2</v>
      </c>
      <c r="P66" s="15">
        <v>1.3</v>
      </c>
      <c r="Q66" s="15">
        <v>2.23</v>
      </c>
    </row>
    <row r="67">
      <c r="A67" s="15">
        <v>66.0</v>
      </c>
      <c r="B67" s="15">
        <v>58.2</v>
      </c>
      <c r="C67" s="30" t="s">
        <v>319</v>
      </c>
      <c r="D67" s="15" t="s">
        <v>98</v>
      </c>
      <c r="E67" s="15" t="s">
        <v>160</v>
      </c>
      <c r="F67" s="15">
        <v>73.0</v>
      </c>
      <c r="G67" s="15">
        <v>36.2</v>
      </c>
      <c r="H67" s="15" t="s">
        <v>320</v>
      </c>
      <c r="I67" s="15" t="s">
        <v>321</v>
      </c>
      <c r="J67" s="15">
        <v>2.2</v>
      </c>
      <c r="K67" s="15">
        <v>19.8</v>
      </c>
      <c r="L67" s="15">
        <v>6.9</v>
      </c>
      <c r="M67" s="15">
        <v>3.2</v>
      </c>
      <c r="N67" s="15">
        <v>0.9</v>
      </c>
      <c r="O67" s="15">
        <v>0.5</v>
      </c>
      <c r="P67" s="15">
        <v>1.9</v>
      </c>
      <c r="Q67" s="15">
        <v>2.17</v>
      </c>
    </row>
    <row r="68">
      <c r="A68" s="15">
        <v>67.0</v>
      </c>
      <c r="B68" s="15">
        <v>78.0</v>
      </c>
      <c r="C68" s="30" t="s">
        <v>322</v>
      </c>
      <c r="D68" s="15" t="s">
        <v>67</v>
      </c>
      <c r="E68" s="15" t="s">
        <v>193</v>
      </c>
      <c r="F68" s="15">
        <v>67.0</v>
      </c>
      <c r="G68" s="15">
        <v>33.6</v>
      </c>
      <c r="H68" s="15" t="s">
        <v>323</v>
      </c>
      <c r="I68" s="15" t="s">
        <v>324</v>
      </c>
      <c r="J68" s="15">
        <v>3.1</v>
      </c>
      <c r="K68" s="15">
        <v>20.2</v>
      </c>
      <c r="L68" s="15">
        <v>5.3</v>
      </c>
      <c r="M68" s="15">
        <v>4.3</v>
      </c>
      <c r="N68" s="15">
        <v>0.7</v>
      </c>
      <c r="O68" s="15">
        <v>0.2</v>
      </c>
      <c r="P68" s="15">
        <v>2.3</v>
      </c>
      <c r="Q68" s="15">
        <v>2.15</v>
      </c>
    </row>
    <row r="69">
      <c r="A69" s="15">
        <v>68.0</v>
      </c>
      <c r="B69" s="15">
        <v>96.7</v>
      </c>
      <c r="C69" s="30" t="s">
        <v>325</v>
      </c>
      <c r="D69" s="15" t="s">
        <v>98</v>
      </c>
      <c r="E69" s="15" t="s">
        <v>237</v>
      </c>
      <c r="F69" s="15">
        <v>62.0</v>
      </c>
      <c r="G69" s="15">
        <v>30.0</v>
      </c>
      <c r="H69" s="15" t="s">
        <v>326</v>
      </c>
      <c r="I69" s="15" t="s">
        <v>327</v>
      </c>
      <c r="J69" s="15">
        <v>2.9</v>
      </c>
      <c r="K69" s="15">
        <v>15.1</v>
      </c>
      <c r="L69" s="15">
        <v>4.3</v>
      </c>
      <c r="M69" s="15">
        <v>1.8</v>
      </c>
      <c r="N69" s="15">
        <v>1.1</v>
      </c>
      <c r="O69" s="15">
        <v>0.6</v>
      </c>
      <c r="P69" s="15">
        <v>0.7</v>
      </c>
      <c r="Q69" s="15">
        <v>2.13</v>
      </c>
    </row>
    <row r="70">
      <c r="A70" s="15">
        <v>69.0</v>
      </c>
      <c r="B70" s="15">
        <v>76.4</v>
      </c>
      <c r="C70" s="30" t="s">
        <v>328</v>
      </c>
      <c r="D70" s="15" t="s">
        <v>34</v>
      </c>
      <c r="E70" s="15" t="s">
        <v>58</v>
      </c>
      <c r="F70" s="15">
        <v>50.0</v>
      </c>
      <c r="G70" s="15">
        <v>27.9</v>
      </c>
      <c r="H70" s="15" t="s">
        <v>329</v>
      </c>
      <c r="I70" s="15" t="s">
        <v>330</v>
      </c>
      <c r="J70" s="15">
        <v>0.1</v>
      </c>
      <c r="K70" s="15">
        <v>8.7</v>
      </c>
      <c r="L70" s="15">
        <v>9.0</v>
      </c>
      <c r="M70" s="15">
        <v>2.4</v>
      </c>
      <c r="N70" s="15">
        <v>1.1</v>
      </c>
      <c r="O70" s="15">
        <v>1.2</v>
      </c>
      <c r="P70" s="15">
        <v>1.3</v>
      </c>
      <c r="Q70" s="15">
        <v>2.07</v>
      </c>
    </row>
    <row r="71">
      <c r="A71" s="15">
        <v>70.0</v>
      </c>
      <c r="B71" s="15">
        <v>93.2</v>
      </c>
      <c r="C71" s="30" t="s">
        <v>331</v>
      </c>
      <c r="D71" s="15" t="s">
        <v>34</v>
      </c>
      <c r="E71" s="15" t="s">
        <v>172</v>
      </c>
      <c r="F71" s="15">
        <v>69.0</v>
      </c>
      <c r="G71" s="15">
        <v>26.1</v>
      </c>
      <c r="H71" s="15" t="s">
        <v>332</v>
      </c>
      <c r="I71" s="15" t="s">
        <v>333</v>
      </c>
      <c r="J71" s="15">
        <v>0.0</v>
      </c>
      <c r="K71" s="15">
        <v>9.5</v>
      </c>
      <c r="L71" s="15">
        <v>8.7</v>
      </c>
      <c r="M71" s="15">
        <v>1.0</v>
      </c>
      <c r="N71" s="15">
        <v>0.4</v>
      </c>
      <c r="O71" s="15">
        <v>2.5</v>
      </c>
      <c r="P71" s="15">
        <v>1.0</v>
      </c>
      <c r="Q71" s="15">
        <v>2.06</v>
      </c>
    </row>
    <row r="72">
      <c r="A72" s="15">
        <v>71.0</v>
      </c>
      <c r="B72" s="15">
        <v>54.7</v>
      </c>
      <c r="C72" s="30" t="s">
        <v>334</v>
      </c>
      <c r="D72" s="15" t="s">
        <v>137</v>
      </c>
      <c r="E72" s="15" t="s">
        <v>164</v>
      </c>
      <c r="F72" s="15">
        <v>78.0</v>
      </c>
      <c r="G72" s="15">
        <v>34.0</v>
      </c>
      <c r="H72" s="15" t="s">
        <v>335</v>
      </c>
      <c r="I72" s="15" t="s">
        <v>336</v>
      </c>
      <c r="J72" s="15">
        <v>2.4</v>
      </c>
      <c r="K72" s="15">
        <v>16.0</v>
      </c>
      <c r="L72" s="15">
        <v>4.1</v>
      </c>
      <c r="M72" s="15">
        <v>3.2</v>
      </c>
      <c r="N72" s="15">
        <v>1.1</v>
      </c>
      <c r="O72" s="15">
        <v>0.7</v>
      </c>
      <c r="P72" s="15">
        <v>1.6</v>
      </c>
      <c r="Q72" s="15">
        <v>2.06</v>
      </c>
    </row>
    <row r="73">
      <c r="A73" s="15">
        <v>72.0</v>
      </c>
      <c r="B73" s="15">
        <v>69.9</v>
      </c>
      <c r="C73" s="30" t="s">
        <v>337</v>
      </c>
      <c r="D73" s="15" t="s">
        <v>137</v>
      </c>
      <c r="E73" s="15" t="s">
        <v>237</v>
      </c>
      <c r="F73" s="15">
        <v>60.0</v>
      </c>
      <c r="G73" s="15">
        <v>31.8</v>
      </c>
      <c r="H73" s="15" t="s">
        <v>338</v>
      </c>
      <c r="I73" s="15" t="s">
        <v>339</v>
      </c>
      <c r="J73" s="15">
        <v>1.3</v>
      </c>
      <c r="K73" s="15">
        <v>20.1</v>
      </c>
      <c r="L73" s="15">
        <v>4.8</v>
      </c>
      <c r="M73" s="15">
        <v>4.6</v>
      </c>
      <c r="N73" s="15">
        <v>0.8</v>
      </c>
      <c r="O73" s="15">
        <v>0.6</v>
      </c>
      <c r="P73" s="15">
        <v>2.3</v>
      </c>
      <c r="Q73" s="15">
        <v>2.02</v>
      </c>
    </row>
    <row r="74">
      <c r="A74" s="15">
        <v>73.0</v>
      </c>
      <c r="B74" s="15">
        <v>82.0</v>
      </c>
      <c r="C74" s="30" t="s">
        <v>340</v>
      </c>
      <c r="D74" s="15" t="s">
        <v>182</v>
      </c>
      <c r="E74" s="15" t="s">
        <v>35</v>
      </c>
      <c r="F74" s="15">
        <v>58.0</v>
      </c>
      <c r="G74" s="15">
        <v>32.5</v>
      </c>
      <c r="H74" s="15" t="s">
        <v>341</v>
      </c>
      <c r="I74" s="15" t="s">
        <v>342</v>
      </c>
      <c r="J74" s="15">
        <v>2.6</v>
      </c>
      <c r="K74" s="15">
        <v>19.4</v>
      </c>
      <c r="L74" s="15">
        <v>3.9</v>
      </c>
      <c r="M74" s="15">
        <v>4.0</v>
      </c>
      <c r="N74" s="15">
        <v>1.1</v>
      </c>
      <c r="O74" s="15">
        <v>0.4</v>
      </c>
      <c r="P74" s="15">
        <v>1.6</v>
      </c>
      <c r="Q74" s="15">
        <v>2.02</v>
      </c>
    </row>
    <row r="75">
      <c r="A75" s="15">
        <v>74.0</v>
      </c>
      <c r="B75" s="15">
        <v>79.7</v>
      </c>
      <c r="C75" s="30" t="s">
        <v>343</v>
      </c>
      <c r="D75" s="15" t="s">
        <v>67</v>
      </c>
      <c r="E75" s="15" t="s">
        <v>287</v>
      </c>
      <c r="F75" s="15">
        <v>60.0</v>
      </c>
      <c r="G75" s="15">
        <v>33.9</v>
      </c>
      <c r="H75" s="15" t="s">
        <v>344</v>
      </c>
      <c r="I75" s="15" t="s">
        <v>345</v>
      </c>
      <c r="J75" s="15">
        <v>3.4</v>
      </c>
      <c r="K75" s="15">
        <v>21.4</v>
      </c>
      <c r="L75" s="15">
        <v>3.0</v>
      </c>
      <c r="M75" s="15">
        <v>4.9</v>
      </c>
      <c r="N75" s="15">
        <v>0.6</v>
      </c>
      <c r="O75" s="15">
        <v>0.2</v>
      </c>
      <c r="P75" s="15">
        <v>2.3</v>
      </c>
      <c r="Q75" s="15">
        <v>1.99</v>
      </c>
    </row>
    <row r="76">
      <c r="A76" s="15">
        <v>75.0</v>
      </c>
      <c r="B76" s="15">
        <v>108.3</v>
      </c>
      <c r="C76" s="30" t="s">
        <v>346</v>
      </c>
      <c r="D76" s="15" t="s">
        <v>34</v>
      </c>
      <c r="E76" s="15" t="s">
        <v>68</v>
      </c>
      <c r="F76" s="15">
        <v>67.0</v>
      </c>
      <c r="G76" s="15">
        <v>25.8</v>
      </c>
      <c r="H76" s="15" t="s">
        <v>347</v>
      </c>
      <c r="I76" s="15" t="s">
        <v>348</v>
      </c>
      <c r="J76" s="15">
        <v>0.0</v>
      </c>
      <c r="K76" s="15">
        <v>10.1</v>
      </c>
      <c r="L76" s="15">
        <v>7.9</v>
      </c>
      <c r="M76" s="15">
        <v>1.5</v>
      </c>
      <c r="N76" s="15">
        <v>0.8</v>
      </c>
      <c r="O76" s="15">
        <v>1.6</v>
      </c>
      <c r="P76" s="15">
        <v>1.0</v>
      </c>
      <c r="Q76" s="15">
        <v>1.98</v>
      </c>
    </row>
    <row r="77">
      <c r="A77" s="15">
        <v>76.0</v>
      </c>
      <c r="B77" s="15">
        <v>94.9</v>
      </c>
      <c r="C77" s="30" t="s">
        <v>349</v>
      </c>
      <c r="D77" s="15" t="s">
        <v>67</v>
      </c>
      <c r="E77" s="15" t="s">
        <v>172</v>
      </c>
      <c r="F77" s="15">
        <v>70.0</v>
      </c>
      <c r="G77" s="15">
        <v>30.7</v>
      </c>
      <c r="H77" s="15" t="s">
        <v>350</v>
      </c>
      <c r="I77" s="15" t="s">
        <v>351</v>
      </c>
      <c r="J77" s="15">
        <v>1.7</v>
      </c>
      <c r="K77" s="15">
        <v>20.0</v>
      </c>
      <c r="L77" s="15">
        <v>2.9</v>
      </c>
      <c r="M77" s="15">
        <v>4.9</v>
      </c>
      <c r="N77" s="15">
        <v>0.8</v>
      </c>
      <c r="O77" s="15">
        <v>0.2</v>
      </c>
      <c r="P77" s="15">
        <v>2.4</v>
      </c>
      <c r="Q77" s="15">
        <v>1.91</v>
      </c>
    </row>
    <row r="78">
      <c r="A78" s="15">
        <v>77.0</v>
      </c>
      <c r="B78" s="15">
        <v>67.4</v>
      </c>
      <c r="C78" s="30" t="s">
        <v>352</v>
      </c>
      <c r="D78" s="15" t="s">
        <v>182</v>
      </c>
      <c r="E78" s="15" t="s">
        <v>271</v>
      </c>
      <c r="F78" s="15">
        <v>78.0</v>
      </c>
      <c r="G78" s="15">
        <v>31.0</v>
      </c>
      <c r="H78" s="15" t="s">
        <v>353</v>
      </c>
      <c r="I78" s="15" t="s">
        <v>354</v>
      </c>
      <c r="J78" s="15">
        <v>1.1</v>
      </c>
      <c r="K78" s="15">
        <v>16.1</v>
      </c>
      <c r="L78" s="15">
        <v>7.4</v>
      </c>
      <c r="M78" s="15">
        <v>6.1</v>
      </c>
      <c r="N78" s="15">
        <v>0.8</v>
      </c>
      <c r="O78" s="15">
        <v>0.5</v>
      </c>
      <c r="P78" s="15">
        <v>2.7</v>
      </c>
      <c r="Q78" s="15">
        <v>1.91</v>
      </c>
    </row>
    <row r="79">
      <c r="A79" s="15">
        <v>78.0</v>
      </c>
      <c r="B79" s="15">
        <v>99.3</v>
      </c>
      <c r="C79" s="30" t="s">
        <v>355</v>
      </c>
      <c r="D79" s="15" t="s">
        <v>34</v>
      </c>
      <c r="E79" s="15" t="s">
        <v>160</v>
      </c>
      <c r="F79" s="15">
        <v>55.0</v>
      </c>
      <c r="G79" s="15">
        <v>26.8</v>
      </c>
      <c r="H79" s="15" t="s">
        <v>356</v>
      </c>
      <c r="I79" s="15" t="s">
        <v>357</v>
      </c>
      <c r="J79" s="15">
        <v>0.0</v>
      </c>
      <c r="K79" s="15">
        <v>12.6</v>
      </c>
      <c r="L79" s="15">
        <v>9.7</v>
      </c>
      <c r="M79" s="15">
        <v>0.8</v>
      </c>
      <c r="N79" s="15">
        <v>0.9</v>
      </c>
      <c r="O79" s="15">
        <v>1.2</v>
      </c>
      <c r="P79" s="15">
        <v>1.1</v>
      </c>
      <c r="Q79" s="15">
        <v>1.91</v>
      </c>
    </row>
    <row r="80">
      <c r="A80" s="15">
        <v>79.0</v>
      </c>
      <c r="B80" s="15">
        <v>101.8</v>
      </c>
      <c r="C80" s="30" t="s">
        <v>358</v>
      </c>
      <c r="D80" s="15" t="s">
        <v>67</v>
      </c>
      <c r="E80" s="15" t="s">
        <v>264</v>
      </c>
      <c r="F80" s="15">
        <v>72.0</v>
      </c>
      <c r="G80" s="15">
        <v>30.0</v>
      </c>
      <c r="H80" s="15" t="s">
        <v>359</v>
      </c>
      <c r="I80" s="15" t="s">
        <v>360</v>
      </c>
      <c r="J80" s="15">
        <v>2.2</v>
      </c>
      <c r="K80" s="15">
        <v>14.0</v>
      </c>
      <c r="L80" s="15">
        <v>3.5</v>
      </c>
      <c r="M80" s="15">
        <v>3.6</v>
      </c>
      <c r="N80" s="15">
        <v>1.6</v>
      </c>
      <c r="O80" s="15">
        <v>0.7</v>
      </c>
      <c r="P80" s="15">
        <v>2.0</v>
      </c>
      <c r="Q80" s="15">
        <v>1.89</v>
      </c>
    </row>
    <row r="81">
      <c r="A81" s="15">
        <v>80.0</v>
      </c>
      <c r="B81" s="15">
        <v>80.8</v>
      </c>
      <c r="C81" s="30" t="s">
        <v>361</v>
      </c>
      <c r="D81" s="15" t="s">
        <v>74</v>
      </c>
      <c r="E81" s="15" t="s">
        <v>204</v>
      </c>
      <c r="F81" s="15">
        <v>78.0</v>
      </c>
      <c r="G81" s="15">
        <v>32.2</v>
      </c>
      <c r="H81" s="15" t="s">
        <v>363</v>
      </c>
      <c r="I81" s="15" t="s">
        <v>364</v>
      </c>
      <c r="J81" s="15">
        <v>1.9</v>
      </c>
      <c r="K81" s="15">
        <v>14.0</v>
      </c>
      <c r="L81" s="15">
        <v>8.4</v>
      </c>
      <c r="M81" s="15">
        <v>1.5</v>
      </c>
      <c r="N81" s="15">
        <v>0.8</v>
      </c>
      <c r="O81" s="15">
        <v>0.9</v>
      </c>
      <c r="P81" s="15">
        <v>1.3</v>
      </c>
      <c r="Q81" s="15">
        <v>1.89</v>
      </c>
    </row>
    <row r="82">
      <c r="A82" s="15">
        <v>81.0</v>
      </c>
      <c r="B82" s="15">
        <v>138.9</v>
      </c>
      <c r="C82" s="30" t="s">
        <v>365</v>
      </c>
      <c r="D82" s="15" t="s">
        <v>98</v>
      </c>
      <c r="E82" s="15" t="s">
        <v>172</v>
      </c>
      <c r="F82" s="15">
        <v>68.0</v>
      </c>
      <c r="G82" s="15">
        <v>29.7</v>
      </c>
      <c r="H82" s="15" t="s">
        <v>367</v>
      </c>
      <c r="I82" s="15" t="s">
        <v>368</v>
      </c>
      <c r="J82" s="15">
        <v>2.0</v>
      </c>
      <c r="K82" s="15">
        <v>11.4</v>
      </c>
      <c r="L82" s="15">
        <v>7.0</v>
      </c>
      <c r="M82" s="15">
        <v>1.2</v>
      </c>
      <c r="N82" s="15">
        <v>1.1</v>
      </c>
      <c r="O82" s="15">
        <v>1.1</v>
      </c>
      <c r="P82" s="15">
        <v>1.0</v>
      </c>
      <c r="Q82" s="15">
        <v>1.88</v>
      </c>
    </row>
    <row r="83">
      <c r="A83" s="15">
        <v>82.0</v>
      </c>
      <c r="B83" s="15">
        <v>90.4</v>
      </c>
      <c r="C83" s="30" t="s">
        <v>369</v>
      </c>
      <c r="D83" s="15" t="s">
        <v>182</v>
      </c>
      <c r="E83" s="15" t="s">
        <v>94</v>
      </c>
      <c r="F83" s="15">
        <v>68.0</v>
      </c>
      <c r="G83" s="15">
        <v>30.2</v>
      </c>
      <c r="H83" s="15" t="s">
        <v>370</v>
      </c>
      <c r="I83" s="15" t="s">
        <v>371</v>
      </c>
      <c r="J83" s="15">
        <v>3.1</v>
      </c>
      <c r="K83" s="15">
        <v>17.1</v>
      </c>
      <c r="L83" s="15">
        <v>3.5</v>
      </c>
      <c r="M83" s="15">
        <v>3.2</v>
      </c>
      <c r="N83" s="15">
        <v>1.1</v>
      </c>
      <c r="O83" s="15">
        <v>0.4</v>
      </c>
      <c r="P83" s="15">
        <v>1.4</v>
      </c>
      <c r="Q83" s="15">
        <v>1.88</v>
      </c>
    </row>
    <row r="84">
      <c r="A84" s="15">
        <v>83.0</v>
      </c>
      <c r="B84" s="15">
        <v>34.6</v>
      </c>
      <c r="C84" s="30" t="s">
        <v>372</v>
      </c>
      <c r="D84" s="15" t="s">
        <v>98</v>
      </c>
      <c r="E84" s="15" t="s">
        <v>264</v>
      </c>
      <c r="F84" s="15">
        <v>76.0</v>
      </c>
      <c r="G84" s="15">
        <v>35.1</v>
      </c>
      <c r="H84" s="15" t="s">
        <v>373</v>
      </c>
      <c r="I84" s="15" t="s">
        <v>374</v>
      </c>
      <c r="J84" s="15">
        <v>1.6</v>
      </c>
      <c r="K84" s="15">
        <v>23.1</v>
      </c>
      <c r="L84" s="15">
        <v>7.4</v>
      </c>
      <c r="M84" s="15">
        <v>5.7</v>
      </c>
      <c r="N84" s="15">
        <v>1.0</v>
      </c>
      <c r="O84" s="15">
        <v>0.7</v>
      </c>
      <c r="P84" s="15">
        <v>3.0</v>
      </c>
      <c r="Q84" s="15">
        <v>1.87</v>
      </c>
    </row>
    <row r="85">
      <c r="A85" s="15">
        <v>84.0</v>
      </c>
      <c r="B85" s="15">
        <v>87.2</v>
      </c>
      <c r="C85" s="30" t="s">
        <v>375</v>
      </c>
      <c r="D85" s="15" t="s">
        <v>67</v>
      </c>
      <c r="E85" s="15" t="s">
        <v>75</v>
      </c>
      <c r="F85" s="15">
        <v>72.0</v>
      </c>
      <c r="G85" s="15">
        <v>32.6</v>
      </c>
      <c r="H85" s="15" t="s">
        <v>376</v>
      </c>
      <c r="I85" s="15" t="s">
        <v>377</v>
      </c>
      <c r="J85" s="15">
        <v>2.0</v>
      </c>
      <c r="K85" s="15">
        <v>15.7</v>
      </c>
      <c r="L85" s="15">
        <v>4.0</v>
      </c>
      <c r="M85" s="15">
        <v>5.1</v>
      </c>
      <c r="N85" s="15">
        <v>0.8</v>
      </c>
      <c r="O85" s="15">
        <v>0.3</v>
      </c>
      <c r="P85" s="15">
        <v>2.0</v>
      </c>
      <c r="Q85" s="15">
        <v>1.86</v>
      </c>
    </row>
    <row r="86">
      <c r="A86" s="15">
        <v>85.0</v>
      </c>
      <c r="B86" s="15">
        <v>81.0</v>
      </c>
      <c r="C86" s="30" t="s">
        <v>378</v>
      </c>
      <c r="D86" s="15" t="s">
        <v>98</v>
      </c>
      <c r="E86" s="15" t="s">
        <v>168</v>
      </c>
      <c r="F86" s="15">
        <v>78.0</v>
      </c>
      <c r="G86" s="15">
        <v>33.5</v>
      </c>
      <c r="H86" s="15" t="s">
        <v>379</v>
      </c>
      <c r="I86" s="15" t="s">
        <v>380</v>
      </c>
      <c r="J86" s="15">
        <v>2.7</v>
      </c>
      <c r="K86" s="15">
        <v>14.6</v>
      </c>
      <c r="L86" s="15">
        <v>5.4</v>
      </c>
      <c r="M86" s="15">
        <v>1.6</v>
      </c>
      <c r="N86" s="15">
        <v>1.0</v>
      </c>
      <c r="O86" s="15">
        <v>0.8</v>
      </c>
      <c r="P86" s="15">
        <v>0.8</v>
      </c>
      <c r="Q86" s="15">
        <v>1.82</v>
      </c>
    </row>
    <row r="87">
      <c r="A87" s="15">
        <v>86.0</v>
      </c>
      <c r="B87" s="15">
        <v>117.6</v>
      </c>
      <c r="C87" s="30" t="s">
        <v>381</v>
      </c>
      <c r="D87" s="15" t="s">
        <v>74</v>
      </c>
      <c r="E87" s="15" t="s">
        <v>94</v>
      </c>
      <c r="F87" s="15">
        <v>67.0</v>
      </c>
      <c r="G87" s="15">
        <v>26.8</v>
      </c>
      <c r="H87" s="15" t="s">
        <v>382</v>
      </c>
      <c r="I87" s="15" t="s">
        <v>383</v>
      </c>
      <c r="J87" s="15">
        <v>0.5</v>
      </c>
      <c r="K87" s="15">
        <v>10.6</v>
      </c>
      <c r="L87" s="15">
        <v>7.6</v>
      </c>
      <c r="M87" s="15">
        <v>1.3</v>
      </c>
      <c r="N87" s="15">
        <v>0.7</v>
      </c>
      <c r="O87" s="15">
        <v>1.3</v>
      </c>
      <c r="P87" s="15">
        <v>1.1</v>
      </c>
      <c r="Q87" s="15">
        <v>1.76</v>
      </c>
    </row>
    <row r="88">
      <c r="A88" s="15">
        <v>87.0</v>
      </c>
      <c r="B88" s="15">
        <v>82.6</v>
      </c>
      <c r="C88" s="30" t="s">
        <v>384</v>
      </c>
      <c r="D88" s="15" t="s">
        <v>98</v>
      </c>
      <c r="E88" s="15" t="s">
        <v>164</v>
      </c>
      <c r="F88" s="15">
        <v>60.0</v>
      </c>
      <c r="G88" s="15">
        <v>33.1</v>
      </c>
      <c r="H88" s="15" t="s">
        <v>385</v>
      </c>
      <c r="I88" s="15" t="s">
        <v>386</v>
      </c>
      <c r="J88" s="15">
        <v>2.0</v>
      </c>
      <c r="K88" s="15">
        <v>14.8</v>
      </c>
      <c r="L88" s="15">
        <v>4.1</v>
      </c>
      <c r="M88" s="15">
        <v>2.0</v>
      </c>
      <c r="N88" s="15">
        <v>1.5</v>
      </c>
      <c r="O88" s="15">
        <v>0.7</v>
      </c>
      <c r="P88" s="15">
        <v>1.8</v>
      </c>
      <c r="Q88" s="15">
        <v>1.71</v>
      </c>
    </row>
    <row r="89">
      <c r="A89" s="15">
        <v>88.0</v>
      </c>
      <c r="B89" s="15">
        <v>86.5</v>
      </c>
      <c r="C89" s="30" t="s">
        <v>387</v>
      </c>
      <c r="D89" s="15" t="s">
        <v>67</v>
      </c>
      <c r="E89" s="15" t="s">
        <v>271</v>
      </c>
      <c r="F89" s="15">
        <v>76.0</v>
      </c>
      <c r="G89" s="15">
        <v>35.5</v>
      </c>
      <c r="H89" s="15" t="s">
        <v>388</v>
      </c>
      <c r="I89" s="15" t="s">
        <v>389</v>
      </c>
      <c r="J89" s="15">
        <v>2.7</v>
      </c>
      <c r="K89" s="15">
        <v>18.0</v>
      </c>
      <c r="L89" s="15">
        <v>4.6</v>
      </c>
      <c r="M89" s="15">
        <v>4.9</v>
      </c>
      <c r="N89" s="15">
        <v>0.9</v>
      </c>
      <c r="O89" s="15">
        <v>0.2</v>
      </c>
      <c r="P89" s="15">
        <v>2.0</v>
      </c>
      <c r="Q89" s="15">
        <v>1.68</v>
      </c>
    </row>
    <row r="90">
      <c r="A90" s="15">
        <v>89.0</v>
      </c>
      <c r="B90" s="15">
        <v>73.3</v>
      </c>
      <c r="C90" s="30" t="s">
        <v>390</v>
      </c>
      <c r="D90" s="15" t="s">
        <v>98</v>
      </c>
      <c r="E90" s="15" t="s">
        <v>42</v>
      </c>
      <c r="F90" s="15">
        <v>74.0</v>
      </c>
      <c r="G90" s="15">
        <v>31.8</v>
      </c>
      <c r="H90" s="15" t="s">
        <v>391</v>
      </c>
      <c r="I90" s="15" t="s">
        <v>392</v>
      </c>
      <c r="J90" s="15">
        <v>2.9</v>
      </c>
      <c r="K90" s="15">
        <v>17.5</v>
      </c>
      <c r="L90" s="15">
        <v>6.5</v>
      </c>
      <c r="M90" s="15">
        <v>1.4</v>
      </c>
      <c r="N90" s="15">
        <v>0.6</v>
      </c>
      <c r="O90" s="15">
        <v>0.6</v>
      </c>
      <c r="P90" s="15">
        <v>1.2</v>
      </c>
      <c r="Q90" s="15">
        <v>1.68</v>
      </c>
    </row>
    <row r="91">
      <c r="A91" s="15">
        <v>90.0</v>
      </c>
      <c r="B91" s="15">
        <v>102.0</v>
      </c>
      <c r="C91" s="30" t="s">
        <v>393</v>
      </c>
      <c r="D91" s="15" t="s">
        <v>182</v>
      </c>
      <c r="E91" s="15" t="s">
        <v>58</v>
      </c>
      <c r="F91" s="15">
        <v>68.0</v>
      </c>
      <c r="G91" s="15">
        <v>28.7</v>
      </c>
      <c r="H91" s="15" t="s">
        <v>394</v>
      </c>
      <c r="I91" s="15" t="s">
        <v>395</v>
      </c>
      <c r="J91" s="15">
        <v>1.5</v>
      </c>
      <c r="K91" s="15">
        <v>8.7</v>
      </c>
      <c r="L91" s="15">
        <v>3.8</v>
      </c>
      <c r="M91" s="15">
        <v>3.5</v>
      </c>
      <c r="N91" s="15">
        <v>1.6</v>
      </c>
      <c r="O91" s="15">
        <v>0.9</v>
      </c>
      <c r="P91" s="15">
        <v>1.4</v>
      </c>
      <c r="Q91" s="15">
        <v>1.64</v>
      </c>
    </row>
    <row r="92">
      <c r="A92" s="15">
        <v>91.0</v>
      </c>
      <c r="B92" s="15">
        <v>96.2</v>
      </c>
      <c r="C92" s="30" t="s">
        <v>396</v>
      </c>
      <c r="D92" s="15" t="s">
        <v>98</v>
      </c>
      <c r="E92" s="15" t="s">
        <v>237</v>
      </c>
      <c r="F92" s="15">
        <v>71.0</v>
      </c>
      <c r="G92" s="15">
        <v>30.2</v>
      </c>
      <c r="H92" s="15" t="s">
        <v>397</v>
      </c>
      <c r="I92" s="15" t="s">
        <v>398</v>
      </c>
      <c r="J92" s="15">
        <v>1.2</v>
      </c>
      <c r="K92" s="15">
        <v>10.5</v>
      </c>
      <c r="L92" s="15">
        <v>4.2</v>
      </c>
      <c r="M92" s="15">
        <v>2.6</v>
      </c>
      <c r="N92" s="15">
        <v>1.4</v>
      </c>
      <c r="O92" s="15">
        <v>0.9</v>
      </c>
      <c r="P92" s="15">
        <v>1.3</v>
      </c>
      <c r="Q92" s="15">
        <v>1.61</v>
      </c>
    </row>
    <row r="93">
      <c r="A93" s="15">
        <v>92.0</v>
      </c>
      <c r="B93" s="15">
        <v>104.5</v>
      </c>
      <c r="C93" s="30" t="s">
        <v>399</v>
      </c>
      <c r="D93" s="15" t="s">
        <v>74</v>
      </c>
      <c r="E93" s="15" t="s">
        <v>68</v>
      </c>
      <c r="F93" s="15">
        <v>75.0</v>
      </c>
      <c r="G93" s="15">
        <v>24.5</v>
      </c>
      <c r="H93" s="15" t="s">
        <v>400</v>
      </c>
      <c r="I93" s="15" t="s">
        <v>401</v>
      </c>
      <c r="J93" s="15">
        <v>0.0</v>
      </c>
      <c r="K93" s="15">
        <v>10.3</v>
      </c>
      <c r="L93" s="15">
        <v>6.8</v>
      </c>
      <c r="M93" s="15">
        <v>1.4</v>
      </c>
      <c r="N93" s="15">
        <v>0.7</v>
      </c>
      <c r="O93" s="15">
        <v>1.7</v>
      </c>
      <c r="P93" s="15">
        <v>1.1</v>
      </c>
      <c r="Q93" s="15">
        <v>1.61</v>
      </c>
    </row>
    <row r="94">
      <c r="A94" s="15">
        <v>93.0</v>
      </c>
      <c r="B94" s="15">
        <v>101.4</v>
      </c>
      <c r="C94" s="30" t="s">
        <v>402</v>
      </c>
      <c r="D94" s="15" t="s">
        <v>74</v>
      </c>
      <c r="E94" s="15" t="s">
        <v>115</v>
      </c>
      <c r="F94" s="15">
        <v>58.0</v>
      </c>
      <c r="G94" s="15">
        <v>27.3</v>
      </c>
      <c r="H94" s="15" t="s">
        <v>403</v>
      </c>
      <c r="I94" s="15" t="s">
        <v>404</v>
      </c>
      <c r="J94" s="15">
        <v>0.7</v>
      </c>
      <c r="K94" s="15">
        <v>8.2</v>
      </c>
      <c r="L94" s="15">
        <v>6.9</v>
      </c>
      <c r="M94" s="15">
        <v>6.2</v>
      </c>
      <c r="N94" s="15">
        <v>1.1</v>
      </c>
      <c r="O94" s="15">
        <v>0.8</v>
      </c>
      <c r="P94" s="15">
        <v>2.5</v>
      </c>
      <c r="Q94" s="15">
        <v>1.58</v>
      </c>
    </row>
    <row r="95">
      <c r="A95" s="15">
        <v>94.0</v>
      </c>
      <c r="B95" s="15">
        <v>92.7</v>
      </c>
      <c r="C95" s="30" t="s">
        <v>405</v>
      </c>
      <c r="D95" s="15" t="s">
        <v>34</v>
      </c>
      <c r="E95" s="15" t="s">
        <v>138</v>
      </c>
      <c r="F95" s="15">
        <v>68.0</v>
      </c>
      <c r="G95" s="15">
        <v>26.8</v>
      </c>
      <c r="H95" s="15" t="s">
        <v>406</v>
      </c>
      <c r="I95" s="15" t="s">
        <v>407</v>
      </c>
      <c r="J95" s="15">
        <v>0.0</v>
      </c>
      <c r="K95" s="15">
        <v>12.2</v>
      </c>
      <c r="L95" s="15">
        <v>9.1</v>
      </c>
      <c r="M95" s="15">
        <v>2.7</v>
      </c>
      <c r="N95" s="15">
        <v>0.9</v>
      </c>
      <c r="O95" s="15">
        <v>1.4</v>
      </c>
      <c r="P95" s="15">
        <v>1.7</v>
      </c>
      <c r="Q95" s="15">
        <v>1.49</v>
      </c>
    </row>
    <row r="96">
      <c r="A96" s="15">
        <v>95.0</v>
      </c>
      <c r="B96" s="15">
        <v>116.8</v>
      </c>
      <c r="C96" s="30" t="s">
        <v>408</v>
      </c>
      <c r="D96" s="15" t="s">
        <v>182</v>
      </c>
      <c r="E96" s="15" t="s">
        <v>204</v>
      </c>
      <c r="F96" s="15">
        <v>68.0</v>
      </c>
      <c r="G96" s="15">
        <v>27.2</v>
      </c>
      <c r="H96" s="15" t="s">
        <v>409</v>
      </c>
      <c r="I96" s="15" t="s">
        <v>410</v>
      </c>
      <c r="J96" s="15">
        <v>0.3</v>
      </c>
      <c r="K96" s="15">
        <v>12.0</v>
      </c>
      <c r="L96" s="15">
        <v>7.2</v>
      </c>
      <c r="M96" s="15">
        <v>3.2</v>
      </c>
      <c r="N96" s="15">
        <v>1.5</v>
      </c>
      <c r="O96" s="15">
        <v>0.8</v>
      </c>
      <c r="P96" s="15">
        <v>1.8</v>
      </c>
      <c r="Q96" s="15">
        <v>1.46</v>
      </c>
    </row>
    <row r="97">
      <c r="A97" s="15">
        <v>96.0</v>
      </c>
      <c r="B97" s="15">
        <v>86.9</v>
      </c>
      <c r="C97" s="30" t="s">
        <v>411</v>
      </c>
      <c r="D97" s="15" t="s">
        <v>67</v>
      </c>
      <c r="E97" s="15" t="s">
        <v>237</v>
      </c>
      <c r="F97" s="15">
        <v>65.0</v>
      </c>
      <c r="G97" s="15">
        <v>32.0</v>
      </c>
      <c r="H97" s="15" t="s">
        <v>412</v>
      </c>
      <c r="I97" s="15" t="s">
        <v>413</v>
      </c>
      <c r="J97" s="15">
        <v>2.8</v>
      </c>
      <c r="K97" s="15">
        <v>18.3</v>
      </c>
      <c r="L97" s="15">
        <v>3.9</v>
      </c>
      <c r="M97" s="15">
        <v>4.1</v>
      </c>
      <c r="N97" s="15">
        <v>0.8</v>
      </c>
      <c r="O97" s="15">
        <v>0.5</v>
      </c>
      <c r="P97" s="15">
        <v>1.9</v>
      </c>
      <c r="Q97" s="15">
        <v>1.39</v>
      </c>
    </row>
    <row r="98">
      <c r="A98" s="15">
        <v>97.0</v>
      </c>
      <c r="B98" s="15">
        <v>70.1</v>
      </c>
      <c r="C98" s="30" t="s">
        <v>414</v>
      </c>
      <c r="D98" s="15" t="s">
        <v>47</v>
      </c>
      <c r="E98" s="15" t="s">
        <v>316</v>
      </c>
      <c r="F98" s="15">
        <v>69.0</v>
      </c>
      <c r="G98" s="15">
        <v>32.1</v>
      </c>
      <c r="H98" s="15" t="s">
        <v>415</v>
      </c>
      <c r="I98" s="15" t="s">
        <v>416</v>
      </c>
      <c r="J98" s="15">
        <v>2.6</v>
      </c>
      <c r="K98" s="15">
        <v>25.6</v>
      </c>
      <c r="L98" s="15">
        <v>3.3</v>
      </c>
      <c r="M98" s="15">
        <v>2.9</v>
      </c>
      <c r="N98" s="15">
        <v>0.7</v>
      </c>
      <c r="O98" s="15">
        <v>0.3</v>
      </c>
      <c r="P98" s="15">
        <v>2.0</v>
      </c>
      <c r="Q98" s="15">
        <v>1.36</v>
      </c>
    </row>
    <row r="99">
      <c r="A99" s="15">
        <v>98.0</v>
      </c>
      <c r="B99" s="15">
        <v>136.7</v>
      </c>
      <c r="C99" s="30" t="s">
        <v>417</v>
      </c>
      <c r="D99" s="15" t="s">
        <v>74</v>
      </c>
      <c r="E99" s="15" t="s">
        <v>99</v>
      </c>
      <c r="F99" s="15">
        <v>63.0</v>
      </c>
      <c r="G99" s="15">
        <v>27.4</v>
      </c>
      <c r="H99" s="15" t="s">
        <v>419</v>
      </c>
      <c r="I99" s="15" t="s">
        <v>420</v>
      </c>
      <c r="J99" s="15">
        <v>2.1</v>
      </c>
      <c r="K99" s="15">
        <v>9.8</v>
      </c>
      <c r="L99" s="15">
        <v>6.7</v>
      </c>
      <c r="M99" s="15">
        <v>3.0</v>
      </c>
      <c r="N99" s="15">
        <v>0.6</v>
      </c>
      <c r="O99" s="15">
        <v>1.0</v>
      </c>
      <c r="P99" s="15">
        <v>0.7</v>
      </c>
      <c r="Q99" s="15">
        <v>1.36</v>
      </c>
    </row>
    <row r="100">
      <c r="A100" s="15">
        <v>99.0</v>
      </c>
      <c r="B100" s="15">
        <v>91.6</v>
      </c>
      <c r="C100" s="30" t="s">
        <v>421</v>
      </c>
      <c r="D100" s="15" t="s">
        <v>34</v>
      </c>
      <c r="E100" s="15" t="s">
        <v>103</v>
      </c>
      <c r="F100" s="15">
        <v>72.0</v>
      </c>
      <c r="G100" s="15">
        <v>28.5</v>
      </c>
      <c r="H100" s="15" t="s">
        <v>422</v>
      </c>
      <c r="I100" s="15" t="s">
        <v>423</v>
      </c>
      <c r="J100" s="15">
        <v>0.0</v>
      </c>
      <c r="K100" s="15">
        <v>12.3</v>
      </c>
      <c r="L100" s="15">
        <v>10.1</v>
      </c>
      <c r="M100" s="15">
        <v>1.3</v>
      </c>
      <c r="N100" s="15">
        <v>0.4</v>
      </c>
      <c r="O100" s="15">
        <v>1.4</v>
      </c>
      <c r="P100" s="15">
        <v>1.5</v>
      </c>
      <c r="Q100" s="15">
        <v>1.35</v>
      </c>
    </row>
    <row r="101">
      <c r="A101" s="15">
        <v>100.0</v>
      </c>
      <c r="B101" s="15">
        <v>111.1</v>
      </c>
      <c r="C101" s="30" t="s">
        <v>424</v>
      </c>
      <c r="D101" s="15" t="s">
        <v>48</v>
      </c>
      <c r="E101" s="15" t="s">
        <v>85</v>
      </c>
      <c r="F101" s="15">
        <v>62.0</v>
      </c>
      <c r="G101" s="15">
        <v>28.1</v>
      </c>
      <c r="H101" s="15" t="s">
        <v>429</v>
      </c>
      <c r="I101" s="15" t="s">
        <v>430</v>
      </c>
      <c r="J101" s="15">
        <v>1.7</v>
      </c>
      <c r="K101" s="15">
        <v>16.4</v>
      </c>
      <c r="L101" s="15">
        <v>4.4</v>
      </c>
      <c r="M101" s="15">
        <v>4.7</v>
      </c>
      <c r="N101" s="15">
        <v>0.8</v>
      </c>
      <c r="O101" s="15">
        <v>0.2</v>
      </c>
      <c r="P101" s="15">
        <v>2.4</v>
      </c>
      <c r="Q101" s="15">
        <v>1.34</v>
      </c>
    </row>
    <row r="102">
      <c r="A102" s="15">
        <v>101.0</v>
      </c>
      <c r="B102" s="15">
        <v>132.8</v>
      </c>
      <c r="C102" s="30" t="s">
        <v>431</v>
      </c>
      <c r="D102" s="15" t="s">
        <v>46</v>
      </c>
      <c r="E102" s="15" t="s">
        <v>183</v>
      </c>
      <c r="F102" s="15">
        <v>72.0</v>
      </c>
      <c r="G102" s="15">
        <v>29.1</v>
      </c>
      <c r="H102" s="15" t="s">
        <v>432</v>
      </c>
      <c r="I102" s="15" t="s">
        <v>433</v>
      </c>
      <c r="J102" s="15">
        <v>2.2</v>
      </c>
      <c r="K102" s="15">
        <v>11.6</v>
      </c>
      <c r="L102" s="15">
        <v>2.8</v>
      </c>
      <c r="M102" s="15">
        <v>6.0</v>
      </c>
      <c r="N102" s="15">
        <v>1.1</v>
      </c>
      <c r="O102" s="15">
        <v>0.2</v>
      </c>
      <c r="P102" s="15">
        <v>1.4</v>
      </c>
      <c r="Q102" s="15">
        <v>1.3</v>
      </c>
    </row>
    <row r="103">
      <c r="A103" s="15">
        <v>102.0</v>
      </c>
      <c r="B103" s="15">
        <v>88.2</v>
      </c>
      <c r="C103" s="30" t="s">
        <v>434</v>
      </c>
      <c r="D103" s="15" t="s">
        <v>34</v>
      </c>
      <c r="E103" s="15" t="s">
        <v>312</v>
      </c>
      <c r="F103" s="15">
        <v>74.0</v>
      </c>
      <c r="G103" s="15">
        <v>26.8</v>
      </c>
      <c r="H103" s="15" t="s">
        <v>435</v>
      </c>
      <c r="I103" s="15" t="s">
        <v>436</v>
      </c>
      <c r="J103" s="15">
        <v>0.5</v>
      </c>
      <c r="K103" s="15">
        <v>14.2</v>
      </c>
      <c r="L103" s="15">
        <v>10.3</v>
      </c>
      <c r="M103" s="15">
        <v>2.1</v>
      </c>
      <c r="N103" s="15">
        <v>0.4</v>
      </c>
      <c r="O103" s="15">
        <v>0.8</v>
      </c>
      <c r="P103" s="15">
        <v>1.8</v>
      </c>
      <c r="Q103" s="15">
        <v>1.29</v>
      </c>
    </row>
    <row r="104">
      <c r="A104" s="15">
        <v>103.0</v>
      </c>
      <c r="B104" s="15">
        <v>63.0</v>
      </c>
      <c r="C104" s="30" t="s">
        <v>437</v>
      </c>
      <c r="D104" s="15" t="s">
        <v>182</v>
      </c>
      <c r="E104" s="15" t="s">
        <v>160</v>
      </c>
      <c r="F104" s="15">
        <v>74.0</v>
      </c>
      <c r="G104" s="15">
        <v>33.0</v>
      </c>
      <c r="H104" s="15" t="s">
        <v>438</v>
      </c>
      <c r="I104" s="15" t="s">
        <v>439</v>
      </c>
      <c r="J104" s="15">
        <v>2.6</v>
      </c>
      <c r="K104" s="15">
        <v>18.1</v>
      </c>
      <c r="L104" s="15">
        <v>4.4</v>
      </c>
      <c r="M104" s="15">
        <v>2.5</v>
      </c>
      <c r="N104" s="15">
        <v>1.0</v>
      </c>
      <c r="O104" s="15">
        <v>0.6</v>
      </c>
      <c r="P104" s="15">
        <v>1.9</v>
      </c>
      <c r="Q104" s="15">
        <v>1.24</v>
      </c>
    </row>
    <row r="105">
      <c r="A105" s="15">
        <v>104.0</v>
      </c>
      <c r="B105" s="15">
        <v>116.1</v>
      </c>
      <c r="C105" s="30" t="s">
        <v>440</v>
      </c>
      <c r="D105" s="15" t="s">
        <v>46</v>
      </c>
      <c r="E105" s="15" t="s">
        <v>129</v>
      </c>
      <c r="F105" s="15">
        <v>73.0</v>
      </c>
      <c r="G105" s="15">
        <v>29.4</v>
      </c>
      <c r="H105" s="15" t="s">
        <v>441</v>
      </c>
      <c r="I105" s="15" t="s">
        <v>442</v>
      </c>
      <c r="J105" s="15">
        <v>1.7</v>
      </c>
      <c r="K105" s="15">
        <v>12.2</v>
      </c>
      <c r="L105" s="15">
        <v>2.9</v>
      </c>
      <c r="M105" s="15">
        <v>6.8</v>
      </c>
      <c r="N105" s="15">
        <v>1.2</v>
      </c>
      <c r="O105" s="15">
        <v>0.2</v>
      </c>
      <c r="P105" s="15">
        <v>1.1</v>
      </c>
      <c r="Q105" s="15">
        <v>1.23</v>
      </c>
    </row>
    <row r="106">
      <c r="A106" s="15">
        <v>105.0</v>
      </c>
      <c r="B106" s="15">
        <v>76.9</v>
      </c>
      <c r="C106" s="30" t="s">
        <v>443</v>
      </c>
      <c r="D106" s="15" t="s">
        <v>34</v>
      </c>
      <c r="E106" s="15" t="s">
        <v>85</v>
      </c>
      <c r="F106" s="15">
        <v>70.0</v>
      </c>
      <c r="G106" s="15">
        <v>28.5</v>
      </c>
      <c r="H106" s="15" t="s">
        <v>444</v>
      </c>
      <c r="I106" s="15" t="s">
        <v>445</v>
      </c>
      <c r="J106" s="15">
        <v>1.7</v>
      </c>
      <c r="K106" s="15">
        <v>11.7</v>
      </c>
      <c r="L106" s="15">
        <v>4.9</v>
      </c>
      <c r="M106" s="15">
        <v>1.3</v>
      </c>
      <c r="N106" s="15">
        <v>0.5</v>
      </c>
      <c r="O106" s="15">
        <v>2.0</v>
      </c>
      <c r="P106" s="15">
        <v>1.0</v>
      </c>
      <c r="Q106" s="15">
        <v>1.2</v>
      </c>
    </row>
    <row r="107">
      <c r="A107" s="15">
        <v>106.0</v>
      </c>
      <c r="B107" s="15">
        <v>109.6</v>
      </c>
      <c r="C107" s="30" t="s">
        <v>446</v>
      </c>
      <c r="D107" s="15" t="s">
        <v>98</v>
      </c>
      <c r="E107" s="15" t="s">
        <v>287</v>
      </c>
      <c r="F107" s="15">
        <v>55.0</v>
      </c>
      <c r="G107" s="15">
        <v>32.8</v>
      </c>
      <c r="H107" s="15" t="s">
        <v>447</v>
      </c>
      <c r="I107" s="15" t="s">
        <v>448</v>
      </c>
      <c r="J107" s="15">
        <v>2.1</v>
      </c>
      <c r="K107" s="15">
        <v>19.7</v>
      </c>
      <c r="L107" s="15">
        <v>3.9</v>
      </c>
      <c r="M107" s="15">
        <v>2.5</v>
      </c>
      <c r="N107" s="15">
        <v>0.8</v>
      </c>
      <c r="O107" s="15">
        <v>0.7</v>
      </c>
      <c r="P107" s="15">
        <v>1.9</v>
      </c>
      <c r="Q107" s="15">
        <v>1.09</v>
      </c>
    </row>
    <row r="108">
      <c r="A108" s="15">
        <v>107.0</v>
      </c>
      <c r="B108" s="15">
        <v>82.5</v>
      </c>
      <c r="C108" s="30" t="s">
        <v>449</v>
      </c>
      <c r="D108" s="15" t="s">
        <v>49</v>
      </c>
      <c r="E108" s="15" t="s">
        <v>312</v>
      </c>
      <c r="F108" s="15">
        <v>69.0</v>
      </c>
      <c r="G108" s="15">
        <v>32.1</v>
      </c>
      <c r="H108" s="15" t="s">
        <v>450</v>
      </c>
      <c r="I108" s="15" t="s">
        <v>451</v>
      </c>
      <c r="J108" s="15">
        <v>2.3</v>
      </c>
      <c r="K108" s="15">
        <v>21.6</v>
      </c>
      <c r="L108" s="15">
        <v>6.9</v>
      </c>
      <c r="M108" s="15">
        <v>4.0</v>
      </c>
      <c r="N108" s="15">
        <v>0.5</v>
      </c>
      <c r="O108" s="15">
        <v>0.6</v>
      </c>
      <c r="P108" s="15">
        <v>2.8</v>
      </c>
      <c r="Q108" s="15">
        <v>1.06</v>
      </c>
    </row>
    <row r="109">
      <c r="A109" s="15">
        <v>108.0</v>
      </c>
      <c r="B109" s="15">
        <v>132.1</v>
      </c>
      <c r="C109" s="30" t="s">
        <v>452</v>
      </c>
      <c r="D109" s="15" t="s">
        <v>182</v>
      </c>
      <c r="E109" s="15" t="s">
        <v>103</v>
      </c>
      <c r="F109" s="15">
        <v>69.0</v>
      </c>
      <c r="G109" s="15">
        <v>31.8</v>
      </c>
      <c r="H109" s="15" t="s">
        <v>453</v>
      </c>
      <c r="I109" s="15" t="s">
        <v>454</v>
      </c>
      <c r="J109" s="15">
        <v>2.6</v>
      </c>
      <c r="K109" s="15">
        <v>18.8</v>
      </c>
      <c r="L109" s="15">
        <v>3.4</v>
      </c>
      <c r="M109" s="15">
        <v>1.7</v>
      </c>
      <c r="N109" s="15">
        <v>0.8</v>
      </c>
      <c r="O109" s="15">
        <v>0.4</v>
      </c>
      <c r="P109" s="15">
        <v>1.5</v>
      </c>
      <c r="Q109" s="15">
        <v>0.92</v>
      </c>
    </row>
    <row r="110">
      <c r="A110" s="15">
        <v>109.0</v>
      </c>
      <c r="B110" s="15">
        <v>102.7</v>
      </c>
      <c r="C110" s="30" t="s">
        <v>455</v>
      </c>
      <c r="D110" s="15" t="s">
        <v>34</v>
      </c>
      <c r="E110" s="15" t="s">
        <v>94</v>
      </c>
      <c r="F110" s="15">
        <v>70.0</v>
      </c>
      <c r="G110" s="15">
        <v>26.0</v>
      </c>
      <c r="H110" s="15" t="s">
        <v>456</v>
      </c>
      <c r="I110" s="15" t="s">
        <v>457</v>
      </c>
      <c r="J110" s="15">
        <v>0.0</v>
      </c>
      <c r="K110" s="15">
        <v>11.5</v>
      </c>
      <c r="L110" s="15">
        <v>10.7</v>
      </c>
      <c r="M110" s="15">
        <v>1.1</v>
      </c>
      <c r="N110" s="15">
        <v>0.6</v>
      </c>
      <c r="O110" s="15">
        <v>1.3</v>
      </c>
      <c r="P110" s="15">
        <v>0.9</v>
      </c>
      <c r="Q110" s="15">
        <v>0.89</v>
      </c>
    </row>
    <row r="111">
      <c r="A111" s="15">
        <v>110.0</v>
      </c>
      <c r="B111" s="15">
        <v>125.6</v>
      </c>
      <c r="C111" s="30" t="s">
        <v>458</v>
      </c>
      <c r="D111" s="15" t="s">
        <v>74</v>
      </c>
      <c r="E111" s="15" t="s">
        <v>115</v>
      </c>
      <c r="F111" s="15">
        <v>70.0</v>
      </c>
      <c r="G111" s="15">
        <v>26.4</v>
      </c>
      <c r="H111" s="15" t="s">
        <v>459</v>
      </c>
      <c r="I111" s="15" t="s">
        <v>460</v>
      </c>
      <c r="J111" s="15">
        <v>0.0</v>
      </c>
      <c r="K111" s="15">
        <v>12.1</v>
      </c>
      <c r="L111" s="15">
        <v>7.6</v>
      </c>
      <c r="M111" s="15">
        <v>1.8</v>
      </c>
      <c r="N111" s="15">
        <v>0.6</v>
      </c>
      <c r="O111" s="15">
        <v>1.6</v>
      </c>
      <c r="P111" s="15">
        <v>1.1</v>
      </c>
      <c r="Q111" s="15">
        <v>0.71</v>
      </c>
    </row>
    <row r="112">
      <c r="A112" s="15">
        <v>111.0</v>
      </c>
      <c r="B112" s="15">
        <v>92.2</v>
      </c>
      <c r="C112" s="30" t="s">
        <v>461</v>
      </c>
      <c r="D112" s="15" t="s">
        <v>67</v>
      </c>
      <c r="E112" s="15" t="s">
        <v>204</v>
      </c>
      <c r="F112" s="15">
        <v>76.0</v>
      </c>
      <c r="G112" s="15">
        <v>32.0</v>
      </c>
      <c r="H112" s="15" t="s">
        <v>462</v>
      </c>
      <c r="I112" s="15" t="s">
        <v>463</v>
      </c>
      <c r="J112" s="15">
        <v>2.4</v>
      </c>
      <c r="K112" s="15">
        <v>20.5</v>
      </c>
      <c r="L112" s="15">
        <v>4.9</v>
      </c>
      <c r="M112" s="15">
        <v>3.7</v>
      </c>
      <c r="N112" s="15">
        <v>0.9</v>
      </c>
      <c r="O112" s="15">
        <v>0.3</v>
      </c>
      <c r="P112" s="15">
        <v>2.4</v>
      </c>
      <c r="Q112" s="15">
        <v>0.68</v>
      </c>
    </row>
    <row r="113">
      <c r="A113" s="15">
        <v>112.0</v>
      </c>
      <c r="B113" s="15">
        <v>96.4</v>
      </c>
      <c r="C113" s="30" t="s">
        <v>464</v>
      </c>
      <c r="D113" s="15" t="s">
        <v>74</v>
      </c>
      <c r="E113" s="15" t="s">
        <v>183</v>
      </c>
      <c r="F113" s="15">
        <v>77.0</v>
      </c>
      <c r="G113" s="15">
        <v>27.1</v>
      </c>
      <c r="H113" s="15" t="s">
        <v>465</v>
      </c>
      <c r="I113" s="15" t="s">
        <v>466</v>
      </c>
      <c r="J113" s="15">
        <v>2.0</v>
      </c>
      <c r="K113" s="15">
        <v>14.7</v>
      </c>
      <c r="L113" s="15">
        <v>6.2</v>
      </c>
      <c r="M113" s="15">
        <v>1.5</v>
      </c>
      <c r="N113" s="15">
        <v>0.9</v>
      </c>
      <c r="O113" s="15">
        <v>1.0</v>
      </c>
      <c r="P113" s="15">
        <v>1.7</v>
      </c>
      <c r="Q113" s="15">
        <v>0.67</v>
      </c>
    </row>
    <row r="114">
      <c r="A114" s="15">
        <v>113.0</v>
      </c>
      <c r="B114" s="15">
        <v>63.6</v>
      </c>
      <c r="C114" s="30" t="s">
        <v>467</v>
      </c>
      <c r="D114" s="15" t="s">
        <v>49</v>
      </c>
      <c r="E114" s="15" t="s">
        <v>183</v>
      </c>
      <c r="F114" s="15">
        <v>68.0</v>
      </c>
      <c r="G114" s="15">
        <v>32.4</v>
      </c>
      <c r="H114" s="15" t="s">
        <v>468</v>
      </c>
      <c r="I114" s="15" t="s">
        <v>469</v>
      </c>
      <c r="J114" s="15">
        <v>1.4</v>
      </c>
      <c r="K114" s="15">
        <v>20.3</v>
      </c>
      <c r="L114" s="15">
        <v>8.5</v>
      </c>
      <c r="M114" s="15">
        <v>3.9</v>
      </c>
      <c r="N114" s="15">
        <v>0.5</v>
      </c>
      <c r="O114" s="15">
        <v>0.2</v>
      </c>
      <c r="P114" s="15">
        <v>2.6</v>
      </c>
      <c r="Q114" s="15">
        <v>0.64</v>
      </c>
    </row>
    <row r="115">
      <c r="A115" s="15">
        <v>114.0</v>
      </c>
      <c r="B115" s="15">
        <v>110.3</v>
      </c>
      <c r="C115" s="30" t="s">
        <v>470</v>
      </c>
      <c r="D115" s="15" t="s">
        <v>182</v>
      </c>
      <c r="E115" s="15" t="s">
        <v>183</v>
      </c>
      <c r="F115" s="15">
        <v>73.0</v>
      </c>
      <c r="G115" s="15">
        <v>27.3</v>
      </c>
      <c r="H115" s="15" t="s">
        <v>471</v>
      </c>
      <c r="I115" s="15" t="s">
        <v>472</v>
      </c>
      <c r="J115" s="15">
        <v>2.7</v>
      </c>
      <c r="K115" s="15">
        <v>12.7</v>
      </c>
      <c r="L115" s="15">
        <v>3.9</v>
      </c>
      <c r="M115" s="15">
        <v>3.0</v>
      </c>
      <c r="N115" s="15">
        <v>1.3</v>
      </c>
      <c r="O115" s="15">
        <v>0.3</v>
      </c>
      <c r="P115" s="15">
        <v>1.4</v>
      </c>
      <c r="Q115" s="15">
        <v>0.64</v>
      </c>
    </row>
    <row r="116">
      <c r="A116" s="15">
        <v>115.0</v>
      </c>
      <c r="B116" s="15">
        <v>106.7</v>
      </c>
      <c r="C116" s="30" t="s">
        <v>473</v>
      </c>
      <c r="D116" s="15" t="s">
        <v>74</v>
      </c>
      <c r="E116" s="15" t="s">
        <v>172</v>
      </c>
      <c r="F116" s="15">
        <v>67.0</v>
      </c>
      <c r="G116" s="15">
        <v>27.2</v>
      </c>
      <c r="H116" s="15" t="s">
        <v>474</v>
      </c>
      <c r="I116" s="15" t="s">
        <v>475</v>
      </c>
      <c r="J116" s="15">
        <v>1.1</v>
      </c>
      <c r="K116" s="15">
        <v>13.7</v>
      </c>
      <c r="L116" s="15">
        <v>7.3</v>
      </c>
      <c r="M116" s="15">
        <v>1.1</v>
      </c>
      <c r="N116" s="15">
        <v>0.6</v>
      </c>
      <c r="O116" s="15">
        <v>0.9</v>
      </c>
      <c r="P116" s="15">
        <v>1.2</v>
      </c>
      <c r="Q116" s="15">
        <v>0.62</v>
      </c>
    </row>
    <row r="117">
      <c r="A117" s="15">
        <v>116.0</v>
      </c>
      <c r="B117" s="15">
        <v>103.8</v>
      </c>
      <c r="C117" s="30" t="s">
        <v>476</v>
      </c>
      <c r="D117" s="15" t="s">
        <v>46</v>
      </c>
      <c r="E117" s="15" t="s">
        <v>35</v>
      </c>
      <c r="F117" s="15">
        <v>58.0</v>
      </c>
      <c r="G117" s="15">
        <v>26.4</v>
      </c>
      <c r="H117" s="15" t="s">
        <v>477</v>
      </c>
      <c r="I117" s="15" t="s">
        <v>478</v>
      </c>
      <c r="J117" s="15">
        <v>1.3</v>
      </c>
      <c r="K117" s="15">
        <v>10.2</v>
      </c>
      <c r="L117" s="15">
        <v>3.6</v>
      </c>
      <c r="M117" s="15">
        <v>6.9</v>
      </c>
      <c r="N117" s="15">
        <v>1.2</v>
      </c>
      <c r="O117" s="15">
        <v>0.2</v>
      </c>
      <c r="P117" s="15">
        <v>1.4</v>
      </c>
      <c r="Q117" s="15">
        <v>0.56</v>
      </c>
    </row>
    <row r="118">
      <c r="A118" s="15">
        <v>117.0</v>
      </c>
      <c r="B118" s="15">
        <v>84.2</v>
      </c>
      <c r="C118" s="30" t="s">
        <v>479</v>
      </c>
      <c r="D118" s="15" t="s">
        <v>34</v>
      </c>
      <c r="E118" s="15" t="s">
        <v>129</v>
      </c>
      <c r="F118" s="15">
        <v>68.0</v>
      </c>
      <c r="G118" s="15">
        <v>27.5</v>
      </c>
      <c r="H118" s="15" t="s">
        <v>480</v>
      </c>
      <c r="I118" s="15" t="s">
        <v>481</v>
      </c>
      <c r="J118" s="15">
        <v>0.5</v>
      </c>
      <c r="K118" s="15">
        <v>12.2</v>
      </c>
      <c r="L118" s="15">
        <v>10.5</v>
      </c>
      <c r="M118" s="15">
        <v>3.6</v>
      </c>
      <c r="N118" s="15">
        <v>1.0</v>
      </c>
      <c r="O118" s="15">
        <v>1.0</v>
      </c>
      <c r="P118" s="15">
        <v>2.4</v>
      </c>
      <c r="Q118" s="15">
        <v>0.54</v>
      </c>
    </row>
    <row r="119">
      <c r="A119" s="15">
        <v>118.0</v>
      </c>
      <c r="B119" s="15">
        <v>124.0</v>
      </c>
      <c r="C119" s="30" t="s">
        <v>482</v>
      </c>
      <c r="D119" s="15" t="s">
        <v>98</v>
      </c>
      <c r="E119" s="15" t="s">
        <v>316</v>
      </c>
      <c r="F119" s="15">
        <v>60.0</v>
      </c>
      <c r="G119" s="15">
        <v>28.6</v>
      </c>
      <c r="H119" s="15" t="s">
        <v>483</v>
      </c>
      <c r="I119" s="15" t="s">
        <v>484</v>
      </c>
      <c r="J119" s="15">
        <v>2.5</v>
      </c>
      <c r="K119" s="15">
        <v>14.7</v>
      </c>
      <c r="L119" s="15">
        <v>4.5</v>
      </c>
      <c r="M119" s="15">
        <v>2.2</v>
      </c>
      <c r="N119" s="15">
        <v>1.0</v>
      </c>
      <c r="O119" s="15">
        <v>0.3</v>
      </c>
      <c r="P119" s="15">
        <v>1.0</v>
      </c>
      <c r="Q119" s="15">
        <v>0.51</v>
      </c>
    </row>
    <row r="120">
      <c r="A120" s="15">
        <v>119.0</v>
      </c>
      <c r="B120" s="15">
        <v>105.4</v>
      </c>
      <c r="C120" s="30" t="s">
        <v>485</v>
      </c>
      <c r="D120" s="15" t="s">
        <v>46</v>
      </c>
      <c r="E120" s="15" t="s">
        <v>193</v>
      </c>
      <c r="F120" s="15">
        <v>68.0</v>
      </c>
      <c r="G120" s="15">
        <v>31.6</v>
      </c>
      <c r="H120" s="15" t="s">
        <v>486</v>
      </c>
      <c r="I120" s="15" t="s">
        <v>487</v>
      </c>
      <c r="J120" s="15">
        <v>2.2</v>
      </c>
      <c r="K120" s="15">
        <v>17.7</v>
      </c>
      <c r="L120" s="15">
        <v>3.5</v>
      </c>
      <c r="M120" s="15">
        <v>4.5</v>
      </c>
      <c r="N120" s="15">
        <v>1.0</v>
      </c>
      <c r="O120" s="15">
        <v>0.3</v>
      </c>
      <c r="P120" s="15">
        <v>1.7</v>
      </c>
      <c r="Q120" s="15">
        <v>0.46</v>
      </c>
    </row>
    <row r="121">
      <c r="A121" s="15">
        <v>120.0</v>
      </c>
      <c r="B121" s="15">
        <v>142.0</v>
      </c>
      <c r="C121" s="30" t="s">
        <v>488</v>
      </c>
      <c r="D121" s="15" t="s">
        <v>67</v>
      </c>
      <c r="E121" s="15" t="s">
        <v>115</v>
      </c>
      <c r="F121" s="15">
        <v>68.0</v>
      </c>
      <c r="G121" s="15">
        <v>25.3</v>
      </c>
      <c r="H121" s="15" t="s">
        <v>489</v>
      </c>
      <c r="I121" s="15" t="s">
        <v>490</v>
      </c>
      <c r="J121" s="15">
        <v>2.0</v>
      </c>
      <c r="K121" s="15">
        <v>10.1</v>
      </c>
      <c r="L121" s="15">
        <v>3.8</v>
      </c>
      <c r="M121" s="15">
        <v>2.6</v>
      </c>
      <c r="N121" s="15">
        <v>1.6</v>
      </c>
      <c r="O121" s="15">
        <v>0.5</v>
      </c>
      <c r="P121" s="15">
        <v>1.2</v>
      </c>
      <c r="Q121" s="15">
        <v>0.26</v>
      </c>
    </row>
    <row r="122">
      <c r="A122" s="15">
        <v>121.0</v>
      </c>
      <c r="B122" s="15">
        <v>146.3</v>
      </c>
      <c r="C122" s="30" t="s">
        <v>491</v>
      </c>
      <c r="D122" s="15" t="s">
        <v>182</v>
      </c>
      <c r="E122" s="15" t="s">
        <v>168</v>
      </c>
      <c r="F122" s="15">
        <v>68.0</v>
      </c>
      <c r="G122" s="15">
        <v>26.4</v>
      </c>
      <c r="H122" s="15" t="s">
        <v>492</v>
      </c>
      <c r="I122" s="15" t="s">
        <v>493</v>
      </c>
      <c r="J122" s="15">
        <v>1.9</v>
      </c>
      <c r="K122" s="15">
        <v>8.4</v>
      </c>
      <c r="L122" s="15">
        <v>3.3</v>
      </c>
      <c r="M122" s="15">
        <v>2.3</v>
      </c>
      <c r="N122" s="15">
        <v>1.4</v>
      </c>
      <c r="O122" s="15">
        <v>0.8</v>
      </c>
      <c r="P122" s="15">
        <v>1.0</v>
      </c>
      <c r="Q122" s="15">
        <v>0.17</v>
      </c>
    </row>
    <row r="123">
      <c r="A123" s="15">
        <v>122.0</v>
      </c>
      <c r="B123" s="15">
        <v>116.6</v>
      </c>
      <c r="C123" s="30" t="s">
        <v>494</v>
      </c>
      <c r="D123" s="15" t="s">
        <v>47</v>
      </c>
      <c r="E123" s="15" t="s">
        <v>115</v>
      </c>
      <c r="F123" s="15">
        <v>74.0</v>
      </c>
      <c r="G123" s="15">
        <v>29.5</v>
      </c>
      <c r="H123" s="15" t="s">
        <v>495</v>
      </c>
      <c r="I123" s="15" t="s">
        <v>496</v>
      </c>
      <c r="J123" s="15">
        <v>1.5</v>
      </c>
      <c r="K123" s="15">
        <v>11.2</v>
      </c>
      <c r="L123" s="15">
        <v>6.9</v>
      </c>
      <c r="M123" s="15">
        <v>4.4</v>
      </c>
      <c r="N123" s="15">
        <v>1.2</v>
      </c>
      <c r="O123" s="15">
        <v>0.2</v>
      </c>
      <c r="P123" s="15">
        <v>1.4</v>
      </c>
      <c r="Q123" s="15">
        <v>0.14</v>
      </c>
    </row>
    <row r="124">
      <c r="A124" s="15">
        <v>123.0</v>
      </c>
      <c r="B124" s="15">
        <v>139.0</v>
      </c>
      <c r="C124" s="30" t="s">
        <v>497</v>
      </c>
      <c r="D124" s="15" t="s">
        <v>46</v>
      </c>
      <c r="E124" s="15" t="s">
        <v>316</v>
      </c>
      <c r="F124" s="15">
        <v>70.0</v>
      </c>
      <c r="G124" s="15">
        <v>31.0</v>
      </c>
      <c r="H124" s="15" t="s">
        <v>498</v>
      </c>
      <c r="I124" s="15" t="s">
        <v>499</v>
      </c>
      <c r="J124" s="15">
        <v>1.7</v>
      </c>
      <c r="K124" s="15">
        <v>15.1</v>
      </c>
      <c r="L124" s="15">
        <v>3.0</v>
      </c>
      <c r="M124" s="15">
        <v>5.9</v>
      </c>
      <c r="N124" s="15">
        <v>0.8</v>
      </c>
      <c r="O124" s="15">
        <v>0.2</v>
      </c>
      <c r="P124" s="15">
        <v>2.0</v>
      </c>
      <c r="Q124" s="15">
        <v>0.09</v>
      </c>
    </row>
    <row r="125">
      <c r="A125" s="15">
        <v>124.0</v>
      </c>
      <c r="B125" s="15">
        <v>91.0</v>
      </c>
      <c r="C125" s="30" t="s">
        <v>500</v>
      </c>
      <c r="D125" s="15" t="s">
        <v>49</v>
      </c>
      <c r="E125" s="15" t="s">
        <v>115</v>
      </c>
      <c r="F125" s="15">
        <v>72.0</v>
      </c>
      <c r="G125" s="15">
        <v>28.6</v>
      </c>
      <c r="H125" s="15" t="s">
        <v>501</v>
      </c>
      <c r="I125" s="15" t="s">
        <v>502</v>
      </c>
      <c r="J125" s="15">
        <v>0.9</v>
      </c>
      <c r="K125" s="15">
        <v>16.2</v>
      </c>
      <c r="L125" s="15">
        <v>5.1</v>
      </c>
      <c r="M125" s="15">
        <v>2.5</v>
      </c>
      <c r="N125" s="15">
        <v>0.8</v>
      </c>
      <c r="O125" s="15">
        <v>0.6</v>
      </c>
      <c r="P125" s="15">
        <v>1.9</v>
      </c>
      <c r="Q125" s="15">
        <v>0.06</v>
      </c>
    </row>
    <row r="126">
      <c r="A126" s="15">
        <v>125.0</v>
      </c>
      <c r="B126" s="15">
        <v>130.7</v>
      </c>
      <c r="C126" s="30" t="s">
        <v>503</v>
      </c>
      <c r="D126" s="15" t="s">
        <v>67</v>
      </c>
      <c r="E126" s="15" t="s">
        <v>197</v>
      </c>
      <c r="F126" s="15">
        <v>65.0</v>
      </c>
      <c r="G126" s="15">
        <v>31.0</v>
      </c>
      <c r="H126" s="15" t="s">
        <v>504</v>
      </c>
      <c r="I126" s="15" t="s">
        <v>505</v>
      </c>
      <c r="J126" s="15">
        <v>1.9</v>
      </c>
      <c r="K126" s="15">
        <v>12.1</v>
      </c>
      <c r="L126" s="15">
        <v>3.0</v>
      </c>
      <c r="M126" s="15">
        <v>4.7</v>
      </c>
      <c r="N126" s="15">
        <v>1.6</v>
      </c>
      <c r="O126" s="15">
        <v>0.3</v>
      </c>
      <c r="P126" s="15">
        <v>2.5</v>
      </c>
      <c r="Q126" s="15">
        <v>0.0</v>
      </c>
    </row>
    <row r="127">
      <c r="A127" s="15">
        <v>126.0</v>
      </c>
      <c r="B127" s="15">
        <v>144.3</v>
      </c>
      <c r="C127" s="30" t="s">
        <v>506</v>
      </c>
      <c r="D127" s="15" t="s">
        <v>74</v>
      </c>
      <c r="E127" s="15" t="s">
        <v>271</v>
      </c>
      <c r="F127" s="15">
        <v>64.0</v>
      </c>
      <c r="G127" s="15">
        <v>25.0</v>
      </c>
      <c r="H127" s="15" t="s">
        <v>507</v>
      </c>
      <c r="I127" s="15" t="s">
        <v>508</v>
      </c>
      <c r="J127" s="15">
        <v>1.3</v>
      </c>
      <c r="K127" s="15">
        <v>12.9</v>
      </c>
      <c r="L127" s="15">
        <v>7.6</v>
      </c>
      <c r="M127" s="15">
        <v>1.3</v>
      </c>
      <c r="N127" s="15">
        <v>0.4</v>
      </c>
      <c r="O127" s="15">
        <v>1.0</v>
      </c>
      <c r="P127" s="15">
        <v>1.2</v>
      </c>
      <c r="Q127" s="15">
        <v>-0.01</v>
      </c>
    </row>
    <row r="128">
      <c r="A128" s="15">
        <v>127.0</v>
      </c>
      <c r="B128" s="15">
        <v>145.4</v>
      </c>
      <c r="C128" s="30" t="s">
        <v>509</v>
      </c>
      <c r="D128" s="15" t="s">
        <v>182</v>
      </c>
      <c r="E128" s="15" t="s">
        <v>312</v>
      </c>
      <c r="F128" s="15">
        <v>77.0</v>
      </c>
      <c r="G128" s="15">
        <v>31.0</v>
      </c>
      <c r="H128" s="15" t="s">
        <v>510</v>
      </c>
      <c r="I128" s="15" t="s">
        <v>511</v>
      </c>
      <c r="J128" s="15">
        <v>2.7</v>
      </c>
      <c r="K128" s="15">
        <v>15.1</v>
      </c>
      <c r="L128" s="15">
        <v>3.4</v>
      </c>
      <c r="M128" s="15">
        <v>2.4</v>
      </c>
      <c r="N128" s="15">
        <v>0.7</v>
      </c>
      <c r="O128" s="15">
        <v>0.2</v>
      </c>
      <c r="P128" s="15">
        <v>1.2</v>
      </c>
      <c r="Q128" s="15">
        <v>-0.03</v>
      </c>
    </row>
    <row r="129">
      <c r="A129" s="15">
        <v>128.0</v>
      </c>
      <c r="B129" s="15">
        <v>126.5</v>
      </c>
      <c r="C129" s="30" t="s">
        <v>512</v>
      </c>
      <c r="D129" s="15" t="s">
        <v>182</v>
      </c>
      <c r="E129" s="15" t="s">
        <v>115</v>
      </c>
      <c r="F129" s="15">
        <v>78.0</v>
      </c>
      <c r="G129" s="15">
        <v>27.8</v>
      </c>
      <c r="H129" s="15" t="s">
        <v>513</v>
      </c>
      <c r="I129" s="15" t="s">
        <v>514</v>
      </c>
      <c r="J129" s="15">
        <v>2.7</v>
      </c>
      <c r="K129" s="15">
        <v>13.2</v>
      </c>
      <c r="L129" s="15">
        <v>3.8</v>
      </c>
      <c r="M129" s="15">
        <v>2.7</v>
      </c>
      <c r="N129" s="15">
        <v>0.9</v>
      </c>
      <c r="O129" s="15">
        <v>0.4</v>
      </c>
      <c r="P129" s="15">
        <v>1.4</v>
      </c>
      <c r="Q129" s="15">
        <v>-0.07</v>
      </c>
    </row>
    <row r="130">
      <c r="A130" s="15">
        <v>129.0</v>
      </c>
      <c r="B130" s="15">
        <v>106.5</v>
      </c>
      <c r="C130" s="30" t="s">
        <v>515</v>
      </c>
      <c r="D130" s="15" t="s">
        <v>182</v>
      </c>
      <c r="E130" s="15" t="s">
        <v>68</v>
      </c>
      <c r="F130" s="15">
        <v>70.0</v>
      </c>
      <c r="G130" s="15">
        <v>29.4</v>
      </c>
      <c r="H130" s="15" t="s">
        <v>516</v>
      </c>
      <c r="I130" s="15" t="s">
        <v>517</v>
      </c>
      <c r="J130" s="15">
        <v>3.4</v>
      </c>
      <c r="K130" s="15">
        <v>17.2</v>
      </c>
      <c r="L130" s="15">
        <v>3.2</v>
      </c>
      <c r="M130" s="15">
        <v>2.0</v>
      </c>
      <c r="N130" s="15">
        <v>0.6</v>
      </c>
      <c r="O130" s="15">
        <v>0.4</v>
      </c>
      <c r="P130" s="15">
        <v>1.4</v>
      </c>
      <c r="Q130" s="15">
        <v>-0.09</v>
      </c>
    </row>
    <row r="131">
      <c r="A131" s="15">
        <v>130.0</v>
      </c>
      <c r="B131" s="15">
        <v>138.2</v>
      </c>
      <c r="C131" s="30" t="s">
        <v>518</v>
      </c>
      <c r="D131" s="15" t="s">
        <v>67</v>
      </c>
      <c r="E131" s="15" t="s">
        <v>129</v>
      </c>
      <c r="F131" s="15">
        <v>73.0</v>
      </c>
      <c r="G131" s="15">
        <v>27.4</v>
      </c>
      <c r="H131" s="15" t="s">
        <v>519</v>
      </c>
      <c r="I131" s="15" t="s">
        <v>520</v>
      </c>
      <c r="J131" s="15">
        <v>2.2</v>
      </c>
      <c r="K131" s="15">
        <v>11.4</v>
      </c>
      <c r="L131" s="15">
        <v>3.3</v>
      </c>
      <c r="M131" s="15">
        <v>2.4</v>
      </c>
      <c r="N131" s="15">
        <v>0.8</v>
      </c>
      <c r="O131" s="15">
        <v>0.4</v>
      </c>
      <c r="P131" s="15">
        <v>1.0</v>
      </c>
      <c r="Q131" s="15">
        <v>-0.11</v>
      </c>
    </row>
    <row r="132">
      <c r="A132" s="15">
        <v>131.0</v>
      </c>
      <c r="B132" s="15">
        <v>144.9</v>
      </c>
      <c r="C132" s="30" t="s">
        <v>521</v>
      </c>
      <c r="D132" s="15" t="s">
        <v>182</v>
      </c>
      <c r="E132" s="15" t="s">
        <v>103</v>
      </c>
      <c r="F132" s="15">
        <v>76.0</v>
      </c>
      <c r="G132" s="15">
        <v>29.0</v>
      </c>
      <c r="H132" s="15" t="s">
        <v>522</v>
      </c>
      <c r="I132" s="15" t="s">
        <v>523</v>
      </c>
      <c r="J132" s="15">
        <v>1.3</v>
      </c>
      <c r="K132" s="15">
        <v>12.9</v>
      </c>
      <c r="L132" s="15">
        <v>4.8</v>
      </c>
      <c r="M132" s="15">
        <v>2.7</v>
      </c>
      <c r="N132" s="15">
        <v>0.8</v>
      </c>
      <c r="O132" s="15">
        <v>0.4</v>
      </c>
      <c r="P132" s="15">
        <v>1.1</v>
      </c>
      <c r="Q132" s="15">
        <v>-0.12</v>
      </c>
    </row>
    <row r="133">
      <c r="A133" s="15">
        <v>132.0</v>
      </c>
      <c r="B133" s="15">
        <v>115.9</v>
      </c>
      <c r="C133" s="30" t="s">
        <v>524</v>
      </c>
      <c r="D133" s="15" t="s">
        <v>74</v>
      </c>
      <c r="E133" s="15" t="s">
        <v>85</v>
      </c>
      <c r="F133" s="15">
        <v>74.0</v>
      </c>
      <c r="G133" s="15">
        <v>25.2</v>
      </c>
      <c r="H133" s="15" t="s">
        <v>525</v>
      </c>
      <c r="I133" s="15" t="s">
        <v>526</v>
      </c>
      <c r="J133" s="15">
        <v>1.3</v>
      </c>
      <c r="K133" s="15">
        <v>14.1</v>
      </c>
      <c r="L133" s="15">
        <v>8.3</v>
      </c>
      <c r="M133" s="15">
        <v>1.4</v>
      </c>
      <c r="N133" s="15">
        <v>0.7</v>
      </c>
      <c r="O133" s="15">
        <v>0.3</v>
      </c>
      <c r="P133" s="15">
        <v>1.1</v>
      </c>
      <c r="Q133" s="15">
        <v>-0.17</v>
      </c>
    </row>
    <row r="134">
      <c r="A134" s="15">
        <v>133.0</v>
      </c>
      <c r="B134" s="15">
        <v>118.7</v>
      </c>
      <c r="C134" s="30" t="s">
        <v>527</v>
      </c>
      <c r="D134" s="15" t="s">
        <v>67</v>
      </c>
      <c r="E134" s="15" t="s">
        <v>172</v>
      </c>
      <c r="F134" s="15">
        <v>73.0</v>
      </c>
      <c r="G134" s="15">
        <v>31.6</v>
      </c>
      <c r="H134" s="15" t="s">
        <v>528</v>
      </c>
      <c r="I134" s="15" t="s">
        <v>529</v>
      </c>
      <c r="J134" s="15">
        <v>2.4</v>
      </c>
      <c r="K134" s="15">
        <v>16.3</v>
      </c>
      <c r="L134" s="15">
        <v>3.3</v>
      </c>
      <c r="M134" s="15">
        <v>5.2</v>
      </c>
      <c r="N134" s="15">
        <v>0.6</v>
      </c>
      <c r="O134" s="15">
        <v>0.2</v>
      </c>
      <c r="P134" s="15">
        <v>2.6</v>
      </c>
      <c r="Q134" s="15">
        <v>-0.19</v>
      </c>
    </row>
    <row r="135">
      <c r="A135" s="15">
        <v>134.0</v>
      </c>
      <c r="B135" s="15">
        <v>140.4</v>
      </c>
      <c r="C135" s="30" t="s">
        <v>530</v>
      </c>
      <c r="D135" s="15" t="s">
        <v>182</v>
      </c>
      <c r="E135" s="15" t="s">
        <v>264</v>
      </c>
      <c r="F135" s="15">
        <v>76.0</v>
      </c>
      <c r="G135" s="15">
        <v>30.1</v>
      </c>
      <c r="H135" s="15" t="s">
        <v>531</v>
      </c>
      <c r="I135" s="15" t="s">
        <v>532</v>
      </c>
      <c r="J135" s="15">
        <v>1.7</v>
      </c>
      <c r="K135" s="15">
        <v>10.1</v>
      </c>
      <c r="L135" s="15">
        <v>2.5</v>
      </c>
      <c r="M135" s="15">
        <v>2.3</v>
      </c>
      <c r="N135" s="15">
        <v>1.3</v>
      </c>
      <c r="O135" s="15">
        <v>0.5</v>
      </c>
      <c r="P135" s="15">
        <v>1.0</v>
      </c>
      <c r="Q135" s="15">
        <v>-0.25</v>
      </c>
    </row>
    <row r="136">
      <c r="A136" s="15">
        <v>135.0</v>
      </c>
      <c r="B136" s="15">
        <v>133.4</v>
      </c>
      <c r="C136" s="30" t="s">
        <v>533</v>
      </c>
      <c r="D136" s="15" t="s">
        <v>49</v>
      </c>
      <c r="E136" s="15" t="s">
        <v>312</v>
      </c>
      <c r="F136" s="15">
        <v>69.0</v>
      </c>
      <c r="G136" s="15">
        <v>29.9</v>
      </c>
      <c r="H136" s="15" t="s">
        <v>534</v>
      </c>
      <c r="I136" s="15" t="s">
        <v>535</v>
      </c>
      <c r="J136" s="15">
        <v>0.9</v>
      </c>
      <c r="K136" s="15">
        <v>12.2</v>
      </c>
      <c r="L136" s="15">
        <v>6.4</v>
      </c>
      <c r="M136" s="15">
        <v>1.3</v>
      </c>
      <c r="N136" s="15">
        <v>0.8</v>
      </c>
      <c r="O136" s="15">
        <v>1.9</v>
      </c>
      <c r="P136" s="15">
        <v>1.3</v>
      </c>
      <c r="Q136" s="15">
        <v>-0.26</v>
      </c>
    </row>
    <row r="137">
      <c r="A137" s="15">
        <v>136.0</v>
      </c>
      <c r="B137" s="15">
        <v>132.1</v>
      </c>
      <c r="C137" s="30" t="s">
        <v>536</v>
      </c>
      <c r="D137" s="15" t="s">
        <v>67</v>
      </c>
      <c r="E137" s="15" t="s">
        <v>250</v>
      </c>
      <c r="F137" s="15">
        <v>76.0</v>
      </c>
      <c r="G137" s="15">
        <v>30.0</v>
      </c>
      <c r="H137" s="15" t="s">
        <v>537</v>
      </c>
      <c r="I137" s="15" t="s">
        <v>538</v>
      </c>
      <c r="J137" s="15">
        <v>2.2</v>
      </c>
      <c r="K137" s="15">
        <v>18.4</v>
      </c>
      <c r="L137" s="15">
        <v>3.7</v>
      </c>
      <c r="M137" s="15">
        <v>4.6</v>
      </c>
      <c r="N137" s="15">
        <v>0.8</v>
      </c>
      <c r="O137" s="15">
        <v>0.6</v>
      </c>
      <c r="P137" s="15">
        <v>2.7</v>
      </c>
      <c r="Q137" s="15">
        <v>-0.29</v>
      </c>
    </row>
    <row r="138">
      <c r="A138" s="15">
        <v>137.0</v>
      </c>
      <c r="B138" s="15">
        <v>107.7</v>
      </c>
      <c r="C138" s="30" t="s">
        <v>539</v>
      </c>
      <c r="D138" s="15" t="s">
        <v>98</v>
      </c>
      <c r="E138" s="15" t="s">
        <v>138</v>
      </c>
      <c r="F138" s="15">
        <v>72.0</v>
      </c>
      <c r="G138" s="15">
        <v>33.5</v>
      </c>
      <c r="H138" s="15" t="s">
        <v>540</v>
      </c>
      <c r="I138" s="15" t="s">
        <v>541</v>
      </c>
      <c r="J138" s="15">
        <v>1.6</v>
      </c>
      <c r="K138" s="15">
        <v>21.2</v>
      </c>
      <c r="L138" s="15">
        <v>6.4</v>
      </c>
      <c r="M138" s="15">
        <v>3.8</v>
      </c>
      <c r="N138" s="15">
        <v>0.6</v>
      </c>
      <c r="O138" s="15">
        <v>0.4</v>
      </c>
      <c r="P138" s="15">
        <v>2.3</v>
      </c>
      <c r="Q138" s="15">
        <v>-0.3</v>
      </c>
    </row>
    <row r="139">
      <c r="A139" s="15">
        <v>138.0</v>
      </c>
      <c r="B139" s="15">
        <v>134.2</v>
      </c>
      <c r="C139" s="30" t="s">
        <v>542</v>
      </c>
      <c r="D139" s="15" t="s">
        <v>49</v>
      </c>
      <c r="E139" s="15" t="s">
        <v>68</v>
      </c>
      <c r="F139" s="15">
        <v>73.0</v>
      </c>
      <c r="G139" s="15">
        <v>31.2</v>
      </c>
      <c r="H139" s="15" t="s">
        <v>543</v>
      </c>
      <c r="I139" s="15" t="s">
        <v>544</v>
      </c>
      <c r="J139" s="15">
        <v>1.9</v>
      </c>
      <c r="K139" s="15">
        <v>12.4</v>
      </c>
      <c r="L139" s="15">
        <v>5.5</v>
      </c>
      <c r="M139" s="15">
        <v>2.1</v>
      </c>
      <c r="N139" s="15">
        <v>1.1</v>
      </c>
      <c r="O139" s="15">
        <v>0.9</v>
      </c>
      <c r="P139" s="15">
        <v>1.4</v>
      </c>
      <c r="Q139" s="15">
        <v>-0.36</v>
      </c>
    </row>
    <row r="140">
      <c r="A140" s="15">
        <v>139.0</v>
      </c>
      <c r="B140" s="15">
        <v>129.5</v>
      </c>
      <c r="C140" s="30" t="s">
        <v>545</v>
      </c>
      <c r="D140" s="15" t="s">
        <v>182</v>
      </c>
      <c r="E140" s="15" t="s">
        <v>168</v>
      </c>
      <c r="F140" s="15">
        <v>74.0</v>
      </c>
      <c r="G140" s="15">
        <v>25.8</v>
      </c>
      <c r="H140" s="15" t="s">
        <v>546</v>
      </c>
      <c r="I140" s="15" t="s">
        <v>547</v>
      </c>
      <c r="J140" s="15">
        <v>2.0</v>
      </c>
      <c r="K140" s="15">
        <v>14.5</v>
      </c>
      <c r="L140" s="15">
        <v>2.8</v>
      </c>
      <c r="M140" s="15">
        <v>4.5</v>
      </c>
      <c r="N140" s="15">
        <v>0.6</v>
      </c>
      <c r="O140" s="15">
        <v>0.4</v>
      </c>
      <c r="P140" s="15">
        <v>2.0</v>
      </c>
      <c r="Q140" s="15">
        <v>-0.41</v>
      </c>
    </row>
    <row r="141">
      <c r="A141" s="15">
        <v>140.0</v>
      </c>
      <c r="B141" s="15">
        <v>139.5</v>
      </c>
      <c r="C141" s="30" t="s">
        <v>548</v>
      </c>
      <c r="D141" s="15" t="s">
        <v>182</v>
      </c>
      <c r="E141" s="15" t="s">
        <v>58</v>
      </c>
      <c r="F141" s="15">
        <v>76.0</v>
      </c>
      <c r="G141" s="15">
        <v>30.0</v>
      </c>
      <c r="H141" s="15" t="s">
        <v>549</v>
      </c>
      <c r="I141" s="15" t="s">
        <v>550</v>
      </c>
      <c r="J141" s="15">
        <v>2.0</v>
      </c>
      <c r="K141" s="15">
        <v>12.0</v>
      </c>
      <c r="L141" s="15">
        <v>4.2</v>
      </c>
      <c r="M141" s="15">
        <v>1.8</v>
      </c>
      <c r="N141" s="15">
        <v>1.0</v>
      </c>
      <c r="O141" s="15">
        <v>0.7</v>
      </c>
      <c r="P141" s="15">
        <v>1.1</v>
      </c>
      <c r="Q141" s="15">
        <v>-0.48</v>
      </c>
    </row>
    <row r="142">
      <c r="A142" s="15">
        <v>141.0</v>
      </c>
      <c r="B142" s="15">
        <v>138.1</v>
      </c>
      <c r="C142" s="30" t="s">
        <v>551</v>
      </c>
      <c r="D142" s="15" t="s">
        <v>98</v>
      </c>
      <c r="E142" s="15" t="s">
        <v>250</v>
      </c>
      <c r="F142" s="15">
        <v>69.0</v>
      </c>
      <c r="G142" s="15">
        <v>28.1</v>
      </c>
      <c r="H142" s="15" t="s">
        <v>552</v>
      </c>
      <c r="I142" s="15" t="s">
        <v>553</v>
      </c>
      <c r="J142" s="15">
        <v>0.4</v>
      </c>
      <c r="K142" s="15">
        <v>10.6</v>
      </c>
      <c r="L142" s="15">
        <v>7.2</v>
      </c>
      <c r="M142" s="15">
        <v>2.2</v>
      </c>
      <c r="N142" s="15">
        <v>1.2</v>
      </c>
      <c r="O142" s="15">
        <v>1.1</v>
      </c>
      <c r="P142" s="15">
        <v>1.5</v>
      </c>
      <c r="Q142" s="15">
        <v>-0.48</v>
      </c>
    </row>
    <row r="143">
      <c r="A143" s="15">
        <v>142.0</v>
      </c>
      <c r="B143" s="15">
        <v>136.5</v>
      </c>
      <c r="C143" s="30" t="s">
        <v>554</v>
      </c>
      <c r="D143" s="15" t="s">
        <v>98</v>
      </c>
      <c r="E143" s="15" t="s">
        <v>75</v>
      </c>
      <c r="F143" s="15">
        <v>66.0</v>
      </c>
      <c r="G143" s="15">
        <v>29.2</v>
      </c>
      <c r="H143" s="15" t="s">
        <v>555</v>
      </c>
      <c r="I143" s="15" t="s">
        <v>556</v>
      </c>
      <c r="J143" s="15">
        <v>1.5</v>
      </c>
      <c r="K143" s="15">
        <v>14.8</v>
      </c>
      <c r="L143" s="15">
        <v>5.2</v>
      </c>
      <c r="M143" s="15">
        <v>1.3</v>
      </c>
      <c r="N143" s="15">
        <v>0.7</v>
      </c>
      <c r="O143" s="15">
        <v>0.5</v>
      </c>
      <c r="P143" s="15">
        <v>0.9</v>
      </c>
      <c r="Q143" s="15">
        <v>-0.56</v>
      </c>
    </row>
    <row r="144">
      <c r="A144" s="15">
        <v>143.0</v>
      </c>
      <c r="B144" s="15">
        <v>116.3</v>
      </c>
      <c r="C144" s="30" t="s">
        <v>557</v>
      </c>
      <c r="D144" s="15" t="s">
        <v>98</v>
      </c>
      <c r="E144" s="15" t="s">
        <v>164</v>
      </c>
      <c r="F144" s="15">
        <v>76.0</v>
      </c>
      <c r="G144" s="15">
        <v>32.2</v>
      </c>
      <c r="H144" s="15" t="s">
        <v>558</v>
      </c>
      <c r="I144" s="15" t="s">
        <v>559</v>
      </c>
      <c r="J144" s="15">
        <v>0.9</v>
      </c>
      <c r="K144" s="15">
        <v>9.1</v>
      </c>
      <c r="L144" s="15">
        <v>7.9</v>
      </c>
      <c r="M144" s="15">
        <v>3.9</v>
      </c>
      <c r="N144" s="15">
        <v>1.0</v>
      </c>
      <c r="O144" s="15">
        <v>0.3</v>
      </c>
      <c r="P144" s="15">
        <v>1.7</v>
      </c>
      <c r="Q144" s="15">
        <v>-0.57</v>
      </c>
    </row>
    <row r="145">
      <c r="A145" s="15">
        <v>144.0</v>
      </c>
      <c r="B145" s="15">
        <v>142.1</v>
      </c>
      <c r="C145" s="30" t="s">
        <v>560</v>
      </c>
      <c r="D145" s="15" t="s">
        <v>34</v>
      </c>
      <c r="E145" s="15" t="s">
        <v>264</v>
      </c>
      <c r="F145" s="15">
        <v>58.0</v>
      </c>
      <c r="G145" s="15">
        <v>27.1</v>
      </c>
      <c r="H145" s="15" t="s">
        <v>561</v>
      </c>
      <c r="I145" s="15" t="s">
        <v>562</v>
      </c>
      <c r="J145" s="15">
        <v>1.3</v>
      </c>
      <c r="K145" s="15">
        <v>13.0</v>
      </c>
      <c r="L145" s="15">
        <v>7.7</v>
      </c>
      <c r="M145" s="15">
        <v>2.0</v>
      </c>
      <c r="N145" s="15">
        <v>0.6</v>
      </c>
      <c r="O145" s="15">
        <v>0.5</v>
      </c>
      <c r="P145" s="15">
        <v>1.5</v>
      </c>
      <c r="Q145" s="15">
        <v>-0.62</v>
      </c>
    </row>
    <row r="146">
      <c r="A146" s="15">
        <v>145.0</v>
      </c>
      <c r="B146" s="15">
        <v>141.7</v>
      </c>
      <c r="C146" s="30" t="s">
        <v>563</v>
      </c>
      <c r="D146" s="15" t="s">
        <v>98</v>
      </c>
      <c r="E146" s="15" t="s">
        <v>35</v>
      </c>
      <c r="F146" s="15">
        <v>72.0</v>
      </c>
      <c r="G146" s="15">
        <v>31.2</v>
      </c>
      <c r="H146" s="15" t="s">
        <v>564</v>
      </c>
      <c r="I146" s="15" t="s">
        <v>565</v>
      </c>
      <c r="J146" s="15">
        <v>1.0</v>
      </c>
      <c r="K146" s="15">
        <v>12.4</v>
      </c>
      <c r="L146" s="15">
        <v>6.8</v>
      </c>
      <c r="M146" s="15">
        <v>3.2</v>
      </c>
      <c r="N146" s="15">
        <v>1.0</v>
      </c>
      <c r="O146" s="15">
        <v>0.6</v>
      </c>
      <c r="P146" s="15">
        <v>2.0</v>
      </c>
      <c r="Q146" s="15">
        <v>-0.66</v>
      </c>
    </row>
    <row r="147">
      <c r="A147" s="15">
        <v>146.0</v>
      </c>
      <c r="B147" s="15">
        <v>137.4</v>
      </c>
      <c r="C147" s="30" t="s">
        <v>566</v>
      </c>
      <c r="D147" s="15" t="s">
        <v>98</v>
      </c>
      <c r="E147" s="15" t="s">
        <v>89</v>
      </c>
      <c r="F147" s="15">
        <v>72.0</v>
      </c>
      <c r="G147" s="15">
        <v>28.7</v>
      </c>
      <c r="H147" s="15" t="s">
        <v>567</v>
      </c>
      <c r="I147" s="15" t="s">
        <v>568</v>
      </c>
      <c r="J147" s="15">
        <v>1.9</v>
      </c>
      <c r="K147" s="15">
        <v>11.9</v>
      </c>
      <c r="L147" s="15">
        <v>4.1</v>
      </c>
      <c r="M147" s="15">
        <v>1.5</v>
      </c>
      <c r="N147" s="15">
        <v>0.9</v>
      </c>
      <c r="O147" s="15">
        <v>0.6</v>
      </c>
      <c r="P147" s="15">
        <v>1.0</v>
      </c>
      <c r="Q147" s="15">
        <v>-0.68</v>
      </c>
    </row>
    <row r="148">
      <c r="A148" s="15">
        <v>147.0</v>
      </c>
      <c r="B148" s="15">
        <v>138.0</v>
      </c>
      <c r="C148" s="30" t="s">
        <v>569</v>
      </c>
      <c r="D148" s="15" t="s">
        <v>74</v>
      </c>
      <c r="E148" s="15" t="s">
        <v>197</v>
      </c>
      <c r="F148" s="15">
        <v>60.0</v>
      </c>
      <c r="G148" s="15">
        <v>22.5</v>
      </c>
      <c r="H148" s="15" t="s">
        <v>570</v>
      </c>
      <c r="I148" s="15" t="s">
        <v>571</v>
      </c>
      <c r="J148" s="15">
        <v>0.0</v>
      </c>
      <c r="K148" s="15">
        <v>11.4</v>
      </c>
      <c r="L148" s="15">
        <v>6.2</v>
      </c>
      <c r="M148" s="15">
        <v>1.5</v>
      </c>
      <c r="N148" s="15">
        <v>0.7</v>
      </c>
      <c r="O148" s="15">
        <v>0.8</v>
      </c>
      <c r="P148" s="15">
        <v>1.1</v>
      </c>
      <c r="Q148" s="15">
        <v>-0.71</v>
      </c>
    </row>
    <row r="149">
      <c r="A149" s="15">
        <v>148.0</v>
      </c>
      <c r="B149" s="15">
        <v>143.1</v>
      </c>
      <c r="C149" s="30" t="s">
        <v>572</v>
      </c>
      <c r="D149" s="15" t="s">
        <v>74</v>
      </c>
      <c r="E149" s="15" t="s">
        <v>312</v>
      </c>
      <c r="F149" s="15">
        <v>55.0</v>
      </c>
      <c r="G149" s="15">
        <v>25.4</v>
      </c>
      <c r="H149" s="15" t="s">
        <v>573</v>
      </c>
      <c r="I149" s="15" t="s">
        <v>574</v>
      </c>
      <c r="J149" s="15">
        <v>0.3</v>
      </c>
      <c r="K149" s="15">
        <v>13.4</v>
      </c>
      <c r="L149" s="15">
        <v>7.2</v>
      </c>
      <c r="M149" s="15">
        <v>1.1</v>
      </c>
      <c r="N149" s="15">
        <v>0.5</v>
      </c>
      <c r="O149" s="15">
        <v>0.8</v>
      </c>
      <c r="P149" s="15">
        <v>1.3</v>
      </c>
      <c r="Q149" s="15">
        <v>-0.72</v>
      </c>
    </row>
    <row r="150">
      <c r="A150" s="15">
        <v>149.0</v>
      </c>
      <c r="B150" s="15">
        <v>140.3</v>
      </c>
      <c r="C150" s="30" t="s">
        <v>575</v>
      </c>
      <c r="D150" s="15" t="s">
        <v>34</v>
      </c>
      <c r="E150" s="15" t="s">
        <v>138</v>
      </c>
      <c r="F150" s="15">
        <v>69.0</v>
      </c>
      <c r="G150" s="15">
        <v>22.4</v>
      </c>
      <c r="H150" s="15" t="s">
        <v>576</v>
      </c>
      <c r="I150" s="15" t="s">
        <v>577</v>
      </c>
      <c r="J150" s="15">
        <v>0.9</v>
      </c>
      <c r="K150" s="15">
        <v>9.6</v>
      </c>
      <c r="L150" s="15">
        <v>5.0</v>
      </c>
      <c r="M150" s="15">
        <v>3.4</v>
      </c>
      <c r="N150" s="15">
        <v>0.8</v>
      </c>
      <c r="O150" s="15">
        <v>0.4</v>
      </c>
      <c r="P150" s="15">
        <v>1.9</v>
      </c>
      <c r="Q150" s="15">
        <v>-0.73</v>
      </c>
    </row>
    <row r="151">
      <c r="A151" s="15">
        <v>150.0</v>
      </c>
      <c r="B151" s="15">
        <v>144.6</v>
      </c>
      <c r="C151" s="30" t="s">
        <v>578</v>
      </c>
      <c r="D151" s="15" t="s">
        <v>182</v>
      </c>
      <c r="E151" s="15" t="s">
        <v>312</v>
      </c>
      <c r="F151" s="15">
        <v>68.0</v>
      </c>
      <c r="G151" s="15">
        <v>30.2</v>
      </c>
      <c r="H151" s="15" t="s">
        <v>579</v>
      </c>
      <c r="I151" s="15" t="s">
        <v>580</v>
      </c>
      <c r="J151" s="15">
        <v>1.3</v>
      </c>
      <c r="K151" s="15">
        <v>11.2</v>
      </c>
      <c r="L151" s="15">
        <v>5.3</v>
      </c>
      <c r="M151" s="15">
        <v>2.3</v>
      </c>
      <c r="N151" s="15">
        <v>1.2</v>
      </c>
      <c r="O151" s="15">
        <v>1.0</v>
      </c>
      <c r="P151" s="15">
        <v>1.8</v>
      </c>
      <c r="Q151" s="15">
        <v>-0.78</v>
      </c>
    </row>
    <row r="152">
      <c r="A152" s="15">
        <v>151.0</v>
      </c>
      <c r="B152" s="15">
        <v>144.2</v>
      </c>
      <c r="C152" s="30" t="s">
        <v>581</v>
      </c>
      <c r="D152" s="15" t="s">
        <v>46</v>
      </c>
      <c r="E152" s="15" t="s">
        <v>103</v>
      </c>
      <c r="F152" s="15">
        <v>65.0</v>
      </c>
      <c r="G152" s="15">
        <v>26.2</v>
      </c>
      <c r="H152" s="15" t="s">
        <v>582</v>
      </c>
      <c r="I152" s="15" t="s">
        <v>583</v>
      </c>
      <c r="J152" s="15">
        <v>1.8</v>
      </c>
      <c r="K152" s="15">
        <v>14.2</v>
      </c>
      <c r="L152" s="15">
        <v>3.9</v>
      </c>
      <c r="M152" s="15">
        <v>4.3</v>
      </c>
      <c r="N152" s="15">
        <v>1.0</v>
      </c>
      <c r="O152" s="15">
        <v>0.2</v>
      </c>
      <c r="P152" s="15">
        <v>2.4</v>
      </c>
      <c r="Q152" s="15">
        <v>-0.81</v>
      </c>
    </row>
    <row r="153">
      <c r="A153" s="15">
        <v>152.0</v>
      </c>
      <c r="B153" s="15">
        <v>149.5</v>
      </c>
      <c r="C153" s="30" t="s">
        <v>584</v>
      </c>
      <c r="D153" s="15" t="s">
        <v>182</v>
      </c>
      <c r="E153" s="15" t="s">
        <v>138</v>
      </c>
      <c r="F153" s="15">
        <v>72.0</v>
      </c>
      <c r="G153" s="15">
        <v>28.5</v>
      </c>
      <c r="H153" s="15" t="s">
        <v>585</v>
      </c>
      <c r="I153" s="15" t="s">
        <v>586</v>
      </c>
      <c r="J153" s="15">
        <v>1.0</v>
      </c>
      <c r="K153" s="15">
        <v>11.5</v>
      </c>
      <c r="L153" s="15">
        <v>4.3</v>
      </c>
      <c r="M153" s="15">
        <v>3.2</v>
      </c>
      <c r="N153" s="15">
        <v>1.0</v>
      </c>
      <c r="O153" s="15">
        <v>0.5</v>
      </c>
      <c r="P153" s="15">
        <v>1.5</v>
      </c>
      <c r="Q153" s="15">
        <v>-0.81</v>
      </c>
    </row>
    <row r="154">
      <c r="A154" s="15">
        <v>153.0</v>
      </c>
      <c r="B154" s="15">
        <v>142.5</v>
      </c>
      <c r="C154" s="30" t="s">
        <v>587</v>
      </c>
      <c r="D154" s="15" t="s">
        <v>182</v>
      </c>
      <c r="E154" s="15" t="s">
        <v>81</v>
      </c>
      <c r="F154" s="15">
        <v>65.0</v>
      </c>
      <c r="G154" s="15">
        <v>30.0</v>
      </c>
      <c r="H154" s="15" t="s">
        <v>588</v>
      </c>
      <c r="I154" s="15" t="s">
        <v>589</v>
      </c>
      <c r="J154" s="15">
        <v>1.8</v>
      </c>
      <c r="K154" s="15">
        <v>16.6</v>
      </c>
      <c r="L154" s="15">
        <v>5.0</v>
      </c>
      <c r="M154" s="15">
        <v>1.3</v>
      </c>
      <c r="N154" s="15">
        <v>1.2</v>
      </c>
      <c r="O154" s="15">
        <v>0.6</v>
      </c>
      <c r="P154" s="15">
        <v>1.3</v>
      </c>
      <c r="Q154" s="15">
        <v>-0.82</v>
      </c>
    </row>
    <row r="155">
      <c r="A155" s="15">
        <v>154.0</v>
      </c>
      <c r="B155" s="15">
        <v>145.5</v>
      </c>
      <c r="C155" s="30" t="s">
        <v>590</v>
      </c>
      <c r="D155" s="15" t="s">
        <v>34</v>
      </c>
      <c r="E155" s="15" t="s">
        <v>160</v>
      </c>
      <c r="F155" s="15">
        <v>67.0</v>
      </c>
      <c r="G155" s="15">
        <v>25.2</v>
      </c>
      <c r="H155" s="15" t="s">
        <v>591</v>
      </c>
      <c r="I155" s="15" t="s">
        <v>592</v>
      </c>
      <c r="J155" s="15">
        <v>0.0</v>
      </c>
      <c r="K155" s="15">
        <v>9.8</v>
      </c>
      <c r="L155" s="15">
        <v>8.0</v>
      </c>
      <c r="M155" s="15">
        <v>0.8</v>
      </c>
      <c r="N155" s="15">
        <v>0.3</v>
      </c>
      <c r="O155" s="15">
        <v>1.1</v>
      </c>
      <c r="P155" s="15">
        <v>1.1</v>
      </c>
      <c r="Q155" s="15">
        <v>-0.84</v>
      </c>
    </row>
    <row r="156">
      <c r="A156" s="15">
        <v>155.0</v>
      </c>
      <c r="B156" s="15">
        <v>144.2</v>
      </c>
      <c r="C156" s="30" t="s">
        <v>593</v>
      </c>
      <c r="D156" s="15" t="s">
        <v>594</v>
      </c>
      <c r="E156" s="15" t="s">
        <v>316</v>
      </c>
      <c r="F156" s="15">
        <v>67.0</v>
      </c>
      <c r="G156" s="15">
        <v>24.2</v>
      </c>
      <c r="H156" s="15" t="s">
        <v>595</v>
      </c>
      <c r="I156" s="15" t="s">
        <v>596</v>
      </c>
      <c r="J156" s="15">
        <v>0.9</v>
      </c>
      <c r="K156" s="15">
        <v>9.7</v>
      </c>
      <c r="L156" s="15">
        <v>5.8</v>
      </c>
      <c r="M156" s="15">
        <v>1.3</v>
      </c>
      <c r="N156" s="15">
        <v>0.6</v>
      </c>
      <c r="O156" s="15">
        <v>1.1</v>
      </c>
      <c r="P156" s="15">
        <v>1.1</v>
      </c>
      <c r="Q156" s="15">
        <v>-0.86</v>
      </c>
    </row>
    <row r="157">
      <c r="A157" s="15">
        <v>156.0</v>
      </c>
      <c r="B157" s="15">
        <v>140.1</v>
      </c>
      <c r="C157" s="30" t="s">
        <v>597</v>
      </c>
      <c r="D157" s="15" t="s">
        <v>34</v>
      </c>
      <c r="E157" s="15" t="s">
        <v>164</v>
      </c>
      <c r="F157" s="15">
        <v>48.0</v>
      </c>
      <c r="G157" s="15">
        <v>26.0</v>
      </c>
      <c r="H157" s="15" t="s">
        <v>598</v>
      </c>
      <c r="I157" s="15" t="s">
        <v>599</v>
      </c>
      <c r="J157" s="15">
        <v>0.0</v>
      </c>
      <c r="K157" s="15">
        <v>6.8</v>
      </c>
      <c r="L157" s="15">
        <v>9.1</v>
      </c>
      <c r="M157" s="15">
        <v>0.8</v>
      </c>
      <c r="N157" s="15">
        <v>1.0</v>
      </c>
      <c r="O157" s="15">
        <v>1.6</v>
      </c>
      <c r="P157" s="15">
        <v>0.7</v>
      </c>
      <c r="Q157" s="15">
        <v>-0.88</v>
      </c>
    </row>
    <row r="158">
      <c r="A158" s="15">
        <v>157.0</v>
      </c>
      <c r="B158" s="15">
        <v>143.3</v>
      </c>
      <c r="C158" s="30" t="s">
        <v>600</v>
      </c>
      <c r="D158" s="15" t="s">
        <v>34</v>
      </c>
      <c r="E158" s="15" t="s">
        <v>287</v>
      </c>
      <c r="F158" s="15">
        <v>67.0</v>
      </c>
      <c r="G158" s="15">
        <v>22.8</v>
      </c>
      <c r="H158" s="15" t="s">
        <v>601</v>
      </c>
      <c r="I158" s="15" t="s">
        <v>602</v>
      </c>
      <c r="J158" s="15">
        <v>0.3</v>
      </c>
      <c r="K158" s="15">
        <v>10.2</v>
      </c>
      <c r="L158" s="15">
        <v>5.6</v>
      </c>
      <c r="M158" s="15">
        <v>1.2</v>
      </c>
      <c r="N158" s="15">
        <v>0.4</v>
      </c>
      <c r="O158" s="15">
        <v>1.9</v>
      </c>
      <c r="P158" s="15">
        <v>0.6</v>
      </c>
      <c r="Q158" s="15">
        <v>-0.9</v>
      </c>
    </row>
    <row r="159">
      <c r="A159" s="15">
        <v>158.0</v>
      </c>
      <c r="B159" s="15">
        <v>144.0</v>
      </c>
      <c r="C159" s="30" t="s">
        <v>603</v>
      </c>
      <c r="D159" s="15" t="s">
        <v>98</v>
      </c>
      <c r="E159" s="15" t="s">
        <v>204</v>
      </c>
      <c r="F159" s="15">
        <v>67.0</v>
      </c>
      <c r="G159" s="15">
        <v>22.4</v>
      </c>
      <c r="H159" s="15" t="s">
        <v>604</v>
      </c>
      <c r="I159" s="15" t="s">
        <v>605</v>
      </c>
      <c r="J159" s="15">
        <v>0.8</v>
      </c>
      <c r="K159" s="15">
        <v>9.8</v>
      </c>
      <c r="L159" s="15">
        <v>7.1</v>
      </c>
      <c r="M159" s="15">
        <v>1.2</v>
      </c>
      <c r="N159" s="15">
        <v>1.3</v>
      </c>
      <c r="O159" s="15">
        <v>0.7</v>
      </c>
      <c r="P159" s="15">
        <v>1.2</v>
      </c>
      <c r="Q159" s="15">
        <v>-0.91</v>
      </c>
    </row>
    <row r="160">
      <c r="A160" s="15">
        <v>159.0</v>
      </c>
      <c r="B160" s="15">
        <v>116.7</v>
      </c>
      <c r="C160" s="30" t="s">
        <v>606</v>
      </c>
      <c r="D160" s="15" t="s">
        <v>74</v>
      </c>
      <c r="E160" s="15" t="s">
        <v>42</v>
      </c>
      <c r="F160" s="15">
        <v>72.0</v>
      </c>
      <c r="G160" s="15">
        <v>31.0</v>
      </c>
      <c r="H160" s="15" t="s">
        <v>607</v>
      </c>
      <c r="I160" s="15" t="s">
        <v>608</v>
      </c>
      <c r="J160" s="15">
        <v>0.7</v>
      </c>
      <c r="K160" s="15">
        <v>15.3</v>
      </c>
      <c r="L160" s="15">
        <v>6.6</v>
      </c>
      <c r="M160" s="15">
        <v>3.3</v>
      </c>
      <c r="N160" s="15">
        <v>0.8</v>
      </c>
      <c r="O160" s="15">
        <v>0.7</v>
      </c>
      <c r="P160" s="15">
        <v>1.5</v>
      </c>
      <c r="Q160" s="15">
        <v>-0.91</v>
      </c>
    </row>
    <row r="161">
      <c r="A161" s="15">
        <v>160.0</v>
      </c>
      <c r="B161" s="15">
        <v>141.5</v>
      </c>
      <c r="C161" s="30" t="s">
        <v>609</v>
      </c>
      <c r="D161" s="15" t="s">
        <v>46</v>
      </c>
      <c r="E161" s="15" t="s">
        <v>35</v>
      </c>
      <c r="F161" s="15">
        <v>74.0</v>
      </c>
      <c r="G161" s="15">
        <v>24.4</v>
      </c>
      <c r="H161" s="15" t="s">
        <v>610</v>
      </c>
      <c r="I161" s="15" t="s">
        <v>611</v>
      </c>
      <c r="J161" s="15">
        <v>0.7</v>
      </c>
      <c r="K161" s="15">
        <v>9.8</v>
      </c>
      <c r="L161" s="15">
        <v>3.2</v>
      </c>
      <c r="M161" s="15">
        <v>5.5</v>
      </c>
      <c r="N161" s="15">
        <v>1.0</v>
      </c>
      <c r="O161" s="15">
        <v>0.1</v>
      </c>
      <c r="P161" s="15">
        <v>1.4</v>
      </c>
      <c r="Q161" s="15">
        <v>-0.93</v>
      </c>
    </row>
    <row r="162">
      <c r="A162" s="15">
        <v>161.0</v>
      </c>
      <c r="B162" s="15">
        <v>103.5</v>
      </c>
      <c r="C162" s="30" t="s">
        <v>612</v>
      </c>
      <c r="D162" s="15" t="s">
        <v>34</v>
      </c>
      <c r="E162" s="15" t="s">
        <v>197</v>
      </c>
      <c r="F162" s="15">
        <v>68.0</v>
      </c>
      <c r="G162" s="15">
        <v>26.2</v>
      </c>
      <c r="H162" s="15" t="s">
        <v>613</v>
      </c>
      <c r="I162" s="15" t="s">
        <v>614</v>
      </c>
      <c r="J162" s="15">
        <v>0.0</v>
      </c>
      <c r="K162" s="15">
        <v>10.2</v>
      </c>
      <c r="L162" s="15">
        <v>7.2</v>
      </c>
      <c r="M162" s="15">
        <v>1.3</v>
      </c>
      <c r="N162" s="15">
        <v>0.3</v>
      </c>
      <c r="O162" s="15">
        <v>1.3</v>
      </c>
      <c r="P162" s="15">
        <v>1.0</v>
      </c>
      <c r="Q162" s="15">
        <v>-1.02</v>
      </c>
    </row>
    <row r="163">
      <c r="A163" s="15">
        <v>162.0</v>
      </c>
      <c r="B163" s="15">
        <v>130.8</v>
      </c>
      <c r="C163" s="30" t="s">
        <v>615</v>
      </c>
      <c r="D163" s="15" t="s">
        <v>46</v>
      </c>
      <c r="E163" s="15" t="s">
        <v>287</v>
      </c>
      <c r="F163" s="15">
        <v>67.0</v>
      </c>
      <c r="G163" s="15">
        <v>30.1</v>
      </c>
      <c r="H163" s="15" t="s">
        <v>616</v>
      </c>
      <c r="I163" s="15" t="s">
        <v>617</v>
      </c>
      <c r="J163" s="15">
        <v>1.5</v>
      </c>
      <c r="K163" s="15">
        <v>15.7</v>
      </c>
      <c r="L163" s="15">
        <v>3.3</v>
      </c>
      <c r="M163" s="15">
        <v>5.8</v>
      </c>
      <c r="N163" s="15">
        <v>1.0</v>
      </c>
      <c r="O163" s="15">
        <v>0.3</v>
      </c>
      <c r="P163" s="15">
        <v>3.3</v>
      </c>
      <c r="Q163" s="15">
        <v>-1.02</v>
      </c>
    </row>
    <row r="164">
      <c r="A164" s="15">
        <v>163.0</v>
      </c>
      <c r="B164" s="15">
        <v>140.2</v>
      </c>
      <c r="C164" s="30" t="s">
        <v>618</v>
      </c>
      <c r="D164" s="15" t="s">
        <v>46</v>
      </c>
      <c r="E164" s="15" t="s">
        <v>81</v>
      </c>
      <c r="F164" s="15">
        <v>58.0</v>
      </c>
      <c r="G164" s="15">
        <v>27.7</v>
      </c>
      <c r="H164" s="15" t="s">
        <v>619</v>
      </c>
      <c r="I164" s="15" t="s">
        <v>620</v>
      </c>
      <c r="J164" s="15">
        <v>1.7</v>
      </c>
      <c r="K164" s="15">
        <v>9.1</v>
      </c>
      <c r="L164" s="15">
        <v>3.4</v>
      </c>
      <c r="M164" s="15">
        <v>4.4</v>
      </c>
      <c r="N164" s="15">
        <v>1.0</v>
      </c>
      <c r="O164" s="15">
        <v>0.3</v>
      </c>
      <c r="P164" s="15">
        <v>1.5</v>
      </c>
      <c r="Q164" s="15">
        <v>-1.05</v>
      </c>
    </row>
    <row r="165">
      <c r="A165" s="15">
        <v>164.0</v>
      </c>
      <c r="B165" s="15">
        <v>144.4</v>
      </c>
      <c r="C165" s="30" t="s">
        <v>621</v>
      </c>
      <c r="D165" s="15" t="s">
        <v>67</v>
      </c>
      <c r="E165" s="15" t="s">
        <v>94</v>
      </c>
      <c r="F165" s="15">
        <v>68.0</v>
      </c>
      <c r="G165" s="15">
        <v>27.4</v>
      </c>
      <c r="H165" s="15" t="s">
        <v>622</v>
      </c>
      <c r="I165" s="15" t="s">
        <v>623</v>
      </c>
      <c r="J165" s="15">
        <v>0.8</v>
      </c>
      <c r="K165" s="15">
        <v>7.1</v>
      </c>
      <c r="L165" s="15">
        <v>5.0</v>
      </c>
      <c r="M165" s="15">
        <v>3.5</v>
      </c>
      <c r="N165" s="15">
        <v>1.5</v>
      </c>
      <c r="O165" s="15">
        <v>0.4</v>
      </c>
      <c r="P165" s="15">
        <v>1.4</v>
      </c>
      <c r="Q165" s="15">
        <v>-1.05</v>
      </c>
    </row>
    <row r="166">
      <c r="A166" s="15">
        <v>165.0</v>
      </c>
      <c r="B166" s="15">
        <v>140.6</v>
      </c>
      <c r="C166" s="30" t="s">
        <v>624</v>
      </c>
      <c r="D166" s="15" t="s">
        <v>67</v>
      </c>
      <c r="E166" s="15" t="s">
        <v>89</v>
      </c>
      <c r="F166" s="15">
        <v>72.0</v>
      </c>
      <c r="G166" s="15">
        <v>30.2</v>
      </c>
      <c r="H166" s="15" t="s">
        <v>625</v>
      </c>
      <c r="I166" s="15" t="s">
        <v>626</v>
      </c>
      <c r="J166" s="15">
        <v>1.2</v>
      </c>
      <c r="K166" s="15">
        <v>10.7</v>
      </c>
      <c r="L166" s="15">
        <v>2.7</v>
      </c>
      <c r="M166" s="15">
        <v>5.0</v>
      </c>
      <c r="N166" s="15">
        <v>1.1</v>
      </c>
      <c r="O166" s="15">
        <v>0.2</v>
      </c>
      <c r="P166" s="15">
        <v>1.8</v>
      </c>
      <c r="Q166" s="15">
        <v>-1.1</v>
      </c>
    </row>
    <row r="167">
      <c r="A167" s="15">
        <v>166.0</v>
      </c>
      <c r="B167" s="15">
        <v>141.2</v>
      </c>
      <c r="C167" s="30" t="s">
        <v>627</v>
      </c>
      <c r="D167" s="15" t="s">
        <v>98</v>
      </c>
      <c r="E167" s="15" t="s">
        <v>183</v>
      </c>
      <c r="F167" s="15">
        <v>74.0</v>
      </c>
      <c r="G167" s="15">
        <v>29.8</v>
      </c>
      <c r="H167" s="15" t="s">
        <v>628</v>
      </c>
      <c r="I167" s="15" t="s">
        <v>629</v>
      </c>
      <c r="J167" s="15">
        <v>1.3</v>
      </c>
      <c r="K167" s="15">
        <v>11.4</v>
      </c>
      <c r="L167" s="15">
        <v>3.5</v>
      </c>
      <c r="M167" s="15">
        <v>1.7</v>
      </c>
      <c r="N167" s="15">
        <v>0.9</v>
      </c>
      <c r="O167" s="15">
        <v>0.8</v>
      </c>
      <c r="P167" s="15">
        <v>1.3</v>
      </c>
      <c r="Q167" s="15">
        <v>-1.1</v>
      </c>
    </row>
    <row r="168">
      <c r="A168" s="15">
        <v>167.0</v>
      </c>
      <c r="B168" s="15">
        <v>147.0</v>
      </c>
      <c r="C168" s="30" t="s">
        <v>630</v>
      </c>
      <c r="D168" s="15" t="s">
        <v>49</v>
      </c>
      <c r="E168" s="15" t="s">
        <v>271</v>
      </c>
      <c r="F168" s="15">
        <v>68.0</v>
      </c>
      <c r="G168" s="15">
        <v>28.3</v>
      </c>
      <c r="H168" s="15" t="s">
        <v>604</v>
      </c>
      <c r="I168" s="15" t="s">
        <v>631</v>
      </c>
      <c r="J168" s="15">
        <v>1.4</v>
      </c>
      <c r="K168" s="15">
        <v>10.3</v>
      </c>
      <c r="L168" s="15">
        <v>4.0</v>
      </c>
      <c r="M168" s="15">
        <v>1.4</v>
      </c>
      <c r="N168" s="15">
        <v>0.9</v>
      </c>
      <c r="O168" s="15">
        <v>0.8</v>
      </c>
      <c r="P168" s="15">
        <v>1.3</v>
      </c>
      <c r="Q168" s="15">
        <v>-1.11</v>
      </c>
    </row>
    <row r="169">
      <c r="A169" s="15">
        <v>168.0</v>
      </c>
      <c r="B169" s="15">
        <v>146.9</v>
      </c>
      <c r="C169" s="30" t="s">
        <v>632</v>
      </c>
      <c r="D169" s="15" t="s">
        <v>49</v>
      </c>
      <c r="E169" s="15" t="s">
        <v>237</v>
      </c>
      <c r="F169" s="15">
        <v>50.0</v>
      </c>
      <c r="G169" s="15">
        <v>19.2</v>
      </c>
      <c r="H169" s="15" t="s">
        <v>633</v>
      </c>
      <c r="I169" s="15" t="s">
        <v>634</v>
      </c>
      <c r="J169" s="15">
        <v>1.1</v>
      </c>
      <c r="K169" s="15">
        <v>9.7</v>
      </c>
      <c r="L169" s="15">
        <v>4.6</v>
      </c>
      <c r="M169" s="15">
        <v>1.5</v>
      </c>
      <c r="N169" s="15">
        <v>0.7</v>
      </c>
      <c r="O169" s="15">
        <v>1.2</v>
      </c>
      <c r="P169" s="15">
        <v>1.4</v>
      </c>
      <c r="Q169" s="15">
        <v>-1.13</v>
      </c>
    </row>
    <row r="170">
      <c r="A170" s="15">
        <v>169.0</v>
      </c>
      <c r="B170" s="15">
        <v>144.8</v>
      </c>
      <c r="C170" s="30" t="s">
        <v>635</v>
      </c>
      <c r="D170" s="15" t="s">
        <v>182</v>
      </c>
      <c r="E170" s="15" t="s">
        <v>121</v>
      </c>
      <c r="F170" s="15">
        <v>72.0</v>
      </c>
      <c r="G170" s="15">
        <v>29.4</v>
      </c>
      <c r="H170" s="15" t="s">
        <v>636</v>
      </c>
      <c r="I170" s="15" t="s">
        <v>637</v>
      </c>
      <c r="J170" s="15">
        <v>2.4</v>
      </c>
      <c r="K170" s="15">
        <v>11.7</v>
      </c>
      <c r="L170" s="15">
        <v>3.9</v>
      </c>
      <c r="M170" s="15">
        <v>3.4</v>
      </c>
      <c r="N170" s="15">
        <v>0.8</v>
      </c>
      <c r="O170" s="15">
        <v>0.3</v>
      </c>
      <c r="P170" s="15">
        <v>1.2</v>
      </c>
      <c r="Q170" s="15">
        <v>-1.17</v>
      </c>
    </row>
    <row r="171">
      <c r="A171" s="15">
        <v>170.0</v>
      </c>
      <c r="B171" s="15">
        <v>143.4</v>
      </c>
      <c r="C171" s="30" t="s">
        <v>638</v>
      </c>
      <c r="D171" s="15" t="s">
        <v>46</v>
      </c>
      <c r="E171" s="15" t="s">
        <v>89</v>
      </c>
      <c r="F171" s="15">
        <v>70.0</v>
      </c>
      <c r="G171" s="15">
        <v>18.6</v>
      </c>
      <c r="H171" s="15" t="s">
        <v>639</v>
      </c>
      <c r="I171" s="15" t="s">
        <v>640</v>
      </c>
      <c r="J171" s="15">
        <v>0.3</v>
      </c>
      <c r="K171" s="15">
        <v>9.2</v>
      </c>
      <c r="L171" s="15">
        <v>2.8</v>
      </c>
      <c r="M171" s="15">
        <v>5.3</v>
      </c>
      <c r="N171" s="15">
        <v>1.0</v>
      </c>
      <c r="O171" s="15">
        <v>0.1</v>
      </c>
      <c r="P171" s="15">
        <v>1.7</v>
      </c>
      <c r="Q171" s="15">
        <v>-1.17</v>
      </c>
    </row>
    <row r="172">
      <c r="A172" s="15">
        <v>171.0</v>
      </c>
      <c r="B172" s="168"/>
      <c r="C172" s="30" t="s">
        <v>641</v>
      </c>
      <c r="D172" s="15" t="s">
        <v>67</v>
      </c>
      <c r="E172" s="15" t="s">
        <v>164</v>
      </c>
      <c r="F172" s="15">
        <v>68.0</v>
      </c>
      <c r="G172" s="15">
        <v>24.5</v>
      </c>
      <c r="H172" s="15" t="s">
        <v>642</v>
      </c>
      <c r="I172" s="15" t="s">
        <v>643</v>
      </c>
      <c r="J172" s="15">
        <v>2.1</v>
      </c>
      <c r="K172" s="15">
        <v>10.8</v>
      </c>
      <c r="L172" s="15">
        <v>2.1</v>
      </c>
      <c r="M172" s="15">
        <v>2.6</v>
      </c>
      <c r="N172" s="15">
        <v>1.2</v>
      </c>
      <c r="O172" s="15">
        <v>0.2</v>
      </c>
      <c r="P172" s="15">
        <v>0.8</v>
      </c>
      <c r="Q172" s="15">
        <v>-1.19</v>
      </c>
    </row>
    <row r="173">
      <c r="A173" s="15">
        <v>172.0</v>
      </c>
      <c r="B173" s="15">
        <v>123.8</v>
      </c>
      <c r="C173" s="30" t="s">
        <v>644</v>
      </c>
      <c r="D173" s="15" t="s">
        <v>98</v>
      </c>
      <c r="E173" s="15" t="s">
        <v>287</v>
      </c>
      <c r="F173" s="15">
        <v>73.0</v>
      </c>
      <c r="G173" s="15">
        <v>27.4</v>
      </c>
      <c r="H173" s="15" t="s">
        <v>645</v>
      </c>
      <c r="I173" s="15" t="s">
        <v>646</v>
      </c>
      <c r="J173" s="15">
        <v>1.0</v>
      </c>
      <c r="K173" s="15">
        <v>11.9</v>
      </c>
      <c r="L173" s="15">
        <v>6.5</v>
      </c>
      <c r="M173" s="15">
        <v>3.3</v>
      </c>
      <c r="N173" s="15">
        <v>0.8</v>
      </c>
      <c r="O173" s="15">
        <v>0.4</v>
      </c>
      <c r="P173" s="15">
        <v>1.9</v>
      </c>
      <c r="Q173" s="15">
        <v>-1.19</v>
      </c>
    </row>
    <row r="174">
      <c r="A174" s="15">
        <v>173.0</v>
      </c>
      <c r="B174" s="15">
        <v>140.6</v>
      </c>
      <c r="C174" s="30" t="s">
        <v>647</v>
      </c>
      <c r="D174" s="15" t="s">
        <v>182</v>
      </c>
      <c r="E174" s="15" t="s">
        <v>287</v>
      </c>
      <c r="F174" s="15">
        <v>60.0</v>
      </c>
      <c r="G174" s="15">
        <v>31.6</v>
      </c>
      <c r="H174" s="15" t="s">
        <v>648</v>
      </c>
      <c r="I174" s="15" t="s">
        <v>649</v>
      </c>
      <c r="J174" s="15">
        <v>1.9</v>
      </c>
      <c r="K174" s="15">
        <v>15.9</v>
      </c>
      <c r="L174" s="15">
        <v>4.6</v>
      </c>
      <c r="M174" s="15">
        <v>2.2</v>
      </c>
      <c r="N174" s="15">
        <v>0.8</v>
      </c>
      <c r="O174" s="15">
        <v>0.4</v>
      </c>
      <c r="P174" s="15">
        <v>1.8</v>
      </c>
      <c r="Q174" s="15">
        <v>-1.2</v>
      </c>
    </row>
    <row r="175">
      <c r="A175" s="15">
        <v>174.0</v>
      </c>
      <c r="B175" s="15">
        <v>138.5</v>
      </c>
      <c r="C175" s="30" t="s">
        <v>650</v>
      </c>
      <c r="D175" s="15" t="s">
        <v>46</v>
      </c>
      <c r="E175" s="15" t="s">
        <v>316</v>
      </c>
      <c r="F175" s="15">
        <v>28.0</v>
      </c>
      <c r="G175" s="15">
        <v>24.9</v>
      </c>
      <c r="H175" s="15" t="s">
        <v>651</v>
      </c>
      <c r="I175" s="15" t="s">
        <v>652</v>
      </c>
      <c r="J175" s="15">
        <v>0.0</v>
      </c>
      <c r="K175" s="15">
        <v>6.6</v>
      </c>
      <c r="L175" s="15">
        <v>6.6</v>
      </c>
      <c r="M175" s="15">
        <v>5.9</v>
      </c>
      <c r="N175" s="15">
        <v>1.1</v>
      </c>
      <c r="O175" s="15">
        <v>0.6</v>
      </c>
      <c r="P175" s="15">
        <v>2.1</v>
      </c>
      <c r="Q175" s="15">
        <v>-1.22</v>
      </c>
    </row>
    <row r="176">
      <c r="A176" s="15">
        <v>175.0</v>
      </c>
      <c r="B176" s="15">
        <v>143.7</v>
      </c>
      <c r="C176" s="30" t="s">
        <v>653</v>
      </c>
      <c r="D176" s="15" t="s">
        <v>98</v>
      </c>
      <c r="E176" s="15" t="s">
        <v>264</v>
      </c>
      <c r="F176" s="15">
        <v>55.0</v>
      </c>
      <c r="G176" s="15">
        <v>17.2</v>
      </c>
      <c r="H176" s="15" t="s">
        <v>654</v>
      </c>
      <c r="I176" s="15" t="s">
        <v>655</v>
      </c>
      <c r="J176" s="15">
        <v>0.8</v>
      </c>
      <c r="K176" s="15">
        <v>7.5</v>
      </c>
      <c r="L176" s="15">
        <v>5.1</v>
      </c>
      <c r="M176" s="15">
        <v>0.6</v>
      </c>
      <c r="N176" s="15">
        <v>1.0</v>
      </c>
      <c r="O176" s="15">
        <v>1.2</v>
      </c>
      <c r="P176" s="15">
        <v>0.5</v>
      </c>
      <c r="Q176" s="15">
        <v>-1.27</v>
      </c>
    </row>
    <row r="177">
      <c r="A177" s="15">
        <v>176.0</v>
      </c>
      <c r="B177" s="15">
        <v>133.6</v>
      </c>
      <c r="C177" s="30" t="s">
        <v>656</v>
      </c>
      <c r="D177" s="15" t="s">
        <v>48</v>
      </c>
      <c r="E177" s="15" t="s">
        <v>193</v>
      </c>
      <c r="F177" s="15">
        <v>73.0</v>
      </c>
      <c r="G177" s="15">
        <v>28.0</v>
      </c>
      <c r="H177" s="15" t="s">
        <v>657</v>
      </c>
      <c r="I177" s="15" t="s">
        <v>658</v>
      </c>
      <c r="J177" s="15">
        <v>0.9</v>
      </c>
      <c r="K177" s="15">
        <v>11.9</v>
      </c>
      <c r="L177" s="15">
        <v>3.8</v>
      </c>
      <c r="M177" s="15">
        <v>2.6</v>
      </c>
      <c r="N177" s="15">
        <v>1.0</v>
      </c>
      <c r="O177" s="15">
        <v>0.3</v>
      </c>
      <c r="P177" s="15">
        <v>1.5</v>
      </c>
      <c r="Q177" s="15">
        <v>-1.36</v>
      </c>
    </row>
    <row r="178">
      <c r="A178" s="15">
        <v>177.0</v>
      </c>
      <c r="B178" s="168"/>
      <c r="C178" s="30" t="s">
        <v>659</v>
      </c>
      <c r="D178" s="15" t="s">
        <v>182</v>
      </c>
      <c r="E178" s="15" t="s">
        <v>168</v>
      </c>
      <c r="F178" s="15">
        <v>68.0</v>
      </c>
      <c r="G178" s="15">
        <v>24.8</v>
      </c>
      <c r="H178" s="15" t="s">
        <v>660</v>
      </c>
      <c r="I178" s="15" t="s">
        <v>661</v>
      </c>
      <c r="J178" s="15">
        <v>2.2</v>
      </c>
      <c r="K178" s="15">
        <v>12.0</v>
      </c>
      <c r="L178" s="15">
        <v>3.2</v>
      </c>
      <c r="M178" s="15">
        <v>2.6</v>
      </c>
      <c r="N178" s="15">
        <v>0.8</v>
      </c>
      <c r="O178" s="15">
        <v>0.3</v>
      </c>
      <c r="P178" s="15">
        <v>1.0</v>
      </c>
      <c r="Q178" s="15">
        <v>-1.36</v>
      </c>
    </row>
    <row r="179">
      <c r="A179" s="15">
        <v>178.0</v>
      </c>
      <c r="B179" s="168"/>
      <c r="C179" s="30" t="s">
        <v>662</v>
      </c>
      <c r="D179" s="15" t="s">
        <v>46</v>
      </c>
      <c r="E179" s="15" t="s">
        <v>271</v>
      </c>
      <c r="F179" s="15">
        <v>44.0</v>
      </c>
      <c r="G179" s="15">
        <v>19.8</v>
      </c>
      <c r="H179" s="15" t="s">
        <v>663</v>
      </c>
      <c r="I179" s="15" t="s">
        <v>664</v>
      </c>
      <c r="J179" s="15">
        <v>1.8</v>
      </c>
      <c r="K179" s="15">
        <v>7.6</v>
      </c>
      <c r="L179" s="15">
        <v>3.2</v>
      </c>
      <c r="M179" s="15">
        <v>3.5</v>
      </c>
      <c r="N179" s="15">
        <v>1.1</v>
      </c>
      <c r="O179" s="15">
        <v>0.5</v>
      </c>
      <c r="P179" s="15">
        <v>1.4</v>
      </c>
      <c r="Q179" s="15">
        <v>-1.37</v>
      </c>
    </row>
    <row r="180">
      <c r="A180" s="15">
        <v>179.0</v>
      </c>
      <c r="B180" s="15">
        <v>146.7</v>
      </c>
      <c r="C180" s="30" t="s">
        <v>665</v>
      </c>
      <c r="D180" s="15" t="s">
        <v>666</v>
      </c>
      <c r="E180" s="15" t="s">
        <v>197</v>
      </c>
      <c r="F180" s="15">
        <v>58.0</v>
      </c>
      <c r="G180" s="15">
        <v>24.0</v>
      </c>
      <c r="H180" s="15" t="s">
        <v>667</v>
      </c>
      <c r="I180" s="15" t="s">
        <v>668</v>
      </c>
      <c r="J180" s="15">
        <v>1.3</v>
      </c>
      <c r="K180" s="15">
        <v>9.0</v>
      </c>
      <c r="L180" s="15">
        <v>4.8</v>
      </c>
      <c r="M180" s="15">
        <v>2.8</v>
      </c>
      <c r="N180" s="15">
        <v>0.8</v>
      </c>
      <c r="O180" s="15">
        <v>0.6</v>
      </c>
      <c r="P180" s="15">
        <v>1.5</v>
      </c>
      <c r="Q180" s="15">
        <v>-1.38</v>
      </c>
    </row>
    <row r="181">
      <c r="A181" s="15">
        <v>180.0</v>
      </c>
      <c r="B181" s="15">
        <v>143.9</v>
      </c>
      <c r="C181" s="30" t="s">
        <v>669</v>
      </c>
      <c r="D181" s="15" t="s">
        <v>67</v>
      </c>
      <c r="E181" s="15" t="s">
        <v>85</v>
      </c>
      <c r="F181" s="15">
        <v>70.0</v>
      </c>
      <c r="G181" s="15">
        <v>30.0</v>
      </c>
      <c r="H181" s="15" t="s">
        <v>670</v>
      </c>
      <c r="I181" s="15" t="s">
        <v>671</v>
      </c>
      <c r="J181" s="15">
        <v>2.4</v>
      </c>
      <c r="K181" s="15">
        <v>14.5</v>
      </c>
      <c r="L181" s="15">
        <v>2.5</v>
      </c>
      <c r="M181" s="15">
        <v>1.6</v>
      </c>
      <c r="N181" s="15">
        <v>1.2</v>
      </c>
      <c r="O181" s="15">
        <v>0.2</v>
      </c>
      <c r="P181" s="15">
        <v>0.7</v>
      </c>
      <c r="Q181" s="15">
        <v>-1.4</v>
      </c>
    </row>
    <row r="182">
      <c r="A182" s="15">
        <v>181.0</v>
      </c>
      <c r="B182" s="15">
        <v>143.3</v>
      </c>
      <c r="C182" s="30" t="s">
        <v>672</v>
      </c>
      <c r="D182" s="15" t="s">
        <v>137</v>
      </c>
      <c r="E182" s="15" t="s">
        <v>35</v>
      </c>
      <c r="F182" s="15">
        <v>67.0</v>
      </c>
      <c r="G182" s="15">
        <v>27.5</v>
      </c>
      <c r="H182" s="15" t="s">
        <v>673</v>
      </c>
      <c r="I182" s="15" t="s">
        <v>674</v>
      </c>
      <c r="J182" s="15">
        <v>1.8</v>
      </c>
      <c r="K182" s="15">
        <v>16.7</v>
      </c>
      <c r="L182" s="15">
        <v>4.7</v>
      </c>
      <c r="M182" s="15">
        <v>2.6</v>
      </c>
      <c r="N182" s="15">
        <v>0.7</v>
      </c>
      <c r="O182" s="15">
        <v>0.2</v>
      </c>
      <c r="P182" s="15">
        <v>1.6</v>
      </c>
      <c r="Q182" s="15">
        <v>-1.43</v>
      </c>
    </row>
    <row r="183">
      <c r="A183" s="15">
        <v>182.0</v>
      </c>
      <c r="B183" s="15">
        <v>142.5</v>
      </c>
      <c r="C183" s="30" t="s">
        <v>675</v>
      </c>
      <c r="D183" s="15" t="s">
        <v>182</v>
      </c>
      <c r="E183" s="15" t="s">
        <v>42</v>
      </c>
      <c r="F183" s="15">
        <v>79.0</v>
      </c>
      <c r="G183" s="15">
        <v>30.2</v>
      </c>
      <c r="H183" s="15" t="s">
        <v>676</v>
      </c>
      <c r="I183" s="15" t="s">
        <v>677</v>
      </c>
      <c r="J183" s="15">
        <v>1.1</v>
      </c>
      <c r="K183" s="15">
        <v>11.0</v>
      </c>
      <c r="L183" s="15">
        <v>5.5</v>
      </c>
      <c r="M183" s="15">
        <v>2.2</v>
      </c>
      <c r="N183" s="15">
        <v>0.9</v>
      </c>
      <c r="O183" s="15">
        <v>0.6</v>
      </c>
      <c r="P183" s="15">
        <v>1.0</v>
      </c>
      <c r="Q183" s="15">
        <v>-1.44</v>
      </c>
    </row>
    <row r="184">
      <c r="A184" s="15">
        <v>183.0</v>
      </c>
      <c r="B184" s="15">
        <v>139.0</v>
      </c>
      <c r="C184" s="30" t="s">
        <v>678</v>
      </c>
      <c r="D184" s="15" t="s">
        <v>48</v>
      </c>
      <c r="E184" s="15" t="s">
        <v>94</v>
      </c>
      <c r="F184" s="15">
        <v>68.0</v>
      </c>
      <c r="G184" s="15">
        <v>30.4</v>
      </c>
      <c r="H184" s="15" t="s">
        <v>679</v>
      </c>
      <c r="I184" s="15" t="s">
        <v>680</v>
      </c>
      <c r="J184" s="15">
        <v>1.4</v>
      </c>
      <c r="K184" s="15">
        <v>13.6</v>
      </c>
      <c r="L184" s="15">
        <v>4.1</v>
      </c>
      <c r="M184" s="15">
        <v>1.5</v>
      </c>
      <c r="N184" s="15">
        <v>1.1</v>
      </c>
      <c r="O184" s="15">
        <v>0.7</v>
      </c>
      <c r="P184" s="15">
        <v>1.6</v>
      </c>
      <c r="Q184" s="15">
        <v>-1.45</v>
      </c>
    </row>
    <row r="185">
      <c r="A185" s="15">
        <v>184.0</v>
      </c>
      <c r="B185" s="15">
        <v>138.9</v>
      </c>
      <c r="C185" s="30" t="s">
        <v>681</v>
      </c>
      <c r="D185" s="15" t="s">
        <v>182</v>
      </c>
      <c r="E185" s="15" t="s">
        <v>172</v>
      </c>
      <c r="F185" s="15">
        <v>64.0</v>
      </c>
      <c r="G185" s="15">
        <v>28.6</v>
      </c>
      <c r="H185" s="15" t="s">
        <v>682</v>
      </c>
      <c r="I185" s="15" t="s">
        <v>683</v>
      </c>
      <c r="J185" s="15">
        <v>1.9</v>
      </c>
      <c r="K185" s="15">
        <v>17.4</v>
      </c>
      <c r="L185" s="15">
        <v>3.4</v>
      </c>
      <c r="M185" s="15">
        <v>4.3</v>
      </c>
      <c r="N185" s="15">
        <v>0.5</v>
      </c>
      <c r="O185" s="15">
        <v>0.2</v>
      </c>
      <c r="P185" s="15">
        <v>2.6</v>
      </c>
      <c r="Q185" s="15">
        <v>-1.46</v>
      </c>
    </row>
    <row r="186">
      <c r="A186" s="15">
        <v>185.0</v>
      </c>
      <c r="B186" s="168"/>
      <c r="C186" s="30" t="s">
        <v>684</v>
      </c>
      <c r="D186" s="15" t="s">
        <v>47</v>
      </c>
      <c r="E186" s="15" t="s">
        <v>197</v>
      </c>
      <c r="F186" s="15">
        <v>60.0</v>
      </c>
      <c r="G186" s="15">
        <v>25.4</v>
      </c>
      <c r="H186" s="15" t="s">
        <v>685</v>
      </c>
      <c r="I186" s="15" t="s">
        <v>686</v>
      </c>
      <c r="J186" s="15">
        <v>2.7</v>
      </c>
      <c r="K186" s="15">
        <v>10.8</v>
      </c>
      <c r="L186" s="15">
        <v>3.0</v>
      </c>
      <c r="M186" s="15">
        <v>2.5</v>
      </c>
      <c r="N186" s="15">
        <v>0.6</v>
      </c>
      <c r="O186" s="15">
        <v>0.1</v>
      </c>
      <c r="P186" s="15">
        <v>1.1</v>
      </c>
      <c r="Q186" s="15">
        <v>-1.47</v>
      </c>
    </row>
    <row r="187">
      <c r="A187" s="15">
        <v>186.0</v>
      </c>
      <c r="B187" s="15">
        <v>139.1</v>
      </c>
      <c r="C187" s="30" t="s">
        <v>687</v>
      </c>
      <c r="D187" s="15" t="s">
        <v>34</v>
      </c>
      <c r="E187" s="15" t="s">
        <v>81</v>
      </c>
      <c r="F187" s="15">
        <v>74.0</v>
      </c>
      <c r="G187" s="15">
        <v>20.1</v>
      </c>
      <c r="H187" s="15" t="s">
        <v>688</v>
      </c>
      <c r="I187" s="15" t="s">
        <v>689</v>
      </c>
      <c r="J187" s="15">
        <v>0.0</v>
      </c>
      <c r="K187" s="15">
        <v>9.8</v>
      </c>
      <c r="L187" s="15">
        <v>10.6</v>
      </c>
      <c r="M187" s="15">
        <v>0.6</v>
      </c>
      <c r="N187" s="15">
        <v>1.1</v>
      </c>
      <c r="O187" s="15">
        <v>0.7</v>
      </c>
      <c r="P187" s="15">
        <v>1.4</v>
      </c>
      <c r="Q187" s="15">
        <v>-1.5</v>
      </c>
    </row>
    <row r="188">
      <c r="A188" s="15">
        <v>187.0</v>
      </c>
      <c r="B188" s="15">
        <v>141.7</v>
      </c>
      <c r="C188" s="30" t="s">
        <v>690</v>
      </c>
      <c r="D188" s="15" t="s">
        <v>46</v>
      </c>
      <c r="E188" s="15" t="s">
        <v>264</v>
      </c>
      <c r="F188" s="15">
        <v>72.0</v>
      </c>
      <c r="G188" s="15">
        <v>21.9</v>
      </c>
      <c r="H188" s="15" t="s">
        <v>691</v>
      </c>
      <c r="I188" s="15" t="s">
        <v>692</v>
      </c>
      <c r="J188" s="15">
        <v>1.3</v>
      </c>
      <c r="K188" s="15">
        <v>11.5</v>
      </c>
      <c r="L188" s="15">
        <v>3.9</v>
      </c>
      <c r="M188" s="15">
        <v>3.1</v>
      </c>
      <c r="N188" s="15">
        <v>0.7</v>
      </c>
      <c r="O188" s="15">
        <v>0.5</v>
      </c>
      <c r="P188" s="15">
        <v>1.4</v>
      </c>
      <c r="Q188" s="15">
        <v>-1.51</v>
      </c>
    </row>
    <row r="189">
      <c r="A189" s="15">
        <v>188.0</v>
      </c>
      <c r="B189" s="15">
        <v>140.9</v>
      </c>
      <c r="C189" s="30" t="s">
        <v>693</v>
      </c>
      <c r="D189" s="15" t="s">
        <v>47</v>
      </c>
      <c r="E189" s="15" t="s">
        <v>204</v>
      </c>
      <c r="F189" s="15">
        <v>67.0</v>
      </c>
      <c r="G189" s="15">
        <v>20.2</v>
      </c>
      <c r="H189" s="15" t="s">
        <v>694</v>
      </c>
      <c r="I189" s="15" t="s">
        <v>695</v>
      </c>
      <c r="J189" s="15">
        <v>1.3</v>
      </c>
      <c r="K189" s="15">
        <v>6.7</v>
      </c>
      <c r="L189" s="15">
        <v>2.5</v>
      </c>
      <c r="M189" s="15">
        <v>2.4</v>
      </c>
      <c r="N189" s="15">
        <v>1.3</v>
      </c>
      <c r="O189" s="15">
        <v>0.4</v>
      </c>
      <c r="P189" s="15">
        <v>1.1</v>
      </c>
      <c r="Q189" s="15">
        <v>-1.54</v>
      </c>
    </row>
    <row r="190">
      <c r="A190" s="15">
        <v>189.0</v>
      </c>
      <c r="B190" s="15">
        <v>139.4</v>
      </c>
      <c r="C190" s="30" t="s">
        <v>696</v>
      </c>
      <c r="D190" s="15" t="s">
        <v>98</v>
      </c>
      <c r="E190" s="15" t="s">
        <v>115</v>
      </c>
      <c r="F190" s="15">
        <v>70.0</v>
      </c>
      <c r="G190" s="15">
        <v>28.5</v>
      </c>
      <c r="H190" s="15" t="s">
        <v>697</v>
      </c>
      <c r="I190" s="15" t="s">
        <v>508</v>
      </c>
      <c r="J190" s="15">
        <v>1.7</v>
      </c>
      <c r="K190" s="15">
        <v>14.6</v>
      </c>
      <c r="L190" s="15">
        <v>4.7</v>
      </c>
      <c r="M190" s="15">
        <v>1.9</v>
      </c>
      <c r="N190" s="15">
        <v>0.8</v>
      </c>
      <c r="O190" s="15">
        <v>0.6</v>
      </c>
      <c r="P190" s="15">
        <v>1.3</v>
      </c>
      <c r="Q190" s="15">
        <v>-1.55</v>
      </c>
    </row>
    <row r="191">
      <c r="A191" s="15">
        <v>190.0</v>
      </c>
      <c r="B191" s="168"/>
      <c r="C191" s="30" t="s">
        <v>698</v>
      </c>
      <c r="D191" s="15" t="s">
        <v>49</v>
      </c>
      <c r="E191" s="15" t="s">
        <v>75</v>
      </c>
      <c r="F191" s="15">
        <v>65.0</v>
      </c>
      <c r="G191" s="15">
        <v>24.1</v>
      </c>
      <c r="H191" s="15" t="s">
        <v>699</v>
      </c>
      <c r="I191" s="15" t="s">
        <v>700</v>
      </c>
      <c r="J191" s="15">
        <v>0.4</v>
      </c>
      <c r="K191" s="15">
        <v>7.6</v>
      </c>
      <c r="L191" s="15">
        <v>7.1</v>
      </c>
      <c r="M191" s="15">
        <v>2.2</v>
      </c>
      <c r="N191" s="15">
        <v>1.2</v>
      </c>
      <c r="O191" s="15">
        <v>0.3</v>
      </c>
      <c r="P191" s="15">
        <v>1.2</v>
      </c>
      <c r="Q191" s="15">
        <v>-1.57</v>
      </c>
    </row>
    <row r="192">
      <c r="A192" s="15">
        <v>191.0</v>
      </c>
      <c r="B192" s="168"/>
      <c r="C192" s="30" t="s">
        <v>701</v>
      </c>
      <c r="D192" s="15" t="s">
        <v>182</v>
      </c>
      <c r="E192" s="15" t="s">
        <v>81</v>
      </c>
      <c r="F192" s="15">
        <v>68.0</v>
      </c>
      <c r="G192" s="15">
        <v>30.0</v>
      </c>
      <c r="H192" s="15" t="s">
        <v>702</v>
      </c>
      <c r="I192" s="15" t="s">
        <v>703</v>
      </c>
      <c r="J192" s="15">
        <v>1.3</v>
      </c>
      <c r="K192" s="15">
        <v>10.5</v>
      </c>
      <c r="L192" s="15">
        <v>4.9</v>
      </c>
      <c r="M192" s="15">
        <v>2.1</v>
      </c>
      <c r="N192" s="15">
        <v>0.9</v>
      </c>
      <c r="O192" s="15">
        <v>0.5</v>
      </c>
      <c r="P192" s="15">
        <v>1.2</v>
      </c>
      <c r="Q192" s="15">
        <v>-1.63</v>
      </c>
    </row>
    <row r="193">
      <c r="A193" s="15">
        <v>192.0</v>
      </c>
      <c r="B193" s="15">
        <v>139.1</v>
      </c>
      <c r="C193" s="30" t="s">
        <v>704</v>
      </c>
      <c r="D193" s="15" t="s">
        <v>46</v>
      </c>
      <c r="E193" s="15" t="s">
        <v>42</v>
      </c>
      <c r="F193" s="15">
        <v>72.0</v>
      </c>
      <c r="G193" s="15">
        <v>29.2</v>
      </c>
      <c r="H193" s="15" t="s">
        <v>705</v>
      </c>
      <c r="I193" s="15" t="s">
        <v>706</v>
      </c>
      <c r="J193" s="15">
        <v>1.0</v>
      </c>
      <c r="K193" s="15">
        <v>14.8</v>
      </c>
      <c r="L193" s="15">
        <v>5.9</v>
      </c>
      <c r="M193" s="15">
        <v>5.4</v>
      </c>
      <c r="N193" s="15">
        <v>1.2</v>
      </c>
      <c r="O193" s="15">
        <v>0.4</v>
      </c>
      <c r="P193" s="15">
        <v>3.1</v>
      </c>
      <c r="Q193" s="15">
        <v>-1.65</v>
      </c>
    </row>
    <row r="194">
      <c r="A194" s="15">
        <v>193.0</v>
      </c>
      <c r="B194" s="15">
        <v>138.6</v>
      </c>
      <c r="C194" s="30" t="s">
        <v>707</v>
      </c>
      <c r="D194" s="15" t="s">
        <v>67</v>
      </c>
      <c r="E194" s="15" t="s">
        <v>312</v>
      </c>
      <c r="F194" s="15">
        <v>43.0</v>
      </c>
      <c r="G194" s="15">
        <v>26.7</v>
      </c>
      <c r="H194" s="15" t="s">
        <v>708</v>
      </c>
      <c r="I194" s="15" t="s">
        <v>709</v>
      </c>
      <c r="J194" s="15">
        <v>1.6</v>
      </c>
      <c r="K194" s="15">
        <v>12.1</v>
      </c>
      <c r="L194" s="15">
        <v>3.2</v>
      </c>
      <c r="M194" s="15">
        <v>3.5</v>
      </c>
      <c r="N194" s="15">
        <v>0.5</v>
      </c>
      <c r="O194" s="15">
        <v>0.2</v>
      </c>
      <c r="P194" s="15">
        <v>1.2</v>
      </c>
      <c r="Q194" s="15">
        <v>-1.74</v>
      </c>
    </row>
    <row r="195">
      <c r="A195" s="15">
        <v>194.0</v>
      </c>
      <c r="B195" s="15">
        <v>144.9</v>
      </c>
      <c r="C195" s="30" t="s">
        <v>710</v>
      </c>
      <c r="D195" s="15" t="s">
        <v>182</v>
      </c>
      <c r="E195" s="15" t="s">
        <v>121</v>
      </c>
      <c r="F195" s="15">
        <v>69.0</v>
      </c>
      <c r="G195" s="15">
        <v>27.5</v>
      </c>
      <c r="H195" s="15" t="s">
        <v>711</v>
      </c>
      <c r="I195" s="15" t="s">
        <v>712</v>
      </c>
      <c r="J195" s="15">
        <v>1.6</v>
      </c>
      <c r="K195" s="15">
        <v>12.2</v>
      </c>
      <c r="L195" s="15">
        <v>3.7</v>
      </c>
      <c r="M195" s="15">
        <v>4.2</v>
      </c>
      <c r="N195" s="15">
        <v>1.0</v>
      </c>
      <c r="O195" s="15">
        <v>0.4</v>
      </c>
      <c r="P195" s="15">
        <v>1.5</v>
      </c>
      <c r="Q195" s="15">
        <v>-1.74</v>
      </c>
    </row>
    <row r="196">
      <c r="A196" s="15">
        <v>195.0</v>
      </c>
      <c r="B196" s="15">
        <v>144.6</v>
      </c>
      <c r="C196" s="30" t="s">
        <v>713</v>
      </c>
      <c r="D196" s="15" t="s">
        <v>182</v>
      </c>
      <c r="E196" s="15" t="s">
        <v>193</v>
      </c>
      <c r="F196" s="15">
        <v>67.0</v>
      </c>
      <c r="G196" s="15">
        <v>26.4</v>
      </c>
      <c r="H196" s="15" t="s">
        <v>714</v>
      </c>
      <c r="I196" s="15" t="s">
        <v>715</v>
      </c>
      <c r="J196" s="15">
        <v>2.6</v>
      </c>
      <c r="K196" s="15">
        <v>12.5</v>
      </c>
      <c r="L196" s="15">
        <v>2.5</v>
      </c>
      <c r="M196" s="15">
        <v>2.5</v>
      </c>
      <c r="N196" s="15">
        <v>0.6</v>
      </c>
      <c r="O196" s="15">
        <v>0.2</v>
      </c>
      <c r="P196" s="15">
        <v>1.3</v>
      </c>
      <c r="Q196" s="15">
        <v>-1.75</v>
      </c>
    </row>
    <row r="197">
      <c r="A197" s="15">
        <v>196.0</v>
      </c>
      <c r="B197" s="15">
        <v>142.6</v>
      </c>
      <c r="C197" s="30" t="s">
        <v>716</v>
      </c>
      <c r="D197" s="15" t="s">
        <v>74</v>
      </c>
      <c r="E197" s="15" t="s">
        <v>193</v>
      </c>
      <c r="F197" s="15">
        <v>52.0</v>
      </c>
      <c r="G197" s="15">
        <v>25.4</v>
      </c>
      <c r="H197" s="15" t="s">
        <v>717</v>
      </c>
      <c r="I197" s="15" t="s">
        <v>718</v>
      </c>
      <c r="J197" s="15">
        <v>1.8</v>
      </c>
      <c r="K197" s="15">
        <v>10.4</v>
      </c>
      <c r="L197" s="15">
        <v>5.3</v>
      </c>
      <c r="M197" s="15">
        <v>2.4</v>
      </c>
      <c r="N197" s="15">
        <v>0.8</v>
      </c>
      <c r="O197" s="15">
        <v>0.4</v>
      </c>
      <c r="P197" s="15">
        <v>1.2</v>
      </c>
      <c r="Q197" s="15">
        <v>-1.78</v>
      </c>
    </row>
    <row r="198">
      <c r="A198" s="15">
        <v>197.0</v>
      </c>
      <c r="B198" s="168"/>
      <c r="C198" s="30" t="s">
        <v>719</v>
      </c>
      <c r="D198" s="15" t="s">
        <v>67</v>
      </c>
      <c r="E198" s="15" t="s">
        <v>193</v>
      </c>
      <c r="F198" s="15">
        <v>60.0</v>
      </c>
      <c r="G198" s="15">
        <v>25.2</v>
      </c>
      <c r="H198" s="15" t="s">
        <v>720</v>
      </c>
      <c r="I198" s="15" t="s">
        <v>721</v>
      </c>
      <c r="J198" s="15">
        <v>1.7</v>
      </c>
      <c r="K198" s="15">
        <v>10.4</v>
      </c>
      <c r="L198" s="15">
        <v>2.9</v>
      </c>
      <c r="M198" s="15">
        <v>2.7</v>
      </c>
      <c r="N198" s="15">
        <v>0.9</v>
      </c>
      <c r="O198" s="15">
        <v>0.3</v>
      </c>
      <c r="P198" s="15">
        <v>1.2</v>
      </c>
      <c r="Q198" s="15">
        <v>-1.8</v>
      </c>
    </row>
    <row r="199">
      <c r="A199" s="15">
        <v>198.0</v>
      </c>
      <c r="B199" s="168"/>
      <c r="C199" s="30" t="s">
        <v>722</v>
      </c>
      <c r="D199" s="15" t="s">
        <v>67</v>
      </c>
      <c r="E199" s="15" t="s">
        <v>103</v>
      </c>
      <c r="F199" s="15">
        <v>64.0</v>
      </c>
      <c r="G199" s="15">
        <v>20.4</v>
      </c>
      <c r="H199" s="15" t="s">
        <v>723</v>
      </c>
      <c r="I199" s="15" t="s">
        <v>724</v>
      </c>
      <c r="J199" s="15">
        <v>0.6</v>
      </c>
      <c r="K199" s="15">
        <v>7.2</v>
      </c>
      <c r="L199" s="15">
        <v>3.2</v>
      </c>
      <c r="M199" s="15">
        <v>4.2</v>
      </c>
      <c r="N199" s="15">
        <v>1.0</v>
      </c>
      <c r="O199" s="15">
        <v>0.4</v>
      </c>
      <c r="P199" s="15">
        <v>1.3</v>
      </c>
      <c r="Q199" s="15">
        <v>-1.84</v>
      </c>
    </row>
    <row r="200">
      <c r="A200" s="15">
        <v>199.0</v>
      </c>
      <c r="B200" s="15">
        <v>139.1</v>
      </c>
      <c r="C200" s="30" t="s">
        <v>725</v>
      </c>
      <c r="D200" s="15" t="s">
        <v>182</v>
      </c>
      <c r="E200" s="15" t="s">
        <v>271</v>
      </c>
      <c r="F200" s="15">
        <v>78.0</v>
      </c>
      <c r="G200" s="15">
        <v>27.2</v>
      </c>
      <c r="H200" s="15" t="s">
        <v>726</v>
      </c>
      <c r="I200" s="15" t="s">
        <v>727</v>
      </c>
      <c r="J200" s="15">
        <v>1.1</v>
      </c>
      <c r="K200" s="15">
        <v>10.2</v>
      </c>
      <c r="L200" s="15">
        <v>2.8</v>
      </c>
      <c r="M200" s="15">
        <v>2.8</v>
      </c>
      <c r="N200" s="15">
        <v>0.8</v>
      </c>
      <c r="O200" s="15">
        <v>0.4</v>
      </c>
      <c r="P200" s="15">
        <v>1.3</v>
      </c>
      <c r="Q200" s="15">
        <v>-1.88</v>
      </c>
    </row>
    <row r="201">
      <c r="A201" s="15">
        <v>200.0</v>
      </c>
      <c r="B201" s="15">
        <v>143.0</v>
      </c>
      <c r="C201" s="30" t="s">
        <v>728</v>
      </c>
      <c r="D201" s="15" t="s">
        <v>182</v>
      </c>
      <c r="E201" s="15" t="s">
        <v>89</v>
      </c>
      <c r="F201" s="15">
        <v>68.0</v>
      </c>
      <c r="G201" s="15">
        <v>29.0</v>
      </c>
      <c r="H201" s="15" t="s">
        <v>729</v>
      </c>
      <c r="I201" s="15" t="s">
        <v>730</v>
      </c>
      <c r="J201" s="15">
        <v>1.4</v>
      </c>
      <c r="K201" s="15">
        <v>16.8</v>
      </c>
      <c r="L201" s="15">
        <v>4.3</v>
      </c>
      <c r="M201" s="15">
        <v>1.8</v>
      </c>
      <c r="N201" s="15">
        <v>0.7</v>
      </c>
      <c r="O201" s="15">
        <v>0.2</v>
      </c>
      <c r="P201" s="15">
        <v>1.9</v>
      </c>
      <c r="Q201" s="15">
        <v>-1.89</v>
      </c>
    </row>
    <row r="202">
      <c r="A202" s="15">
        <v>201.0</v>
      </c>
      <c r="B202" s="168"/>
      <c r="C202" s="30" t="s">
        <v>731</v>
      </c>
      <c r="D202" s="15" t="s">
        <v>182</v>
      </c>
      <c r="E202" s="15" t="s">
        <v>160</v>
      </c>
      <c r="F202" s="15">
        <v>64.0</v>
      </c>
      <c r="G202" s="15">
        <v>28.9</v>
      </c>
      <c r="H202" s="15" t="s">
        <v>732</v>
      </c>
      <c r="I202" s="15" t="s">
        <v>733</v>
      </c>
      <c r="J202" s="15">
        <v>1.6</v>
      </c>
      <c r="K202" s="15">
        <v>11.0</v>
      </c>
      <c r="L202" s="15">
        <v>3.6</v>
      </c>
      <c r="M202" s="15">
        <v>2.3</v>
      </c>
      <c r="N202" s="15">
        <v>1.0</v>
      </c>
      <c r="O202" s="15">
        <v>0.3</v>
      </c>
      <c r="P202" s="15">
        <v>1.3</v>
      </c>
      <c r="Q202" s="15">
        <v>-1.97</v>
      </c>
    </row>
    <row r="203">
      <c r="A203" s="15">
        <v>202.0</v>
      </c>
      <c r="B203" s="168"/>
      <c r="C203" s="30" t="s">
        <v>734</v>
      </c>
      <c r="D203" s="15" t="s">
        <v>98</v>
      </c>
      <c r="E203" s="15" t="s">
        <v>42</v>
      </c>
      <c r="F203" s="15">
        <v>78.0</v>
      </c>
      <c r="G203" s="15">
        <v>24.5</v>
      </c>
      <c r="H203" s="15" t="s">
        <v>735</v>
      </c>
      <c r="I203" s="15" t="s">
        <v>736</v>
      </c>
      <c r="J203" s="15">
        <v>0.8</v>
      </c>
      <c r="K203" s="15">
        <v>9.5</v>
      </c>
      <c r="L203" s="15">
        <v>4.6</v>
      </c>
      <c r="M203" s="15">
        <v>1.5</v>
      </c>
      <c r="N203" s="15">
        <v>0.7</v>
      </c>
      <c r="O203" s="15">
        <v>1.5</v>
      </c>
      <c r="P203" s="15">
        <v>1.0</v>
      </c>
      <c r="Q203" s="15">
        <v>-1.97</v>
      </c>
    </row>
    <row r="204">
      <c r="A204" s="15">
        <v>203.0</v>
      </c>
      <c r="B204" s="168"/>
      <c r="C204" s="30" t="s">
        <v>737</v>
      </c>
      <c r="D204" s="15" t="s">
        <v>34</v>
      </c>
      <c r="E204" s="15" t="s">
        <v>237</v>
      </c>
      <c r="F204" s="15">
        <v>67.0</v>
      </c>
      <c r="G204" s="15">
        <v>22.0</v>
      </c>
      <c r="H204" s="15" t="s">
        <v>738</v>
      </c>
      <c r="I204" s="15" t="s">
        <v>739</v>
      </c>
      <c r="J204" s="15">
        <v>0.6</v>
      </c>
      <c r="K204" s="15">
        <v>8.5</v>
      </c>
      <c r="L204" s="15">
        <v>5.2</v>
      </c>
      <c r="M204" s="15">
        <v>1.4</v>
      </c>
      <c r="N204" s="15">
        <v>0.5</v>
      </c>
      <c r="O204" s="15">
        <v>1.0</v>
      </c>
      <c r="P204" s="15">
        <v>0.9</v>
      </c>
      <c r="Q204" s="15">
        <v>-2.02</v>
      </c>
    </row>
    <row r="205">
      <c r="A205" s="15">
        <v>204.0</v>
      </c>
      <c r="B205" s="168"/>
      <c r="C205" s="30" t="s">
        <v>740</v>
      </c>
      <c r="D205" s="15" t="s">
        <v>182</v>
      </c>
      <c r="E205" s="15" t="s">
        <v>183</v>
      </c>
      <c r="F205" s="15">
        <v>74.0</v>
      </c>
      <c r="G205" s="15">
        <v>25.8</v>
      </c>
      <c r="H205" s="15" t="s">
        <v>741</v>
      </c>
      <c r="I205" s="15" t="s">
        <v>742</v>
      </c>
      <c r="J205" s="15">
        <v>1.8</v>
      </c>
      <c r="K205" s="15">
        <v>9.5</v>
      </c>
      <c r="L205" s="15">
        <v>2.5</v>
      </c>
      <c r="M205" s="15">
        <v>2.9</v>
      </c>
      <c r="N205" s="15">
        <v>0.9</v>
      </c>
      <c r="O205" s="15">
        <v>0.6</v>
      </c>
      <c r="P205" s="15">
        <v>1.2</v>
      </c>
      <c r="Q205" s="15">
        <v>-2.07</v>
      </c>
    </row>
    <row r="206">
      <c r="A206" s="15">
        <v>205.0</v>
      </c>
      <c r="B206" s="168"/>
      <c r="C206" s="30" t="s">
        <v>743</v>
      </c>
      <c r="D206" s="15" t="s">
        <v>74</v>
      </c>
      <c r="E206" s="15" t="s">
        <v>89</v>
      </c>
      <c r="F206" s="15">
        <v>60.0</v>
      </c>
      <c r="G206" s="15">
        <v>16.5</v>
      </c>
      <c r="H206" s="15" t="s">
        <v>744</v>
      </c>
      <c r="I206" s="15" t="s">
        <v>745</v>
      </c>
      <c r="J206" s="15">
        <v>0.0</v>
      </c>
      <c r="K206" s="15">
        <v>7.7</v>
      </c>
      <c r="L206" s="15">
        <v>4.8</v>
      </c>
      <c r="M206" s="15">
        <v>0.9</v>
      </c>
      <c r="N206" s="15">
        <v>0.6</v>
      </c>
      <c r="O206" s="15">
        <v>1.4</v>
      </c>
      <c r="P206" s="15">
        <v>0.8</v>
      </c>
      <c r="Q206" s="15">
        <v>-2.14</v>
      </c>
    </row>
    <row r="207">
      <c r="A207" s="15">
        <v>206.0</v>
      </c>
      <c r="B207" s="15">
        <v>146.0</v>
      </c>
      <c r="C207" s="30" t="s">
        <v>746</v>
      </c>
      <c r="D207" s="15" t="s">
        <v>98</v>
      </c>
      <c r="E207" s="15" t="s">
        <v>99</v>
      </c>
      <c r="F207" s="15">
        <v>80.0</v>
      </c>
      <c r="G207" s="15">
        <v>23.5</v>
      </c>
      <c r="H207" s="15" t="s">
        <v>747</v>
      </c>
      <c r="I207" s="15" t="s">
        <v>748</v>
      </c>
      <c r="J207" s="15">
        <v>2.6</v>
      </c>
      <c r="K207" s="15">
        <v>9.6</v>
      </c>
      <c r="L207" s="15">
        <v>3.8</v>
      </c>
      <c r="M207" s="15">
        <v>1.2</v>
      </c>
      <c r="N207" s="15">
        <v>0.5</v>
      </c>
      <c r="O207" s="15">
        <v>0.4</v>
      </c>
      <c r="P207" s="15">
        <v>0.5</v>
      </c>
      <c r="Q207" s="15">
        <v>-2.2</v>
      </c>
    </row>
    <row r="208">
      <c r="A208" s="15">
        <v>207.0</v>
      </c>
      <c r="B208" s="168"/>
      <c r="C208" s="30" t="s">
        <v>749</v>
      </c>
      <c r="D208" s="15" t="s">
        <v>182</v>
      </c>
      <c r="E208" s="15" t="s">
        <v>81</v>
      </c>
      <c r="F208" s="15">
        <v>68.0</v>
      </c>
      <c r="G208" s="15">
        <v>27.6</v>
      </c>
      <c r="H208" s="15" t="s">
        <v>750</v>
      </c>
      <c r="I208" s="15" t="s">
        <v>751</v>
      </c>
      <c r="J208" s="15">
        <v>2.0</v>
      </c>
      <c r="K208" s="15">
        <v>11.6</v>
      </c>
      <c r="L208" s="15">
        <v>1.9</v>
      </c>
      <c r="M208" s="15">
        <v>2.3</v>
      </c>
      <c r="N208" s="15">
        <v>0.8</v>
      </c>
      <c r="O208" s="15">
        <v>0.4</v>
      </c>
      <c r="P208" s="15">
        <v>1.3</v>
      </c>
      <c r="Q208" s="15">
        <v>-2.24</v>
      </c>
    </row>
    <row r="209">
      <c r="A209" s="15">
        <v>208.0</v>
      </c>
      <c r="B209" s="15">
        <v>146.5</v>
      </c>
      <c r="C209" s="30" t="s">
        <v>752</v>
      </c>
      <c r="D209" s="15" t="s">
        <v>98</v>
      </c>
      <c r="E209" s="15" t="s">
        <v>94</v>
      </c>
      <c r="F209" s="15">
        <v>60.0</v>
      </c>
      <c r="G209" s="15">
        <v>27.4</v>
      </c>
      <c r="H209" s="15" t="s">
        <v>753</v>
      </c>
      <c r="I209" s="15" t="s">
        <v>754</v>
      </c>
      <c r="J209" s="15">
        <v>1.6</v>
      </c>
      <c r="K209" s="15">
        <v>14.3</v>
      </c>
      <c r="L209" s="15">
        <v>3.8</v>
      </c>
      <c r="M209" s="15">
        <v>1.4</v>
      </c>
      <c r="N209" s="15">
        <v>0.6</v>
      </c>
      <c r="O209" s="15">
        <v>0.3</v>
      </c>
      <c r="P209" s="15">
        <v>1.2</v>
      </c>
      <c r="Q209" s="15">
        <v>-2.26</v>
      </c>
    </row>
    <row r="210">
      <c r="A210" s="15">
        <v>209.0</v>
      </c>
      <c r="B210" s="168"/>
      <c r="C210" s="30" t="s">
        <v>755</v>
      </c>
      <c r="D210" s="15" t="s">
        <v>67</v>
      </c>
      <c r="E210" s="15" t="s">
        <v>58</v>
      </c>
      <c r="F210" s="15">
        <v>78.0</v>
      </c>
      <c r="G210" s="15">
        <v>22.1</v>
      </c>
      <c r="H210" s="15" t="s">
        <v>756</v>
      </c>
      <c r="I210" s="15" t="s">
        <v>757</v>
      </c>
      <c r="J210" s="15">
        <v>1.3</v>
      </c>
      <c r="K210" s="15">
        <v>7.4</v>
      </c>
      <c r="L210" s="15">
        <v>2.5</v>
      </c>
      <c r="M210" s="15">
        <v>1.6</v>
      </c>
      <c r="N210" s="15">
        <v>1.0</v>
      </c>
      <c r="O210" s="15">
        <v>0.5</v>
      </c>
      <c r="P210" s="15">
        <v>0.6</v>
      </c>
      <c r="Q210" s="15">
        <v>-2.35</v>
      </c>
    </row>
    <row r="211">
      <c r="A211" s="15">
        <v>210.0</v>
      </c>
      <c r="B211" s="168"/>
      <c r="C211" s="30" t="s">
        <v>758</v>
      </c>
      <c r="D211" s="15" t="s">
        <v>98</v>
      </c>
      <c r="E211" s="15" t="s">
        <v>103</v>
      </c>
      <c r="F211" s="15">
        <v>62.0</v>
      </c>
      <c r="G211" s="15">
        <v>24.8</v>
      </c>
      <c r="H211" s="15" t="s">
        <v>759</v>
      </c>
      <c r="I211" s="15" t="s">
        <v>760</v>
      </c>
      <c r="J211" s="15">
        <v>1.5</v>
      </c>
      <c r="K211" s="15">
        <v>6.2</v>
      </c>
      <c r="L211" s="15">
        <v>4.2</v>
      </c>
      <c r="M211" s="15">
        <v>1.9</v>
      </c>
      <c r="N211" s="15">
        <v>0.8</v>
      </c>
      <c r="O211" s="15">
        <v>0.6</v>
      </c>
      <c r="P211" s="15">
        <v>0.7</v>
      </c>
      <c r="Q211" s="15">
        <v>-2.44</v>
      </c>
    </row>
    <row r="212">
      <c r="A212" s="15">
        <v>211.0</v>
      </c>
      <c r="B212" s="15">
        <v>142.2</v>
      </c>
      <c r="C212" s="30" t="s">
        <v>761</v>
      </c>
      <c r="D212" s="15" t="s">
        <v>98</v>
      </c>
      <c r="E212" s="15" t="s">
        <v>35</v>
      </c>
      <c r="F212" s="15">
        <v>80.0</v>
      </c>
      <c r="G212" s="15">
        <v>27.3</v>
      </c>
      <c r="H212" s="15" t="s">
        <v>762</v>
      </c>
      <c r="I212" s="15" t="s">
        <v>763</v>
      </c>
      <c r="J212" s="15">
        <v>1.5</v>
      </c>
      <c r="K212" s="15">
        <v>12.2</v>
      </c>
      <c r="L212" s="15">
        <v>3.4</v>
      </c>
      <c r="M212" s="15">
        <v>1.2</v>
      </c>
      <c r="N212" s="15">
        <v>0.6</v>
      </c>
      <c r="O212" s="15">
        <v>0.1</v>
      </c>
      <c r="P212" s="15">
        <v>0.8</v>
      </c>
      <c r="Q212" s="15">
        <v>-2.52</v>
      </c>
    </row>
    <row r="213">
      <c r="A213" s="15">
        <v>212.0</v>
      </c>
      <c r="B213" s="168"/>
      <c r="C213" s="30" t="s">
        <v>764</v>
      </c>
      <c r="D213" s="15" t="s">
        <v>34</v>
      </c>
      <c r="E213" s="15" t="s">
        <v>94</v>
      </c>
      <c r="F213" s="15">
        <v>59.0</v>
      </c>
      <c r="G213" s="15">
        <v>18.6</v>
      </c>
      <c r="H213" s="15" t="s">
        <v>765</v>
      </c>
      <c r="I213" s="15" t="s">
        <v>766</v>
      </c>
      <c r="J213" s="15">
        <v>0.3</v>
      </c>
      <c r="K213" s="15">
        <v>5.9</v>
      </c>
      <c r="L213" s="15">
        <v>4.9</v>
      </c>
      <c r="M213" s="15">
        <v>1.7</v>
      </c>
      <c r="N213" s="15">
        <v>0.9</v>
      </c>
      <c r="O213" s="15">
        <v>0.4</v>
      </c>
      <c r="P213" s="15">
        <v>0.7</v>
      </c>
      <c r="Q213" s="15">
        <v>-2.52</v>
      </c>
    </row>
    <row r="214">
      <c r="A214" s="15">
        <v>213.0</v>
      </c>
      <c r="B214" s="15">
        <v>143.0</v>
      </c>
      <c r="C214" s="30" t="s">
        <v>767</v>
      </c>
      <c r="D214" s="15" t="s">
        <v>46</v>
      </c>
      <c r="E214" s="15" t="s">
        <v>99</v>
      </c>
      <c r="F214" s="15">
        <v>74.0</v>
      </c>
      <c r="G214" s="15">
        <v>24.3</v>
      </c>
      <c r="H214" s="15" t="s">
        <v>768</v>
      </c>
      <c r="I214" s="15" t="s">
        <v>769</v>
      </c>
      <c r="J214" s="15">
        <v>2.0</v>
      </c>
      <c r="K214" s="15">
        <v>10.5</v>
      </c>
      <c r="L214" s="15">
        <v>3.5</v>
      </c>
      <c r="M214" s="15">
        <v>3.4</v>
      </c>
      <c r="N214" s="15">
        <v>0.5</v>
      </c>
      <c r="O214" s="15">
        <v>0.1</v>
      </c>
      <c r="P214" s="15">
        <v>1.0</v>
      </c>
      <c r="Q214" s="15">
        <v>-2.54</v>
      </c>
    </row>
    <row r="215">
      <c r="A215" s="15">
        <v>214.0</v>
      </c>
      <c r="B215" s="15">
        <v>140.4</v>
      </c>
      <c r="C215" s="30" t="s">
        <v>770</v>
      </c>
      <c r="D215" s="15" t="s">
        <v>49</v>
      </c>
      <c r="E215" s="15" t="s">
        <v>89</v>
      </c>
      <c r="F215" s="15">
        <v>68.0</v>
      </c>
      <c r="G215" s="15">
        <v>20.6</v>
      </c>
      <c r="H215" s="15" t="s">
        <v>771</v>
      </c>
      <c r="I215" s="15" t="s">
        <v>772</v>
      </c>
      <c r="J215" s="15">
        <v>1.4</v>
      </c>
      <c r="K215" s="15">
        <v>9.7</v>
      </c>
      <c r="L215" s="15">
        <v>3.7</v>
      </c>
      <c r="M215" s="15">
        <v>1.4</v>
      </c>
      <c r="N215" s="15">
        <v>0.5</v>
      </c>
      <c r="O215" s="15">
        <v>0.4</v>
      </c>
      <c r="P215" s="15">
        <v>0.8</v>
      </c>
      <c r="Q215" s="15">
        <v>-2.57</v>
      </c>
    </row>
    <row r="216">
      <c r="A216" s="15">
        <v>215.0</v>
      </c>
      <c r="B216" s="15">
        <v>140.0</v>
      </c>
      <c r="C216" s="30" t="s">
        <v>773</v>
      </c>
      <c r="D216" s="15" t="s">
        <v>34</v>
      </c>
      <c r="E216" s="15" t="s">
        <v>264</v>
      </c>
      <c r="F216" s="15">
        <v>67.0</v>
      </c>
      <c r="G216" s="15">
        <v>17.5</v>
      </c>
      <c r="H216" s="15" t="s">
        <v>774</v>
      </c>
      <c r="I216" s="15" t="s">
        <v>775</v>
      </c>
      <c r="J216" s="15">
        <v>0.6</v>
      </c>
      <c r="K216" s="15">
        <v>10.3</v>
      </c>
      <c r="L216" s="15">
        <v>4.2</v>
      </c>
      <c r="M216" s="15">
        <v>1.3</v>
      </c>
      <c r="N216" s="15">
        <v>0.5</v>
      </c>
      <c r="O216" s="15">
        <v>0.2</v>
      </c>
      <c r="P216" s="15">
        <v>1.2</v>
      </c>
      <c r="Q216" s="15">
        <v>-2.59</v>
      </c>
    </row>
    <row r="217">
      <c r="A217" s="15">
        <v>216.0</v>
      </c>
      <c r="B217" s="168"/>
      <c r="C217" s="30" t="s">
        <v>776</v>
      </c>
      <c r="D217" s="15" t="s">
        <v>74</v>
      </c>
      <c r="E217" s="15" t="s">
        <v>197</v>
      </c>
      <c r="F217" s="15">
        <v>64.0</v>
      </c>
      <c r="G217" s="15">
        <v>22.8</v>
      </c>
      <c r="H217" s="15" t="s">
        <v>777</v>
      </c>
      <c r="I217" s="15" t="s">
        <v>778</v>
      </c>
      <c r="J217" s="15">
        <v>1.4</v>
      </c>
      <c r="K217" s="15">
        <v>9.4</v>
      </c>
      <c r="L217" s="15">
        <v>5.1</v>
      </c>
      <c r="M217" s="15">
        <v>1.6</v>
      </c>
      <c r="N217" s="15">
        <v>0.6</v>
      </c>
      <c r="O217" s="15">
        <v>0.7</v>
      </c>
      <c r="P217" s="15">
        <v>0.9</v>
      </c>
      <c r="Q217" s="15">
        <v>-2.66</v>
      </c>
    </row>
    <row r="218">
      <c r="A218" s="15">
        <v>217.0</v>
      </c>
      <c r="B218" s="168"/>
      <c r="C218" s="30" t="s">
        <v>779</v>
      </c>
      <c r="D218" s="15" t="s">
        <v>182</v>
      </c>
      <c r="E218" s="15" t="s">
        <v>287</v>
      </c>
      <c r="F218" s="15">
        <v>63.0</v>
      </c>
      <c r="G218" s="15">
        <v>20.0</v>
      </c>
      <c r="H218" s="15" t="s">
        <v>780</v>
      </c>
      <c r="I218" s="15" t="s">
        <v>781</v>
      </c>
      <c r="J218" s="15">
        <v>1.0</v>
      </c>
      <c r="K218" s="15">
        <v>4.9</v>
      </c>
      <c r="L218" s="15">
        <v>2.1</v>
      </c>
      <c r="M218" s="15">
        <v>1.1</v>
      </c>
      <c r="N218" s="15">
        <v>1.5</v>
      </c>
      <c r="O218" s="15">
        <v>0.6</v>
      </c>
      <c r="P218" s="15">
        <v>0.5</v>
      </c>
      <c r="Q218" s="15">
        <v>-2.72</v>
      </c>
    </row>
    <row r="219">
      <c r="A219" s="15">
        <v>218.0</v>
      </c>
      <c r="B219" s="168"/>
      <c r="C219" s="30" t="s">
        <v>782</v>
      </c>
      <c r="D219" s="15" t="s">
        <v>34</v>
      </c>
      <c r="E219" s="15" t="s">
        <v>287</v>
      </c>
      <c r="F219" s="15">
        <v>38.0</v>
      </c>
      <c r="G219" s="15">
        <v>15.4</v>
      </c>
      <c r="H219" s="15" t="s">
        <v>783</v>
      </c>
      <c r="I219" s="15" t="s">
        <v>784</v>
      </c>
      <c r="J219" s="15">
        <v>0.0</v>
      </c>
      <c r="K219" s="15">
        <v>5.3</v>
      </c>
      <c r="L219" s="15">
        <v>5.5</v>
      </c>
      <c r="M219" s="15">
        <v>0.9</v>
      </c>
      <c r="N219" s="15">
        <v>0.5</v>
      </c>
      <c r="O219" s="15">
        <v>0.9</v>
      </c>
      <c r="P219" s="15">
        <v>0.7</v>
      </c>
      <c r="Q219" s="15">
        <v>-2.73</v>
      </c>
    </row>
    <row r="220">
      <c r="A220" s="15">
        <v>219.0</v>
      </c>
      <c r="B220" s="168"/>
      <c r="C220" s="30" t="s">
        <v>785</v>
      </c>
      <c r="D220" s="15" t="s">
        <v>182</v>
      </c>
      <c r="E220" s="15" t="s">
        <v>85</v>
      </c>
      <c r="F220" s="15">
        <v>68.0</v>
      </c>
      <c r="G220" s="15">
        <v>27.1</v>
      </c>
      <c r="H220" s="15" t="s">
        <v>786</v>
      </c>
      <c r="I220" s="15" t="s">
        <v>787</v>
      </c>
      <c r="J220" s="15">
        <v>1.8</v>
      </c>
      <c r="K220" s="15">
        <v>9.8</v>
      </c>
      <c r="L220" s="15">
        <v>3.0</v>
      </c>
      <c r="M220" s="15">
        <v>1.7</v>
      </c>
      <c r="N220" s="15">
        <v>0.7</v>
      </c>
      <c r="O220" s="15">
        <v>0.4</v>
      </c>
      <c r="P220" s="15">
        <v>1.2</v>
      </c>
      <c r="Q220" s="15">
        <v>-2.79</v>
      </c>
    </row>
    <row r="221">
      <c r="A221" s="15">
        <v>220.0</v>
      </c>
      <c r="B221" s="168"/>
      <c r="C221" s="30" t="s">
        <v>788</v>
      </c>
      <c r="D221" s="15" t="s">
        <v>67</v>
      </c>
      <c r="E221" s="15" t="s">
        <v>68</v>
      </c>
      <c r="F221" s="15">
        <v>74.0</v>
      </c>
      <c r="G221" s="15">
        <v>24.2</v>
      </c>
      <c r="H221" s="15" t="s">
        <v>789</v>
      </c>
      <c r="I221" s="15" t="s">
        <v>239</v>
      </c>
      <c r="J221" s="15">
        <v>1.5</v>
      </c>
      <c r="K221" s="15">
        <v>10.9</v>
      </c>
      <c r="L221" s="15">
        <v>2.4</v>
      </c>
      <c r="M221" s="15">
        <v>4.4</v>
      </c>
      <c r="N221" s="15">
        <v>0.6</v>
      </c>
      <c r="O221" s="15">
        <v>0.2</v>
      </c>
      <c r="P221" s="15">
        <v>1.2</v>
      </c>
      <c r="Q221" s="15">
        <v>-2.8</v>
      </c>
    </row>
    <row r="222">
      <c r="A222" s="15">
        <v>221.0</v>
      </c>
      <c r="B222" s="15">
        <v>138.6</v>
      </c>
      <c r="C222" s="30" t="s">
        <v>790</v>
      </c>
      <c r="D222" s="15" t="s">
        <v>182</v>
      </c>
      <c r="E222" s="15" t="s">
        <v>204</v>
      </c>
      <c r="F222" s="15">
        <v>70.0</v>
      </c>
      <c r="G222" s="15">
        <v>29.0</v>
      </c>
      <c r="H222" s="15" t="s">
        <v>791</v>
      </c>
      <c r="I222" s="15" t="s">
        <v>792</v>
      </c>
      <c r="J222" s="15">
        <v>1.8</v>
      </c>
      <c r="K222" s="15">
        <v>13.0</v>
      </c>
      <c r="L222" s="15">
        <v>3.2</v>
      </c>
      <c r="M222" s="15">
        <v>2.0</v>
      </c>
      <c r="N222" s="15">
        <v>0.9</v>
      </c>
      <c r="O222" s="15">
        <v>0.2</v>
      </c>
      <c r="P222" s="15">
        <v>1.3</v>
      </c>
      <c r="Q222" s="15">
        <v>-2.82</v>
      </c>
    </row>
    <row r="223">
      <c r="A223" s="15">
        <v>222.0</v>
      </c>
      <c r="B223" s="168"/>
      <c r="C223" s="30" t="s">
        <v>793</v>
      </c>
      <c r="D223" s="15" t="s">
        <v>182</v>
      </c>
      <c r="E223" s="15" t="s">
        <v>197</v>
      </c>
      <c r="F223" s="15">
        <v>64.0</v>
      </c>
      <c r="G223" s="15">
        <v>20.7</v>
      </c>
      <c r="H223" s="15" t="s">
        <v>794</v>
      </c>
      <c r="I223" s="15" t="s">
        <v>795</v>
      </c>
      <c r="J223" s="15">
        <v>0.8</v>
      </c>
      <c r="K223" s="15">
        <v>4.7</v>
      </c>
      <c r="L223" s="15">
        <v>4.4</v>
      </c>
      <c r="M223" s="15">
        <v>1.7</v>
      </c>
      <c r="N223" s="15">
        <v>1.0</v>
      </c>
      <c r="O223" s="15">
        <v>0.6</v>
      </c>
      <c r="P223" s="15">
        <v>0.7</v>
      </c>
      <c r="Q223" s="15">
        <v>-2.83</v>
      </c>
    </row>
    <row r="224">
      <c r="A224" s="15">
        <v>223.0</v>
      </c>
      <c r="B224" s="168"/>
      <c r="C224" s="30" t="s">
        <v>796</v>
      </c>
      <c r="D224" s="15" t="s">
        <v>98</v>
      </c>
      <c r="E224" s="15" t="s">
        <v>129</v>
      </c>
      <c r="F224" s="15">
        <v>76.0</v>
      </c>
      <c r="G224" s="15">
        <v>24.2</v>
      </c>
      <c r="H224" s="15" t="s">
        <v>797</v>
      </c>
      <c r="I224" s="15" t="s">
        <v>798</v>
      </c>
      <c r="J224" s="15">
        <v>1.8</v>
      </c>
      <c r="K224" s="15">
        <v>7.2</v>
      </c>
      <c r="L224" s="15">
        <v>4.3</v>
      </c>
      <c r="M224" s="15">
        <v>2.8</v>
      </c>
      <c r="N224" s="15">
        <v>0.7</v>
      </c>
      <c r="O224" s="15">
        <v>0.5</v>
      </c>
      <c r="P224" s="15">
        <v>1.1</v>
      </c>
      <c r="Q224" s="15">
        <v>-2.86</v>
      </c>
    </row>
    <row r="225">
      <c r="A225" s="15">
        <v>224.0</v>
      </c>
      <c r="B225" s="15">
        <v>142.2</v>
      </c>
      <c r="C225" s="30" t="s">
        <v>799</v>
      </c>
      <c r="D225" s="15" t="s">
        <v>98</v>
      </c>
      <c r="E225" s="15" t="s">
        <v>115</v>
      </c>
      <c r="F225" s="15">
        <v>69.0</v>
      </c>
      <c r="G225" s="15">
        <v>20.5</v>
      </c>
      <c r="H225" s="15" t="s">
        <v>800</v>
      </c>
      <c r="I225" s="15" t="s">
        <v>801</v>
      </c>
      <c r="J225" s="15">
        <v>0.3</v>
      </c>
      <c r="K225" s="15">
        <v>6.4</v>
      </c>
      <c r="L225" s="15">
        <v>3.6</v>
      </c>
      <c r="M225" s="15">
        <v>3.7</v>
      </c>
      <c r="N225" s="15">
        <v>0.8</v>
      </c>
      <c r="O225" s="15">
        <v>0.6</v>
      </c>
      <c r="P225" s="15">
        <v>1.1</v>
      </c>
      <c r="Q225" s="15">
        <v>-2.87</v>
      </c>
    </row>
    <row r="226">
      <c r="A226" s="15">
        <v>225.0</v>
      </c>
      <c r="B226" s="168"/>
      <c r="C226" s="30" t="s">
        <v>802</v>
      </c>
      <c r="D226" s="15" t="s">
        <v>34</v>
      </c>
      <c r="E226" s="15" t="s">
        <v>99</v>
      </c>
      <c r="F226" s="15">
        <v>67.0</v>
      </c>
      <c r="G226" s="15">
        <v>15.6</v>
      </c>
      <c r="H226" s="15" t="s">
        <v>803</v>
      </c>
      <c r="I226" s="15" t="s">
        <v>804</v>
      </c>
      <c r="J226" s="15">
        <v>0.0</v>
      </c>
      <c r="K226" s="15">
        <v>5.3</v>
      </c>
      <c r="L226" s="15">
        <v>4.0</v>
      </c>
      <c r="M226" s="15">
        <v>1.1</v>
      </c>
      <c r="N226" s="15">
        <v>0.3</v>
      </c>
      <c r="O226" s="15">
        <v>0.9</v>
      </c>
      <c r="P226" s="15">
        <v>0.4</v>
      </c>
      <c r="Q226" s="15">
        <v>-2.96</v>
      </c>
    </row>
    <row r="227">
      <c r="A227" s="15">
        <v>226.0</v>
      </c>
      <c r="B227" s="15">
        <v>144.4</v>
      </c>
      <c r="C227" s="30" t="s">
        <v>805</v>
      </c>
      <c r="D227" s="15" t="s">
        <v>98</v>
      </c>
      <c r="E227" s="15" t="s">
        <v>316</v>
      </c>
      <c r="F227" s="15">
        <v>62.0</v>
      </c>
      <c r="G227" s="15">
        <v>26.9</v>
      </c>
      <c r="H227" s="15" t="s">
        <v>806</v>
      </c>
      <c r="I227" s="15" t="s">
        <v>177</v>
      </c>
      <c r="J227" s="15">
        <v>2.2</v>
      </c>
      <c r="K227" s="15">
        <v>16.5</v>
      </c>
      <c r="L227" s="15">
        <v>2.9</v>
      </c>
      <c r="M227" s="15">
        <v>1.9</v>
      </c>
      <c r="N227" s="15">
        <v>0.5</v>
      </c>
      <c r="O227" s="15">
        <v>0.1</v>
      </c>
      <c r="P227" s="15">
        <v>1.8</v>
      </c>
      <c r="Q227" s="15">
        <v>-2.96</v>
      </c>
    </row>
    <row r="228">
      <c r="A228" s="15">
        <v>227.0</v>
      </c>
      <c r="B228" s="168"/>
      <c r="C228" s="30" t="s">
        <v>807</v>
      </c>
      <c r="D228" s="15" t="s">
        <v>34</v>
      </c>
      <c r="E228" s="15" t="s">
        <v>316</v>
      </c>
      <c r="F228" s="15">
        <v>64.0</v>
      </c>
      <c r="G228" s="15">
        <v>18.0</v>
      </c>
      <c r="H228" s="15" t="s">
        <v>808</v>
      </c>
      <c r="I228" s="15" t="s">
        <v>809</v>
      </c>
      <c r="J228" s="15">
        <v>0.1</v>
      </c>
      <c r="K228" s="15">
        <v>8.0</v>
      </c>
      <c r="L228" s="15">
        <v>7.3</v>
      </c>
      <c r="M228" s="15">
        <v>1.5</v>
      </c>
      <c r="N228" s="15">
        <v>0.5</v>
      </c>
      <c r="O228" s="15">
        <v>0.9</v>
      </c>
      <c r="P228" s="15">
        <v>1.4</v>
      </c>
      <c r="Q228" s="15">
        <v>-2.99</v>
      </c>
    </row>
    <row r="229">
      <c r="A229" s="15">
        <v>228.0</v>
      </c>
      <c r="B229" s="168"/>
      <c r="C229" s="30" t="s">
        <v>810</v>
      </c>
      <c r="D229" s="15" t="s">
        <v>98</v>
      </c>
      <c r="E229" s="15" t="s">
        <v>121</v>
      </c>
      <c r="F229" s="15">
        <v>71.0</v>
      </c>
      <c r="G229" s="15">
        <v>27.0</v>
      </c>
      <c r="H229" s="15" t="s">
        <v>811</v>
      </c>
      <c r="I229" s="15" t="s">
        <v>812</v>
      </c>
      <c r="J229" s="15">
        <v>1.1</v>
      </c>
      <c r="K229" s="15">
        <v>8.8</v>
      </c>
      <c r="L229" s="15">
        <v>3.0</v>
      </c>
      <c r="M229" s="15">
        <v>1.7</v>
      </c>
      <c r="N229" s="15">
        <v>0.9</v>
      </c>
      <c r="O229" s="15">
        <v>0.5</v>
      </c>
      <c r="P229" s="15">
        <v>0.7</v>
      </c>
      <c r="Q229" s="15">
        <v>-2.99</v>
      </c>
    </row>
    <row r="230">
      <c r="A230" s="15">
        <v>229.0</v>
      </c>
      <c r="B230" s="168"/>
      <c r="C230" s="30" t="s">
        <v>813</v>
      </c>
      <c r="D230" s="15" t="s">
        <v>67</v>
      </c>
      <c r="E230" s="15" t="s">
        <v>85</v>
      </c>
      <c r="F230" s="15">
        <v>62.0</v>
      </c>
      <c r="G230" s="15">
        <v>16.8</v>
      </c>
      <c r="H230" s="15" t="s">
        <v>814</v>
      </c>
      <c r="I230" s="15" t="s">
        <v>815</v>
      </c>
      <c r="J230" s="15">
        <v>0.6</v>
      </c>
      <c r="K230" s="15">
        <v>5.0</v>
      </c>
      <c r="L230" s="15">
        <v>2.3</v>
      </c>
      <c r="M230" s="15">
        <v>2.7</v>
      </c>
      <c r="N230" s="15">
        <v>1.3</v>
      </c>
      <c r="O230" s="15">
        <v>0.2</v>
      </c>
      <c r="P230" s="15">
        <v>0.5</v>
      </c>
      <c r="Q230" s="15">
        <v>-2.99</v>
      </c>
    </row>
    <row r="231">
      <c r="A231" s="15">
        <v>230.0</v>
      </c>
      <c r="B231" s="15">
        <v>143.8</v>
      </c>
      <c r="C231" s="30" t="s">
        <v>816</v>
      </c>
      <c r="D231" s="15" t="s">
        <v>47</v>
      </c>
      <c r="E231" s="15" t="s">
        <v>250</v>
      </c>
      <c r="F231" s="15">
        <v>74.0</v>
      </c>
      <c r="G231" s="15">
        <v>25.1</v>
      </c>
      <c r="H231" s="15" t="s">
        <v>817</v>
      </c>
      <c r="I231" s="15" t="s">
        <v>818</v>
      </c>
      <c r="J231" s="15">
        <v>2.6</v>
      </c>
      <c r="K231" s="15">
        <v>11.1</v>
      </c>
      <c r="L231" s="15">
        <v>3.3</v>
      </c>
      <c r="M231" s="15">
        <v>1.3</v>
      </c>
      <c r="N231" s="15">
        <v>0.7</v>
      </c>
      <c r="O231" s="15">
        <v>0.1</v>
      </c>
      <c r="P231" s="15">
        <v>0.8</v>
      </c>
      <c r="Q231" s="15">
        <v>-3.05</v>
      </c>
    </row>
    <row r="232">
      <c r="A232" s="15">
        <v>231.0</v>
      </c>
      <c r="B232" s="168"/>
      <c r="C232" s="30" t="s">
        <v>819</v>
      </c>
      <c r="D232" s="15" t="s">
        <v>47</v>
      </c>
      <c r="E232" s="15" t="s">
        <v>42</v>
      </c>
      <c r="F232" s="15">
        <v>64.0</v>
      </c>
      <c r="G232" s="15">
        <v>23.0</v>
      </c>
      <c r="H232" s="15" t="s">
        <v>820</v>
      </c>
      <c r="I232" s="15" t="s">
        <v>821</v>
      </c>
      <c r="J232" s="15">
        <v>1.9</v>
      </c>
      <c r="K232" s="15">
        <v>10.5</v>
      </c>
      <c r="L232" s="15">
        <v>2.8</v>
      </c>
      <c r="M232" s="15">
        <v>2.2</v>
      </c>
      <c r="N232" s="15">
        <v>0.8</v>
      </c>
      <c r="O232" s="15">
        <v>0.3</v>
      </c>
      <c r="P232" s="15">
        <v>1.1</v>
      </c>
      <c r="Q232" s="15">
        <v>-3.1</v>
      </c>
    </row>
    <row r="233">
      <c r="A233" s="15">
        <v>232.0</v>
      </c>
      <c r="B233" s="15">
        <v>143.2</v>
      </c>
      <c r="C233" s="30" t="s">
        <v>822</v>
      </c>
      <c r="D233" s="15" t="s">
        <v>74</v>
      </c>
      <c r="E233" s="15" t="s">
        <v>35</v>
      </c>
      <c r="F233" s="15">
        <v>60.0</v>
      </c>
      <c r="G233" s="15">
        <v>17.7</v>
      </c>
      <c r="H233" s="15" t="s">
        <v>823</v>
      </c>
      <c r="I233" s="15" t="s">
        <v>824</v>
      </c>
      <c r="J233" s="15">
        <v>0.7</v>
      </c>
      <c r="K233" s="15">
        <v>9.1</v>
      </c>
      <c r="L233" s="15">
        <v>4.7</v>
      </c>
      <c r="M233" s="15">
        <v>2.3</v>
      </c>
      <c r="N233" s="15">
        <v>0.4</v>
      </c>
      <c r="O233" s="15">
        <v>0.6</v>
      </c>
      <c r="P233" s="15">
        <v>1.6</v>
      </c>
      <c r="Q233" s="15">
        <v>-3.13</v>
      </c>
    </row>
    <row r="234">
      <c r="A234" s="15">
        <v>233.0</v>
      </c>
      <c r="B234" s="15">
        <v>143.1</v>
      </c>
      <c r="C234" s="30" t="s">
        <v>825</v>
      </c>
      <c r="D234" s="15" t="s">
        <v>74</v>
      </c>
      <c r="E234" s="15" t="s">
        <v>160</v>
      </c>
      <c r="F234" s="15">
        <v>77.0</v>
      </c>
      <c r="G234" s="15">
        <v>25.9</v>
      </c>
      <c r="H234" s="15" t="s">
        <v>826</v>
      </c>
      <c r="I234" s="15" t="s">
        <v>827</v>
      </c>
      <c r="J234" s="15">
        <v>1.5</v>
      </c>
      <c r="K234" s="15">
        <v>8.9</v>
      </c>
      <c r="L234" s="15">
        <v>4.3</v>
      </c>
      <c r="M234" s="15">
        <v>1.9</v>
      </c>
      <c r="N234" s="15">
        <v>0.5</v>
      </c>
      <c r="O234" s="15">
        <v>0.4</v>
      </c>
      <c r="P234" s="15">
        <v>1.2</v>
      </c>
      <c r="Q234" s="15">
        <v>-3.15</v>
      </c>
    </row>
    <row r="235">
      <c r="A235" s="15">
        <v>234.0</v>
      </c>
      <c r="B235" s="15">
        <v>140.3</v>
      </c>
      <c r="C235" s="30" t="s">
        <v>828</v>
      </c>
      <c r="D235" s="15" t="s">
        <v>594</v>
      </c>
      <c r="E235" s="15" t="s">
        <v>316</v>
      </c>
      <c r="F235" s="15">
        <v>68.0</v>
      </c>
      <c r="G235" s="15">
        <v>27.4</v>
      </c>
      <c r="H235" s="15" t="s">
        <v>829</v>
      </c>
      <c r="I235" s="15" t="s">
        <v>830</v>
      </c>
      <c r="J235" s="15">
        <v>1.6</v>
      </c>
      <c r="K235" s="15">
        <v>7.8</v>
      </c>
      <c r="L235" s="15">
        <v>4.4</v>
      </c>
      <c r="M235" s="15">
        <v>1.4</v>
      </c>
      <c r="N235" s="15">
        <v>0.8</v>
      </c>
      <c r="O235" s="15">
        <v>0.5</v>
      </c>
      <c r="P235" s="15">
        <v>0.8</v>
      </c>
      <c r="Q235" s="15">
        <v>-3.18</v>
      </c>
    </row>
    <row r="236">
      <c r="A236" s="15">
        <v>235.0</v>
      </c>
      <c r="B236" s="168"/>
      <c r="C236" s="30" t="s">
        <v>831</v>
      </c>
      <c r="D236" s="15" t="s">
        <v>74</v>
      </c>
      <c r="E236" s="15" t="s">
        <v>250</v>
      </c>
      <c r="F236" s="15">
        <v>62.0</v>
      </c>
      <c r="G236" s="15">
        <v>14.2</v>
      </c>
      <c r="H236" s="15" t="s">
        <v>832</v>
      </c>
      <c r="I236" s="15" t="s">
        <v>833</v>
      </c>
      <c r="J236" s="15">
        <v>0.1</v>
      </c>
      <c r="K236" s="15">
        <v>5.4</v>
      </c>
      <c r="L236" s="15">
        <v>4.6</v>
      </c>
      <c r="M236" s="15">
        <v>0.8</v>
      </c>
      <c r="N236" s="15">
        <v>0.7</v>
      </c>
      <c r="O236" s="15">
        <v>0.8</v>
      </c>
      <c r="P236" s="15">
        <v>0.7</v>
      </c>
      <c r="Q236" s="15">
        <v>-3.24</v>
      </c>
    </row>
    <row r="237">
      <c r="A237" s="15">
        <v>236.0</v>
      </c>
      <c r="B237" s="168"/>
      <c r="C237" s="30" t="s">
        <v>834</v>
      </c>
      <c r="D237" s="15" t="s">
        <v>74</v>
      </c>
      <c r="E237" s="15" t="s">
        <v>42</v>
      </c>
      <c r="F237" s="15">
        <v>65.0</v>
      </c>
      <c r="G237" s="15">
        <v>18.4</v>
      </c>
      <c r="H237" s="15" t="s">
        <v>835</v>
      </c>
      <c r="I237" s="15" t="s">
        <v>836</v>
      </c>
      <c r="J237" s="15">
        <v>1.2</v>
      </c>
      <c r="K237" s="15">
        <v>8.6</v>
      </c>
      <c r="L237" s="15">
        <v>4.8</v>
      </c>
      <c r="M237" s="15">
        <v>2.1</v>
      </c>
      <c r="N237" s="15">
        <v>0.5</v>
      </c>
      <c r="O237" s="15">
        <v>0.2</v>
      </c>
      <c r="P237" s="15">
        <v>1.3</v>
      </c>
      <c r="Q237" s="15">
        <v>-3.25</v>
      </c>
    </row>
    <row r="238">
      <c r="A238" s="15">
        <v>237.0</v>
      </c>
      <c r="B238" s="168"/>
      <c r="C238" s="30" t="s">
        <v>837</v>
      </c>
      <c r="D238" s="15" t="s">
        <v>74</v>
      </c>
      <c r="E238" s="15" t="s">
        <v>75</v>
      </c>
      <c r="F238" s="15">
        <v>52.0</v>
      </c>
      <c r="G238" s="15">
        <v>17.2</v>
      </c>
      <c r="H238" s="15" t="s">
        <v>838</v>
      </c>
      <c r="I238" s="15" t="s">
        <v>839</v>
      </c>
      <c r="J238" s="15">
        <v>0.9</v>
      </c>
      <c r="K238" s="15">
        <v>9.7</v>
      </c>
      <c r="L238" s="15">
        <v>5.0</v>
      </c>
      <c r="M238" s="15">
        <v>1.1</v>
      </c>
      <c r="N238" s="15">
        <v>0.3</v>
      </c>
      <c r="O238" s="15">
        <v>0.7</v>
      </c>
      <c r="P238" s="15">
        <v>1.1</v>
      </c>
      <c r="Q238" s="15">
        <v>-3.34</v>
      </c>
    </row>
    <row r="239">
      <c r="A239" s="15">
        <v>238.0</v>
      </c>
      <c r="B239" s="168"/>
      <c r="C239" s="30" t="s">
        <v>840</v>
      </c>
      <c r="D239" s="15" t="s">
        <v>46</v>
      </c>
      <c r="E239" s="15" t="s">
        <v>183</v>
      </c>
      <c r="F239" s="15">
        <v>68.0</v>
      </c>
      <c r="G239" s="15">
        <v>22.8</v>
      </c>
      <c r="H239" s="15" t="s">
        <v>841</v>
      </c>
      <c r="I239" s="15" t="s">
        <v>842</v>
      </c>
      <c r="J239" s="15">
        <v>1.6</v>
      </c>
      <c r="K239" s="15">
        <v>11.0</v>
      </c>
      <c r="L239" s="15">
        <v>2.1</v>
      </c>
      <c r="M239" s="15">
        <v>2.8</v>
      </c>
      <c r="N239" s="15">
        <v>0.7</v>
      </c>
      <c r="O239" s="15">
        <v>0.0</v>
      </c>
      <c r="P239" s="15">
        <v>1.4</v>
      </c>
      <c r="Q239" s="15">
        <v>-3.35</v>
      </c>
    </row>
    <row r="240">
      <c r="A240" s="15">
        <v>239.0</v>
      </c>
      <c r="B240" s="168"/>
      <c r="C240" s="30" t="s">
        <v>843</v>
      </c>
      <c r="D240" s="15" t="s">
        <v>74</v>
      </c>
      <c r="E240" s="15" t="s">
        <v>99</v>
      </c>
      <c r="F240" s="15">
        <v>62.0</v>
      </c>
      <c r="G240" s="15">
        <v>20.2</v>
      </c>
      <c r="H240" s="15" t="s">
        <v>844</v>
      </c>
      <c r="I240" s="15" t="s">
        <v>845</v>
      </c>
      <c r="J240" s="15">
        <v>0.7</v>
      </c>
      <c r="K240" s="15">
        <v>7.2</v>
      </c>
      <c r="L240" s="15">
        <v>4.9</v>
      </c>
      <c r="M240" s="15">
        <v>1.6</v>
      </c>
      <c r="N240" s="15">
        <v>1.0</v>
      </c>
      <c r="O240" s="15">
        <v>0.7</v>
      </c>
      <c r="P240" s="15">
        <v>0.7</v>
      </c>
      <c r="Q240" s="15">
        <v>-3.41</v>
      </c>
    </row>
    <row r="241">
      <c r="A241" s="15">
        <v>240.0</v>
      </c>
      <c r="B241" s="15">
        <v>143.5</v>
      </c>
      <c r="C241" s="30" t="s">
        <v>846</v>
      </c>
      <c r="D241" s="15" t="s">
        <v>182</v>
      </c>
      <c r="E241" s="15" t="s">
        <v>138</v>
      </c>
      <c r="F241" s="15">
        <v>68.0</v>
      </c>
      <c r="G241" s="15">
        <v>28.2</v>
      </c>
      <c r="H241" s="15" t="s">
        <v>847</v>
      </c>
      <c r="I241" s="15" t="s">
        <v>848</v>
      </c>
      <c r="J241" s="15">
        <v>2.0</v>
      </c>
      <c r="K241" s="15">
        <v>11.4</v>
      </c>
      <c r="L241" s="15">
        <v>2.9</v>
      </c>
      <c r="M241" s="15">
        <v>1.5</v>
      </c>
      <c r="N241" s="15">
        <v>0.8</v>
      </c>
      <c r="O241" s="15">
        <v>0.0</v>
      </c>
      <c r="P241" s="15">
        <v>1.1</v>
      </c>
      <c r="Q241" s="15">
        <v>-3.51</v>
      </c>
    </row>
    <row r="242">
      <c r="A242" s="15">
        <v>241.0</v>
      </c>
      <c r="B242" s="168"/>
      <c r="C242" s="30" t="s">
        <v>849</v>
      </c>
      <c r="D242" s="15" t="s">
        <v>48</v>
      </c>
      <c r="E242" s="15" t="s">
        <v>250</v>
      </c>
      <c r="F242" s="15">
        <v>67.0</v>
      </c>
      <c r="G242" s="15">
        <v>25.4</v>
      </c>
      <c r="H242" s="15" t="s">
        <v>850</v>
      </c>
      <c r="I242" s="15" t="s">
        <v>851</v>
      </c>
      <c r="J242" s="15">
        <v>0.5</v>
      </c>
      <c r="K242" s="15">
        <v>10.3</v>
      </c>
      <c r="L242" s="15">
        <v>3.7</v>
      </c>
      <c r="M242" s="15">
        <v>1.7</v>
      </c>
      <c r="N242" s="15">
        <v>1.3</v>
      </c>
      <c r="O242" s="15">
        <v>0.4</v>
      </c>
      <c r="P242" s="15">
        <v>1.6</v>
      </c>
      <c r="Q242" s="15">
        <v>-3.53</v>
      </c>
    </row>
    <row r="243">
      <c r="A243" s="15">
        <v>242.0</v>
      </c>
      <c r="B243" s="168"/>
      <c r="C243" s="30" t="s">
        <v>852</v>
      </c>
      <c r="D243" s="15" t="s">
        <v>34</v>
      </c>
      <c r="E243" s="15" t="s">
        <v>103</v>
      </c>
      <c r="F243" s="15">
        <v>58.0</v>
      </c>
      <c r="G243" s="15">
        <v>15.8</v>
      </c>
      <c r="H243" s="15" t="s">
        <v>853</v>
      </c>
      <c r="I243" s="15" t="s">
        <v>854</v>
      </c>
      <c r="J243" s="15">
        <v>0.8</v>
      </c>
      <c r="K243" s="15">
        <v>6.1</v>
      </c>
      <c r="L243" s="15">
        <v>4.9</v>
      </c>
      <c r="M243" s="15">
        <v>0.9</v>
      </c>
      <c r="N243" s="15">
        <v>0.4</v>
      </c>
      <c r="O243" s="15">
        <v>1.1</v>
      </c>
      <c r="P243" s="15">
        <v>0.7</v>
      </c>
      <c r="Q243" s="15">
        <v>-3.57</v>
      </c>
    </row>
    <row r="244">
      <c r="A244" s="15">
        <v>243.0</v>
      </c>
      <c r="B244" s="168"/>
      <c r="C244" s="30" t="s">
        <v>855</v>
      </c>
      <c r="D244" s="15" t="s">
        <v>98</v>
      </c>
      <c r="E244" s="15" t="s">
        <v>103</v>
      </c>
      <c r="F244" s="15">
        <v>64.0</v>
      </c>
      <c r="G244" s="15">
        <v>21.8</v>
      </c>
      <c r="H244" s="15" t="s">
        <v>856</v>
      </c>
      <c r="I244" s="15" t="s">
        <v>857</v>
      </c>
      <c r="J244" s="15">
        <v>0.9</v>
      </c>
      <c r="K244" s="15">
        <v>8.0</v>
      </c>
      <c r="L244" s="15">
        <v>3.3</v>
      </c>
      <c r="M244" s="15">
        <v>0.9</v>
      </c>
      <c r="N244" s="15">
        <v>0.7</v>
      </c>
      <c r="O244" s="15">
        <v>0.7</v>
      </c>
      <c r="P244" s="15">
        <v>0.7</v>
      </c>
      <c r="Q244" s="15">
        <v>-3.62</v>
      </c>
    </row>
    <row r="245">
      <c r="A245" s="15">
        <v>244.0</v>
      </c>
      <c r="B245" s="168"/>
      <c r="C245" s="30" t="s">
        <v>858</v>
      </c>
      <c r="D245" s="15" t="s">
        <v>67</v>
      </c>
      <c r="E245" s="15" t="s">
        <v>58</v>
      </c>
      <c r="F245" s="15">
        <v>75.0</v>
      </c>
      <c r="G245" s="15">
        <v>18.0</v>
      </c>
      <c r="H245" s="15" t="s">
        <v>859</v>
      </c>
      <c r="I245" s="15" t="s">
        <v>860</v>
      </c>
      <c r="J245" s="15">
        <v>2.0</v>
      </c>
      <c r="K245" s="15">
        <v>8.5</v>
      </c>
      <c r="L245" s="15">
        <v>2.3</v>
      </c>
      <c r="M245" s="15">
        <v>1.2</v>
      </c>
      <c r="N245" s="15">
        <v>0.6</v>
      </c>
      <c r="O245" s="15">
        <v>0.2</v>
      </c>
      <c r="P245" s="15">
        <v>0.6</v>
      </c>
      <c r="Q245" s="15">
        <v>-3.72</v>
      </c>
    </row>
    <row r="246">
      <c r="A246" s="15">
        <v>245.0</v>
      </c>
      <c r="B246" s="168"/>
      <c r="C246" s="30" t="s">
        <v>861</v>
      </c>
      <c r="D246" s="15" t="s">
        <v>182</v>
      </c>
      <c r="E246" s="15" t="s">
        <v>68</v>
      </c>
      <c r="F246" s="15">
        <v>58.0</v>
      </c>
      <c r="G246" s="15">
        <v>21.4</v>
      </c>
      <c r="H246" s="15" t="s">
        <v>862</v>
      </c>
      <c r="I246" s="15" t="s">
        <v>863</v>
      </c>
      <c r="J246" s="15">
        <v>0.9</v>
      </c>
      <c r="K246" s="15">
        <v>8.5</v>
      </c>
      <c r="L246" s="15">
        <v>3.8</v>
      </c>
      <c r="M246" s="15">
        <v>2.3</v>
      </c>
      <c r="N246" s="15">
        <v>0.8</v>
      </c>
      <c r="O246" s="15">
        <v>0.2</v>
      </c>
      <c r="P246" s="15">
        <v>1.2</v>
      </c>
      <c r="Q246" s="15">
        <v>-3.76</v>
      </c>
    </row>
    <row r="247">
      <c r="A247" s="15">
        <v>246.0</v>
      </c>
      <c r="B247" s="168"/>
      <c r="C247" s="30" t="s">
        <v>864</v>
      </c>
      <c r="D247" s="15" t="s">
        <v>46</v>
      </c>
      <c r="E247" s="15" t="s">
        <v>312</v>
      </c>
      <c r="F247" s="15">
        <v>68.0</v>
      </c>
      <c r="G247" s="15">
        <v>28.7</v>
      </c>
      <c r="H247" s="15" t="s">
        <v>865</v>
      </c>
      <c r="I247" s="15" t="s">
        <v>866</v>
      </c>
      <c r="J247" s="15">
        <v>1.6</v>
      </c>
      <c r="K247" s="15">
        <v>11.0</v>
      </c>
      <c r="L247" s="15">
        <v>4.1</v>
      </c>
      <c r="M247" s="15">
        <v>3.3</v>
      </c>
      <c r="N247" s="15">
        <v>0.5</v>
      </c>
      <c r="O247" s="15">
        <v>0.2</v>
      </c>
      <c r="P247" s="15">
        <v>1.5</v>
      </c>
      <c r="Q247" s="15">
        <v>-3.76</v>
      </c>
    </row>
    <row r="248">
      <c r="A248" s="15">
        <v>247.0</v>
      </c>
      <c r="B248" s="168"/>
      <c r="C248" s="30" t="s">
        <v>867</v>
      </c>
      <c r="D248" s="15" t="s">
        <v>67</v>
      </c>
      <c r="E248" s="15" t="s">
        <v>103</v>
      </c>
      <c r="F248" s="15">
        <v>66.0</v>
      </c>
      <c r="G248" s="15">
        <v>18.0</v>
      </c>
      <c r="H248" s="15" t="s">
        <v>868</v>
      </c>
      <c r="I248" s="15" t="s">
        <v>631</v>
      </c>
      <c r="J248" s="15">
        <v>1.8</v>
      </c>
      <c r="K248" s="15">
        <v>10.2</v>
      </c>
      <c r="L248" s="15">
        <v>2.1</v>
      </c>
      <c r="M248" s="15">
        <v>3.0</v>
      </c>
      <c r="N248" s="15">
        <v>0.7</v>
      </c>
      <c r="O248" s="15">
        <v>0.2</v>
      </c>
      <c r="P248" s="15">
        <v>1.4</v>
      </c>
      <c r="Q248" s="15">
        <v>-3.78</v>
      </c>
    </row>
    <row r="249">
      <c r="A249" s="15">
        <v>248.0</v>
      </c>
      <c r="B249" s="168"/>
      <c r="C249" s="30" t="s">
        <v>869</v>
      </c>
      <c r="D249" s="15" t="s">
        <v>98</v>
      </c>
      <c r="E249" s="15" t="s">
        <v>197</v>
      </c>
      <c r="F249" s="15">
        <v>64.0</v>
      </c>
      <c r="G249" s="15">
        <v>22.6</v>
      </c>
      <c r="H249" s="15" t="s">
        <v>870</v>
      </c>
      <c r="I249" s="15" t="s">
        <v>871</v>
      </c>
      <c r="J249" s="15">
        <v>1.9</v>
      </c>
      <c r="K249" s="15">
        <v>12.9</v>
      </c>
      <c r="L249" s="15">
        <v>3.6</v>
      </c>
      <c r="M249" s="15">
        <v>1.1</v>
      </c>
      <c r="N249" s="15">
        <v>0.5</v>
      </c>
      <c r="O249" s="15">
        <v>0.4</v>
      </c>
      <c r="P249" s="15">
        <v>1.2</v>
      </c>
      <c r="Q249" s="15">
        <v>-3.81</v>
      </c>
    </row>
    <row r="250">
      <c r="A250" s="15">
        <v>249.0</v>
      </c>
      <c r="B250" s="168"/>
      <c r="C250" s="30" t="s">
        <v>872</v>
      </c>
      <c r="D250" s="15" t="s">
        <v>34</v>
      </c>
      <c r="E250" s="15" t="s">
        <v>99</v>
      </c>
      <c r="F250" s="15">
        <v>36.0</v>
      </c>
      <c r="G250" s="15">
        <v>12.1</v>
      </c>
      <c r="H250" s="15" t="s">
        <v>873</v>
      </c>
      <c r="I250" s="15" t="s">
        <v>874</v>
      </c>
      <c r="J250" s="15">
        <v>0.0</v>
      </c>
      <c r="K250" s="15">
        <v>5.6</v>
      </c>
      <c r="L250" s="15">
        <v>4.5</v>
      </c>
      <c r="M250" s="15">
        <v>0.7</v>
      </c>
      <c r="N250" s="15">
        <v>0.4</v>
      </c>
      <c r="O250" s="15">
        <v>0.8</v>
      </c>
      <c r="P250" s="15">
        <v>0.5</v>
      </c>
      <c r="Q250" s="15">
        <v>-3.84</v>
      </c>
    </row>
    <row r="251">
      <c r="A251" s="15">
        <v>250.0</v>
      </c>
      <c r="B251" s="168"/>
      <c r="C251" s="30" t="s">
        <v>875</v>
      </c>
      <c r="D251" s="15" t="s">
        <v>67</v>
      </c>
      <c r="E251" s="15" t="s">
        <v>197</v>
      </c>
      <c r="F251" s="15">
        <v>34.0</v>
      </c>
      <c r="G251" s="15">
        <v>14.5</v>
      </c>
      <c r="H251" s="15" t="s">
        <v>876</v>
      </c>
      <c r="I251" s="15" t="s">
        <v>877</v>
      </c>
      <c r="J251" s="15">
        <v>0.8</v>
      </c>
      <c r="K251" s="15">
        <v>7.5</v>
      </c>
      <c r="L251" s="15">
        <v>1.9</v>
      </c>
      <c r="M251" s="15">
        <v>2.6</v>
      </c>
      <c r="N251" s="15">
        <v>1.0</v>
      </c>
      <c r="O251" s="15">
        <v>0.3</v>
      </c>
      <c r="P251" s="15">
        <v>1.5</v>
      </c>
      <c r="Q251" s="15">
        <v>-3.86</v>
      </c>
    </row>
    <row r="252">
      <c r="A252" s="15">
        <v>251.0</v>
      </c>
      <c r="B252" s="168"/>
      <c r="C252" s="30" t="s">
        <v>878</v>
      </c>
      <c r="D252" s="15" t="s">
        <v>98</v>
      </c>
      <c r="E252" s="15" t="s">
        <v>172</v>
      </c>
      <c r="F252" s="15">
        <v>60.0</v>
      </c>
      <c r="G252" s="15">
        <v>23.4</v>
      </c>
      <c r="H252" s="15" t="s">
        <v>879</v>
      </c>
      <c r="I252" s="15" t="s">
        <v>880</v>
      </c>
      <c r="J252" s="15">
        <v>1.4</v>
      </c>
      <c r="K252" s="15">
        <v>9.8</v>
      </c>
      <c r="L252" s="15">
        <v>4.1</v>
      </c>
      <c r="M252" s="15">
        <v>2.2</v>
      </c>
      <c r="N252" s="15">
        <v>0.5</v>
      </c>
      <c r="O252" s="15">
        <v>0.2</v>
      </c>
      <c r="P252" s="15">
        <v>1.9</v>
      </c>
      <c r="Q252" s="15">
        <v>-3.92</v>
      </c>
    </row>
    <row r="253">
      <c r="A253" s="15">
        <v>252.0</v>
      </c>
      <c r="B253" s="15">
        <v>143.9</v>
      </c>
      <c r="C253" s="30" t="s">
        <v>881</v>
      </c>
      <c r="D253" s="15" t="s">
        <v>74</v>
      </c>
      <c r="E253" s="15" t="s">
        <v>164</v>
      </c>
      <c r="F253" s="15">
        <v>64.0</v>
      </c>
      <c r="G253" s="15">
        <v>20.4</v>
      </c>
      <c r="H253" s="15" t="s">
        <v>882</v>
      </c>
      <c r="I253" s="15" t="s">
        <v>883</v>
      </c>
      <c r="J253" s="15">
        <v>0.4</v>
      </c>
      <c r="K253" s="15">
        <v>7.7</v>
      </c>
      <c r="L253" s="15">
        <v>5.8</v>
      </c>
      <c r="M253" s="15">
        <v>1.1</v>
      </c>
      <c r="N253" s="15">
        <v>0.5</v>
      </c>
      <c r="O253" s="15">
        <v>0.7</v>
      </c>
      <c r="P253" s="15">
        <v>1.0</v>
      </c>
      <c r="Q253" s="15">
        <v>-4.01</v>
      </c>
    </row>
    <row r="254">
      <c r="A254" s="15">
        <v>253.0</v>
      </c>
      <c r="B254" s="168"/>
      <c r="C254" s="30" t="s">
        <v>884</v>
      </c>
      <c r="D254" s="15" t="s">
        <v>46</v>
      </c>
      <c r="E254" s="15" t="s">
        <v>250</v>
      </c>
      <c r="F254" s="15">
        <v>68.0</v>
      </c>
      <c r="G254" s="15">
        <v>19.0</v>
      </c>
      <c r="H254" s="15" t="s">
        <v>885</v>
      </c>
      <c r="I254" s="15" t="s">
        <v>886</v>
      </c>
      <c r="J254" s="15">
        <v>1.3</v>
      </c>
      <c r="K254" s="15">
        <v>8.3</v>
      </c>
      <c r="L254" s="15">
        <v>1.8</v>
      </c>
      <c r="M254" s="15">
        <v>3.4</v>
      </c>
      <c r="N254" s="15">
        <v>0.6</v>
      </c>
      <c r="O254" s="15">
        <v>0.2</v>
      </c>
      <c r="P254" s="15">
        <v>1.3</v>
      </c>
      <c r="Q254" s="15">
        <v>-4.02</v>
      </c>
    </row>
    <row r="255">
      <c r="A255" s="15">
        <v>254.0</v>
      </c>
      <c r="B255" s="168"/>
      <c r="C255" s="30" t="s">
        <v>887</v>
      </c>
      <c r="D255" s="15" t="s">
        <v>74</v>
      </c>
      <c r="E255" s="15" t="s">
        <v>168</v>
      </c>
      <c r="F255" s="15">
        <v>62.0</v>
      </c>
      <c r="G255" s="15">
        <v>19.4</v>
      </c>
      <c r="H255" s="15" t="s">
        <v>888</v>
      </c>
      <c r="I255" s="15" t="s">
        <v>889</v>
      </c>
      <c r="J255" s="15">
        <v>1.4</v>
      </c>
      <c r="K255" s="15">
        <v>8.0</v>
      </c>
      <c r="L255" s="15">
        <v>4.5</v>
      </c>
      <c r="M255" s="15">
        <v>1.1</v>
      </c>
      <c r="N255" s="15">
        <v>0.4</v>
      </c>
      <c r="O255" s="15">
        <v>0.4</v>
      </c>
      <c r="P255" s="15">
        <v>0.8</v>
      </c>
      <c r="Q255" s="15">
        <v>-4.04</v>
      </c>
    </row>
    <row r="256">
      <c r="A256" s="15">
        <v>255.0</v>
      </c>
      <c r="B256" s="15">
        <v>145.1</v>
      </c>
      <c r="C256" s="30" t="s">
        <v>890</v>
      </c>
      <c r="D256" s="15" t="s">
        <v>74</v>
      </c>
      <c r="E256" s="15" t="s">
        <v>250</v>
      </c>
      <c r="F256" s="15">
        <v>54.0</v>
      </c>
      <c r="G256" s="15">
        <v>22.0</v>
      </c>
      <c r="H256" s="15" t="s">
        <v>891</v>
      </c>
      <c r="I256" s="15" t="s">
        <v>892</v>
      </c>
      <c r="J256" s="15">
        <v>1.1</v>
      </c>
      <c r="K256" s="15">
        <v>8.4</v>
      </c>
      <c r="L256" s="15">
        <v>5.6</v>
      </c>
      <c r="M256" s="15">
        <v>1.1</v>
      </c>
      <c r="N256" s="15">
        <v>0.3</v>
      </c>
      <c r="O256" s="15">
        <v>0.6</v>
      </c>
      <c r="P256" s="15">
        <v>1.1</v>
      </c>
      <c r="Q256" s="15">
        <v>-4.05</v>
      </c>
    </row>
    <row r="257">
      <c r="A257" s="15">
        <v>256.0</v>
      </c>
      <c r="B257" s="168"/>
      <c r="C257" s="30" t="s">
        <v>893</v>
      </c>
      <c r="D257" s="15" t="s">
        <v>98</v>
      </c>
      <c r="E257" s="15" t="s">
        <v>121</v>
      </c>
      <c r="F257" s="15">
        <v>78.0</v>
      </c>
      <c r="G257" s="15">
        <v>21.4</v>
      </c>
      <c r="H257" s="15" t="s">
        <v>894</v>
      </c>
      <c r="I257" s="15" t="s">
        <v>895</v>
      </c>
      <c r="J257" s="15">
        <v>2.0</v>
      </c>
      <c r="K257" s="15">
        <v>9.1</v>
      </c>
      <c r="L257" s="15">
        <v>3.0</v>
      </c>
      <c r="M257" s="15">
        <v>1.1</v>
      </c>
      <c r="N257" s="15">
        <v>0.4</v>
      </c>
      <c r="O257" s="15">
        <v>0.2</v>
      </c>
      <c r="P257" s="15">
        <v>0.8</v>
      </c>
      <c r="Q257" s="15">
        <v>-4.09</v>
      </c>
    </row>
    <row r="258">
      <c r="A258" s="15">
        <v>257.0</v>
      </c>
      <c r="B258" s="168"/>
      <c r="C258" s="30" t="s">
        <v>896</v>
      </c>
      <c r="D258" s="15" t="s">
        <v>46</v>
      </c>
      <c r="E258" s="15" t="s">
        <v>237</v>
      </c>
      <c r="F258" s="15">
        <v>60.0</v>
      </c>
      <c r="G258" s="15">
        <v>18.0</v>
      </c>
      <c r="H258" s="15" t="s">
        <v>897</v>
      </c>
      <c r="I258" s="15" t="s">
        <v>898</v>
      </c>
      <c r="J258" s="15">
        <v>1.3</v>
      </c>
      <c r="K258" s="15">
        <v>7.4</v>
      </c>
      <c r="L258" s="15">
        <v>2.1</v>
      </c>
      <c r="M258" s="15">
        <v>2.4</v>
      </c>
      <c r="N258" s="15">
        <v>1.0</v>
      </c>
      <c r="O258" s="15">
        <v>0.2</v>
      </c>
      <c r="P258" s="15">
        <v>0.9</v>
      </c>
      <c r="Q258" s="15">
        <v>-4.12</v>
      </c>
    </row>
    <row r="259">
      <c r="A259" s="15">
        <v>258.0</v>
      </c>
      <c r="B259" s="168"/>
      <c r="C259" s="30" t="s">
        <v>899</v>
      </c>
      <c r="D259" s="15" t="s">
        <v>98</v>
      </c>
      <c r="E259" s="15" t="s">
        <v>312</v>
      </c>
      <c r="F259" s="15">
        <v>10.0</v>
      </c>
      <c r="G259" s="15">
        <v>20.6</v>
      </c>
      <c r="H259" s="15" t="s">
        <v>900</v>
      </c>
      <c r="I259" s="15" t="s">
        <v>901</v>
      </c>
      <c r="J259" s="15">
        <v>1.3</v>
      </c>
      <c r="K259" s="15">
        <v>9.3</v>
      </c>
      <c r="L259" s="15">
        <v>3.7</v>
      </c>
      <c r="M259" s="15">
        <v>1.0</v>
      </c>
      <c r="N259" s="15">
        <v>0.6</v>
      </c>
      <c r="O259" s="15">
        <v>0.1</v>
      </c>
      <c r="P259" s="15">
        <v>0.6</v>
      </c>
      <c r="Q259" s="15">
        <v>-4.14</v>
      </c>
    </row>
    <row r="260">
      <c r="A260" s="15">
        <v>259.0</v>
      </c>
      <c r="B260" s="168"/>
      <c r="C260" s="30" t="s">
        <v>902</v>
      </c>
      <c r="D260" s="15" t="s">
        <v>67</v>
      </c>
      <c r="E260" s="15" t="s">
        <v>81</v>
      </c>
      <c r="F260" s="15">
        <v>71.0</v>
      </c>
      <c r="G260" s="15">
        <v>22.4</v>
      </c>
      <c r="H260" s="15" t="s">
        <v>903</v>
      </c>
      <c r="I260" s="15" t="s">
        <v>904</v>
      </c>
      <c r="J260" s="15">
        <v>1.3</v>
      </c>
      <c r="K260" s="15">
        <v>9.9</v>
      </c>
      <c r="L260" s="15">
        <v>2.0</v>
      </c>
      <c r="M260" s="15">
        <v>3.5</v>
      </c>
      <c r="N260" s="15">
        <v>0.6</v>
      </c>
      <c r="O260" s="15">
        <v>0.1</v>
      </c>
      <c r="P260" s="15">
        <v>1.4</v>
      </c>
      <c r="Q260" s="15">
        <v>-4.16</v>
      </c>
    </row>
    <row r="261">
      <c r="A261" s="15">
        <v>260.0</v>
      </c>
      <c r="B261" s="168"/>
      <c r="C261" s="30" t="s">
        <v>905</v>
      </c>
      <c r="D261" s="15" t="s">
        <v>34</v>
      </c>
      <c r="E261" s="15" t="s">
        <v>264</v>
      </c>
      <c r="F261" s="15">
        <v>60.0</v>
      </c>
      <c r="G261" s="15">
        <v>14.4</v>
      </c>
      <c r="H261" s="15" t="s">
        <v>906</v>
      </c>
      <c r="I261" s="15" t="s">
        <v>907</v>
      </c>
      <c r="J261" s="15">
        <v>0.1</v>
      </c>
      <c r="K261" s="15">
        <v>4.9</v>
      </c>
      <c r="L261" s="15">
        <v>4.4</v>
      </c>
      <c r="M261" s="15">
        <v>1.2</v>
      </c>
      <c r="N261" s="15">
        <v>0.5</v>
      </c>
      <c r="O261" s="15">
        <v>1.0</v>
      </c>
      <c r="P261" s="15">
        <v>0.7</v>
      </c>
      <c r="Q261" s="15">
        <v>-4.17</v>
      </c>
    </row>
    <row r="262">
      <c r="A262" s="15">
        <v>261.0</v>
      </c>
      <c r="B262" s="15">
        <v>141.7</v>
      </c>
      <c r="C262" s="30" t="s">
        <v>908</v>
      </c>
      <c r="D262" s="15" t="s">
        <v>46</v>
      </c>
      <c r="E262" s="15" t="s">
        <v>35</v>
      </c>
      <c r="F262" s="15">
        <v>68.0</v>
      </c>
      <c r="G262" s="15">
        <v>24.0</v>
      </c>
      <c r="H262" s="15" t="s">
        <v>909</v>
      </c>
      <c r="I262" s="15" t="s">
        <v>910</v>
      </c>
      <c r="J262" s="15">
        <v>0.4</v>
      </c>
      <c r="K262" s="15">
        <v>7.5</v>
      </c>
      <c r="L262" s="15">
        <v>3.1</v>
      </c>
      <c r="M262" s="15">
        <v>2.6</v>
      </c>
      <c r="N262" s="15">
        <v>0.8</v>
      </c>
      <c r="O262" s="15">
        <v>0.4</v>
      </c>
      <c r="P262" s="15">
        <v>1.0</v>
      </c>
      <c r="Q262" s="15">
        <v>-4.19</v>
      </c>
    </row>
    <row r="263">
      <c r="A263" s="15">
        <v>262.0</v>
      </c>
      <c r="B263" s="168"/>
      <c r="C263" s="30" t="s">
        <v>911</v>
      </c>
      <c r="D263" s="15" t="s">
        <v>182</v>
      </c>
      <c r="E263" s="15" t="s">
        <v>115</v>
      </c>
      <c r="F263" s="15">
        <v>42.0</v>
      </c>
      <c r="G263" s="15">
        <v>14.8</v>
      </c>
      <c r="H263" s="15" t="s">
        <v>912</v>
      </c>
      <c r="I263" s="15" t="s">
        <v>913</v>
      </c>
      <c r="J263" s="15">
        <v>0.5</v>
      </c>
      <c r="K263" s="15">
        <v>4.9</v>
      </c>
      <c r="L263" s="15">
        <v>2.6</v>
      </c>
      <c r="M263" s="15">
        <v>1.1</v>
      </c>
      <c r="N263" s="15">
        <v>0.9</v>
      </c>
      <c r="O263" s="15">
        <v>0.3</v>
      </c>
      <c r="P263" s="15">
        <v>0.6</v>
      </c>
      <c r="Q263" s="15">
        <v>-4.2</v>
      </c>
    </row>
    <row r="264">
      <c r="A264" s="15">
        <v>263.0</v>
      </c>
      <c r="B264" s="15">
        <v>145.3</v>
      </c>
      <c r="C264" s="30" t="s">
        <v>914</v>
      </c>
      <c r="D264" s="15" t="s">
        <v>48</v>
      </c>
      <c r="E264" s="15" t="s">
        <v>271</v>
      </c>
      <c r="F264" s="15">
        <v>60.0</v>
      </c>
      <c r="G264" s="15">
        <v>23.8</v>
      </c>
      <c r="H264" s="15" t="s">
        <v>915</v>
      </c>
      <c r="I264" s="15" t="s">
        <v>916</v>
      </c>
      <c r="J264" s="15">
        <v>0.5</v>
      </c>
      <c r="K264" s="15">
        <v>7.4</v>
      </c>
      <c r="L264" s="15">
        <v>3.9</v>
      </c>
      <c r="M264" s="15">
        <v>1.1</v>
      </c>
      <c r="N264" s="15">
        <v>0.5</v>
      </c>
      <c r="O264" s="15">
        <v>1.2</v>
      </c>
      <c r="P264" s="15">
        <v>1.3</v>
      </c>
      <c r="Q264" s="15">
        <v>-4.2</v>
      </c>
    </row>
    <row r="265">
      <c r="A265" s="15">
        <v>264.0</v>
      </c>
      <c r="B265" s="168"/>
      <c r="C265" s="30" t="s">
        <v>917</v>
      </c>
      <c r="D265" s="15" t="s">
        <v>49</v>
      </c>
      <c r="E265" s="15" t="s">
        <v>138</v>
      </c>
      <c r="F265" s="15">
        <v>50.0</v>
      </c>
      <c r="G265" s="15">
        <v>15.4</v>
      </c>
      <c r="H265" s="15" t="s">
        <v>918</v>
      </c>
      <c r="I265" s="15" t="s">
        <v>919</v>
      </c>
      <c r="J265" s="15">
        <v>0.0</v>
      </c>
      <c r="K265" s="15">
        <v>5.7</v>
      </c>
      <c r="L265" s="15">
        <v>4.1</v>
      </c>
      <c r="M265" s="15">
        <v>1.5</v>
      </c>
      <c r="N265" s="15">
        <v>0.6</v>
      </c>
      <c r="O265" s="15">
        <v>0.3</v>
      </c>
      <c r="P265" s="15">
        <v>0.7</v>
      </c>
      <c r="Q265" s="15">
        <v>-4.22</v>
      </c>
    </row>
    <row r="266">
      <c r="A266" s="15">
        <v>265.0</v>
      </c>
      <c r="B266" s="168"/>
      <c r="C266" s="30" t="s">
        <v>920</v>
      </c>
      <c r="D266" s="15" t="s">
        <v>182</v>
      </c>
      <c r="E266" s="15" t="s">
        <v>115</v>
      </c>
      <c r="F266" s="15">
        <v>68.0</v>
      </c>
      <c r="G266" s="15">
        <v>19.8</v>
      </c>
      <c r="H266" s="15" t="s">
        <v>921</v>
      </c>
      <c r="I266" s="15" t="s">
        <v>922</v>
      </c>
      <c r="J266" s="15">
        <v>1.2</v>
      </c>
      <c r="K266" s="15">
        <v>8.5</v>
      </c>
      <c r="L266" s="15">
        <v>3.1</v>
      </c>
      <c r="M266" s="15">
        <v>1.1</v>
      </c>
      <c r="N266" s="15">
        <v>0.6</v>
      </c>
      <c r="O266" s="15">
        <v>0.3</v>
      </c>
      <c r="P266" s="15">
        <v>0.8</v>
      </c>
      <c r="Q266" s="15">
        <v>-4.25</v>
      </c>
    </row>
    <row r="267">
      <c r="A267" s="15">
        <v>266.0</v>
      </c>
      <c r="B267" s="168"/>
      <c r="C267" s="30" t="s">
        <v>923</v>
      </c>
      <c r="D267" s="15" t="s">
        <v>67</v>
      </c>
      <c r="E267" s="15" t="s">
        <v>316</v>
      </c>
      <c r="F267" s="15">
        <v>40.0</v>
      </c>
      <c r="G267" s="15">
        <v>20.4</v>
      </c>
      <c r="H267" s="15" t="s">
        <v>924</v>
      </c>
      <c r="I267" s="15" t="s">
        <v>925</v>
      </c>
      <c r="J267" s="15">
        <v>0.7</v>
      </c>
      <c r="K267" s="15">
        <v>7.0</v>
      </c>
      <c r="L267" s="15">
        <v>2.2</v>
      </c>
      <c r="M267" s="15">
        <v>4.4</v>
      </c>
      <c r="N267" s="15">
        <v>0.9</v>
      </c>
      <c r="O267" s="15">
        <v>0.3</v>
      </c>
      <c r="P267" s="15">
        <v>1.5</v>
      </c>
      <c r="Q267" s="15">
        <v>-4.26</v>
      </c>
    </row>
    <row r="268">
      <c r="A268" s="15">
        <v>267.0</v>
      </c>
      <c r="B268" s="168"/>
      <c r="C268" s="30" t="s">
        <v>926</v>
      </c>
      <c r="D268" s="15" t="s">
        <v>182</v>
      </c>
      <c r="E268" s="15" t="s">
        <v>68</v>
      </c>
      <c r="F268" s="15">
        <v>60.0</v>
      </c>
      <c r="G268" s="15">
        <v>22.1</v>
      </c>
      <c r="H268" s="15" t="s">
        <v>927</v>
      </c>
      <c r="I268" s="15" t="s">
        <v>928</v>
      </c>
      <c r="J268" s="15">
        <v>1.7</v>
      </c>
      <c r="K268" s="15">
        <v>8.2</v>
      </c>
      <c r="L268" s="15">
        <v>2.3</v>
      </c>
      <c r="M268" s="15">
        <v>1.5</v>
      </c>
      <c r="N268" s="15">
        <v>0.6</v>
      </c>
      <c r="O268" s="15">
        <v>0.2</v>
      </c>
      <c r="P268" s="15">
        <v>0.7</v>
      </c>
      <c r="Q268" s="15">
        <v>-4.27</v>
      </c>
    </row>
    <row r="269">
      <c r="A269" s="15">
        <v>268.0</v>
      </c>
      <c r="B269" s="168"/>
      <c r="C269" s="30" t="s">
        <v>929</v>
      </c>
      <c r="D269" s="15" t="s">
        <v>98</v>
      </c>
      <c r="E269" s="15" t="s">
        <v>271</v>
      </c>
      <c r="F269" s="15">
        <v>58.0</v>
      </c>
      <c r="G269" s="15">
        <v>18.9</v>
      </c>
      <c r="H269" s="15" t="s">
        <v>930</v>
      </c>
      <c r="I269" s="15" t="s">
        <v>931</v>
      </c>
      <c r="J269" s="15">
        <v>1.0</v>
      </c>
      <c r="K269" s="15">
        <v>5.7</v>
      </c>
      <c r="L269" s="15">
        <v>4.1</v>
      </c>
      <c r="M269" s="15">
        <v>1.1</v>
      </c>
      <c r="N269" s="15">
        <v>0.5</v>
      </c>
      <c r="O269" s="15">
        <v>0.5</v>
      </c>
      <c r="P269" s="15">
        <v>0.7</v>
      </c>
      <c r="Q269" s="15">
        <v>-4.31</v>
      </c>
    </row>
    <row r="270">
      <c r="A270" s="15">
        <v>269.0</v>
      </c>
      <c r="B270" s="168"/>
      <c r="C270" s="30" t="s">
        <v>932</v>
      </c>
      <c r="D270" s="15" t="s">
        <v>67</v>
      </c>
      <c r="E270" s="15" t="s">
        <v>75</v>
      </c>
      <c r="F270" s="15">
        <v>60.0</v>
      </c>
      <c r="G270" s="15">
        <v>24.4</v>
      </c>
      <c r="H270" s="15" t="s">
        <v>933</v>
      </c>
      <c r="I270" s="15" t="s">
        <v>934</v>
      </c>
      <c r="J270" s="15">
        <v>1.5</v>
      </c>
      <c r="K270" s="15">
        <v>8.4</v>
      </c>
      <c r="L270" s="15">
        <v>1.9</v>
      </c>
      <c r="M270" s="15">
        <v>2.3</v>
      </c>
      <c r="N270" s="15">
        <v>0.9</v>
      </c>
      <c r="O270" s="15">
        <v>0.1</v>
      </c>
      <c r="P270" s="15">
        <v>1.2</v>
      </c>
      <c r="Q270" s="15">
        <v>-4.32</v>
      </c>
    </row>
    <row r="271">
      <c r="A271" s="15">
        <v>270.0</v>
      </c>
      <c r="B271" s="168"/>
      <c r="C271" s="30" t="s">
        <v>935</v>
      </c>
      <c r="D271" s="15" t="s">
        <v>98</v>
      </c>
      <c r="E271" s="15" t="s">
        <v>35</v>
      </c>
      <c r="F271" s="15">
        <v>60.0</v>
      </c>
      <c r="G271" s="15">
        <v>17.4</v>
      </c>
      <c r="H271" s="15" t="s">
        <v>936</v>
      </c>
      <c r="I271" s="15" t="s">
        <v>937</v>
      </c>
      <c r="J271" s="15">
        <v>1.4</v>
      </c>
      <c r="K271" s="15">
        <v>6.8</v>
      </c>
      <c r="L271" s="15">
        <v>2.7</v>
      </c>
      <c r="M271" s="15">
        <v>1.2</v>
      </c>
      <c r="N271" s="15">
        <v>0.6</v>
      </c>
      <c r="O271" s="15">
        <v>0.5</v>
      </c>
      <c r="P271" s="15">
        <v>0.7</v>
      </c>
      <c r="Q271" s="15">
        <v>-4.37</v>
      </c>
    </row>
    <row r="272">
      <c r="A272" s="15">
        <v>271.0</v>
      </c>
      <c r="B272" s="168"/>
      <c r="C272" s="30" t="s">
        <v>938</v>
      </c>
      <c r="D272" s="15" t="s">
        <v>34</v>
      </c>
      <c r="E272" s="15" t="s">
        <v>172</v>
      </c>
      <c r="F272" s="15">
        <v>70.0</v>
      </c>
      <c r="G272" s="15">
        <v>14.6</v>
      </c>
      <c r="H272" s="15" t="s">
        <v>939</v>
      </c>
      <c r="I272" s="15" t="s">
        <v>940</v>
      </c>
      <c r="J272" s="15">
        <v>0.1</v>
      </c>
      <c r="K272" s="15">
        <v>4.8</v>
      </c>
      <c r="L272" s="15">
        <v>4.0</v>
      </c>
      <c r="M272" s="15">
        <v>0.9</v>
      </c>
      <c r="N272" s="15">
        <v>0.4</v>
      </c>
      <c r="O272" s="15">
        <v>0.9</v>
      </c>
      <c r="P272" s="15">
        <v>0.7</v>
      </c>
      <c r="Q272" s="15">
        <v>-4.38</v>
      </c>
    </row>
    <row r="273">
      <c r="A273" s="15">
        <v>272.0</v>
      </c>
      <c r="B273" s="168"/>
      <c r="C273" s="30" t="s">
        <v>941</v>
      </c>
      <c r="D273" s="15" t="s">
        <v>182</v>
      </c>
      <c r="E273" s="15" t="s">
        <v>85</v>
      </c>
      <c r="F273" s="15">
        <v>70.0</v>
      </c>
      <c r="G273" s="15">
        <v>23.6</v>
      </c>
      <c r="H273" s="15" t="s">
        <v>942</v>
      </c>
      <c r="I273" s="15" t="s">
        <v>943</v>
      </c>
      <c r="J273" s="15">
        <v>1.3</v>
      </c>
      <c r="K273" s="15">
        <v>6.7</v>
      </c>
      <c r="L273" s="15">
        <v>4.0</v>
      </c>
      <c r="M273" s="15">
        <v>1.8</v>
      </c>
      <c r="N273" s="15">
        <v>0.6</v>
      </c>
      <c r="O273" s="15">
        <v>0.2</v>
      </c>
      <c r="P273" s="15">
        <v>0.6</v>
      </c>
      <c r="Q273" s="15">
        <v>-4.4</v>
      </c>
    </row>
    <row r="274">
      <c r="A274" s="15">
        <v>273.0</v>
      </c>
      <c r="B274" s="168"/>
      <c r="C274" s="30" t="s">
        <v>944</v>
      </c>
      <c r="D274" s="15" t="s">
        <v>49</v>
      </c>
      <c r="E274" s="15" t="s">
        <v>287</v>
      </c>
      <c r="F274" s="15">
        <v>68.0</v>
      </c>
      <c r="G274" s="15">
        <v>20.2</v>
      </c>
      <c r="H274" s="15" t="s">
        <v>945</v>
      </c>
      <c r="I274" s="15" t="s">
        <v>946</v>
      </c>
      <c r="J274" s="15">
        <v>0.7</v>
      </c>
      <c r="K274" s="15">
        <v>6.2</v>
      </c>
      <c r="L274" s="15">
        <v>4.0</v>
      </c>
      <c r="M274" s="15">
        <v>1.0</v>
      </c>
      <c r="N274" s="15">
        <v>0.8</v>
      </c>
      <c r="O274" s="15">
        <v>0.4</v>
      </c>
      <c r="P274" s="15">
        <v>1.0</v>
      </c>
      <c r="Q274" s="15">
        <v>-4.41</v>
      </c>
    </row>
    <row r="275">
      <c r="A275" s="15">
        <v>274.0</v>
      </c>
      <c r="B275" s="168"/>
      <c r="C275" s="30" t="s">
        <v>947</v>
      </c>
      <c r="D275" s="15" t="s">
        <v>182</v>
      </c>
      <c r="E275" s="15" t="s">
        <v>160</v>
      </c>
      <c r="F275" s="15">
        <v>40.0</v>
      </c>
      <c r="G275" s="15">
        <v>23.4</v>
      </c>
      <c r="H275" s="15" t="s">
        <v>948</v>
      </c>
      <c r="I275" s="15" t="s">
        <v>949</v>
      </c>
      <c r="J275" s="15">
        <v>0.8</v>
      </c>
      <c r="K275" s="15">
        <v>6.6</v>
      </c>
      <c r="L275" s="15">
        <v>3.6</v>
      </c>
      <c r="M275" s="15">
        <v>3.1</v>
      </c>
      <c r="N275" s="15">
        <v>1.0</v>
      </c>
      <c r="O275" s="15">
        <v>0.5</v>
      </c>
      <c r="P275" s="15">
        <v>1.2</v>
      </c>
      <c r="Q275" s="15">
        <v>-4.45</v>
      </c>
    </row>
    <row r="276">
      <c r="A276" s="15">
        <v>275.0</v>
      </c>
      <c r="B276" s="168"/>
      <c r="C276" s="30" t="s">
        <v>950</v>
      </c>
      <c r="D276" s="15" t="s">
        <v>182</v>
      </c>
      <c r="E276" s="15" t="s">
        <v>193</v>
      </c>
      <c r="F276" s="15">
        <v>60.0</v>
      </c>
      <c r="G276" s="15">
        <v>17.2</v>
      </c>
      <c r="H276" s="15" t="s">
        <v>951</v>
      </c>
      <c r="I276" s="15" t="s">
        <v>952</v>
      </c>
      <c r="J276" s="15">
        <v>1.7</v>
      </c>
      <c r="K276" s="15">
        <v>10.0</v>
      </c>
      <c r="L276" s="15">
        <v>2.3</v>
      </c>
      <c r="M276" s="15">
        <v>1.5</v>
      </c>
      <c r="N276" s="15">
        <v>0.5</v>
      </c>
      <c r="O276" s="15">
        <v>0.2</v>
      </c>
      <c r="P276" s="15">
        <v>0.8</v>
      </c>
      <c r="Q276" s="15">
        <v>-4.5</v>
      </c>
    </row>
    <row r="277">
      <c r="A277" s="15">
        <v>276.0</v>
      </c>
      <c r="B277" s="168"/>
      <c r="C277" s="30" t="s">
        <v>953</v>
      </c>
      <c r="D277" s="15" t="s">
        <v>98</v>
      </c>
      <c r="E277" s="15" t="s">
        <v>121</v>
      </c>
      <c r="F277" s="15">
        <v>44.0</v>
      </c>
      <c r="G277" s="15">
        <v>19.3</v>
      </c>
      <c r="H277" s="15" t="s">
        <v>954</v>
      </c>
      <c r="I277" s="15" t="s">
        <v>955</v>
      </c>
      <c r="J277" s="15">
        <v>1.2</v>
      </c>
      <c r="K277" s="15">
        <v>4.9</v>
      </c>
      <c r="L277" s="15">
        <v>3.6</v>
      </c>
      <c r="M277" s="15">
        <v>0.8</v>
      </c>
      <c r="N277" s="15">
        <v>0.7</v>
      </c>
      <c r="O277" s="15">
        <v>0.5</v>
      </c>
      <c r="P277" s="15">
        <v>0.4</v>
      </c>
      <c r="Q277" s="15">
        <v>-4.54</v>
      </c>
    </row>
    <row r="278">
      <c r="A278" s="15">
        <v>277.0</v>
      </c>
      <c r="B278" s="168"/>
      <c r="C278" s="30" t="s">
        <v>956</v>
      </c>
      <c r="D278" s="15" t="s">
        <v>182</v>
      </c>
      <c r="E278" s="15" t="s">
        <v>58</v>
      </c>
      <c r="F278" s="15">
        <v>74.0</v>
      </c>
      <c r="G278" s="15">
        <v>15.8</v>
      </c>
      <c r="H278" s="15" t="s">
        <v>957</v>
      </c>
      <c r="I278" s="15" t="s">
        <v>958</v>
      </c>
      <c r="J278" s="15">
        <v>0.7</v>
      </c>
      <c r="K278" s="15">
        <v>6.5</v>
      </c>
      <c r="L278" s="15">
        <v>2.5</v>
      </c>
      <c r="M278" s="15">
        <v>1.1</v>
      </c>
      <c r="N278" s="15">
        <v>0.6</v>
      </c>
      <c r="O278" s="15">
        <v>0.2</v>
      </c>
      <c r="P278" s="15">
        <v>0.7</v>
      </c>
      <c r="Q278" s="15">
        <v>-4.57</v>
      </c>
    </row>
    <row r="279">
      <c r="A279" s="15">
        <v>278.0</v>
      </c>
      <c r="B279" s="168"/>
      <c r="C279" s="30" t="s">
        <v>959</v>
      </c>
      <c r="D279" s="15" t="s">
        <v>67</v>
      </c>
      <c r="E279" s="15" t="s">
        <v>316</v>
      </c>
      <c r="F279" s="15">
        <v>46.0</v>
      </c>
      <c r="G279" s="15">
        <v>20.3</v>
      </c>
      <c r="H279" s="15" t="s">
        <v>960</v>
      </c>
      <c r="I279" s="15" t="s">
        <v>961</v>
      </c>
      <c r="J279" s="15">
        <v>0.7</v>
      </c>
      <c r="K279" s="15">
        <v>8.1</v>
      </c>
      <c r="L279" s="15">
        <v>2.5</v>
      </c>
      <c r="M279" s="15">
        <v>2.9</v>
      </c>
      <c r="N279" s="15">
        <v>0.4</v>
      </c>
      <c r="O279" s="15">
        <v>0.2</v>
      </c>
      <c r="P279" s="15">
        <v>1.2</v>
      </c>
      <c r="Q279" s="15">
        <v>-4.58</v>
      </c>
    </row>
    <row r="280">
      <c r="A280" s="15">
        <v>279.0</v>
      </c>
      <c r="B280" s="168"/>
      <c r="C280" s="30" t="s">
        <v>962</v>
      </c>
      <c r="D280" s="15" t="s">
        <v>74</v>
      </c>
      <c r="E280" s="15" t="s">
        <v>193</v>
      </c>
      <c r="F280" s="15">
        <v>48.0</v>
      </c>
      <c r="G280" s="15">
        <v>15.5</v>
      </c>
      <c r="H280" s="15" t="s">
        <v>963</v>
      </c>
      <c r="I280" s="15" t="s">
        <v>964</v>
      </c>
      <c r="J280" s="15">
        <v>1.3</v>
      </c>
      <c r="K280" s="15">
        <v>7.2</v>
      </c>
      <c r="L280" s="15">
        <v>5.3</v>
      </c>
      <c r="M280" s="15">
        <v>1.7</v>
      </c>
      <c r="N280" s="15">
        <v>0.3</v>
      </c>
      <c r="O280" s="15">
        <v>0.2</v>
      </c>
      <c r="P280" s="15">
        <v>0.9</v>
      </c>
      <c r="Q280" s="15">
        <v>-4.59</v>
      </c>
    </row>
    <row r="281">
      <c r="A281" s="15">
        <v>280.0</v>
      </c>
      <c r="B281" s="168"/>
      <c r="C281" s="30" t="s">
        <v>965</v>
      </c>
      <c r="D281" s="15" t="s">
        <v>49</v>
      </c>
      <c r="E281" s="15" t="s">
        <v>89</v>
      </c>
      <c r="F281" s="15">
        <v>42.0</v>
      </c>
      <c r="G281" s="15">
        <v>14.2</v>
      </c>
      <c r="H281" s="15" t="s">
        <v>966</v>
      </c>
      <c r="I281" s="15" t="s">
        <v>967</v>
      </c>
      <c r="J281" s="15">
        <v>0.9</v>
      </c>
      <c r="K281" s="15">
        <v>5.1</v>
      </c>
      <c r="L281" s="15">
        <v>2.7</v>
      </c>
      <c r="M281" s="15">
        <v>1.7</v>
      </c>
      <c r="N281" s="15">
        <v>0.6</v>
      </c>
      <c r="O281" s="15">
        <v>0.5</v>
      </c>
      <c r="P281" s="15">
        <v>0.7</v>
      </c>
      <c r="Q281" s="15">
        <v>-4.66</v>
      </c>
    </row>
    <row r="282">
      <c r="A282" s="15">
        <v>281.0</v>
      </c>
      <c r="B282" s="168"/>
      <c r="C282" s="30" t="s">
        <v>968</v>
      </c>
      <c r="D282" s="15" t="s">
        <v>48</v>
      </c>
      <c r="E282" s="15" t="s">
        <v>312</v>
      </c>
      <c r="F282" s="15">
        <v>60.0</v>
      </c>
      <c r="G282" s="15">
        <v>16.4</v>
      </c>
      <c r="H282" s="15" t="s">
        <v>969</v>
      </c>
      <c r="I282" s="15" t="s">
        <v>970</v>
      </c>
      <c r="J282" s="15">
        <v>1.3</v>
      </c>
      <c r="K282" s="15">
        <v>6.0</v>
      </c>
      <c r="L282" s="15">
        <v>2.4</v>
      </c>
      <c r="M282" s="15">
        <v>1.7</v>
      </c>
      <c r="N282" s="15">
        <v>0.7</v>
      </c>
      <c r="O282" s="15">
        <v>0.3</v>
      </c>
      <c r="P282" s="15">
        <v>1.2</v>
      </c>
      <c r="Q282" s="15">
        <v>-4.67</v>
      </c>
    </row>
    <row r="283">
      <c r="A283" s="15">
        <v>282.0</v>
      </c>
      <c r="B283" s="168"/>
      <c r="C283" s="30" t="s">
        <v>971</v>
      </c>
      <c r="D283" s="15" t="s">
        <v>98</v>
      </c>
      <c r="E283" s="15" t="s">
        <v>183</v>
      </c>
      <c r="F283" s="15">
        <v>54.0</v>
      </c>
      <c r="G283" s="15">
        <v>9.8</v>
      </c>
      <c r="H283" s="15" t="s">
        <v>972</v>
      </c>
      <c r="I283" s="15" t="s">
        <v>973</v>
      </c>
      <c r="J283" s="15">
        <v>0.3</v>
      </c>
      <c r="K283" s="15">
        <v>5.2</v>
      </c>
      <c r="L283" s="15">
        <v>2.3</v>
      </c>
      <c r="M283" s="15">
        <v>0.7</v>
      </c>
      <c r="N283" s="15">
        <v>0.5</v>
      </c>
      <c r="O283" s="15">
        <v>0.6</v>
      </c>
      <c r="P283" s="15">
        <v>0.3</v>
      </c>
      <c r="Q283" s="15">
        <v>-4.68</v>
      </c>
    </row>
    <row r="284">
      <c r="A284" s="15">
        <v>283.0</v>
      </c>
      <c r="B284" s="15">
        <v>142.6</v>
      </c>
      <c r="C284" s="30" t="s">
        <v>974</v>
      </c>
      <c r="D284" s="15" t="s">
        <v>98</v>
      </c>
      <c r="E284" s="15" t="s">
        <v>204</v>
      </c>
      <c r="F284" s="15">
        <v>45.0</v>
      </c>
      <c r="G284" s="15">
        <v>17.1</v>
      </c>
      <c r="H284" s="15" t="s">
        <v>975</v>
      </c>
      <c r="I284" s="15" t="s">
        <v>976</v>
      </c>
      <c r="J284" s="15">
        <v>1.6</v>
      </c>
      <c r="K284" s="15">
        <v>11.4</v>
      </c>
      <c r="L284" s="15">
        <v>3.5</v>
      </c>
      <c r="M284" s="15">
        <v>0.7</v>
      </c>
      <c r="N284" s="15">
        <v>0.6</v>
      </c>
      <c r="O284" s="15">
        <v>0.3</v>
      </c>
      <c r="P284" s="15">
        <v>0.9</v>
      </c>
      <c r="Q284" s="15">
        <v>-4.72</v>
      </c>
    </row>
    <row r="285">
      <c r="A285" s="15">
        <v>284.0</v>
      </c>
      <c r="B285" s="168"/>
      <c r="C285" s="30" t="s">
        <v>977</v>
      </c>
      <c r="D285" s="15" t="s">
        <v>34</v>
      </c>
      <c r="E285" s="15" t="s">
        <v>129</v>
      </c>
      <c r="F285" s="15">
        <v>65.0</v>
      </c>
      <c r="G285" s="15">
        <v>16.4</v>
      </c>
      <c r="H285" s="15" t="s">
        <v>978</v>
      </c>
      <c r="I285" s="15" t="s">
        <v>979</v>
      </c>
      <c r="J285" s="15">
        <v>0.0</v>
      </c>
      <c r="K285" s="15">
        <v>6.7</v>
      </c>
      <c r="L285" s="15">
        <v>5.7</v>
      </c>
      <c r="M285" s="15">
        <v>1.8</v>
      </c>
      <c r="N285" s="15">
        <v>0.4</v>
      </c>
      <c r="O285" s="15">
        <v>0.4</v>
      </c>
      <c r="P285" s="15">
        <v>0.9</v>
      </c>
      <c r="Q285" s="15">
        <v>-4.79</v>
      </c>
    </row>
    <row r="286">
      <c r="A286" s="15">
        <v>285.0</v>
      </c>
      <c r="B286" s="168"/>
      <c r="C286" s="30" t="s">
        <v>980</v>
      </c>
      <c r="D286" s="15" t="s">
        <v>182</v>
      </c>
      <c r="E286" s="15" t="s">
        <v>316</v>
      </c>
      <c r="F286" s="15">
        <v>45.0</v>
      </c>
      <c r="G286" s="15">
        <v>21.5</v>
      </c>
      <c r="H286" s="15" t="s">
        <v>981</v>
      </c>
      <c r="I286" s="15" t="s">
        <v>982</v>
      </c>
      <c r="J286" s="15">
        <v>1.1</v>
      </c>
      <c r="K286" s="15">
        <v>8.6</v>
      </c>
      <c r="L286" s="15">
        <v>3.5</v>
      </c>
      <c r="M286" s="15">
        <v>1.5</v>
      </c>
      <c r="N286" s="15">
        <v>0.7</v>
      </c>
      <c r="O286" s="15">
        <v>0.2</v>
      </c>
      <c r="P286" s="15">
        <v>1.4</v>
      </c>
      <c r="Q286" s="15">
        <v>-4.82</v>
      </c>
    </row>
    <row r="287">
      <c r="A287" s="15">
        <v>286.0</v>
      </c>
      <c r="B287" s="168"/>
      <c r="C287" s="30" t="s">
        <v>983</v>
      </c>
      <c r="D287" s="15" t="s">
        <v>34</v>
      </c>
      <c r="E287" s="15" t="s">
        <v>197</v>
      </c>
      <c r="F287" s="15">
        <v>22.0</v>
      </c>
      <c r="G287" s="15">
        <v>8.8</v>
      </c>
      <c r="H287" s="15" t="s">
        <v>984</v>
      </c>
      <c r="I287" s="15" t="s">
        <v>985</v>
      </c>
      <c r="J287" s="15">
        <v>0.6</v>
      </c>
      <c r="K287" s="15">
        <v>4.6</v>
      </c>
      <c r="L287" s="15">
        <v>2.0</v>
      </c>
      <c r="M287" s="15">
        <v>0.7</v>
      </c>
      <c r="N287" s="15">
        <v>0.3</v>
      </c>
      <c r="O287" s="15">
        <v>0.4</v>
      </c>
      <c r="P287" s="15">
        <v>0.4</v>
      </c>
      <c r="Q287" s="15">
        <v>-4.82</v>
      </c>
    </row>
    <row r="288">
      <c r="A288" s="15">
        <v>287.0</v>
      </c>
      <c r="B288" s="168"/>
      <c r="C288" s="30" t="s">
        <v>986</v>
      </c>
      <c r="D288" s="15" t="s">
        <v>182</v>
      </c>
      <c r="E288" s="15" t="s">
        <v>75</v>
      </c>
      <c r="F288" s="15">
        <v>67.0</v>
      </c>
      <c r="G288" s="15">
        <v>22.0</v>
      </c>
      <c r="H288" s="15" t="s">
        <v>987</v>
      </c>
      <c r="I288" s="15" t="s">
        <v>988</v>
      </c>
      <c r="J288" s="15">
        <v>1.0</v>
      </c>
      <c r="K288" s="15">
        <v>6.5</v>
      </c>
      <c r="L288" s="15">
        <v>3.3</v>
      </c>
      <c r="M288" s="15">
        <v>1.2</v>
      </c>
      <c r="N288" s="15">
        <v>0.4</v>
      </c>
      <c r="O288" s="15">
        <v>0.4</v>
      </c>
      <c r="P288" s="15">
        <v>0.7</v>
      </c>
      <c r="Q288" s="15">
        <v>-4.9</v>
      </c>
    </row>
    <row r="289">
      <c r="A289" s="15">
        <v>288.0</v>
      </c>
      <c r="B289" s="168"/>
      <c r="C289" s="30" t="s">
        <v>989</v>
      </c>
      <c r="D289" s="15" t="s">
        <v>48</v>
      </c>
      <c r="E289" s="15" t="s">
        <v>129</v>
      </c>
      <c r="F289" s="15">
        <v>48.0</v>
      </c>
      <c r="G289" s="15">
        <v>15.1</v>
      </c>
      <c r="H289" s="15" t="s">
        <v>990</v>
      </c>
      <c r="I289" s="15" t="s">
        <v>991</v>
      </c>
      <c r="J289" s="15">
        <v>0.1</v>
      </c>
      <c r="K289" s="15">
        <v>4.1</v>
      </c>
      <c r="L289" s="15">
        <v>3.4</v>
      </c>
      <c r="M289" s="15">
        <v>0.4</v>
      </c>
      <c r="N289" s="15">
        <v>0.6</v>
      </c>
      <c r="O289" s="15">
        <v>1.1</v>
      </c>
      <c r="P289" s="15">
        <v>0.4</v>
      </c>
      <c r="Q289" s="15">
        <v>-4.93</v>
      </c>
    </row>
    <row r="290">
      <c r="A290" s="15">
        <v>289.0</v>
      </c>
      <c r="B290" s="168"/>
      <c r="C290" s="30" t="s">
        <v>992</v>
      </c>
      <c r="D290" s="15" t="s">
        <v>34</v>
      </c>
      <c r="E290" s="15" t="s">
        <v>164</v>
      </c>
      <c r="F290" s="15">
        <v>42.0</v>
      </c>
      <c r="G290" s="15">
        <v>16.4</v>
      </c>
      <c r="H290" s="15" t="s">
        <v>993</v>
      </c>
      <c r="I290" s="15" t="s">
        <v>994</v>
      </c>
      <c r="J290" s="15">
        <v>0.0</v>
      </c>
      <c r="K290" s="15">
        <v>3.3</v>
      </c>
      <c r="L290" s="15">
        <v>4.8</v>
      </c>
      <c r="M290" s="15">
        <v>0.6</v>
      </c>
      <c r="N290" s="15">
        <v>0.3</v>
      </c>
      <c r="O290" s="15">
        <v>0.6</v>
      </c>
      <c r="P290" s="15">
        <v>0.5</v>
      </c>
      <c r="Q290" s="15">
        <v>-4.95</v>
      </c>
    </row>
    <row r="291">
      <c r="A291" s="15">
        <v>290.0</v>
      </c>
      <c r="B291" s="168"/>
      <c r="C291" s="30" t="s">
        <v>995</v>
      </c>
      <c r="D291" s="15" t="s">
        <v>47</v>
      </c>
      <c r="E291" s="15" t="s">
        <v>75</v>
      </c>
      <c r="F291" s="15">
        <v>64.0</v>
      </c>
      <c r="G291" s="15">
        <v>17.4</v>
      </c>
      <c r="H291" s="15" t="s">
        <v>996</v>
      </c>
      <c r="I291" s="15" t="s">
        <v>997</v>
      </c>
      <c r="J291" s="15">
        <v>1.1</v>
      </c>
      <c r="K291" s="15">
        <v>9.0</v>
      </c>
      <c r="L291" s="15">
        <v>3.3</v>
      </c>
      <c r="M291" s="15">
        <v>1.1</v>
      </c>
      <c r="N291" s="15">
        <v>0.3</v>
      </c>
      <c r="O291" s="15">
        <v>0.4</v>
      </c>
      <c r="P291" s="15">
        <v>0.7</v>
      </c>
      <c r="Q291" s="15">
        <v>-4.99</v>
      </c>
    </row>
    <row r="292">
      <c r="A292" s="15">
        <v>291.0</v>
      </c>
      <c r="B292" s="168"/>
      <c r="C292" s="30" t="s">
        <v>998</v>
      </c>
      <c r="D292" s="15" t="s">
        <v>182</v>
      </c>
      <c r="E292" s="15" t="s">
        <v>129</v>
      </c>
      <c r="F292" s="15">
        <v>64.0</v>
      </c>
      <c r="G292" s="15">
        <v>17.8</v>
      </c>
      <c r="H292" s="15" t="s">
        <v>999</v>
      </c>
      <c r="I292" s="15" t="s">
        <v>1000</v>
      </c>
      <c r="J292" s="15">
        <v>1.3</v>
      </c>
      <c r="K292" s="15">
        <v>7.2</v>
      </c>
      <c r="L292" s="15">
        <v>2.7</v>
      </c>
      <c r="M292" s="15">
        <v>1.2</v>
      </c>
      <c r="N292" s="15">
        <v>0.4</v>
      </c>
      <c r="O292" s="15">
        <v>0.1</v>
      </c>
      <c r="P292" s="15">
        <v>0.9</v>
      </c>
      <c r="Q292" s="15">
        <v>-5.03</v>
      </c>
    </row>
    <row r="293">
      <c r="A293" s="15">
        <v>292.0</v>
      </c>
      <c r="B293" s="168"/>
      <c r="C293" s="30" t="s">
        <v>1001</v>
      </c>
      <c r="D293" s="15" t="s">
        <v>74</v>
      </c>
      <c r="E293" s="15" t="s">
        <v>138</v>
      </c>
      <c r="F293" s="15">
        <v>65.0</v>
      </c>
      <c r="G293" s="15">
        <v>13.4</v>
      </c>
      <c r="H293" s="15" t="s">
        <v>1002</v>
      </c>
      <c r="I293" s="15" t="s">
        <v>718</v>
      </c>
      <c r="J293" s="15">
        <v>0.6</v>
      </c>
      <c r="K293" s="15">
        <v>6.3</v>
      </c>
      <c r="L293" s="15">
        <v>3.8</v>
      </c>
      <c r="M293" s="15">
        <v>0.3</v>
      </c>
      <c r="N293" s="15">
        <v>0.4</v>
      </c>
      <c r="O293" s="15">
        <v>0.5</v>
      </c>
      <c r="P293" s="15">
        <v>0.4</v>
      </c>
      <c r="Q293" s="15">
        <v>-5.07</v>
      </c>
    </row>
    <row r="294">
      <c r="A294" s="15">
        <v>293.0</v>
      </c>
      <c r="B294" s="172"/>
      <c r="C294" s="30" t="s">
        <v>1003</v>
      </c>
      <c r="D294" s="15" t="s">
        <v>34</v>
      </c>
      <c r="E294" s="15" t="s">
        <v>287</v>
      </c>
      <c r="F294" s="15">
        <v>58.0</v>
      </c>
      <c r="G294" s="15">
        <v>14.3</v>
      </c>
      <c r="H294" s="15" t="s">
        <v>1004</v>
      </c>
      <c r="I294" s="15" t="s">
        <v>1005</v>
      </c>
      <c r="J294" s="15">
        <v>1.1</v>
      </c>
      <c r="K294" s="15">
        <v>7.3</v>
      </c>
      <c r="L294" s="15">
        <v>3.0</v>
      </c>
      <c r="M294" s="15">
        <v>0.8</v>
      </c>
      <c r="N294" s="15">
        <v>0.4</v>
      </c>
      <c r="O294" s="15">
        <v>0.5</v>
      </c>
      <c r="P294" s="15">
        <v>0.6</v>
      </c>
      <c r="Q294" s="15">
        <v>-5.12</v>
      </c>
    </row>
    <row r="295">
      <c r="A295" s="15">
        <v>294.0</v>
      </c>
      <c r="B295" s="172"/>
      <c r="C295" s="30" t="s">
        <v>1006</v>
      </c>
      <c r="D295" s="15" t="s">
        <v>67</v>
      </c>
      <c r="E295" s="15" t="s">
        <v>264</v>
      </c>
      <c r="F295" s="15">
        <v>50.0</v>
      </c>
      <c r="G295" s="15">
        <v>18.0</v>
      </c>
      <c r="H295" s="15" t="s">
        <v>1007</v>
      </c>
      <c r="I295" s="15" t="s">
        <v>1008</v>
      </c>
      <c r="J295" s="15">
        <v>1.3</v>
      </c>
      <c r="K295" s="15">
        <v>5.6</v>
      </c>
      <c r="L295" s="15">
        <v>1.4</v>
      </c>
      <c r="M295" s="15">
        <v>1.1</v>
      </c>
      <c r="N295" s="15">
        <v>0.7</v>
      </c>
      <c r="O295" s="15">
        <v>0.2</v>
      </c>
      <c r="P295" s="15">
        <v>0.4</v>
      </c>
      <c r="Q295" s="15">
        <v>-5.15</v>
      </c>
    </row>
    <row r="296">
      <c r="A296" s="15">
        <v>295.0</v>
      </c>
      <c r="B296" s="172"/>
      <c r="C296" s="30" t="s">
        <v>1009</v>
      </c>
      <c r="D296" s="15" t="s">
        <v>67</v>
      </c>
      <c r="E296" s="15" t="s">
        <v>68</v>
      </c>
      <c r="F296" s="15">
        <v>20.0</v>
      </c>
      <c r="G296" s="15">
        <v>16.7</v>
      </c>
      <c r="H296" s="15" t="s">
        <v>1010</v>
      </c>
      <c r="I296" s="15" t="s">
        <v>1011</v>
      </c>
      <c r="J296" s="15">
        <v>0.8</v>
      </c>
      <c r="K296" s="15">
        <v>6.4</v>
      </c>
      <c r="L296" s="15">
        <v>2.2</v>
      </c>
      <c r="M296" s="15">
        <v>2.3</v>
      </c>
      <c r="N296" s="15">
        <v>0.3</v>
      </c>
      <c r="O296" s="15">
        <v>0.1</v>
      </c>
      <c r="P296" s="15">
        <v>0.7</v>
      </c>
      <c r="Q296" s="15">
        <v>-5.19</v>
      </c>
    </row>
    <row r="297">
      <c r="A297" s="15">
        <v>296.0</v>
      </c>
      <c r="B297" s="168"/>
      <c r="C297" s="30" t="s">
        <v>1012</v>
      </c>
      <c r="D297" s="15" t="s">
        <v>49</v>
      </c>
      <c r="E297" s="15" t="s">
        <v>183</v>
      </c>
      <c r="F297" s="15">
        <v>44.0</v>
      </c>
      <c r="G297" s="15">
        <v>8.8</v>
      </c>
      <c r="H297" s="15" t="s">
        <v>1013</v>
      </c>
      <c r="I297" s="15" t="s">
        <v>1014</v>
      </c>
      <c r="J297" s="15">
        <v>0.3</v>
      </c>
      <c r="K297" s="15">
        <v>4.9</v>
      </c>
      <c r="L297" s="15">
        <v>3.4</v>
      </c>
      <c r="M297" s="15">
        <v>1.4</v>
      </c>
      <c r="N297" s="15">
        <v>0.3</v>
      </c>
      <c r="O297" s="15">
        <v>0.2</v>
      </c>
      <c r="P297" s="15">
        <v>0.2</v>
      </c>
      <c r="Q297" s="15">
        <v>-5.25</v>
      </c>
    </row>
    <row r="298">
      <c r="A298" s="15">
        <v>297.0</v>
      </c>
      <c r="B298" s="15">
        <v>139.8</v>
      </c>
      <c r="C298" s="30" t="s">
        <v>1015</v>
      </c>
      <c r="D298" s="15" t="s">
        <v>34</v>
      </c>
      <c r="E298" s="15" t="s">
        <v>204</v>
      </c>
      <c r="F298" s="15">
        <v>60.0</v>
      </c>
      <c r="G298" s="15">
        <v>17.8</v>
      </c>
      <c r="H298" s="15" t="s">
        <v>1016</v>
      </c>
      <c r="I298" s="15" t="s">
        <v>1017</v>
      </c>
      <c r="J298" s="15">
        <v>0.0</v>
      </c>
      <c r="K298" s="15">
        <v>5.7</v>
      </c>
      <c r="L298" s="15">
        <v>7.7</v>
      </c>
      <c r="M298" s="15">
        <v>1.5</v>
      </c>
      <c r="N298" s="15">
        <v>0.6</v>
      </c>
      <c r="O298" s="15">
        <v>0.7</v>
      </c>
      <c r="P298" s="15">
        <v>1.3</v>
      </c>
      <c r="Q298" s="15">
        <v>-5.26</v>
      </c>
    </row>
    <row r="299">
      <c r="A299" s="15">
        <v>298.0</v>
      </c>
      <c r="B299" s="172"/>
      <c r="C299" s="30" t="s">
        <v>1018</v>
      </c>
      <c r="D299" s="15" t="s">
        <v>34</v>
      </c>
      <c r="E299" s="15" t="s">
        <v>89</v>
      </c>
      <c r="F299" s="15">
        <v>50.0</v>
      </c>
      <c r="G299" s="15">
        <v>15.4</v>
      </c>
      <c r="H299" s="15" t="s">
        <v>1019</v>
      </c>
      <c r="I299" s="15" t="s">
        <v>1020</v>
      </c>
      <c r="J299" s="15">
        <v>0.0</v>
      </c>
      <c r="K299" s="15">
        <v>7.1</v>
      </c>
      <c r="L299" s="15">
        <v>4.8</v>
      </c>
      <c r="M299" s="15">
        <v>0.7</v>
      </c>
      <c r="N299" s="15">
        <v>0.2</v>
      </c>
      <c r="O299" s="15">
        <v>0.5</v>
      </c>
      <c r="P299" s="15">
        <v>0.9</v>
      </c>
      <c r="Q299" s="15">
        <v>-5.26</v>
      </c>
    </row>
    <row r="300">
      <c r="A300" s="15">
        <v>299.0</v>
      </c>
      <c r="B300" s="168"/>
      <c r="C300" s="30" t="s">
        <v>1021</v>
      </c>
      <c r="D300" s="15" t="s">
        <v>47</v>
      </c>
      <c r="E300" s="15" t="s">
        <v>160</v>
      </c>
      <c r="F300" s="15">
        <v>60.0</v>
      </c>
      <c r="G300" s="15">
        <v>15.9</v>
      </c>
      <c r="H300" s="15" t="s">
        <v>1022</v>
      </c>
      <c r="I300" s="15" t="s">
        <v>1023</v>
      </c>
      <c r="J300" s="15">
        <v>1.2</v>
      </c>
      <c r="K300" s="15">
        <v>7.0</v>
      </c>
      <c r="L300" s="15">
        <v>1.5</v>
      </c>
      <c r="M300" s="15">
        <v>1.3</v>
      </c>
      <c r="N300" s="15">
        <v>0.5</v>
      </c>
      <c r="O300" s="15">
        <v>0.1</v>
      </c>
      <c r="P300" s="15">
        <v>0.6</v>
      </c>
      <c r="Q300" s="15">
        <v>-5.3</v>
      </c>
    </row>
    <row r="301">
      <c r="A301" s="15">
        <v>300.0</v>
      </c>
      <c r="B301" s="172"/>
      <c r="C301" s="30" t="s">
        <v>1024</v>
      </c>
      <c r="D301" s="15" t="s">
        <v>74</v>
      </c>
      <c r="E301" s="15" t="s">
        <v>58</v>
      </c>
      <c r="F301" s="15">
        <v>69.0</v>
      </c>
      <c r="G301" s="15">
        <v>14.5</v>
      </c>
      <c r="H301" s="15" t="s">
        <v>1025</v>
      </c>
      <c r="I301" s="15" t="s">
        <v>1026</v>
      </c>
      <c r="J301" s="15">
        <v>0.8</v>
      </c>
      <c r="K301" s="15">
        <v>4.6</v>
      </c>
      <c r="L301" s="15">
        <v>3.8</v>
      </c>
      <c r="M301" s="15">
        <v>1.5</v>
      </c>
      <c r="N301" s="15">
        <v>0.5</v>
      </c>
      <c r="O301" s="15">
        <v>0.3</v>
      </c>
      <c r="P301" s="15">
        <v>0.6</v>
      </c>
      <c r="Q301" s="15">
        <v>-5.34</v>
      </c>
    </row>
    <row r="302">
      <c r="A302" s="15">
        <v>301.0</v>
      </c>
      <c r="B302" s="172"/>
      <c r="C302" s="30" t="s">
        <v>1027</v>
      </c>
      <c r="D302" s="15" t="s">
        <v>34</v>
      </c>
      <c r="E302" s="15" t="s">
        <v>237</v>
      </c>
      <c r="F302" s="15">
        <v>40.0</v>
      </c>
      <c r="G302" s="15">
        <v>13.3</v>
      </c>
      <c r="H302" s="15" t="s">
        <v>1028</v>
      </c>
      <c r="I302" s="15" t="s">
        <v>1029</v>
      </c>
      <c r="J302" s="15">
        <v>0.0</v>
      </c>
      <c r="K302" s="15">
        <v>4.2</v>
      </c>
      <c r="L302" s="15">
        <v>3.3</v>
      </c>
      <c r="M302" s="15">
        <v>0.7</v>
      </c>
      <c r="N302" s="15">
        <v>0.3</v>
      </c>
      <c r="O302" s="15">
        <v>0.7</v>
      </c>
      <c r="P302" s="15">
        <v>0.8</v>
      </c>
      <c r="Q302" s="15">
        <v>-5.4</v>
      </c>
    </row>
    <row r="303">
      <c r="A303" s="15">
        <v>302.0</v>
      </c>
      <c r="B303" s="172"/>
      <c r="C303" s="30" t="s">
        <v>1030</v>
      </c>
      <c r="D303" s="15" t="s">
        <v>34</v>
      </c>
      <c r="E303" s="15" t="s">
        <v>193</v>
      </c>
      <c r="F303" s="15">
        <v>38.0</v>
      </c>
      <c r="G303" s="15">
        <v>11.4</v>
      </c>
      <c r="H303" s="15" t="s">
        <v>1031</v>
      </c>
      <c r="I303" s="15" t="s">
        <v>1032</v>
      </c>
      <c r="J303" s="15">
        <v>0.2</v>
      </c>
      <c r="K303" s="15">
        <v>6.0</v>
      </c>
      <c r="L303" s="15">
        <v>3.6</v>
      </c>
      <c r="M303" s="15">
        <v>0.4</v>
      </c>
      <c r="N303" s="15">
        <v>0.2</v>
      </c>
      <c r="O303" s="15">
        <v>0.4</v>
      </c>
      <c r="P303" s="15">
        <v>0.5</v>
      </c>
      <c r="Q303" s="15">
        <v>-5.43</v>
      </c>
    </row>
    <row r="304">
      <c r="A304" s="15">
        <v>303.0</v>
      </c>
      <c r="B304" s="168"/>
      <c r="C304" s="30" t="s">
        <v>1033</v>
      </c>
      <c r="D304" s="15" t="s">
        <v>46</v>
      </c>
      <c r="E304" s="15" t="s">
        <v>168</v>
      </c>
      <c r="F304" s="15">
        <v>30.0</v>
      </c>
      <c r="G304" s="15">
        <v>14.5</v>
      </c>
      <c r="H304" s="15" t="s">
        <v>1034</v>
      </c>
      <c r="I304" s="15" t="s">
        <v>1035</v>
      </c>
      <c r="J304" s="15">
        <v>0.8</v>
      </c>
      <c r="K304" s="15">
        <v>6.1</v>
      </c>
      <c r="L304" s="15">
        <v>2.7</v>
      </c>
      <c r="M304" s="15">
        <v>1.1</v>
      </c>
      <c r="N304" s="15">
        <v>0.5</v>
      </c>
      <c r="O304" s="15">
        <v>0.3</v>
      </c>
      <c r="P304" s="15">
        <v>0.8</v>
      </c>
      <c r="Q304" s="15">
        <v>-5.44</v>
      </c>
    </row>
    <row r="305">
      <c r="A305" s="15">
        <v>304.0</v>
      </c>
      <c r="B305" s="168"/>
      <c r="C305" s="30" t="s">
        <v>1036</v>
      </c>
      <c r="D305" s="15" t="s">
        <v>182</v>
      </c>
      <c r="E305" s="15" t="s">
        <v>183</v>
      </c>
      <c r="F305" s="15">
        <v>50.0</v>
      </c>
      <c r="G305" s="15">
        <v>15.1</v>
      </c>
      <c r="H305" s="15" t="s">
        <v>1037</v>
      </c>
      <c r="I305" s="15" t="s">
        <v>1038</v>
      </c>
      <c r="J305" s="15">
        <v>1.1</v>
      </c>
      <c r="K305" s="15">
        <v>4.2</v>
      </c>
      <c r="L305" s="15">
        <v>1.9</v>
      </c>
      <c r="M305" s="15">
        <v>2.4</v>
      </c>
      <c r="N305" s="15">
        <v>0.5</v>
      </c>
      <c r="O305" s="15">
        <v>0.1</v>
      </c>
      <c r="P305" s="15">
        <v>0.8</v>
      </c>
      <c r="Q305" s="15">
        <v>-5.48</v>
      </c>
    </row>
    <row r="306">
      <c r="A306" s="15">
        <v>305.0</v>
      </c>
      <c r="B306" s="15">
        <v>140.6</v>
      </c>
      <c r="C306" s="30" t="s">
        <v>1039</v>
      </c>
      <c r="D306" s="15" t="s">
        <v>182</v>
      </c>
      <c r="E306" s="15" t="s">
        <v>250</v>
      </c>
      <c r="F306" s="15">
        <v>65.0</v>
      </c>
      <c r="G306" s="15">
        <v>18.3</v>
      </c>
      <c r="H306" s="15" t="s">
        <v>1040</v>
      </c>
      <c r="I306" s="15" t="s">
        <v>1041</v>
      </c>
      <c r="J306" s="15">
        <v>1.8</v>
      </c>
      <c r="K306" s="15">
        <v>9.3</v>
      </c>
      <c r="L306" s="15">
        <v>2.2</v>
      </c>
      <c r="M306" s="15">
        <v>1.2</v>
      </c>
      <c r="N306" s="15">
        <v>0.4</v>
      </c>
      <c r="O306" s="15">
        <v>0.1</v>
      </c>
      <c r="P306" s="15">
        <v>0.6</v>
      </c>
      <c r="Q306" s="15">
        <v>-5.48</v>
      </c>
    </row>
    <row r="307">
      <c r="A307" s="15">
        <v>306.0</v>
      </c>
      <c r="B307" s="15">
        <v>144.0</v>
      </c>
      <c r="C307" s="30" t="s">
        <v>1042</v>
      </c>
      <c r="D307" s="15" t="s">
        <v>67</v>
      </c>
      <c r="E307" s="15" t="s">
        <v>160</v>
      </c>
      <c r="F307" s="15">
        <v>62.0</v>
      </c>
      <c r="G307" s="15">
        <v>15.7</v>
      </c>
      <c r="H307" s="15" t="s">
        <v>1043</v>
      </c>
      <c r="I307" s="15" t="s">
        <v>1044</v>
      </c>
      <c r="J307" s="15">
        <v>0.9</v>
      </c>
      <c r="K307" s="15">
        <v>6.6</v>
      </c>
      <c r="L307" s="15">
        <v>2.2</v>
      </c>
      <c r="M307" s="15">
        <v>2.1</v>
      </c>
      <c r="N307" s="15">
        <v>0.7</v>
      </c>
      <c r="O307" s="15">
        <v>0.1</v>
      </c>
      <c r="P307" s="15">
        <v>0.9</v>
      </c>
      <c r="Q307" s="15">
        <v>-5.49</v>
      </c>
    </row>
    <row r="308">
      <c r="A308" s="15">
        <v>307.0</v>
      </c>
      <c r="B308" s="172"/>
      <c r="C308" s="30" t="s">
        <v>1045</v>
      </c>
      <c r="D308" s="15" t="s">
        <v>67</v>
      </c>
      <c r="E308" s="15" t="s">
        <v>138</v>
      </c>
      <c r="F308" s="15">
        <v>70.0</v>
      </c>
      <c r="G308" s="15">
        <v>18.8</v>
      </c>
      <c r="H308" s="15" t="s">
        <v>1046</v>
      </c>
      <c r="I308" s="15" t="s">
        <v>1047</v>
      </c>
      <c r="J308" s="15">
        <v>1.0</v>
      </c>
      <c r="K308" s="15">
        <v>6.6</v>
      </c>
      <c r="L308" s="15">
        <v>1.6</v>
      </c>
      <c r="M308" s="15">
        <v>2.5</v>
      </c>
      <c r="N308" s="15">
        <v>0.5</v>
      </c>
      <c r="O308" s="15">
        <v>0.1</v>
      </c>
      <c r="P308" s="15">
        <v>0.8</v>
      </c>
      <c r="Q308" s="15">
        <v>-5.5</v>
      </c>
    </row>
    <row r="309">
      <c r="A309" s="15">
        <v>308.0</v>
      </c>
      <c r="B309" s="172"/>
      <c r="C309" s="30" t="s">
        <v>1048</v>
      </c>
      <c r="D309" s="15" t="s">
        <v>182</v>
      </c>
      <c r="E309" s="15" t="s">
        <v>129</v>
      </c>
      <c r="F309" s="15">
        <v>62.0</v>
      </c>
      <c r="G309" s="15">
        <v>16.4</v>
      </c>
      <c r="H309" s="15" t="s">
        <v>1049</v>
      </c>
      <c r="I309" s="15" t="s">
        <v>1050</v>
      </c>
      <c r="J309" s="15">
        <v>0.7</v>
      </c>
      <c r="K309" s="15">
        <v>5.8</v>
      </c>
      <c r="L309" s="15">
        <v>2.9</v>
      </c>
      <c r="M309" s="15">
        <v>1.2</v>
      </c>
      <c r="N309" s="15">
        <v>0.8</v>
      </c>
      <c r="O309" s="15">
        <v>0.4</v>
      </c>
      <c r="P309" s="15">
        <v>0.7</v>
      </c>
      <c r="Q309" s="15">
        <v>-5.51</v>
      </c>
    </row>
    <row r="310">
      <c r="A310" s="15">
        <v>309.0</v>
      </c>
      <c r="B310" s="172"/>
      <c r="C310" s="30" t="s">
        <v>1051</v>
      </c>
      <c r="D310" s="15" t="s">
        <v>47</v>
      </c>
      <c r="E310" s="15" t="s">
        <v>99</v>
      </c>
      <c r="F310" s="15">
        <v>40.0</v>
      </c>
      <c r="G310" s="15">
        <v>12.1</v>
      </c>
      <c r="H310" s="15" t="s">
        <v>1052</v>
      </c>
      <c r="I310" s="15" t="s">
        <v>1053</v>
      </c>
      <c r="J310" s="15">
        <v>0.3</v>
      </c>
      <c r="K310" s="15">
        <v>4.2</v>
      </c>
      <c r="L310" s="15">
        <v>1.9</v>
      </c>
      <c r="M310" s="15">
        <v>1.1</v>
      </c>
      <c r="N310" s="15">
        <v>0.9</v>
      </c>
      <c r="O310" s="15">
        <v>0.4</v>
      </c>
      <c r="P310" s="15">
        <v>0.8</v>
      </c>
      <c r="Q310" s="15">
        <v>-5.54</v>
      </c>
    </row>
    <row r="311">
      <c r="A311" s="15">
        <v>310.0</v>
      </c>
      <c r="B311" s="168"/>
      <c r="C311" s="30" t="s">
        <v>1054</v>
      </c>
      <c r="D311" s="15" t="s">
        <v>74</v>
      </c>
      <c r="E311" s="15" t="s">
        <v>129</v>
      </c>
      <c r="F311" s="15">
        <v>34.0</v>
      </c>
      <c r="G311" s="15">
        <v>11.1</v>
      </c>
      <c r="H311" s="15" t="s">
        <v>1055</v>
      </c>
      <c r="I311" s="15" t="s">
        <v>1056</v>
      </c>
      <c r="J311" s="15">
        <v>0.3</v>
      </c>
      <c r="K311" s="15">
        <v>4.9</v>
      </c>
      <c r="L311" s="15">
        <v>3.1</v>
      </c>
      <c r="M311" s="15">
        <v>0.5</v>
      </c>
      <c r="N311" s="15">
        <v>0.2</v>
      </c>
      <c r="O311" s="15">
        <v>0.6</v>
      </c>
      <c r="P311" s="15">
        <v>0.7</v>
      </c>
      <c r="Q311" s="15">
        <v>-5.55</v>
      </c>
    </row>
    <row r="312">
      <c r="A312" s="15">
        <v>311.0</v>
      </c>
      <c r="B312" s="172"/>
      <c r="C312" s="30" t="s">
        <v>1057</v>
      </c>
      <c r="D312" s="15" t="s">
        <v>67</v>
      </c>
      <c r="E312" s="15" t="s">
        <v>164</v>
      </c>
      <c r="F312" s="15">
        <v>50.0</v>
      </c>
      <c r="G312" s="15">
        <v>14.1</v>
      </c>
      <c r="H312" s="15" t="s">
        <v>1058</v>
      </c>
      <c r="I312" s="15" t="s">
        <v>1059</v>
      </c>
      <c r="J312" s="15">
        <v>1.1</v>
      </c>
      <c r="K312" s="15">
        <v>6.7</v>
      </c>
      <c r="L312" s="15">
        <v>1.4</v>
      </c>
      <c r="M312" s="15">
        <v>2.6</v>
      </c>
      <c r="N312" s="15">
        <v>0.5</v>
      </c>
      <c r="O312" s="15">
        <v>0.1</v>
      </c>
      <c r="P312" s="15">
        <v>0.9</v>
      </c>
      <c r="Q312" s="15">
        <v>-5.57</v>
      </c>
    </row>
    <row r="313">
      <c r="A313" s="15">
        <v>312.0</v>
      </c>
      <c r="B313" s="172"/>
      <c r="C313" s="30" t="s">
        <v>1060</v>
      </c>
      <c r="D313" s="15" t="s">
        <v>67</v>
      </c>
      <c r="E313" s="15" t="s">
        <v>129</v>
      </c>
      <c r="F313" s="15">
        <v>60.0</v>
      </c>
      <c r="G313" s="15">
        <v>14.1</v>
      </c>
      <c r="H313" s="15" t="s">
        <v>1061</v>
      </c>
      <c r="I313" s="15" t="s">
        <v>1062</v>
      </c>
      <c r="J313" s="15">
        <v>0.7</v>
      </c>
      <c r="K313" s="15">
        <v>5.3</v>
      </c>
      <c r="L313" s="15">
        <v>1.8</v>
      </c>
      <c r="M313" s="15">
        <v>2.6</v>
      </c>
      <c r="N313" s="15">
        <v>0.4</v>
      </c>
      <c r="O313" s="15">
        <v>0.2</v>
      </c>
      <c r="P313" s="15">
        <v>0.4</v>
      </c>
      <c r="Q313" s="15">
        <v>-5.57</v>
      </c>
    </row>
    <row r="314">
      <c r="A314" s="15">
        <v>313.0</v>
      </c>
      <c r="B314" s="168"/>
      <c r="C314" s="30" t="s">
        <v>1063</v>
      </c>
      <c r="D314" s="15" t="s">
        <v>98</v>
      </c>
      <c r="E314" s="15" t="s">
        <v>103</v>
      </c>
      <c r="F314" s="15">
        <v>65.0</v>
      </c>
      <c r="G314" s="15">
        <v>20.8</v>
      </c>
      <c r="H314" s="15" t="s">
        <v>1064</v>
      </c>
      <c r="I314" s="15" t="s">
        <v>1065</v>
      </c>
      <c r="J314" s="15">
        <v>0.8</v>
      </c>
      <c r="K314" s="15">
        <v>6.4</v>
      </c>
      <c r="L314" s="15">
        <v>2.0</v>
      </c>
      <c r="M314" s="15">
        <v>1.3</v>
      </c>
      <c r="N314" s="15">
        <v>0.5</v>
      </c>
      <c r="O314" s="15">
        <v>0.2</v>
      </c>
      <c r="P314" s="15">
        <v>0.5</v>
      </c>
      <c r="Q314" s="15">
        <v>-5.58</v>
      </c>
    </row>
    <row r="315">
      <c r="A315" s="15">
        <v>314.0</v>
      </c>
      <c r="B315" s="168"/>
      <c r="C315" s="30" t="s">
        <v>1066</v>
      </c>
      <c r="D315" s="15" t="s">
        <v>67</v>
      </c>
      <c r="E315" s="15" t="s">
        <v>264</v>
      </c>
      <c r="F315" s="15">
        <v>70.0</v>
      </c>
      <c r="G315" s="15">
        <v>20.0</v>
      </c>
      <c r="H315" s="15" t="s">
        <v>1067</v>
      </c>
      <c r="I315" s="15" t="s">
        <v>1068</v>
      </c>
      <c r="J315" s="15">
        <v>0.7</v>
      </c>
      <c r="K315" s="15">
        <v>6.1</v>
      </c>
      <c r="L315" s="15">
        <v>2.7</v>
      </c>
      <c r="M315" s="15">
        <v>1.7</v>
      </c>
      <c r="N315" s="15">
        <v>0.7</v>
      </c>
      <c r="O315" s="15">
        <v>0.4</v>
      </c>
      <c r="P315" s="15">
        <v>1.1</v>
      </c>
      <c r="Q315" s="15">
        <v>-5.59</v>
      </c>
    </row>
    <row r="316">
      <c r="A316" s="15">
        <v>315.0</v>
      </c>
      <c r="B316" s="172"/>
      <c r="C316" s="30" t="s">
        <v>1069</v>
      </c>
      <c r="D316" s="15" t="s">
        <v>182</v>
      </c>
      <c r="E316" s="15" t="s">
        <v>75</v>
      </c>
      <c r="F316" s="15">
        <v>40.0</v>
      </c>
      <c r="G316" s="15">
        <v>17.5</v>
      </c>
      <c r="H316" s="15" t="s">
        <v>1070</v>
      </c>
      <c r="I316" s="15" t="s">
        <v>1071</v>
      </c>
      <c r="J316" s="15">
        <v>0.7</v>
      </c>
      <c r="K316" s="15">
        <v>5.8</v>
      </c>
      <c r="L316" s="15">
        <v>1.7</v>
      </c>
      <c r="M316" s="15">
        <v>0.9</v>
      </c>
      <c r="N316" s="15">
        <v>0.8</v>
      </c>
      <c r="O316" s="15">
        <v>0.3</v>
      </c>
      <c r="P316" s="15">
        <v>0.7</v>
      </c>
      <c r="Q316" s="15">
        <v>-5.6</v>
      </c>
    </row>
    <row r="317">
      <c r="A317" s="15">
        <v>316.0</v>
      </c>
      <c r="B317" s="172"/>
      <c r="C317" s="30" t="s">
        <v>1072</v>
      </c>
      <c r="D317" s="15" t="s">
        <v>47</v>
      </c>
      <c r="E317" s="15" t="s">
        <v>121</v>
      </c>
      <c r="F317" s="15">
        <v>58.0</v>
      </c>
      <c r="G317" s="15">
        <v>14.4</v>
      </c>
      <c r="H317" s="15" t="s">
        <v>1073</v>
      </c>
      <c r="I317" s="15" t="s">
        <v>1074</v>
      </c>
      <c r="J317" s="15">
        <v>1.9</v>
      </c>
      <c r="K317" s="15">
        <v>6.6</v>
      </c>
      <c r="L317" s="15">
        <v>1.7</v>
      </c>
      <c r="M317" s="15">
        <v>1.5</v>
      </c>
      <c r="N317" s="15">
        <v>0.3</v>
      </c>
      <c r="O317" s="15">
        <v>0.1</v>
      </c>
      <c r="P317" s="15">
        <v>0.3</v>
      </c>
      <c r="Q317" s="15">
        <v>-5.63</v>
      </c>
    </row>
    <row r="318">
      <c r="A318" s="15">
        <v>317.0</v>
      </c>
      <c r="B318" s="172"/>
      <c r="C318" s="30" t="s">
        <v>1075</v>
      </c>
      <c r="D318" s="15" t="s">
        <v>182</v>
      </c>
      <c r="E318" s="15" t="s">
        <v>138</v>
      </c>
      <c r="F318" s="15">
        <v>68.0</v>
      </c>
      <c r="G318" s="15">
        <v>20.5</v>
      </c>
      <c r="H318" s="15" t="s">
        <v>1076</v>
      </c>
      <c r="I318" s="15" t="s">
        <v>1077</v>
      </c>
      <c r="J318" s="15">
        <v>1.0</v>
      </c>
      <c r="K318" s="15">
        <v>6.7</v>
      </c>
      <c r="L318" s="15">
        <v>2.5</v>
      </c>
      <c r="M318" s="15">
        <v>1.1</v>
      </c>
      <c r="N318" s="15">
        <v>0.5</v>
      </c>
      <c r="O318" s="15">
        <v>0.4</v>
      </c>
      <c r="P318" s="15">
        <v>0.8</v>
      </c>
      <c r="Q318" s="15">
        <v>-5.63</v>
      </c>
    </row>
    <row r="319">
      <c r="A319" s="15">
        <v>318.0</v>
      </c>
      <c r="B319" s="172"/>
      <c r="C319" s="30" t="s">
        <v>1078</v>
      </c>
      <c r="D319" s="15" t="s">
        <v>98</v>
      </c>
      <c r="E319" s="15" t="s">
        <v>193</v>
      </c>
      <c r="F319" s="15">
        <v>60.0</v>
      </c>
      <c r="G319" s="15">
        <v>16.6</v>
      </c>
      <c r="H319" s="15" t="s">
        <v>1079</v>
      </c>
      <c r="I319" s="15" t="s">
        <v>1080</v>
      </c>
      <c r="J319" s="15">
        <v>0.8</v>
      </c>
      <c r="K319" s="15">
        <v>4.6</v>
      </c>
      <c r="L319" s="15">
        <v>2.9</v>
      </c>
      <c r="M319" s="15">
        <v>0.8</v>
      </c>
      <c r="N319" s="15">
        <v>0.6</v>
      </c>
      <c r="O319" s="15">
        <v>0.3</v>
      </c>
      <c r="P319" s="15">
        <v>0.6</v>
      </c>
      <c r="Q319" s="15">
        <v>-5.64</v>
      </c>
    </row>
    <row r="320">
      <c r="A320" s="15">
        <v>319.0</v>
      </c>
      <c r="B320" s="172"/>
      <c r="C320" s="30" t="s">
        <v>1081</v>
      </c>
      <c r="D320" s="15" t="s">
        <v>67</v>
      </c>
      <c r="E320" s="15" t="s">
        <v>35</v>
      </c>
      <c r="F320" s="15">
        <v>65.0</v>
      </c>
      <c r="G320" s="15">
        <v>19.7</v>
      </c>
      <c r="H320" s="15" t="s">
        <v>1082</v>
      </c>
      <c r="I320" s="15" t="s">
        <v>1083</v>
      </c>
      <c r="J320" s="15">
        <v>1.1</v>
      </c>
      <c r="K320" s="15">
        <v>8.6</v>
      </c>
      <c r="L320" s="15">
        <v>2.1</v>
      </c>
      <c r="M320" s="15">
        <v>1.8</v>
      </c>
      <c r="N320" s="15">
        <v>0.4</v>
      </c>
      <c r="O320" s="15">
        <v>0.1</v>
      </c>
      <c r="P320" s="15">
        <v>1.1</v>
      </c>
      <c r="Q320" s="15">
        <v>-5.66</v>
      </c>
    </row>
    <row r="321">
      <c r="A321" s="15">
        <v>320.0</v>
      </c>
      <c r="B321" s="172"/>
      <c r="C321" s="30" t="s">
        <v>1084</v>
      </c>
      <c r="D321" s="15" t="s">
        <v>34</v>
      </c>
      <c r="E321" s="15" t="s">
        <v>35</v>
      </c>
      <c r="F321" s="15">
        <v>20.0</v>
      </c>
      <c r="G321" s="15">
        <v>8.8</v>
      </c>
      <c r="H321" s="15" t="s">
        <v>1085</v>
      </c>
      <c r="I321" s="15" t="s">
        <v>1086</v>
      </c>
      <c r="J321" s="15">
        <v>0.0</v>
      </c>
      <c r="K321" s="15">
        <v>3.3</v>
      </c>
      <c r="L321" s="15">
        <v>3.4</v>
      </c>
      <c r="M321" s="15">
        <v>0.9</v>
      </c>
      <c r="N321" s="15">
        <v>0.3</v>
      </c>
      <c r="O321" s="15">
        <v>0.6</v>
      </c>
      <c r="P321" s="15">
        <v>0.7</v>
      </c>
      <c r="Q321" s="15">
        <v>-5.7</v>
      </c>
    </row>
    <row r="322">
      <c r="A322" s="15">
        <v>321.0</v>
      </c>
      <c r="B322" s="172"/>
      <c r="C322" s="30" t="s">
        <v>1087</v>
      </c>
      <c r="D322" s="15" t="s">
        <v>74</v>
      </c>
      <c r="E322" s="15" t="s">
        <v>68</v>
      </c>
      <c r="F322" s="15">
        <v>40.0</v>
      </c>
      <c r="G322" s="15">
        <v>18.5</v>
      </c>
      <c r="H322" s="15" t="s">
        <v>1088</v>
      </c>
      <c r="I322" s="15" t="s">
        <v>1089</v>
      </c>
      <c r="J322" s="15">
        <v>0.7</v>
      </c>
      <c r="K322" s="15">
        <v>4.3</v>
      </c>
      <c r="L322" s="15">
        <v>2.9</v>
      </c>
      <c r="M322" s="15">
        <v>1.2</v>
      </c>
      <c r="N322" s="15">
        <v>0.3</v>
      </c>
      <c r="O322" s="15">
        <v>0.6</v>
      </c>
      <c r="P322" s="15">
        <v>0.6</v>
      </c>
      <c r="Q322" s="15">
        <v>-5.71</v>
      </c>
    </row>
    <row r="323">
      <c r="A323" s="15">
        <v>322.0</v>
      </c>
      <c r="B323" s="172"/>
      <c r="C323" s="30" t="s">
        <v>1090</v>
      </c>
      <c r="D323" s="168"/>
      <c r="E323" s="15" t="s">
        <v>81</v>
      </c>
      <c r="F323" s="15">
        <v>60.0</v>
      </c>
      <c r="G323" s="15">
        <v>12.4</v>
      </c>
      <c r="H323" s="15" t="s">
        <v>1091</v>
      </c>
      <c r="I323" s="15" t="s">
        <v>1092</v>
      </c>
      <c r="J323" s="15">
        <v>0.9</v>
      </c>
      <c r="K323" s="15">
        <v>5.7</v>
      </c>
      <c r="L323" s="15">
        <v>2.7</v>
      </c>
      <c r="M323" s="15">
        <v>0.8</v>
      </c>
      <c r="N323" s="15">
        <v>0.4</v>
      </c>
      <c r="O323" s="15">
        <v>0.4</v>
      </c>
      <c r="P323" s="15">
        <v>0.8</v>
      </c>
      <c r="Q323" s="15">
        <v>-5.73</v>
      </c>
    </row>
    <row r="324">
      <c r="A324" s="15">
        <v>323.0</v>
      </c>
      <c r="B324" s="172"/>
      <c r="C324" s="30" t="s">
        <v>1093</v>
      </c>
      <c r="D324" s="15" t="s">
        <v>49</v>
      </c>
      <c r="E324" s="15" t="s">
        <v>172</v>
      </c>
      <c r="F324" s="15">
        <v>54.0</v>
      </c>
      <c r="G324" s="15">
        <v>15.2</v>
      </c>
      <c r="H324" s="15" t="s">
        <v>1094</v>
      </c>
      <c r="I324" s="15" t="s">
        <v>1095</v>
      </c>
      <c r="J324" s="15">
        <v>0.4</v>
      </c>
      <c r="K324" s="15">
        <v>6.2</v>
      </c>
      <c r="L324" s="15">
        <v>3.1</v>
      </c>
      <c r="M324" s="15">
        <v>1.0</v>
      </c>
      <c r="N324" s="15">
        <v>0.4</v>
      </c>
      <c r="O324" s="15">
        <v>0.6</v>
      </c>
      <c r="P324" s="15">
        <v>0.8</v>
      </c>
      <c r="Q324" s="15">
        <v>-5.76</v>
      </c>
    </row>
    <row r="325">
      <c r="A325" s="15">
        <v>324.0</v>
      </c>
      <c r="B325" s="172"/>
      <c r="C325" s="30" t="s">
        <v>1096</v>
      </c>
      <c r="D325" s="15" t="s">
        <v>74</v>
      </c>
      <c r="E325" s="15" t="s">
        <v>75</v>
      </c>
      <c r="F325" s="15">
        <v>70.0</v>
      </c>
      <c r="G325" s="15">
        <v>13.6</v>
      </c>
      <c r="H325" s="15" t="s">
        <v>1097</v>
      </c>
      <c r="I325" s="15" t="s">
        <v>1098</v>
      </c>
      <c r="J325" s="15">
        <v>0.0</v>
      </c>
      <c r="K325" s="15">
        <v>5.0</v>
      </c>
      <c r="L325" s="15">
        <v>3.2</v>
      </c>
      <c r="M325" s="15">
        <v>0.6</v>
      </c>
      <c r="N325" s="15">
        <v>0.5</v>
      </c>
      <c r="O325" s="15">
        <v>0.4</v>
      </c>
      <c r="P325" s="15">
        <v>0.7</v>
      </c>
      <c r="Q325" s="15">
        <v>-5.76</v>
      </c>
    </row>
    <row r="326">
      <c r="A326" s="15">
        <v>325.0</v>
      </c>
      <c r="B326" s="172"/>
      <c r="C326" s="30" t="s">
        <v>1099</v>
      </c>
      <c r="D326" s="15" t="s">
        <v>34</v>
      </c>
      <c r="E326" s="15" t="s">
        <v>312</v>
      </c>
      <c r="F326" s="15">
        <v>54.0</v>
      </c>
      <c r="G326" s="15">
        <v>13.4</v>
      </c>
      <c r="H326" s="15" t="s">
        <v>1100</v>
      </c>
      <c r="I326" s="15" t="s">
        <v>1101</v>
      </c>
      <c r="J326" s="15">
        <v>0.1</v>
      </c>
      <c r="K326" s="15">
        <v>4.9</v>
      </c>
      <c r="L326" s="15">
        <v>3.9</v>
      </c>
      <c r="M326" s="15">
        <v>0.5</v>
      </c>
      <c r="N326" s="15">
        <v>0.2</v>
      </c>
      <c r="O326" s="15">
        <v>0.5</v>
      </c>
      <c r="P326" s="15">
        <v>0.6</v>
      </c>
      <c r="Q326" s="15">
        <v>-5.77</v>
      </c>
    </row>
    <row r="327">
      <c r="A327" s="15">
        <v>326.0</v>
      </c>
      <c r="B327" s="172"/>
      <c r="C327" s="30" t="s">
        <v>1102</v>
      </c>
      <c r="D327" s="15" t="s">
        <v>34</v>
      </c>
      <c r="E327" s="15" t="s">
        <v>204</v>
      </c>
      <c r="F327" s="15">
        <v>44.0</v>
      </c>
      <c r="G327" s="15">
        <v>12.4</v>
      </c>
      <c r="H327" s="15" t="s">
        <v>1103</v>
      </c>
      <c r="I327" s="15" t="s">
        <v>1104</v>
      </c>
      <c r="J327" s="15">
        <v>0.2</v>
      </c>
      <c r="K327" s="15">
        <v>5.3</v>
      </c>
      <c r="L327" s="15">
        <v>3.3</v>
      </c>
      <c r="M327" s="15">
        <v>1.0</v>
      </c>
      <c r="N327" s="15">
        <v>0.3</v>
      </c>
      <c r="O327" s="15">
        <v>0.5</v>
      </c>
      <c r="P327" s="15">
        <v>0.7</v>
      </c>
      <c r="Q327" s="15">
        <v>-5.8</v>
      </c>
    </row>
    <row r="328">
      <c r="A328" s="15">
        <v>327.0</v>
      </c>
      <c r="B328" s="172"/>
      <c r="C328" s="30" t="s">
        <v>1105</v>
      </c>
      <c r="D328" s="15" t="s">
        <v>67</v>
      </c>
      <c r="E328" s="15" t="s">
        <v>121</v>
      </c>
      <c r="F328" s="15">
        <v>55.0</v>
      </c>
      <c r="G328" s="15">
        <v>12.4</v>
      </c>
      <c r="H328" s="15" t="s">
        <v>1106</v>
      </c>
      <c r="I328" s="15" t="s">
        <v>1107</v>
      </c>
      <c r="J328" s="15">
        <v>0.2</v>
      </c>
      <c r="K328" s="15">
        <v>5.5</v>
      </c>
      <c r="L328" s="15">
        <v>2.1</v>
      </c>
      <c r="M328" s="15">
        <v>2.3</v>
      </c>
      <c r="N328" s="15">
        <v>0.4</v>
      </c>
      <c r="O328" s="15">
        <v>0.3</v>
      </c>
      <c r="P328" s="15">
        <v>0.9</v>
      </c>
      <c r="Q328" s="15">
        <v>-5.83</v>
      </c>
    </row>
    <row r="329">
      <c r="A329" s="15">
        <v>328.0</v>
      </c>
      <c r="B329" s="172"/>
      <c r="C329" s="30" t="s">
        <v>1108</v>
      </c>
      <c r="D329" s="15" t="s">
        <v>47</v>
      </c>
      <c r="E329" s="15" t="s">
        <v>237</v>
      </c>
      <c r="F329" s="15">
        <v>64.0</v>
      </c>
      <c r="G329" s="15">
        <v>18.8</v>
      </c>
      <c r="H329" s="15" t="s">
        <v>1109</v>
      </c>
      <c r="I329" s="15" t="s">
        <v>1110</v>
      </c>
      <c r="J329" s="15">
        <v>1.8</v>
      </c>
      <c r="K329" s="15">
        <v>8.6</v>
      </c>
      <c r="L329" s="15">
        <v>2.4</v>
      </c>
      <c r="M329" s="15">
        <v>1.2</v>
      </c>
      <c r="N329" s="15">
        <v>0.3</v>
      </c>
      <c r="O329" s="15">
        <v>0.1</v>
      </c>
      <c r="P329" s="15">
        <v>0.7</v>
      </c>
      <c r="Q329" s="15">
        <v>-5.83</v>
      </c>
    </row>
    <row r="330">
      <c r="A330" s="15">
        <v>329.0</v>
      </c>
      <c r="B330" s="168"/>
      <c r="C330" s="30" t="s">
        <v>1111</v>
      </c>
      <c r="D330" s="15" t="s">
        <v>98</v>
      </c>
      <c r="E330" s="15" t="s">
        <v>287</v>
      </c>
      <c r="F330" s="15">
        <v>65.0</v>
      </c>
      <c r="G330" s="15">
        <v>17.1</v>
      </c>
      <c r="H330" s="15" t="s">
        <v>1112</v>
      </c>
      <c r="I330" s="15" t="s">
        <v>1113</v>
      </c>
      <c r="J330" s="15">
        <v>0.4</v>
      </c>
      <c r="K330" s="15">
        <v>6.4</v>
      </c>
      <c r="L330" s="15">
        <v>4.8</v>
      </c>
      <c r="M330" s="15">
        <v>0.8</v>
      </c>
      <c r="N330" s="15">
        <v>0.4</v>
      </c>
      <c r="O330" s="15">
        <v>0.3</v>
      </c>
      <c r="P330" s="15">
        <v>0.7</v>
      </c>
      <c r="Q330" s="15">
        <v>-5.83</v>
      </c>
    </row>
    <row r="331">
      <c r="A331" s="15">
        <v>330.0</v>
      </c>
      <c r="B331" s="172"/>
      <c r="C331" s="30" t="s">
        <v>1114</v>
      </c>
      <c r="D331" s="15" t="s">
        <v>67</v>
      </c>
      <c r="E331" s="15" t="s">
        <v>160</v>
      </c>
      <c r="F331" s="15">
        <v>58.0</v>
      </c>
      <c r="G331" s="15">
        <v>16.5</v>
      </c>
      <c r="H331" s="15" t="s">
        <v>1115</v>
      </c>
      <c r="I331" s="15" t="s">
        <v>937</v>
      </c>
      <c r="J331" s="15">
        <v>0.6</v>
      </c>
      <c r="K331" s="15">
        <v>6.0</v>
      </c>
      <c r="L331" s="15">
        <v>1.3</v>
      </c>
      <c r="M331" s="15">
        <v>3.7</v>
      </c>
      <c r="N331" s="15">
        <v>0.4</v>
      </c>
      <c r="O331" s="15">
        <v>0.1</v>
      </c>
      <c r="P331" s="15">
        <v>1.4</v>
      </c>
      <c r="Q331" s="15">
        <v>-5.85</v>
      </c>
    </row>
    <row r="332">
      <c r="A332" s="15">
        <v>331.0</v>
      </c>
      <c r="B332" s="172"/>
      <c r="C332" s="30" t="s">
        <v>1116</v>
      </c>
      <c r="D332" s="15" t="s">
        <v>49</v>
      </c>
      <c r="E332" s="15" t="s">
        <v>58</v>
      </c>
      <c r="F332" s="15">
        <v>58.0</v>
      </c>
      <c r="G332" s="15">
        <v>14.2</v>
      </c>
      <c r="H332" s="15" t="s">
        <v>1117</v>
      </c>
      <c r="I332" s="15" t="s">
        <v>1118</v>
      </c>
      <c r="J332" s="15">
        <v>0.7</v>
      </c>
      <c r="K332" s="15">
        <v>4.8</v>
      </c>
      <c r="L332" s="15">
        <v>3.0</v>
      </c>
      <c r="M332" s="15">
        <v>1.3</v>
      </c>
      <c r="N332" s="15">
        <v>0.5</v>
      </c>
      <c r="O332" s="15">
        <v>0.2</v>
      </c>
      <c r="P332" s="15">
        <v>0.4</v>
      </c>
      <c r="Q332" s="15">
        <v>-5.85</v>
      </c>
    </row>
    <row r="333">
      <c r="A333" s="15">
        <v>332.0</v>
      </c>
      <c r="B333" s="172"/>
      <c r="C333" s="30" t="s">
        <v>1119</v>
      </c>
      <c r="D333" s="15" t="s">
        <v>67</v>
      </c>
      <c r="E333" s="15" t="s">
        <v>168</v>
      </c>
      <c r="F333" s="15">
        <v>50.0</v>
      </c>
      <c r="G333" s="15">
        <v>12.2</v>
      </c>
      <c r="H333" s="15" t="s">
        <v>1120</v>
      </c>
      <c r="I333" s="15" t="s">
        <v>1121</v>
      </c>
      <c r="J333" s="15">
        <v>0.6</v>
      </c>
      <c r="K333" s="15">
        <v>3.4</v>
      </c>
      <c r="L333" s="15">
        <v>1.3</v>
      </c>
      <c r="M333" s="15">
        <v>2.4</v>
      </c>
      <c r="N333" s="15">
        <v>0.6</v>
      </c>
      <c r="O333" s="15">
        <v>0.1</v>
      </c>
      <c r="P333" s="15">
        <v>0.5</v>
      </c>
      <c r="Q333" s="15">
        <v>-5.87</v>
      </c>
    </row>
    <row r="334">
      <c r="A334" s="15">
        <v>333.0</v>
      </c>
      <c r="B334" s="172"/>
      <c r="C334" s="30" t="s">
        <v>1122</v>
      </c>
      <c r="D334" s="15" t="s">
        <v>47</v>
      </c>
      <c r="E334" s="15" t="s">
        <v>89</v>
      </c>
      <c r="F334" s="15">
        <v>60.0</v>
      </c>
      <c r="G334" s="15">
        <v>18.6</v>
      </c>
      <c r="H334" s="15" t="s">
        <v>1123</v>
      </c>
      <c r="I334" s="15" t="s">
        <v>1124</v>
      </c>
      <c r="J334" s="15">
        <v>0.8</v>
      </c>
      <c r="K334" s="15">
        <v>5.1</v>
      </c>
      <c r="L334" s="15">
        <v>2.8</v>
      </c>
      <c r="M334" s="15">
        <v>0.6</v>
      </c>
      <c r="N334" s="15">
        <v>0.5</v>
      </c>
      <c r="O334" s="15">
        <v>0.2</v>
      </c>
      <c r="P334" s="15">
        <v>0.5</v>
      </c>
      <c r="Q334" s="15">
        <v>-6.01</v>
      </c>
    </row>
    <row r="335">
      <c r="A335" s="15">
        <v>334.0</v>
      </c>
      <c r="B335" s="172"/>
      <c r="C335" s="30" t="s">
        <v>1125</v>
      </c>
      <c r="D335" s="15" t="s">
        <v>182</v>
      </c>
      <c r="E335" s="15" t="s">
        <v>89</v>
      </c>
      <c r="F335" s="15">
        <v>56.0</v>
      </c>
      <c r="G335" s="15">
        <v>16.4</v>
      </c>
      <c r="H335" s="15" t="s">
        <v>1126</v>
      </c>
      <c r="I335" s="15" t="s">
        <v>1127</v>
      </c>
      <c r="J335" s="15">
        <v>1.0</v>
      </c>
      <c r="K335" s="15">
        <v>5.1</v>
      </c>
      <c r="L335" s="15">
        <v>1.8</v>
      </c>
      <c r="M335" s="15">
        <v>1.1</v>
      </c>
      <c r="N335" s="15">
        <v>0.7</v>
      </c>
      <c r="O335" s="15">
        <v>0.0</v>
      </c>
      <c r="P335" s="15">
        <v>0.3</v>
      </c>
      <c r="Q335" s="15">
        <v>-6.02</v>
      </c>
    </row>
    <row r="336">
      <c r="A336" s="15">
        <v>335.0</v>
      </c>
      <c r="B336" s="168"/>
      <c r="C336" s="30" t="s">
        <v>1128</v>
      </c>
      <c r="D336" s="15" t="s">
        <v>98</v>
      </c>
      <c r="E336" s="15" t="s">
        <v>81</v>
      </c>
      <c r="F336" s="15">
        <v>44.0</v>
      </c>
      <c r="G336" s="15">
        <v>15.1</v>
      </c>
      <c r="H336" s="15" t="s">
        <v>1129</v>
      </c>
      <c r="I336" s="15" t="s">
        <v>1130</v>
      </c>
      <c r="J336" s="15">
        <v>0.4</v>
      </c>
      <c r="K336" s="15">
        <v>6.7</v>
      </c>
      <c r="L336" s="15">
        <v>3.1</v>
      </c>
      <c r="M336" s="15">
        <v>0.9</v>
      </c>
      <c r="N336" s="15">
        <v>0.3</v>
      </c>
      <c r="O336" s="15">
        <v>0.2</v>
      </c>
      <c r="P336" s="15">
        <v>0.7</v>
      </c>
      <c r="Q336" s="15">
        <v>-6.04</v>
      </c>
    </row>
    <row r="337">
      <c r="A337" s="15">
        <v>336.0</v>
      </c>
      <c r="B337" s="172"/>
      <c r="C337" s="30" t="s">
        <v>1131</v>
      </c>
      <c r="D337" s="15" t="s">
        <v>34</v>
      </c>
      <c r="E337" s="15" t="s">
        <v>68</v>
      </c>
      <c r="F337" s="15">
        <v>64.0</v>
      </c>
      <c r="G337" s="15">
        <v>13.4</v>
      </c>
      <c r="H337" s="15" t="s">
        <v>1132</v>
      </c>
      <c r="I337" s="15" t="s">
        <v>1133</v>
      </c>
      <c r="J337" s="15">
        <v>0.0</v>
      </c>
      <c r="K337" s="15">
        <v>4.2</v>
      </c>
      <c r="L337" s="15">
        <v>3.1</v>
      </c>
      <c r="M337" s="15">
        <v>0.9</v>
      </c>
      <c r="N337" s="15">
        <v>0.4</v>
      </c>
      <c r="O337" s="15">
        <v>0.3</v>
      </c>
      <c r="P337" s="15">
        <v>0.6</v>
      </c>
      <c r="Q337" s="15">
        <v>-6.11</v>
      </c>
    </row>
    <row r="338">
      <c r="A338" s="15">
        <v>337.0</v>
      </c>
      <c r="B338" s="172"/>
      <c r="C338" s="30" t="s">
        <v>1134</v>
      </c>
      <c r="D338" s="15" t="s">
        <v>34</v>
      </c>
      <c r="E338" s="15" t="s">
        <v>237</v>
      </c>
      <c r="F338" s="15">
        <v>60.0</v>
      </c>
      <c r="G338" s="15">
        <v>15.9</v>
      </c>
      <c r="H338" s="15" t="s">
        <v>1135</v>
      </c>
      <c r="I338" s="15" t="s">
        <v>1136</v>
      </c>
      <c r="J338" s="15">
        <v>0.0</v>
      </c>
      <c r="K338" s="15">
        <v>6.3</v>
      </c>
      <c r="L338" s="15">
        <v>3.3</v>
      </c>
      <c r="M338" s="15">
        <v>0.2</v>
      </c>
      <c r="N338" s="15">
        <v>0.4</v>
      </c>
      <c r="O338" s="15">
        <v>0.9</v>
      </c>
      <c r="P338" s="15">
        <v>0.7</v>
      </c>
      <c r="Q338" s="15">
        <v>-6.11</v>
      </c>
    </row>
    <row r="339">
      <c r="A339" s="15">
        <v>338.0</v>
      </c>
      <c r="B339" s="172"/>
      <c r="C339" s="30" t="s">
        <v>1137</v>
      </c>
      <c r="D339" s="15" t="s">
        <v>98</v>
      </c>
      <c r="E339" s="15" t="s">
        <v>197</v>
      </c>
      <c r="F339" s="15">
        <v>35.0</v>
      </c>
      <c r="G339" s="15">
        <v>14.8</v>
      </c>
      <c r="H339" s="15" t="s">
        <v>1138</v>
      </c>
      <c r="I339" s="15" t="s">
        <v>1139</v>
      </c>
      <c r="J339" s="15">
        <v>0.9</v>
      </c>
      <c r="K339" s="15">
        <v>5.9</v>
      </c>
      <c r="L339" s="15">
        <v>2.3</v>
      </c>
      <c r="M339" s="15">
        <v>1.0</v>
      </c>
      <c r="N339" s="15">
        <v>0.5</v>
      </c>
      <c r="O339" s="15">
        <v>0.2</v>
      </c>
      <c r="P339" s="15">
        <v>0.8</v>
      </c>
      <c r="Q339" s="15">
        <v>-6.13</v>
      </c>
    </row>
    <row r="340">
      <c r="A340" s="15">
        <v>339.0</v>
      </c>
      <c r="B340" s="15">
        <v>142.7</v>
      </c>
      <c r="C340" s="30" t="s">
        <v>1140</v>
      </c>
      <c r="D340" s="15" t="s">
        <v>34</v>
      </c>
      <c r="E340" s="15" t="s">
        <v>193</v>
      </c>
      <c r="F340" s="15">
        <v>50.0</v>
      </c>
      <c r="G340" s="15">
        <v>16.1</v>
      </c>
      <c r="H340" s="15" t="s">
        <v>1141</v>
      </c>
      <c r="I340" s="15" t="s">
        <v>1142</v>
      </c>
      <c r="J340" s="15">
        <v>0.2</v>
      </c>
      <c r="K340" s="15">
        <v>6.3</v>
      </c>
      <c r="L340" s="15">
        <v>3.9</v>
      </c>
      <c r="M340" s="15">
        <v>0.6</v>
      </c>
      <c r="N340" s="15">
        <v>0.2</v>
      </c>
      <c r="O340" s="15">
        <v>0.7</v>
      </c>
      <c r="P340" s="15">
        <v>0.6</v>
      </c>
      <c r="Q340" s="15">
        <v>-6.15</v>
      </c>
    </row>
    <row r="341">
      <c r="A341" s="15">
        <v>340.0</v>
      </c>
      <c r="B341" s="172"/>
      <c r="C341" s="30" t="s">
        <v>1143</v>
      </c>
      <c r="D341" s="15" t="s">
        <v>48</v>
      </c>
      <c r="E341" s="15" t="s">
        <v>264</v>
      </c>
      <c r="F341" s="15">
        <v>52.0</v>
      </c>
      <c r="G341" s="15">
        <v>15.2</v>
      </c>
      <c r="H341" s="15" t="s">
        <v>1144</v>
      </c>
      <c r="I341" s="15" t="s">
        <v>1145</v>
      </c>
      <c r="J341" s="15">
        <v>0.6</v>
      </c>
      <c r="K341" s="15">
        <v>5.4</v>
      </c>
      <c r="L341" s="15">
        <v>1.7</v>
      </c>
      <c r="M341" s="15">
        <v>0.8</v>
      </c>
      <c r="N341" s="15">
        <v>0.4</v>
      </c>
      <c r="O341" s="15">
        <v>0.2</v>
      </c>
      <c r="P341" s="15">
        <v>0.6</v>
      </c>
      <c r="Q341" s="15">
        <v>-6.17</v>
      </c>
    </row>
    <row r="342">
      <c r="A342" s="15">
        <v>341.0</v>
      </c>
      <c r="B342" s="15">
        <v>142.3</v>
      </c>
      <c r="C342" s="30" t="s">
        <v>1146</v>
      </c>
      <c r="D342" s="15" t="s">
        <v>98</v>
      </c>
      <c r="E342" s="15" t="s">
        <v>250</v>
      </c>
      <c r="F342" s="15">
        <v>40.0</v>
      </c>
      <c r="G342" s="15">
        <v>14.4</v>
      </c>
      <c r="H342" s="15" t="s">
        <v>1147</v>
      </c>
      <c r="I342" s="15" t="s">
        <v>1148</v>
      </c>
      <c r="J342" s="15">
        <v>1.2</v>
      </c>
      <c r="K342" s="15">
        <v>6.2</v>
      </c>
      <c r="L342" s="15">
        <v>2.0</v>
      </c>
      <c r="M342" s="15">
        <v>0.9</v>
      </c>
      <c r="N342" s="15">
        <v>0.4</v>
      </c>
      <c r="O342" s="15">
        <v>0.2</v>
      </c>
      <c r="P342" s="15">
        <v>0.7</v>
      </c>
      <c r="Q342" s="15">
        <v>-6.19</v>
      </c>
    </row>
    <row r="343">
      <c r="A343" s="15">
        <v>342.0</v>
      </c>
      <c r="B343" s="172"/>
      <c r="C343" s="30" t="s">
        <v>1149</v>
      </c>
      <c r="D343" s="15" t="s">
        <v>67</v>
      </c>
      <c r="E343" s="15" t="s">
        <v>68</v>
      </c>
      <c r="F343" s="15">
        <v>71.0</v>
      </c>
      <c r="G343" s="15">
        <v>14.2</v>
      </c>
      <c r="H343" s="15" t="s">
        <v>1150</v>
      </c>
      <c r="I343" s="15" t="s">
        <v>1151</v>
      </c>
      <c r="J343" s="15">
        <v>1.2</v>
      </c>
      <c r="K343" s="15">
        <v>8.0</v>
      </c>
      <c r="L343" s="15">
        <v>1.9</v>
      </c>
      <c r="M343" s="15">
        <v>1.5</v>
      </c>
      <c r="N343" s="15">
        <v>0.3</v>
      </c>
      <c r="O343" s="15">
        <v>0.1</v>
      </c>
      <c r="P343" s="15">
        <v>0.9</v>
      </c>
      <c r="Q343" s="15">
        <v>-6.25</v>
      </c>
    </row>
    <row r="344">
      <c r="A344" s="15">
        <v>343.0</v>
      </c>
      <c r="B344" s="172"/>
      <c r="C344" s="30" t="s">
        <v>1152</v>
      </c>
      <c r="D344" s="15" t="s">
        <v>49</v>
      </c>
      <c r="E344" s="15" t="s">
        <v>250</v>
      </c>
      <c r="F344" s="15">
        <v>44.0</v>
      </c>
      <c r="G344" s="15">
        <v>15.1</v>
      </c>
      <c r="H344" s="15" t="s">
        <v>1153</v>
      </c>
      <c r="I344" s="15" t="s">
        <v>1154</v>
      </c>
      <c r="J344" s="15">
        <v>0.7</v>
      </c>
      <c r="K344" s="15">
        <v>5.3</v>
      </c>
      <c r="L344" s="15">
        <v>2.7</v>
      </c>
      <c r="M344" s="15">
        <v>0.4</v>
      </c>
      <c r="N344" s="15">
        <v>0.4</v>
      </c>
      <c r="O344" s="15">
        <v>0.3</v>
      </c>
      <c r="P344" s="15">
        <v>0.9</v>
      </c>
      <c r="Q344" s="15">
        <v>-6.33</v>
      </c>
    </row>
    <row r="345">
      <c r="A345" s="15">
        <v>344.0</v>
      </c>
      <c r="B345" s="172"/>
      <c r="C345" s="30" t="s">
        <v>1155</v>
      </c>
      <c r="D345" s="15" t="s">
        <v>67</v>
      </c>
      <c r="E345" s="15" t="s">
        <v>271</v>
      </c>
      <c r="F345" s="15">
        <v>64.0</v>
      </c>
      <c r="G345" s="15">
        <v>13.2</v>
      </c>
      <c r="H345" s="15" t="s">
        <v>1156</v>
      </c>
      <c r="I345" s="15" t="s">
        <v>1157</v>
      </c>
      <c r="J345" s="15">
        <v>1.0</v>
      </c>
      <c r="K345" s="15">
        <v>4.8</v>
      </c>
      <c r="L345" s="15">
        <v>1.2</v>
      </c>
      <c r="M345" s="15">
        <v>1.4</v>
      </c>
      <c r="N345" s="15">
        <v>0.5</v>
      </c>
      <c r="O345" s="15">
        <v>0.2</v>
      </c>
      <c r="P345" s="15">
        <v>0.5</v>
      </c>
      <c r="Q345" s="15">
        <v>-6.35</v>
      </c>
    </row>
    <row r="346">
      <c r="A346" s="15">
        <v>345.0</v>
      </c>
      <c r="B346" s="172"/>
      <c r="C346" s="30" t="s">
        <v>1158</v>
      </c>
      <c r="D346" s="15" t="s">
        <v>49</v>
      </c>
      <c r="E346" s="15" t="s">
        <v>160</v>
      </c>
      <c r="F346" s="15">
        <v>60.0</v>
      </c>
      <c r="G346" s="15">
        <v>18.9</v>
      </c>
      <c r="H346" s="15" t="s">
        <v>1159</v>
      </c>
      <c r="I346" s="15" t="s">
        <v>1160</v>
      </c>
      <c r="J346" s="15">
        <v>0.8</v>
      </c>
      <c r="K346" s="15">
        <v>5.9</v>
      </c>
      <c r="L346" s="15">
        <v>2.4</v>
      </c>
      <c r="M346" s="15">
        <v>0.6</v>
      </c>
      <c r="N346" s="15">
        <v>0.7</v>
      </c>
      <c r="O346" s="15">
        <v>0.1</v>
      </c>
      <c r="P346" s="15">
        <v>0.8</v>
      </c>
      <c r="Q346" s="15">
        <v>-6.38</v>
      </c>
    </row>
    <row r="347">
      <c r="A347" s="15">
        <v>346.0</v>
      </c>
      <c r="B347" s="172"/>
      <c r="C347" s="30" t="s">
        <v>1161</v>
      </c>
      <c r="D347" s="15" t="s">
        <v>49</v>
      </c>
      <c r="E347" s="15" t="s">
        <v>85</v>
      </c>
      <c r="F347" s="15">
        <v>50.0</v>
      </c>
      <c r="G347" s="15">
        <v>12.1</v>
      </c>
      <c r="H347" s="15" t="s">
        <v>1162</v>
      </c>
      <c r="I347" s="15" t="s">
        <v>1163</v>
      </c>
      <c r="J347" s="15">
        <v>0.6</v>
      </c>
      <c r="K347" s="15">
        <v>5.5</v>
      </c>
      <c r="L347" s="15">
        <v>2.1</v>
      </c>
      <c r="M347" s="15">
        <v>0.5</v>
      </c>
      <c r="N347" s="15">
        <v>0.3</v>
      </c>
      <c r="O347" s="15">
        <v>0.4</v>
      </c>
      <c r="P347" s="15">
        <v>0.5</v>
      </c>
      <c r="Q347" s="15">
        <v>-6.47</v>
      </c>
    </row>
    <row r="348">
      <c r="A348" s="15">
        <v>347.0</v>
      </c>
      <c r="B348" s="172"/>
      <c r="C348" s="30" t="s">
        <v>1164</v>
      </c>
      <c r="D348" s="15" t="s">
        <v>182</v>
      </c>
      <c r="E348" s="15" t="s">
        <v>85</v>
      </c>
      <c r="F348" s="15">
        <v>50.0</v>
      </c>
      <c r="G348" s="15">
        <v>14.2</v>
      </c>
      <c r="H348" s="15" t="s">
        <v>1165</v>
      </c>
      <c r="I348" s="15" t="s">
        <v>1166</v>
      </c>
      <c r="J348" s="15">
        <v>0.4</v>
      </c>
      <c r="K348" s="15">
        <v>3.1</v>
      </c>
      <c r="L348" s="15">
        <v>2.8</v>
      </c>
      <c r="M348" s="15">
        <v>1.3</v>
      </c>
      <c r="N348" s="15">
        <v>0.4</v>
      </c>
      <c r="O348" s="15">
        <v>0.2</v>
      </c>
      <c r="P348" s="15">
        <v>0.7</v>
      </c>
      <c r="Q348" s="15">
        <v>-6.5</v>
      </c>
    </row>
    <row r="349">
      <c r="A349" s="15">
        <v>348.0</v>
      </c>
      <c r="B349" s="172"/>
      <c r="C349" s="30" t="s">
        <v>1167</v>
      </c>
      <c r="D349" s="15" t="s">
        <v>47</v>
      </c>
      <c r="E349" s="15" t="s">
        <v>121</v>
      </c>
      <c r="F349" s="15">
        <v>30.0</v>
      </c>
      <c r="G349" s="15">
        <v>15.4</v>
      </c>
      <c r="H349" s="15" t="s">
        <v>1168</v>
      </c>
      <c r="I349" s="15" t="s">
        <v>1169</v>
      </c>
      <c r="J349" s="15">
        <v>0.5</v>
      </c>
      <c r="K349" s="15">
        <v>6.4</v>
      </c>
      <c r="L349" s="15">
        <v>2.3</v>
      </c>
      <c r="M349" s="15">
        <v>1.2</v>
      </c>
      <c r="N349" s="15">
        <v>0.4</v>
      </c>
      <c r="O349" s="15">
        <v>0.2</v>
      </c>
      <c r="P349" s="15">
        <v>1.0</v>
      </c>
      <c r="Q349" s="15">
        <v>-6.53</v>
      </c>
    </row>
    <row r="350">
      <c r="A350" s="15">
        <v>349.0</v>
      </c>
      <c r="B350" s="172"/>
      <c r="C350" s="30" t="s">
        <v>1170</v>
      </c>
      <c r="D350" s="15" t="s">
        <v>67</v>
      </c>
      <c r="E350" s="15" t="s">
        <v>316</v>
      </c>
      <c r="F350" s="15">
        <v>40.0</v>
      </c>
      <c r="G350" s="15">
        <v>14.9</v>
      </c>
      <c r="H350" s="15" t="s">
        <v>1171</v>
      </c>
      <c r="I350" s="15" t="s">
        <v>1172</v>
      </c>
      <c r="J350" s="15">
        <v>1.0</v>
      </c>
      <c r="K350" s="15">
        <v>6.9</v>
      </c>
      <c r="L350" s="15">
        <v>1.6</v>
      </c>
      <c r="M350" s="15">
        <v>2.0</v>
      </c>
      <c r="N350" s="15">
        <v>0.7</v>
      </c>
      <c r="O350" s="15">
        <v>0.2</v>
      </c>
      <c r="P350" s="15">
        <v>1.5</v>
      </c>
      <c r="Q350" s="15">
        <v>-6.54</v>
      </c>
    </row>
    <row r="351">
      <c r="A351" s="15">
        <v>350.0</v>
      </c>
      <c r="B351" s="172"/>
      <c r="C351" s="30" t="s">
        <v>1173</v>
      </c>
      <c r="D351" s="15" t="s">
        <v>47</v>
      </c>
      <c r="E351" s="15" t="s">
        <v>271</v>
      </c>
      <c r="F351" s="15">
        <v>50.0</v>
      </c>
      <c r="G351" s="15">
        <v>15.0</v>
      </c>
      <c r="H351" s="15" t="s">
        <v>1174</v>
      </c>
      <c r="I351" s="15" t="s">
        <v>1175</v>
      </c>
      <c r="J351" s="15">
        <v>0.9</v>
      </c>
      <c r="K351" s="15">
        <v>5.6</v>
      </c>
      <c r="L351" s="15">
        <v>2.1</v>
      </c>
      <c r="M351" s="15">
        <v>1.0</v>
      </c>
      <c r="N351" s="15">
        <v>0.5</v>
      </c>
      <c r="O351" s="15">
        <v>0.2</v>
      </c>
      <c r="P351" s="15">
        <v>0.6</v>
      </c>
      <c r="Q351" s="15">
        <v>-6.54</v>
      </c>
    </row>
    <row r="352">
      <c r="A352" s="15">
        <v>351.0</v>
      </c>
      <c r="B352" s="172"/>
      <c r="C352" s="30" t="s">
        <v>1176</v>
      </c>
      <c r="D352" s="15" t="s">
        <v>34</v>
      </c>
      <c r="E352" s="15" t="s">
        <v>168</v>
      </c>
      <c r="F352" s="15">
        <v>54.0</v>
      </c>
      <c r="G352" s="15">
        <v>9.4</v>
      </c>
      <c r="H352" s="15" t="s">
        <v>1177</v>
      </c>
      <c r="I352" s="15" t="s">
        <v>1178</v>
      </c>
      <c r="J352" s="15">
        <v>0.0</v>
      </c>
      <c r="K352" s="15">
        <v>2.6</v>
      </c>
      <c r="L352" s="15">
        <v>3.0</v>
      </c>
      <c r="M352" s="15">
        <v>1.0</v>
      </c>
      <c r="N352" s="15">
        <v>0.2</v>
      </c>
      <c r="O352" s="15">
        <v>0.7</v>
      </c>
      <c r="P352" s="15">
        <v>0.7</v>
      </c>
      <c r="Q352" s="15">
        <v>-6.55</v>
      </c>
    </row>
    <row r="353">
      <c r="A353" s="15">
        <v>352.0</v>
      </c>
      <c r="B353" s="15">
        <v>135.6</v>
      </c>
      <c r="C353" s="30" t="s">
        <v>1179</v>
      </c>
      <c r="D353" s="15" t="s">
        <v>74</v>
      </c>
      <c r="E353" s="15" t="s">
        <v>115</v>
      </c>
      <c r="F353" s="15">
        <v>68.0</v>
      </c>
      <c r="G353" s="15">
        <v>10.4</v>
      </c>
      <c r="H353" s="15" t="s">
        <v>1180</v>
      </c>
      <c r="I353" s="15" t="s">
        <v>1181</v>
      </c>
      <c r="J353" s="15">
        <v>0.0</v>
      </c>
      <c r="K353" s="15">
        <v>3.0</v>
      </c>
      <c r="L353" s="15">
        <v>3.9</v>
      </c>
      <c r="M353" s="15">
        <v>1.1</v>
      </c>
      <c r="N353" s="15">
        <v>0.3</v>
      </c>
      <c r="O353" s="15">
        <v>0.3</v>
      </c>
      <c r="P353" s="15">
        <v>0.3</v>
      </c>
      <c r="Q353" s="15">
        <v>-6.57</v>
      </c>
    </row>
    <row r="354">
      <c r="A354" s="15">
        <v>353.0</v>
      </c>
      <c r="B354" s="172"/>
      <c r="C354" s="30" t="s">
        <v>1182</v>
      </c>
      <c r="D354" s="15" t="s">
        <v>74</v>
      </c>
      <c r="E354" s="15" t="s">
        <v>237</v>
      </c>
      <c r="F354" s="15">
        <v>36.0</v>
      </c>
      <c r="G354" s="15">
        <v>12.1</v>
      </c>
      <c r="H354" s="15" t="s">
        <v>1183</v>
      </c>
      <c r="I354" s="15" t="s">
        <v>1184</v>
      </c>
      <c r="J354" s="15">
        <v>0.5</v>
      </c>
      <c r="K354" s="15">
        <v>4.3</v>
      </c>
      <c r="L354" s="15">
        <v>2.7</v>
      </c>
      <c r="M354" s="15">
        <v>0.7</v>
      </c>
      <c r="N354" s="15">
        <v>0.4</v>
      </c>
      <c r="O354" s="15">
        <v>0.2</v>
      </c>
      <c r="P354" s="15">
        <v>0.4</v>
      </c>
      <c r="Q354" s="15">
        <v>-6.66</v>
      </c>
    </row>
    <row r="355">
      <c r="A355" s="15">
        <v>354.0</v>
      </c>
      <c r="B355" s="172"/>
      <c r="C355" s="30" t="s">
        <v>1185</v>
      </c>
      <c r="D355" s="15" t="s">
        <v>98</v>
      </c>
      <c r="E355" s="15" t="s">
        <v>237</v>
      </c>
      <c r="F355" s="15">
        <v>22.0</v>
      </c>
      <c r="G355" s="15">
        <v>11.1</v>
      </c>
      <c r="H355" s="15" t="s">
        <v>1186</v>
      </c>
      <c r="I355" s="15" t="s">
        <v>1011</v>
      </c>
      <c r="J355" s="15">
        <v>0.4</v>
      </c>
      <c r="K355" s="15">
        <v>4.4</v>
      </c>
      <c r="L355" s="15">
        <v>2.0</v>
      </c>
      <c r="M355" s="15">
        <v>0.5</v>
      </c>
      <c r="N355" s="15">
        <v>0.5</v>
      </c>
      <c r="O355" s="15">
        <v>0.1</v>
      </c>
      <c r="P355" s="15">
        <v>0.3</v>
      </c>
      <c r="Q355" s="15">
        <v>-6.74</v>
      </c>
    </row>
    <row r="356">
      <c r="A356" s="15">
        <v>355.0</v>
      </c>
      <c r="B356" s="172"/>
      <c r="C356" s="30" t="s">
        <v>1187</v>
      </c>
      <c r="D356" s="15" t="s">
        <v>67</v>
      </c>
      <c r="E356" s="15" t="s">
        <v>193</v>
      </c>
      <c r="F356" s="15">
        <v>10.0</v>
      </c>
      <c r="G356" s="15">
        <v>8.8</v>
      </c>
      <c r="H356" s="15" t="s">
        <v>1188</v>
      </c>
      <c r="I356" s="15" t="s">
        <v>1189</v>
      </c>
      <c r="J356" s="15">
        <v>0.4</v>
      </c>
      <c r="K356" s="15">
        <v>2.6</v>
      </c>
      <c r="L356" s="15">
        <v>1.2</v>
      </c>
      <c r="M356" s="15">
        <v>1.1</v>
      </c>
      <c r="N356" s="15">
        <v>0.6</v>
      </c>
      <c r="O356" s="15">
        <v>0.2</v>
      </c>
      <c r="P356" s="15">
        <v>0.3</v>
      </c>
      <c r="Q356" s="15">
        <v>-6.75</v>
      </c>
    </row>
    <row r="357">
      <c r="A357" s="15">
        <v>356.0</v>
      </c>
      <c r="B357" s="172"/>
      <c r="C357" s="30" t="s">
        <v>1190</v>
      </c>
      <c r="D357" s="15" t="s">
        <v>74</v>
      </c>
      <c r="E357" s="15" t="s">
        <v>42</v>
      </c>
      <c r="F357" s="15">
        <v>58.0</v>
      </c>
      <c r="G357" s="15">
        <v>12.1</v>
      </c>
      <c r="H357" s="15" t="s">
        <v>1191</v>
      </c>
      <c r="I357" s="15" t="s">
        <v>1192</v>
      </c>
      <c r="J357" s="15">
        <v>0.2</v>
      </c>
      <c r="K357" s="15">
        <v>4.3</v>
      </c>
      <c r="L357" s="15">
        <v>2.5</v>
      </c>
      <c r="M357" s="15">
        <v>0.5</v>
      </c>
      <c r="N357" s="15">
        <v>0.3</v>
      </c>
      <c r="O357" s="15">
        <v>0.6</v>
      </c>
      <c r="P357" s="15">
        <v>0.5</v>
      </c>
      <c r="Q357" s="15">
        <v>-6.76</v>
      </c>
    </row>
    <row r="358">
      <c r="A358" s="15">
        <v>357.0</v>
      </c>
      <c r="B358" s="172"/>
      <c r="C358" s="30" t="s">
        <v>1193</v>
      </c>
      <c r="D358" s="15" t="s">
        <v>67</v>
      </c>
      <c r="E358" s="15" t="s">
        <v>94</v>
      </c>
      <c r="F358" s="15">
        <v>40.0</v>
      </c>
      <c r="G358" s="15">
        <v>15.4</v>
      </c>
      <c r="H358" s="15" t="s">
        <v>1194</v>
      </c>
      <c r="I358" s="15" t="s">
        <v>1195</v>
      </c>
      <c r="J358" s="15">
        <v>0.7</v>
      </c>
      <c r="K358" s="15">
        <v>6.4</v>
      </c>
      <c r="L358" s="15">
        <v>2.6</v>
      </c>
      <c r="M358" s="15">
        <v>2.1</v>
      </c>
      <c r="N358" s="15">
        <v>0.6</v>
      </c>
      <c r="O358" s="15">
        <v>0.4</v>
      </c>
      <c r="P358" s="15">
        <v>0.8</v>
      </c>
      <c r="Q358" s="15">
        <v>-6.79</v>
      </c>
    </row>
    <row r="359">
      <c r="A359" s="15">
        <v>358.0</v>
      </c>
      <c r="B359" s="172"/>
      <c r="C359" s="30" t="s">
        <v>1196</v>
      </c>
      <c r="D359" s="15" t="s">
        <v>74</v>
      </c>
      <c r="E359" s="15" t="s">
        <v>316</v>
      </c>
      <c r="F359" s="15">
        <v>44.0</v>
      </c>
      <c r="G359" s="15">
        <v>10.1</v>
      </c>
      <c r="H359" s="15" t="s">
        <v>1197</v>
      </c>
      <c r="I359" s="15" t="s">
        <v>1198</v>
      </c>
      <c r="J359" s="15">
        <v>0.3</v>
      </c>
      <c r="K359" s="15">
        <v>4.5</v>
      </c>
      <c r="L359" s="15">
        <v>2.2</v>
      </c>
      <c r="M359" s="15">
        <v>1.1</v>
      </c>
      <c r="N359" s="15">
        <v>0.3</v>
      </c>
      <c r="O359" s="15">
        <v>0.2</v>
      </c>
      <c r="P359" s="15">
        <v>0.7</v>
      </c>
      <c r="Q359" s="15">
        <v>-6.83</v>
      </c>
    </row>
    <row r="360">
      <c r="A360" s="15">
        <v>359.0</v>
      </c>
      <c r="B360" s="172"/>
      <c r="C360" s="30" t="s">
        <v>1199</v>
      </c>
      <c r="D360" s="15" t="s">
        <v>182</v>
      </c>
      <c r="E360" s="15" t="s">
        <v>94</v>
      </c>
      <c r="F360" s="15">
        <v>54.0</v>
      </c>
      <c r="G360" s="15">
        <v>12.7</v>
      </c>
      <c r="H360" s="15" t="s">
        <v>1200</v>
      </c>
      <c r="I360" s="15" t="s">
        <v>1201</v>
      </c>
      <c r="J360" s="15">
        <v>1.1</v>
      </c>
      <c r="K360" s="15">
        <v>4.5</v>
      </c>
      <c r="L360" s="15">
        <v>1.3</v>
      </c>
      <c r="M360" s="15">
        <v>0.5</v>
      </c>
      <c r="N360" s="15">
        <v>0.3</v>
      </c>
      <c r="O360" s="15">
        <v>0.1</v>
      </c>
      <c r="P360" s="15">
        <v>0.3</v>
      </c>
      <c r="Q360" s="15">
        <v>-6.85</v>
      </c>
    </row>
    <row r="361">
      <c r="A361" s="15">
        <v>360.0</v>
      </c>
      <c r="B361" s="172"/>
      <c r="C361" s="30" t="s">
        <v>1202</v>
      </c>
      <c r="D361" s="15" t="s">
        <v>48</v>
      </c>
      <c r="E361" s="15" t="s">
        <v>94</v>
      </c>
      <c r="F361" s="15">
        <v>52.0</v>
      </c>
      <c r="G361" s="15">
        <v>17.4</v>
      </c>
      <c r="H361" s="15" t="s">
        <v>1203</v>
      </c>
      <c r="I361" s="15" t="s">
        <v>1204</v>
      </c>
      <c r="J361" s="15">
        <v>0.5</v>
      </c>
      <c r="K361" s="15">
        <v>6.5</v>
      </c>
      <c r="L361" s="15">
        <v>1.2</v>
      </c>
      <c r="M361" s="15">
        <v>1.5</v>
      </c>
      <c r="N361" s="15">
        <v>0.5</v>
      </c>
      <c r="O361" s="15">
        <v>0.2</v>
      </c>
      <c r="P361" s="15">
        <v>1.4</v>
      </c>
      <c r="Q361" s="15">
        <v>-6.88</v>
      </c>
    </row>
    <row r="362">
      <c r="A362" s="15">
        <v>361.0</v>
      </c>
      <c r="B362" s="172"/>
      <c r="C362" s="30" t="s">
        <v>1205</v>
      </c>
      <c r="D362" s="15" t="s">
        <v>34</v>
      </c>
      <c r="E362" s="15" t="s">
        <v>81</v>
      </c>
      <c r="F362" s="15">
        <v>44.0</v>
      </c>
      <c r="G362" s="15">
        <v>11.2</v>
      </c>
      <c r="H362" s="15" t="s">
        <v>1206</v>
      </c>
      <c r="I362" s="15" t="s">
        <v>1207</v>
      </c>
      <c r="J362" s="15">
        <v>0.0</v>
      </c>
      <c r="K362" s="15">
        <v>3.9</v>
      </c>
      <c r="L362" s="15">
        <v>1.9</v>
      </c>
      <c r="M362" s="15">
        <v>0.4</v>
      </c>
      <c r="N362" s="15">
        <v>0.4</v>
      </c>
      <c r="O362" s="15">
        <v>0.6</v>
      </c>
      <c r="P362" s="15">
        <v>0.8</v>
      </c>
      <c r="Q362" s="15">
        <v>-6.89</v>
      </c>
    </row>
    <row r="363">
      <c r="A363" s="15">
        <v>362.0</v>
      </c>
      <c r="B363" s="172"/>
      <c r="C363" s="30" t="s">
        <v>1208</v>
      </c>
      <c r="D363" s="15" t="s">
        <v>48</v>
      </c>
      <c r="E363" s="15" t="s">
        <v>172</v>
      </c>
      <c r="F363" s="15">
        <v>64.0</v>
      </c>
      <c r="G363" s="15">
        <v>17.3</v>
      </c>
      <c r="H363" s="15" t="s">
        <v>1209</v>
      </c>
      <c r="I363" s="15" t="s">
        <v>1210</v>
      </c>
      <c r="J363" s="15">
        <v>0.3</v>
      </c>
      <c r="K363" s="15">
        <v>5.5</v>
      </c>
      <c r="L363" s="15">
        <v>1.4</v>
      </c>
      <c r="M363" s="15">
        <v>0.7</v>
      </c>
      <c r="N363" s="15">
        <v>0.3</v>
      </c>
      <c r="O363" s="15">
        <v>0.3</v>
      </c>
      <c r="P363" s="15">
        <v>0.9</v>
      </c>
      <c r="Q363" s="15">
        <v>-7.0</v>
      </c>
    </row>
    <row r="364">
      <c r="A364" s="15">
        <v>363.0</v>
      </c>
      <c r="B364" s="172"/>
      <c r="C364" s="30" t="s">
        <v>1211</v>
      </c>
      <c r="D364" s="15" t="s">
        <v>182</v>
      </c>
      <c r="E364" s="15" t="s">
        <v>85</v>
      </c>
      <c r="F364" s="15">
        <v>54.0</v>
      </c>
      <c r="G364" s="15">
        <v>13.8</v>
      </c>
      <c r="H364" s="15" t="s">
        <v>1212</v>
      </c>
      <c r="I364" s="15" t="s">
        <v>1213</v>
      </c>
      <c r="J364" s="15">
        <v>0.8</v>
      </c>
      <c r="K364" s="15">
        <v>5.1</v>
      </c>
      <c r="L364" s="15">
        <v>2.3</v>
      </c>
      <c r="M364" s="15">
        <v>0.7</v>
      </c>
      <c r="N364" s="15">
        <v>0.4</v>
      </c>
      <c r="O364" s="15">
        <v>0.2</v>
      </c>
      <c r="P364" s="15">
        <v>0.8</v>
      </c>
      <c r="Q364" s="15">
        <v>-7.05</v>
      </c>
    </row>
    <row r="365">
      <c r="A365" s="15">
        <v>364.0</v>
      </c>
      <c r="B365" s="172"/>
      <c r="C365" s="30" t="s">
        <v>1214</v>
      </c>
      <c r="D365" s="15" t="s">
        <v>34</v>
      </c>
      <c r="E365" s="15" t="s">
        <v>312</v>
      </c>
      <c r="F365" s="15">
        <v>30.0</v>
      </c>
      <c r="G365" s="15">
        <v>7.9</v>
      </c>
      <c r="H365" s="15" t="s">
        <v>1215</v>
      </c>
      <c r="I365" s="15" t="s">
        <v>1216</v>
      </c>
      <c r="J365" s="15">
        <v>0.5</v>
      </c>
      <c r="K365" s="15">
        <v>4.4</v>
      </c>
      <c r="L365" s="15">
        <v>1.9</v>
      </c>
      <c r="M365" s="15">
        <v>0.7</v>
      </c>
      <c r="N365" s="15">
        <v>0.3</v>
      </c>
      <c r="O365" s="15">
        <v>0.4</v>
      </c>
      <c r="P365" s="15">
        <v>0.5</v>
      </c>
      <c r="Q365" s="15">
        <v>-7.11</v>
      </c>
    </row>
    <row r="366">
      <c r="A366" s="15">
        <v>365.0</v>
      </c>
      <c r="B366" s="172"/>
      <c r="C366" s="30" t="s">
        <v>1217</v>
      </c>
      <c r="D366" s="15" t="s">
        <v>67</v>
      </c>
      <c r="E366" s="15" t="s">
        <v>204</v>
      </c>
      <c r="F366" s="15">
        <v>40.0</v>
      </c>
      <c r="G366" s="15">
        <v>10.4</v>
      </c>
      <c r="H366" s="15" t="s">
        <v>1218</v>
      </c>
      <c r="I366" s="15" t="s">
        <v>1219</v>
      </c>
      <c r="J366" s="15">
        <v>0.6</v>
      </c>
      <c r="K366" s="15">
        <v>3.8</v>
      </c>
      <c r="L366" s="15">
        <v>1.0</v>
      </c>
      <c r="M366" s="15">
        <v>1.1</v>
      </c>
      <c r="N366" s="15">
        <v>0.4</v>
      </c>
      <c r="O366" s="15">
        <v>0.1</v>
      </c>
      <c r="P366" s="15">
        <v>0.4</v>
      </c>
      <c r="Q366" s="15">
        <v>-7.12</v>
      </c>
    </row>
    <row r="367">
      <c r="A367" s="15">
        <v>366.0</v>
      </c>
      <c r="B367" s="172"/>
      <c r="C367" s="30" t="s">
        <v>1220</v>
      </c>
      <c r="D367" s="15" t="s">
        <v>46</v>
      </c>
      <c r="E367" s="15" t="s">
        <v>197</v>
      </c>
      <c r="F367" s="15">
        <v>22.0</v>
      </c>
      <c r="G367" s="15">
        <v>11.4</v>
      </c>
      <c r="H367" s="15" t="s">
        <v>1221</v>
      </c>
      <c r="I367" s="15" t="s">
        <v>1222</v>
      </c>
      <c r="J367" s="15">
        <v>0.5</v>
      </c>
      <c r="K367" s="15">
        <v>5.4</v>
      </c>
      <c r="L367" s="15">
        <v>1.3</v>
      </c>
      <c r="M367" s="15">
        <v>1.9</v>
      </c>
      <c r="N367" s="15">
        <v>0.2</v>
      </c>
      <c r="O367" s="15">
        <v>0.1</v>
      </c>
      <c r="P367" s="15">
        <v>0.8</v>
      </c>
      <c r="Q367" s="15">
        <v>-7.12</v>
      </c>
    </row>
    <row r="368">
      <c r="A368" s="15">
        <v>367.0</v>
      </c>
      <c r="B368" s="172"/>
      <c r="C368" s="30" t="s">
        <v>1223</v>
      </c>
      <c r="D368" s="15" t="s">
        <v>182</v>
      </c>
      <c r="E368" s="15" t="s">
        <v>99</v>
      </c>
      <c r="F368" s="15">
        <v>20.0</v>
      </c>
      <c r="G368" s="15">
        <v>11.1</v>
      </c>
      <c r="H368" s="15" t="s">
        <v>1224</v>
      </c>
      <c r="I368" s="15" t="s">
        <v>1225</v>
      </c>
      <c r="J368" s="15">
        <v>0.3</v>
      </c>
      <c r="K368" s="15">
        <v>2.0</v>
      </c>
      <c r="L368" s="15">
        <v>2.7</v>
      </c>
      <c r="M368" s="15">
        <v>0.7</v>
      </c>
      <c r="N368" s="15">
        <v>0.7</v>
      </c>
      <c r="O368" s="15">
        <v>0.1</v>
      </c>
      <c r="P368" s="15">
        <v>0.4</v>
      </c>
      <c r="Q368" s="15">
        <v>-7.13</v>
      </c>
    </row>
    <row r="369">
      <c r="A369" s="15">
        <v>368.0</v>
      </c>
      <c r="B369" s="172"/>
      <c r="C369" s="30" t="s">
        <v>1226</v>
      </c>
      <c r="D369" s="15" t="s">
        <v>48</v>
      </c>
      <c r="E369" s="15" t="s">
        <v>287</v>
      </c>
      <c r="F369" s="15">
        <v>30.0</v>
      </c>
      <c r="G369" s="15">
        <v>10.0</v>
      </c>
      <c r="H369" s="15" t="s">
        <v>1227</v>
      </c>
      <c r="I369" s="15" t="s">
        <v>1228</v>
      </c>
      <c r="J369" s="15">
        <v>0.6</v>
      </c>
      <c r="K369" s="15">
        <v>5.3</v>
      </c>
      <c r="L369" s="15">
        <v>1.7</v>
      </c>
      <c r="M369" s="15">
        <v>1.2</v>
      </c>
      <c r="N369" s="15">
        <v>0.4</v>
      </c>
      <c r="O369" s="15">
        <v>0.3</v>
      </c>
      <c r="P369" s="15">
        <v>0.7</v>
      </c>
      <c r="Q369" s="15">
        <v>-7.14</v>
      </c>
    </row>
    <row r="370">
      <c r="A370" s="15">
        <v>369.0</v>
      </c>
      <c r="B370" s="172"/>
      <c r="C370" s="30" t="s">
        <v>1229</v>
      </c>
      <c r="D370" s="15" t="s">
        <v>98</v>
      </c>
      <c r="E370" s="15" t="s">
        <v>168</v>
      </c>
      <c r="F370" s="15">
        <v>60.0</v>
      </c>
      <c r="G370" s="15">
        <v>10.4</v>
      </c>
      <c r="H370" s="15" t="s">
        <v>1230</v>
      </c>
      <c r="I370" s="15" t="s">
        <v>1231</v>
      </c>
      <c r="J370" s="15">
        <v>0.4</v>
      </c>
      <c r="K370" s="15">
        <v>4.0</v>
      </c>
      <c r="L370" s="15">
        <v>1.8</v>
      </c>
      <c r="M370" s="15">
        <v>0.7</v>
      </c>
      <c r="N370" s="15">
        <v>0.4</v>
      </c>
      <c r="O370" s="15">
        <v>0.2</v>
      </c>
      <c r="P370" s="15">
        <v>0.5</v>
      </c>
      <c r="Q370" s="15">
        <v>-7.14</v>
      </c>
    </row>
    <row r="371">
      <c r="A371" s="15">
        <v>370.0</v>
      </c>
      <c r="B371" s="172"/>
      <c r="C371" s="30" t="s">
        <v>1232</v>
      </c>
      <c r="D371" s="15" t="s">
        <v>48</v>
      </c>
      <c r="E371" s="15" t="s">
        <v>316</v>
      </c>
      <c r="F371" s="15">
        <v>20.0</v>
      </c>
      <c r="G371" s="15">
        <v>13.5</v>
      </c>
      <c r="H371" s="15" t="s">
        <v>1233</v>
      </c>
      <c r="I371" s="15" t="s">
        <v>1234</v>
      </c>
      <c r="J371" s="15">
        <v>0.5</v>
      </c>
      <c r="K371" s="15">
        <v>4.4</v>
      </c>
      <c r="L371" s="15">
        <v>2.7</v>
      </c>
      <c r="M371" s="15">
        <v>0.9</v>
      </c>
      <c r="N371" s="15">
        <v>0.2</v>
      </c>
      <c r="O371" s="15">
        <v>0.1</v>
      </c>
      <c r="P371" s="15">
        <v>0.4</v>
      </c>
      <c r="Q371" s="15">
        <v>-7.18</v>
      </c>
    </row>
    <row r="372">
      <c r="A372" s="15">
        <v>371.0</v>
      </c>
      <c r="B372" s="172"/>
      <c r="C372" s="30" t="s">
        <v>1235</v>
      </c>
      <c r="D372" s="15" t="s">
        <v>67</v>
      </c>
      <c r="E372" s="15" t="s">
        <v>287</v>
      </c>
      <c r="F372" s="15">
        <v>40.0</v>
      </c>
      <c r="G372" s="15">
        <v>11.1</v>
      </c>
      <c r="H372" s="15" t="s">
        <v>1236</v>
      </c>
      <c r="I372" s="15" t="s">
        <v>1237</v>
      </c>
      <c r="J372" s="15">
        <v>1.0</v>
      </c>
      <c r="K372" s="15">
        <v>4.4</v>
      </c>
      <c r="L372" s="15">
        <v>1.1</v>
      </c>
      <c r="M372" s="15">
        <v>1.7</v>
      </c>
      <c r="N372" s="15">
        <v>0.4</v>
      </c>
      <c r="O372" s="15">
        <v>0.1</v>
      </c>
      <c r="P372" s="15">
        <v>0.5</v>
      </c>
      <c r="Q372" s="15">
        <v>-7.24</v>
      </c>
    </row>
    <row r="373">
      <c r="A373" s="15">
        <v>372.0</v>
      </c>
      <c r="B373" s="172"/>
      <c r="C373" s="30" t="s">
        <v>1238</v>
      </c>
      <c r="D373" s="15" t="s">
        <v>48</v>
      </c>
      <c r="E373" s="15" t="s">
        <v>81</v>
      </c>
      <c r="F373" s="15">
        <v>20.0</v>
      </c>
      <c r="G373" s="15">
        <v>8.4</v>
      </c>
      <c r="H373" s="15" t="s">
        <v>1239</v>
      </c>
      <c r="I373" s="15" t="s">
        <v>1240</v>
      </c>
      <c r="J373" s="15">
        <v>0.5</v>
      </c>
      <c r="K373" s="15">
        <v>4.3</v>
      </c>
      <c r="L373" s="15">
        <v>1.5</v>
      </c>
      <c r="M373" s="15">
        <v>0.4</v>
      </c>
      <c r="N373" s="15">
        <v>0.4</v>
      </c>
      <c r="O373" s="15">
        <v>0.1</v>
      </c>
      <c r="P373" s="15">
        <v>0.6</v>
      </c>
      <c r="Q373" s="15">
        <v>-7.31</v>
      </c>
    </row>
    <row r="374">
      <c r="A374" s="15">
        <v>373.0</v>
      </c>
      <c r="B374" s="172"/>
      <c r="C374" s="30" t="s">
        <v>1241</v>
      </c>
      <c r="D374" s="15" t="s">
        <v>34</v>
      </c>
      <c r="E374" s="15" t="s">
        <v>168</v>
      </c>
      <c r="F374" s="15">
        <v>40.0</v>
      </c>
      <c r="G374" s="15">
        <v>9.4</v>
      </c>
      <c r="H374" s="15" t="s">
        <v>1246</v>
      </c>
      <c r="I374" s="15" t="s">
        <v>1247</v>
      </c>
      <c r="J374" s="15">
        <v>0.1</v>
      </c>
      <c r="K374" s="15">
        <v>2.8</v>
      </c>
      <c r="L374" s="15">
        <v>2.7</v>
      </c>
      <c r="M374" s="15">
        <v>0.8</v>
      </c>
      <c r="N374" s="15">
        <v>0.3</v>
      </c>
      <c r="O374" s="15">
        <v>0.3</v>
      </c>
      <c r="P374" s="15">
        <v>0.4</v>
      </c>
      <c r="Q374" s="15">
        <v>-7.32</v>
      </c>
    </row>
    <row r="375">
      <c r="A375" s="15">
        <v>374.0</v>
      </c>
      <c r="B375" s="172"/>
      <c r="C375" s="30" t="s">
        <v>1248</v>
      </c>
      <c r="D375" s="15" t="s">
        <v>47</v>
      </c>
      <c r="E375" s="15" t="s">
        <v>99</v>
      </c>
      <c r="F375" s="15">
        <v>40.0</v>
      </c>
      <c r="G375" s="15">
        <v>11.1</v>
      </c>
      <c r="H375" s="15" t="s">
        <v>1249</v>
      </c>
      <c r="I375" s="15" t="s">
        <v>1250</v>
      </c>
      <c r="J375" s="15">
        <v>0.7</v>
      </c>
      <c r="K375" s="15">
        <v>4.1</v>
      </c>
      <c r="L375" s="15">
        <v>2.0</v>
      </c>
      <c r="M375" s="15">
        <v>0.9</v>
      </c>
      <c r="N375" s="15">
        <v>0.2</v>
      </c>
      <c r="O375" s="15">
        <v>0.0</v>
      </c>
      <c r="P375" s="15">
        <v>0.5</v>
      </c>
      <c r="Q375" s="15">
        <v>-7.37</v>
      </c>
    </row>
    <row r="376">
      <c r="A376" s="15">
        <v>375.0</v>
      </c>
      <c r="B376" s="172"/>
      <c r="C376" s="30" t="s">
        <v>1251</v>
      </c>
      <c r="D376" s="15" t="s">
        <v>67</v>
      </c>
      <c r="E376" s="15" t="s">
        <v>85</v>
      </c>
      <c r="F376" s="15">
        <v>58.0</v>
      </c>
      <c r="G376" s="15">
        <v>10.4</v>
      </c>
      <c r="H376" s="15" t="s">
        <v>1252</v>
      </c>
      <c r="I376" s="15" t="s">
        <v>1253</v>
      </c>
      <c r="J376" s="15">
        <v>1.2</v>
      </c>
      <c r="K376" s="15">
        <v>4.5</v>
      </c>
      <c r="L376" s="15">
        <v>1.2</v>
      </c>
      <c r="M376" s="15">
        <v>0.6</v>
      </c>
      <c r="N376" s="15">
        <v>0.2</v>
      </c>
      <c r="O376" s="15">
        <v>0.0</v>
      </c>
      <c r="P376" s="15">
        <v>0.2</v>
      </c>
      <c r="Q376" s="15">
        <v>-7.38</v>
      </c>
    </row>
    <row r="377">
      <c r="A377" s="15">
        <v>376.0</v>
      </c>
      <c r="B377" s="172"/>
      <c r="C377" s="30" t="s">
        <v>1254</v>
      </c>
      <c r="D377" s="15" t="s">
        <v>46</v>
      </c>
      <c r="E377" s="15" t="s">
        <v>172</v>
      </c>
      <c r="F377" s="15">
        <v>50.0</v>
      </c>
      <c r="G377" s="15">
        <v>15.5</v>
      </c>
      <c r="H377" s="15" t="s">
        <v>1255</v>
      </c>
      <c r="I377" s="15" t="s">
        <v>1256</v>
      </c>
      <c r="J377" s="15">
        <v>0.4</v>
      </c>
      <c r="K377" s="15">
        <v>6.3</v>
      </c>
      <c r="L377" s="15">
        <v>1.1</v>
      </c>
      <c r="M377" s="15">
        <v>1.7</v>
      </c>
      <c r="N377" s="15">
        <v>0.6</v>
      </c>
      <c r="O377" s="15">
        <v>0.1</v>
      </c>
      <c r="P377" s="15">
        <v>1.3</v>
      </c>
      <c r="Q377" s="15">
        <v>-7.41</v>
      </c>
    </row>
    <row r="378">
      <c r="A378" s="15">
        <v>377.0</v>
      </c>
      <c r="B378" s="172"/>
      <c r="C378" s="30" t="s">
        <v>1257</v>
      </c>
      <c r="D378" s="15" t="s">
        <v>46</v>
      </c>
      <c r="E378" s="15" t="s">
        <v>264</v>
      </c>
      <c r="F378" s="15">
        <v>20.0</v>
      </c>
      <c r="G378" s="15">
        <v>11.1</v>
      </c>
      <c r="H378" s="15" t="s">
        <v>1258</v>
      </c>
      <c r="I378" s="15" t="s">
        <v>1259</v>
      </c>
      <c r="J378" s="15">
        <v>0.6</v>
      </c>
      <c r="K378" s="15">
        <v>3.6</v>
      </c>
      <c r="L378" s="15">
        <v>1.0</v>
      </c>
      <c r="M378" s="15">
        <v>1.9</v>
      </c>
      <c r="N378" s="15">
        <v>0.3</v>
      </c>
      <c r="O378" s="15">
        <v>0.1</v>
      </c>
      <c r="P378" s="15">
        <v>0.5</v>
      </c>
      <c r="Q378" s="15">
        <v>-7.42</v>
      </c>
    </row>
    <row r="379">
      <c r="A379" s="15">
        <v>378.0</v>
      </c>
      <c r="B379" s="172"/>
      <c r="C379" s="30" t="s">
        <v>1260</v>
      </c>
      <c r="D379" s="15" t="s">
        <v>34</v>
      </c>
      <c r="E379" s="15" t="s">
        <v>42</v>
      </c>
      <c r="F379" s="15">
        <v>30.0</v>
      </c>
      <c r="G379" s="15">
        <v>10.0</v>
      </c>
      <c r="H379" s="15" t="s">
        <v>1261</v>
      </c>
      <c r="I379" s="15" t="s">
        <v>1262</v>
      </c>
      <c r="J379" s="15">
        <v>0.0</v>
      </c>
      <c r="K379" s="15">
        <v>3.5</v>
      </c>
      <c r="L379" s="15">
        <v>3.7</v>
      </c>
      <c r="M379" s="15">
        <v>0.6</v>
      </c>
      <c r="N379" s="15">
        <v>0.2</v>
      </c>
      <c r="O379" s="15">
        <v>0.4</v>
      </c>
      <c r="P379" s="15">
        <v>0.7</v>
      </c>
      <c r="Q379" s="15">
        <v>-7.44</v>
      </c>
    </row>
    <row r="380">
      <c r="A380" s="15">
        <v>379.0</v>
      </c>
      <c r="B380" s="172"/>
      <c r="C380" s="30" t="s">
        <v>1263</v>
      </c>
      <c r="D380" s="15" t="s">
        <v>47</v>
      </c>
      <c r="E380" s="15" t="s">
        <v>193</v>
      </c>
      <c r="F380" s="15">
        <v>40.0</v>
      </c>
      <c r="G380" s="15">
        <v>12.4</v>
      </c>
      <c r="H380" s="15" t="s">
        <v>1264</v>
      </c>
      <c r="I380" s="15" t="s">
        <v>1237</v>
      </c>
      <c r="J380" s="15">
        <v>0.4</v>
      </c>
      <c r="K380" s="15">
        <v>4.0</v>
      </c>
      <c r="L380" s="15">
        <v>1.3</v>
      </c>
      <c r="M380" s="15">
        <v>1.2</v>
      </c>
      <c r="N380" s="15">
        <v>0.3</v>
      </c>
      <c r="O380" s="15">
        <v>0.1</v>
      </c>
      <c r="P380" s="15">
        <v>0.6</v>
      </c>
      <c r="Q380" s="15">
        <v>-7.46</v>
      </c>
    </row>
    <row r="381">
      <c r="A381" s="15">
        <v>380.0</v>
      </c>
      <c r="B381" s="172"/>
      <c r="C381" s="30" t="s">
        <v>1265</v>
      </c>
      <c r="D381" s="15" t="s">
        <v>98</v>
      </c>
      <c r="E381" s="15" t="s">
        <v>164</v>
      </c>
      <c r="F381" s="15">
        <v>20.0</v>
      </c>
      <c r="G381" s="15">
        <v>8.8</v>
      </c>
      <c r="H381" s="15" t="s">
        <v>1266</v>
      </c>
      <c r="I381" s="15" t="s">
        <v>1267</v>
      </c>
      <c r="J381" s="15">
        <v>0.3</v>
      </c>
      <c r="K381" s="15">
        <v>3.5</v>
      </c>
      <c r="L381" s="15">
        <v>1.5</v>
      </c>
      <c r="M381" s="15">
        <v>0.6</v>
      </c>
      <c r="N381" s="15">
        <v>0.3</v>
      </c>
      <c r="O381" s="15">
        <v>0.2</v>
      </c>
      <c r="P381" s="15">
        <v>0.3</v>
      </c>
      <c r="Q381" s="15">
        <v>-7.48</v>
      </c>
    </row>
    <row r="382">
      <c r="A382" s="15">
        <v>381.0</v>
      </c>
      <c r="B382" s="172"/>
      <c r="C382" s="30" t="s">
        <v>1268</v>
      </c>
      <c r="D382" s="15" t="s">
        <v>182</v>
      </c>
      <c r="E382" s="15" t="s">
        <v>172</v>
      </c>
      <c r="F382" s="15">
        <v>30.0</v>
      </c>
      <c r="G382" s="15">
        <v>14.9</v>
      </c>
      <c r="H382" s="15" t="s">
        <v>1269</v>
      </c>
      <c r="I382" s="15" t="s">
        <v>1270</v>
      </c>
      <c r="J382" s="15">
        <v>1.2</v>
      </c>
      <c r="K382" s="15">
        <v>5.8</v>
      </c>
      <c r="L382" s="15">
        <v>1.9</v>
      </c>
      <c r="M382" s="15">
        <v>0.8</v>
      </c>
      <c r="N382" s="15">
        <v>0.2</v>
      </c>
      <c r="O382" s="15">
        <v>0.1</v>
      </c>
      <c r="P382" s="15">
        <v>0.4</v>
      </c>
      <c r="Q382" s="15">
        <v>-7.5</v>
      </c>
    </row>
    <row r="383">
      <c r="A383" s="15">
        <v>382.0</v>
      </c>
      <c r="B383" s="172"/>
      <c r="C383" s="30" t="s">
        <v>1271</v>
      </c>
      <c r="D383" s="15" t="s">
        <v>67</v>
      </c>
      <c r="E383" s="15" t="s">
        <v>160</v>
      </c>
      <c r="F383" s="15">
        <v>30.0</v>
      </c>
      <c r="G383" s="15">
        <v>13.1</v>
      </c>
      <c r="H383" s="15" t="s">
        <v>1272</v>
      </c>
      <c r="I383" s="15" t="s">
        <v>1273</v>
      </c>
      <c r="J383" s="15">
        <v>1.1</v>
      </c>
      <c r="K383" s="15">
        <v>5.5</v>
      </c>
      <c r="L383" s="15">
        <v>1.3</v>
      </c>
      <c r="M383" s="15">
        <v>1.1</v>
      </c>
      <c r="N383" s="15">
        <v>0.2</v>
      </c>
      <c r="O383" s="15">
        <v>0.1</v>
      </c>
      <c r="P383" s="15">
        <v>0.7</v>
      </c>
      <c r="Q383" s="15">
        <v>-7.51</v>
      </c>
    </row>
    <row r="384">
      <c r="A384" s="15">
        <v>383.0</v>
      </c>
      <c r="B384" s="172"/>
      <c r="C384" s="30" t="s">
        <v>1274</v>
      </c>
      <c r="D384" s="15" t="s">
        <v>49</v>
      </c>
      <c r="E384" s="15" t="s">
        <v>42</v>
      </c>
      <c r="F384" s="15">
        <v>40.0</v>
      </c>
      <c r="G384" s="15">
        <v>8.8</v>
      </c>
      <c r="H384" s="15" t="s">
        <v>1275</v>
      </c>
      <c r="I384" s="15" t="s">
        <v>1276</v>
      </c>
      <c r="J384" s="15">
        <v>0.4</v>
      </c>
      <c r="K384" s="15">
        <v>3.0</v>
      </c>
      <c r="L384" s="15">
        <v>1.3</v>
      </c>
      <c r="M384" s="15">
        <v>0.8</v>
      </c>
      <c r="N384" s="15">
        <v>0.2</v>
      </c>
      <c r="O384" s="15">
        <v>0.1</v>
      </c>
      <c r="P384" s="15">
        <v>0.4</v>
      </c>
      <c r="Q384" s="15">
        <v>-7.52</v>
      </c>
    </row>
    <row r="385">
      <c r="A385" s="15">
        <v>384.0</v>
      </c>
      <c r="B385" s="172"/>
      <c r="C385" s="30" t="s">
        <v>1277</v>
      </c>
      <c r="D385" s="15" t="s">
        <v>46</v>
      </c>
      <c r="E385" s="15" t="s">
        <v>160</v>
      </c>
      <c r="F385" s="15">
        <v>30.0</v>
      </c>
      <c r="G385" s="15">
        <v>8.4</v>
      </c>
      <c r="H385" s="15" t="s">
        <v>1278</v>
      </c>
      <c r="I385" s="15" t="s">
        <v>1279</v>
      </c>
      <c r="J385" s="15">
        <v>0.4</v>
      </c>
      <c r="K385" s="15">
        <v>3.5</v>
      </c>
      <c r="L385" s="15">
        <v>1.0</v>
      </c>
      <c r="M385" s="15">
        <v>0.9</v>
      </c>
      <c r="N385" s="15">
        <v>0.3</v>
      </c>
      <c r="O385" s="15">
        <v>0.0</v>
      </c>
      <c r="P385" s="15">
        <v>0.4</v>
      </c>
      <c r="Q385" s="15">
        <v>-7.53</v>
      </c>
    </row>
    <row r="386">
      <c r="A386" s="15">
        <v>385.0</v>
      </c>
      <c r="B386" s="172"/>
      <c r="C386" s="30" t="s">
        <v>1280</v>
      </c>
      <c r="D386" s="15" t="s">
        <v>49</v>
      </c>
      <c r="E386" s="15" t="s">
        <v>42</v>
      </c>
      <c r="F386" s="15">
        <v>10.0</v>
      </c>
      <c r="G386" s="15">
        <v>8.8</v>
      </c>
      <c r="H386" s="15" t="s">
        <v>1281</v>
      </c>
      <c r="I386" s="15" t="s">
        <v>1282</v>
      </c>
      <c r="J386" s="15">
        <v>0.2</v>
      </c>
      <c r="K386" s="15">
        <v>4.2</v>
      </c>
      <c r="L386" s="15">
        <v>1.7</v>
      </c>
      <c r="M386" s="15">
        <v>0.5</v>
      </c>
      <c r="N386" s="15">
        <v>0.2</v>
      </c>
      <c r="O386" s="15">
        <v>0.4</v>
      </c>
      <c r="P386" s="15">
        <v>0.5</v>
      </c>
      <c r="Q386" s="15">
        <v>-7.53</v>
      </c>
    </row>
    <row r="387">
      <c r="A387" s="15">
        <v>386.0</v>
      </c>
      <c r="B387" s="172"/>
      <c r="C387" s="30" t="s">
        <v>1283</v>
      </c>
      <c r="D387" s="15" t="s">
        <v>74</v>
      </c>
      <c r="E387" s="15" t="s">
        <v>204</v>
      </c>
      <c r="F387" s="15">
        <v>30.0</v>
      </c>
      <c r="G387" s="15">
        <v>11.4</v>
      </c>
      <c r="H387" s="15" t="s">
        <v>1284</v>
      </c>
      <c r="I387" s="15" t="s">
        <v>1285</v>
      </c>
      <c r="J387" s="15">
        <v>0.4</v>
      </c>
      <c r="K387" s="15">
        <v>4.5</v>
      </c>
      <c r="L387" s="15">
        <v>1.5</v>
      </c>
      <c r="M387" s="15">
        <v>0.7</v>
      </c>
      <c r="N387" s="15">
        <v>0.2</v>
      </c>
      <c r="O387" s="15">
        <v>0.2</v>
      </c>
      <c r="P387" s="15">
        <v>0.4</v>
      </c>
      <c r="Q387" s="15">
        <v>-7.57</v>
      </c>
    </row>
    <row r="388">
      <c r="A388" s="15">
        <v>387.0</v>
      </c>
      <c r="B388" s="172"/>
      <c r="C388" s="30" t="s">
        <v>1286</v>
      </c>
      <c r="D388" s="15" t="s">
        <v>182</v>
      </c>
      <c r="E388" s="15" t="s">
        <v>264</v>
      </c>
      <c r="F388" s="15">
        <v>40.0</v>
      </c>
      <c r="G388" s="15">
        <v>14.4</v>
      </c>
      <c r="H388" s="15" t="s">
        <v>1287</v>
      </c>
      <c r="I388" s="15" t="s">
        <v>1288</v>
      </c>
      <c r="J388" s="15">
        <v>1.1</v>
      </c>
      <c r="K388" s="15">
        <v>4.0</v>
      </c>
      <c r="L388" s="15">
        <v>1.6</v>
      </c>
      <c r="M388" s="15">
        <v>0.5</v>
      </c>
      <c r="N388" s="15">
        <v>0.2</v>
      </c>
      <c r="O388" s="15">
        <v>0.1</v>
      </c>
      <c r="P388" s="15">
        <v>0.3</v>
      </c>
      <c r="Q388" s="15">
        <v>-7.61</v>
      </c>
    </row>
    <row r="389">
      <c r="A389" s="15">
        <v>388.0</v>
      </c>
      <c r="B389" s="172"/>
      <c r="C389" s="30" t="s">
        <v>1289</v>
      </c>
      <c r="D389" s="15" t="s">
        <v>98</v>
      </c>
      <c r="E389" s="15" t="s">
        <v>193</v>
      </c>
      <c r="F389" s="15">
        <v>55.0</v>
      </c>
      <c r="G389" s="15">
        <v>10.2</v>
      </c>
      <c r="H389" s="15" t="s">
        <v>1290</v>
      </c>
      <c r="I389" s="15" t="s">
        <v>1291</v>
      </c>
      <c r="J389" s="15">
        <v>0.6</v>
      </c>
      <c r="K389" s="15">
        <v>3.7</v>
      </c>
      <c r="L389" s="15">
        <v>1.6</v>
      </c>
      <c r="M389" s="15">
        <v>0.5</v>
      </c>
      <c r="N389" s="15">
        <v>0.2</v>
      </c>
      <c r="O389" s="15">
        <v>0.2</v>
      </c>
      <c r="P389" s="15">
        <v>0.4</v>
      </c>
      <c r="Q389" s="15">
        <v>-7.62</v>
      </c>
    </row>
    <row r="390">
      <c r="A390" s="15">
        <v>389.0</v>
      </c>
      <c r="B390" s="172"/>
      <c r="C390" s="30" t="s">
        <v>1292</v>
      </c>
      <c r="D390" s="15" t="s">
        <v>34</v>
      </c>
      <c r="E390" s="15" t="s">
        <v>164</v>
      </c>
      <c r="F390" s="15">
        <v>28.0</v>
      </c>
      <c r="G390" s="15">
        <v>8.8</v>
      </c>
      <c r="H390" s="15" t="s">
        <v>1293</v>
      </c>
      <c r="I390" s="15" t="s">
        <v>1294</v>
      </c>
      <c r="J390" s="15">
        <v>0.0</v>
      </c>
      <c r="K390" s="15">
        <v>3.0</v>
      </c>
      <c r="L390" s="15">
        <v>2.6</v>
      </c>
      <c r="M390" s="15">
        <v>0.3</v>
      </c>
      <c r="N390" s="15">
        <v>0.2</v>
      </c>
      <c r="O390" s="15">
        <v>0.6</v>
      </c>
      <c r="P390" s="15">
        <v>0.6</v>
      </c>
      <c r="Q390" s="15">
        <v>-7.68</v>
      </c>
    </row>
    <row r="391">
      <c r="A391" s="15">
        <v>390.0</v>
      </c>
      <c r="B391" s="172"/>
      <c r="C391" s="30" t="s">
        <v>1295</v>
      </c>
      <c r="D391" s="15" t="s">
        <v>48</v>
      </c>
      <c r="E391" s="15" t="s">
        <v>237</v>
      </c>
      <c r="F391" s="15">
        <v>30.0</v>
      </c>
      <c r="G391" s="15">
        <v>11.1</v>
      </c>
      <c r="H391" s="15" t="s">
        <v>1296</v>
      </c>
      <c r="I391" s="15" t="s">
        <v>1297</v>
      </c>
      <c r="J391" s="15">
        <v>1.2</v>
      </c>
      <c r="K391" s="15">
        <v>4.4</v>
      </c>
      <c r="L391" s="15">
        <v>1.1</v>
      </c>
      <c r="M391" s="15">
        <v>0.5</v>
      </c>
      <c r="N391" s="15">
        <v>0.2</v>
      </c>
      <c r="O391" s="15">
        <v>0.0</v>
      </c>
      <c r="P391" s="15">
        <v>0.4</v>
      </c>
      <c r="Q391" s="15">
        <v>-7.7</v>
      </c>
    </row>
    <row r="392">
      <c r="A392" s="15">
        <v>391.0</v>
      </c>
      <c r="B392" s="172"/>
      <c r="C392" s="30" t="s">
        <v>1298</v>
      </c>
      <c r="D392" s="15" t="s">
        <v>98</v>
      </c>
      <c r="E392" s="15" t="s">
        <v>58</v>
      </c>
      <c r="F392" s="15">
        <v>30.0</v>
      </c>
      <c r="G392" s="15">
        <v>10.4</v>
      </c>
      <c r="H392" s="15" t="s">
        <v>1299</v>
      </c>
      <c r="I392" s="15" t="s">
        <v>1300</v>
      </c>
      <c r="J392" s="15">
        <v>0.5</v>
      </c>
      <c r="K392" s="15">
        <v>3.7</v>
      </c>
      <c r="L392" s="15">
        <v>1.8</v>
      </c>
      <c r="M392" s="15">
        <v>0.9</v>
      </c>
      <c r="N392" s="15">
        <v>0.3</v>
      </c>
      <c r="O392" s="15">
        <v>0.1</v>
      </c>
      <c r="P392" s="15">
        <v>0.5</v>
      </c>
      <c r="Q392" s="15">
        <v>-7.72</v>
      </c>
    </row>
    <row r="393">
      <c r="A393" s="15">
        <v>392.0</v>
      </c>
      <c r="B393" s="172"/>
      <c r="C393" s="30" t="s">
        <v>1301</v>
      </c>
      <c r="D393" s="15" t="s">
        <v>98</v>
      </c>
      <c r="E393" s="15" t="s">
        <v>287</v>
      </c>
      <c r="F393" s="15">
        <v>48.0</v>
      </c>
      <c r="G393" s="15">
        <v>11.2</v>
      </c>
      <c r="H393" s="15" t="s">
        <v>1302</v>
      </c>
      <c r="I393" s="15" t="s">
        <v>1303</v>
      </c>
      <c r="J393" s="15">
        <v>0.4</v>
      </c>
      <c r="K393" s="15">
        <v>3.2</v>
      </c>
      <c r="L393" s="15">
        <v>1.9</v>
      </c>
      <c r="M393" s="15">
        <v>0.7</v>
      </c>
      <c r="N393" s="15">
        <v>0.4</v>
      </c>
      <c r="O393" s="15">
        <v>0.2</v>
      </c>
      <c r="P393" s="15">
        <v>0.5</v>
      </c>
      <c r="Q393" s="15">
        <v>-7.73</v>
      </c>
    </row>
    <row r="394">
      <c r="A394" s="15">
        <v>393.0</v>
      </c>
      <c r="B394" s="172"/>
      <c r="C394" s="30" t="s">
        <v>1304</v>
      </c>
      <c r="D394" s="15" t="s">
        <v>47</v>
      </c>
      <c r="E394" s="15" t="s">
        <v>138</v>
      </c>
      <c r="F394" s="15">
        <v>57.0</v>
      </c>
      <c r="G394" s="15">
        <v>8.4</v>
      </c>
      <c r="H394" s="15" t="s">
        <v>1305</v>
      </c>
      <c r="I394" s="15" t="s">
        <v>1306</v>
      </c>
      <c r="J394" s="15">
        <v>0.4</v>
      </c>
      <c r="K394" s="15">
        <v>2.6</v>
      </c>
      <c r="L394" s="15">
        <v>1.2</v>
      </c>
      <c r="M394" s="15">
        <v>0.8</v>
      </c>
      <c r="N394" s="15">
        <v>0.4</v>
      </c>
      <c r="O394" s="15">
        <v>0.1</v>
      </c>
      <c r="P394" s="15">
        <v>0.3</v>
      </c>
      <c r="Q394" s="15">
        <v>-7.89</v>
      </c>
    </row>
    <row r="395">
      <c r="A395" s="15">
        <v>394.0</v>
      </c>
      <c r="B395" s="172"/>
      <c r="C395" s="30" t="s">
        <v>1307</v>
      </c>
      <c r="D395" s="15" t="s">
        <v>47</v>
      </c>
      <c r="E395" s="15" t="s">
        <v>183</v>
      </c>
      <c r="F395" s="15">
        <v>30.0</v>
      </c>
      <c r="G395" s="15">
        <v>8.2</v>
      </c>
      <c r="H395" s="15" t="s">
        <v>1308</v>
      </c>
      <c r="I395" s="15" t="s">
        <v>1309</v>
      </c>
      <c r="J395" s="15">
        <v>0.4</v>
      </c>
      <c r="K395" s="15">
        <v>4.2</v>
      </c>
      <c r="L395" s="15">
        <v>0.7</v>
      </c>
      <c r="M395" s="15">
        <v>0.4</v>
      </c>
      <c r="N395" s="15">
        <v>0.2</v>
      </c>
      <c r="O395" s="15">
        <v>0.2</v>
      </c>
      <c r="P395" s="15">
        <v>0.4</v>
      </c>
      <c r="Q395" s="15">
        <v>-7.92</v>
      </c>
    </row>
    <row r="396">
      <c r="A396" s="15">
        <v>395.0</v>
      </c>
      <c r="B396" s="172"/>
      <c r="C396" s="30" t="s">
        <v>1310</v>
      </c>
      <c r="D396" s="15" t="s">
        <v>46</v>
      </c>
      <c r="E396" s="15" t="s">
        <v>138</v>
      </c>
      <c r="F396" s="15">
        <v>20.0</v>
      </c>
      <c r="G396" s="15">
        <v>8.0</v>
      </c>
      <c r="H396" s="15" t="s">
        <v>1311</v>
      </c>
      <c r="I396" s="15" t="s">
        <v>1312</v>
      </c>
      <c r="J396" s="15">
        <v>0.2</v>
      </c>
      <c r="K396" s="15">
        <v>2.5</v>
      </c>
      <c r="L396" s="15">
        <v>0.7</v>
      </c>
      <c r="M396" s="15">
        <v>1.2</v>
      </c>
      <c r="N396" s="15">
        <v>0.4</v>
      </c>
      <c r="O396" s="15">
        <v>0.1</v>
      </c>
      <c r="P396" s="15">
        <v>0.4</v>
      </c>
      <c r="Q396" s="15">
        <v>-8.02</v>
      </c>
    </row>
    <row r="397">
      <c r="A397" s="15">
        <v>396.0</v>
      </c>
      <c r="B397" s="172"/>
      <c r="C397" s="30" t="s">
        <v>1313</v>
      </c>
      <c r="D397" s="15" t="s">
        <v>67</v>
      </c>
      <c r="E397" s="15" t="s">
        <v>35</v>
      </c>
      <c r="F397" s="15">
        <v>58.0</v>
      </c>
      <c r="G397" s="15">
        <v>12.4</v>
      </c>
      <c r="H397" s="15" t="s">
        <v>1314</v>
      </c>
      <c r="I397" s="15" t="s">
        <v>1315</v>
      </c>
      <c r="J397" s="15">
        <v>0.3</v>
      </c>
      <c r="K397" s="15">
        <v>3.7</v>
      </c>
      <c r="L397" s="15">
        <v>1.4</v>
      </c>
      <c r="M397" s="15">
        <v>2.2</v>
      </c>
      <c r="N397" s="15">
        <v>0.4</v>
      </c>
      <c r="O397" s="15">
        <v>0.1</v>
      </c>
      <c r="P397" s="15">
        <v>1.0</v>
      </c>
      <c r="Q397" s="15">
        <v>-8.03</v>
      </c>
    </row>
    <row r="398">
      <c r="A398" s="15">
        <v>397.0</v>
      </c>
      <c r="B398" s="172"/>
      <c r="C398" s="30" t="s">
        <v>1316</v>
      </c>
      <c r="D398" s="15" t="s">
        <v>182</v>
      </c>
      <c r="E398" s="15" t="s">
        <v>271</v>
      </c>
      <c r="F398" s="15">
        <v>20.0</v>
      </c>
      <c r="G398" s="15">
        <v>8.4</v>
      </c>
      <c r="H398" s="15" t="s">
        <v>1317</v>
      </c>
      <c r="I398" s="15" t="s">
        <v>1318</v>
      </c>
      <c r="J398" s="15">
        <v>0.2</v>
      </c>
      <c r="K398" s="15">
        <v>2.5</v>
      </c>
      <c r="L398" s="15">
        <v>1.4</v>
      </c>
      <c r="M398" s="15">
        <v>1.0</v>
      </c>
      <c r="N398" s="15">
        <v>0.4</v>
      </c>
      <c r="O398" s="15">
        <v>0.2</v>
      </c>
      <c r="P398" s="15">
        <v>0.4</v>
      </c>
      <c r="Q398" s="15">
        <v>-8.03</v>
      </c>
    </row>
    <row r="399">
      <c r="A399" s="15">
        <v>398.0</v>
      </c>
      <c r="B399" s="172"/>
      <c r="C399" s="30" t="s">
        <v>1319</v>
      </c>
      <c r="D399" s="15" t="s">
        <v>182</v>
      </c>
      <c r="E399" s="15" t="s">
        <v>94</v>
      </c>
      <c r="F399" s="15">
        <v>20.0</v>
      </c>
      <c r="G399" s="15">
        <v>8.8</v>
      </c>
      <c r="H399" s="15" t="s">
        <v>1320</v>
      </c>
      <c r="I399" s="15" t="s">
        <v>1321</v>
      </c>
      <c r="J399" s="15">
        <v>0.4</v>
      </c>
      <c r="K399" s="15">
        <v>2.2</v>
      </c>
      <c r="L399" s="15">
        <v>1.0</v>
      </c>
      <c r="M399" s="15">
        <v>0.8</v>
      </c>
      <c r="N399" s="15">
        <v>0.2</v>
      </c>
      <c r="O399" s="15">
        <v>0.1</v>
      </c>
      <c r="P399" s="15">
        <v>0.3</v>
      </c>
      <c r="Q399" s="15">
        <v>-8.11</v>
      </c>
    </row>
    <row r="400">
      <c r="A400" s="15">
        <v>399.0</v>
      </c>
      <c r="B400" s="172"/>
      <c r="C400" s="30" t="s">
        <v>1322</v>
      </c>
      <c r="D400" s="15" t="s">
        <v>74</v>
      </c>
      <c r="E400" s="15" t="s">
        <v>312</v>
      </c>
      <c r="F400" s="15">
        <v>24.0</v>
      </c>
      <c r="G400" s="15">
        <v>8.8</v>
      </c>
      <c r="H400" s="15" t="s">
        <v>1323</v>
      </c>
      <c r="I400" s="15" t="s">
        <v>1324</v>
      </c>
      <c r="J400" s="15">
        <v>0.1</v>
      </c>
      <c r="K400" s="15">
        <v>3.1</v>
      </c>
      <c r="L400" s="15">
        <v>1.6</v>
      </c>
      <c r="M400" s="15">
        <v>0.6</v>
      </c>
      <c r="N400" s="15">
        <v>0.2</v>
      </c>
      <c r="O400" s="15">
        <v>0.2</v>
      </c>
      <c r="P400" s="15">
        <v>0.3</v>
      </c>
      <c r="Q400" s="15">
        <v>-8.13</v>
      </c>
    </row>
    <row r="401">
      <c r="A401" s="15">
        <v>400.0</v>
      </c>
      <c r="B401" s="172"/>
      <c r="C401" s="30" t="s">
        <v>1325</v>
      </c>
      <c r="D401" s="15" t="s">
        <v>46</v>
      </c>
      <c r="E401" s="15" t="s">
        <v>81</v>
      </c>
      <c r="F401" s="15">
        <v>40.0</v>
      </c>
      <c r="G401" s="15">
        <v>8.4</v>
      </c>
      <c r="H401" s="15" t="s">
        <v>1326</v>
      </c>
      <c r="I401" s="15" t="s">
        <v>1327</v>
      </c>
      <c r="J401" s="15">
        <v>0.5</v>
      </c>
      <c r="K401" s="15">
        <v>2.9</v>
      </c>
      <c r="L401" s="15">
        <v>1.0</v>
      </c>
      <c r="M401" s="15">
        <v>0.4</v>
      </c>
      <c r="N401" s="15">
        <v>0.2</v>
      </c>
      <c r="O401" s="15">
        <v>0.0</v>
      </c>
      <c r="P401" s="15">
        <v>0.3</v>
      </c>
      <c r="Q401" s="15">
        <v>-8.17</v>
      </c>
    </row>
    <row r="486">
      <c r="J486" s="186"/>
    </row>
    <row r="607">
      <c r="J607" s="186"/>
    </row>
    <row r="728">
      <c r="J728" s="186"/>
    </row>
    <row r="849">
      <c r="J849" s="186"/>
    </row>
    <row r="970">
      <c r="J970" s="186"/>
    </row>
    <row r="1091">
      <c r="J1091" s="186"/>
    </row>
    <row r="1212">
      <c r="J1212" s="186"/>
    </row>
    <row r="1333">
      <c r="J1333" s="186"/>
    </row>
    <row r="1454">
      <c r="J1454" s="186"/>
    </row>
    <row r="1575">
      <c r="J1575" s="186"/>
    </row>
    <row r="1696">
      <c r="J1696" s="186"/>
    </row>
    <row r="1817">
      <c r="J1817" s="186"/>
    </row>
    <row r="1938">
      <c r="J1938" s="186"/>
    </row>
    <row r="2059">
      <c r="J2059" s="186"/>
    </row>
    <row r="2180">
      <c r="J2180" s="186"/>
    </row>
    <row r="2301">
      <c r="J2301" s="186"/>
    </row>
    <row r="2422">
      <c r="J2422" s="186"/>
    </row>
    <row r="2543">
      <c r="J2543" s="186"/>
    </row>
    <row r="2664">
      <c r="J2664" s="186"/>
    </row>
    <row r="2785">
      <c r="J2785" s="186"/>
    </row>
    <row r="2906">
      <c r="J2906" s="186"/>
    </row>
    <row r="3027">
      <c r="J3027" s="186"/>
    </row>
    <row r="3148">
      <c r="J3148" s="186"/>
    </row>
    <row r="3269">
      <c r="J3269" s="186"/>
    </row>
    <row r="3390">
      <c r="J3390" s="186"/>
    </row>
    <row r="3511">
      <c r="J3511" s="186"/>
    </row>
  </sheetData>
  <autoFilter ref="$A$1:$Q$401"/>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s>
  <drawing r:id="rId4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3" width="18.5"/>
  </cols>
  <sheetData>
    <row r="1">
      <c r="A1" s="5" t="s">
        <v>0</v>
      </c>
      <c r="B1" s="5" t="s">
        <v>2</v>
      </c>
      <c r="C1" s="5" t="s">
        <v>1242</v>
      </c>
      <c r="D1" s="5" t="s">
        <v>4</v>
      </c>
      <c r="E1" s="5" t="s">
        <v>5</v>
      </c>
      <c r="F1" s="5" t="s">
        <v>6</v>
      </c>
      <c r="G1" s="5" t="s">
        <v>7</v>
      </c>
      <c r="H1" s="5" t="s">
        <v>1243</v>
      </c>
      <c r="I1" s="175" t="s">
        <v>8</v>
      </c>
      <c r="J1" s="5" t="s">
        <v>1244</v>
      </c>
      <c r="K1" s="175" t="s">
        <v>9</v>
      </c>
      <c r="L1" s="176" t="s">
        <v>1245</v>
      </c>
      <c r="M1" s="5" t="s">
        <v>10</v>
      </c>
      <c r="N1" s="5" t="s">
        <v>11</v>
      </c>
      <c r="O1" s="5" t="s">
        <v>12</v>
      </c>
      <c r="P1" s="5" t="s">
        <v>13</v>
      </c>
      <c r="Q1" s="5" t="s">
        <v>14</v>
      </c>
      <c r="R1" s="5" t="s">
        <v>15</v>
      </c>
      <c r="S1" s="5" t="s">
        <v>427</v>
      </c>
      <c r="T1" s="5" t="s">
        <v>428</v>
      </c>
      <c r="U1" s="5"/>
      <c r="V1" s="44"/>
      <c r="W1" s="162"/>
      <c r="X1" s="44"/>
      <c r="Y1" s="44"/>
      <c r="Z1" s="44"/>
      <c r="AA1" s="44"/>
      <c r="AB1" s="44"/>
      <c r="AC1" s="44"/>
    </row>
    <row r="2">
      <c r="A2" s="5">
        <v>1.0</v>
      </c>
      <c r="B2" s="5">
        <f>PasteHashtag!B2</f>
        <v>2</v>
      </c>
      <c r="C2" s="177" t="str">
        <f>PasteHashtag!C2</f>
        <v>Victor Wembanyama</v>
      </c>
      <c r="D2" s="5" t="str">
        <f>PasteHashtag!D2</f>
        <v>C</v>
      </c>
      <c r="E2" s="5" t="str">
        <f>PasteHashtag!E2</f>
        <v>SA</v>
      </c>
      <c r="F2" s="5">
        <f>PasteHashtag!F2</f>
        <v>70</v>
      </c>
      <c r="G2" s="5">
        <f>PasteHashtag!G2</f>
        <v>31.1</v>
      </c>
      <c r="H2" s="5">
        <f>MID(PasteHashtag!H2,1+FIND("(",PasteHashtag!H2),FIND("/",PasteHashtag!H2)-FIND("(",PasteHashtag!H2)-1)*1</f>
        <v>8.8</v>
      </c>
      <c r="I2" s="5">
        <f>LEFT(PasteHashtag!H2,FIND("(",PasteHashtag!H2)-1)*1</f>
        <v>0.473</v>
      </c>
      <c r="J2" s="5">
        <f>MID(PasteHashtag!I2,1+FIND("(",PasteHashtag!I2),FIND("/",PasteHashtag!I2)-FIND("(",PasteHashtag!I2)-1)*1</f>
        <v>4.5</v>
      </c>
      <c r="K2" s="5">
        <f>LEFT(PasteHashtag!I2,FIND("(",PasteHashtag!I2)-1)*1</f>
        <v>0.802</v>
      </c>
      <c r="L2" s="5">
        <f>PasteHashtag!J2</f>
        <v>2</v>
      </c>
      <c r="M2" s="5">
        <f>PasteHashtag!K2</f>
        <v>24.1</v>
      </c>
      <c r="N2" s="5">
        <f>PasteHashtag!L2</f>
        <v>11.6</v>
      </c>
      <c r="O2" s="5">
        <f>PasteHashtag!M2</f>
        <v>4.4</v>
      </c>
      <c r="P2" s="5">
        <f>PasteHashtag!N2</f>
        <v>1.4</v>
      </c>
      <c r="Q2" s="5">
        <f>PasteHashtag!O2</f>
        <v>3.9</v>
      </c>
      <c r="R2" s="5">
        <f>PasteHashtag!P2</f>
        <v>3.4</v>
      </c>
      <c r="S2" s="5">
        <f>Mid(PasteHashtag!H2,FIND("/",PasteHashtag!H2)+1,LEN(PasteHashtag!H2)-FIND("/",PasteHashtag!H2)-1)*1</f>
        <v>18.6</v>
      </c>
      <c r="T2" s="178">
        <f>Mid(PasteHashtag!I2,FIND("/",PasteHashtag!I2)+1,LEN(PasteHashtag!I2)-FIND("/",PasteHashtag!I2)-1)*1</f>
        <v>5.6</v>
      </c>
      <c r="U2" s="178"/>
      <c r="V2" s="179"/>
      <c r="W2" s="180" t="s">
        <v>142</v>
      </c>
      <c r="X2" s="181" t="s">
        <v>145</v>
      </c>
      <c r="Y2" s="181" t="s">
        <v>147</v>
      </c>
      <c r="Z2" s="181" t="s">
        <v>148</v>
      </c>
    </row>
    <row r="3">
      <c r="A3" s="5">
        <v>2.0</v>
      </c>
      <c r="B3" s="5">
        <f>PasteHashtag!B3</f>
        <v>2.4</v>
      </c>
      <c r="C3" s="177" t="str">
        <f>PasteHashtag!C3</f>
        <v>Nikola Jokic</v>
      </c>
      <c r="D3" s="5" t="str">
        <f>PasteHashtag!D3</f>
        <v>C</v>
      </c>
      <c r="E3" s="5" t="str">
        <f>PasteHashtag!E3</f>
        <v>DEN</v>
      </c>
      <c r="F3" s="5">
        <f>PasteHashtag!F3</f>
        <v>75</v>
      </c>
      <c r="G3" s="5">
        <f>PasteHashtag!G3</f>
        <v>34.1</v>
      </c>
      <c r="H3" s="5">
        <f>MID(PasteHashtag!H3,1+FIND("(",PasteHashtag!H3),FIND("/",PasteHashtag!H3)-FIND("(",PasteHashtag!H3)-1)*1</f>
        <v>10.4</v>
      </c>
      <c r="I3" s="5">
        <f>LEFT(PasteHashtag!H3,FIND("(",PasteHashtag!H3)-1)*1</f>
        <v>0.585</v>
      </c>
      <c r="J3" s="5">
        <f>MID(PasteHashtag!I3,1+FIND("(",PasteHashtag!I3),FIND("/",PasteHashtag!I3)-FIND("(",PasteHashtag!I3)-1)*1</f>
        <v>4.8</v>
      </c>
      <c r="K3" s="5">
        <f>LEFT(PasteHashtag!I3,FIND("(",PasteHashtag!I3)-1)*1</f>
        <v>0.819</v>
      </c>
      <c r="L3" s="5">
        <f>PasteHashtag!J3</f>
        <v>1.1</v>
      </c>
      <c r="M3" s="5">
        <f>PasteHashtag!K3</f>
        <v>26.7</v>
      </c>
      <c r="N3" s="5">
        <f>PasteHashtag!L3</f>
        <v>12.1</v>
      </c>
      <c r="O3" s="5">
        <f>PasteHashtag!M3</f>
        <v>9</v>
      </c>
      <c r="P3" s="5">
        <f>PasteHashtag!N3</f>
        <v>1.4</v>
      </c>
      <c r="Q3" s="5">
        <f>PasteHashtag!O3</f>
        <v>0.9</v>
      </c>
      <c r="R3" s="5">
        <f>PasteHashtag!P3</f>
        <v>3</v>
      </c>
      <c r="S3" s="5">
        <f>Mid(PasteHashtag!H3,FIND("/",PasteHashtag!H3)+1,LEN(PasteHashtag!H3)-FIND("/",PasteHashtag!H3)-1)*1</f>
        <v>17.8</v>
      </c>
      <c r="T3" s="178">
        <f>Mid(PasteHashtag!I3,FIND("/",PasteHashtag!I3)+1,LEN(PasteHashtag!I3)-FIND("/",PasteHashtag!I3)-1)*1</f>
        <v>5.8</v>
      </c>
      <c r="U3" s="18"/>
      <c r="V3" s="182" t="s">
        <v>204</v>
      </c>
      <c r="W3" s="183">
        <v>4.0</v>
      </c>
      <c r="X3" s="15">
        <v>4.0</v>
      </c>
      <c r="Y3" s="15">
        <v>4.0</v>
      </c>
      <c r="Z3" s="15">
        <v>12.0</v>
      </c>
      <c r="AB3" s="15" t="s">
        <v>35</v>
      </c>
    </row>
    <row r="4">
      <c r="A4" s="5">
        <v>3.0</v>
      </c>
      <c r="B4" s="5">
        <f>PasteHashtag!B4</f>
        <v>4.5</v>
      </c>
      <c r="C4" s="177" t="str">
        <f>PasteHashtag!C4</f>
        <v>Shai Gilgeous-Alexander</v>
      </c>
      <c r="D4" s="5" t="str">
        <f>PasteHashtag!D4</f>
        <v>PG</v>
      </c>
      <c r="E4" s="5" t="str">
        <f>PasteHashtag!E4</f>
        <v>OKC</v>
      </c>
      <c r="F4" s="5">
        <f>PasteHashtag!F4</f>
        <v>73</v>
      </c>
      <c r="G4" s="5">
        <f>PasteHashtag!G4</f>
        <v>33.5</v>
      </c>
      <c r="H4" s="5">
        <f>MID(PasteHashtag!H4,1+FIND("(",PasteHashtag!H4),FIND("/",PasteHashtag!H4)-FIND("(",PasteHashtag!H4)-1)*1</f>
        <v>10.2</v>
      </c>
      <c r="I4" s="5">
        <f>LEFT(PasteHashtag!H4,FIND("(",PasteHashtag!H4)-1)*1</f>
        <v>0.524</v>
      </c>
      <c r="J4" s="5">
        <f>MID(PasteHashtag!I4,1+FIND("(",PasteHashtag!I4),FIND("/",PasteHashtag!I4)-FIND("(",PasteHashtag!I4)-1)*1</f>
        <v>8.1</v>
      </c>
      <c r="K4" s="5">
        <f>LEFT(PasteHashtag!I4,FIND("(",PasteHashtag!I4)-1)*1</f>
        <v>0.88</v>
      </c>
      <c r="L4" s="5">
        <f>PasteHashtag!J4</f>
        <v>1.4</v>
      </c>
      <c r="M4" s="5">
        <f>PasteHashtag!K4</f>
        <v>29.9</v>
      </c>
      <c r="N4" s="5">
        <f>PasteHashtag!L4</f>
        <v>5.1</v>
      </c>
      <c r="O4" s="5">
        <f>PasteHashtag!M4</f>
        <v>6.5</v>
      </c>
      <c r="P4" s="5">
        <f>PasteHashtag!N4</f>
        <v>1.9</v>
      </c>
      <c r="Q4" s="5">
        <f>PasteHashtag!O4</f>
        <v>0.9</v>
      </c>
      <c r="R4" s="5">
        <f>PasteHashtag!P4</f>
        <v>2.4</v>
      </c>
      <c r="S4" s="5">
        <f>Mid(PasteHashtag!H4,FIND("/",PasteHashtag!H4)+1,LEN(PasteHashtag!H4)-FIND("/",PasteHashtag!H4)-1)*1</f>
        <v>19.5</v>
      </c>
      <c r="T4" s="178">
        <f>Mid(PasteHashtag!I4,FIND("/",PasteHashtag!I4)+1,LEN(PasteHashtag!I4)-FIND("/",PasteHashtag!I4)-1)*1</f>
        <v>9.2</v>
      </c>
      <c r="U4" s="18"/>
      <c r="V4" s="182" t="s">
        <v>103</v>
      </c>
      <c r="W4" s="183">
        <v>4.0</v>
      </c>
      <c r="X4" s="15">
        <v>4.0</v>
      </c>
      <c r="Y4" s="15">
        <v>4.0</v>
      </c>
      <c r="Z4" s="15">
        <v>12.0</v>
      </c>
      <c r="AB4" s="15" t="s">
        <v>42</v>
      </c>
    </row>
    <row r="5">
      <c r="A5" s="5">
        <v>4.0</v>
      </c>
      <c r="B5" s="5">
        <f>PasteHashtag!B5</f>
        <v>3.8</v>
      </c>
      <c r="C5" s="177" t="str">
        <f>PasteHashtag!C5</f>
        <v>Luka Doncic</v>
      </c>
      <c r="D5" s="5" t="str">
        <f>PasteHashtag!D5</f>
        <v>PG,SG</v>
      </c>
      <c r="E5" s="5" t="str">
        <f>PasteHashtag!E5</f>
        <v>DAL</v>
      </c>
      <c r="F5" s="5">
        <f>PasteHashtag!F5</f>
        <v>68</v>
      </c>
      <c r="G5" s="5">
        <f>PasteHashtag!G5</f>
        <v>36.8</v>
      </c>
      <c r="H5" s="5">
        <f>MID(PasteHashtag!H5,1+FIND("(",PasteHashtag!H5),FIND("/",PasteHashtag!H5)-FIND("(",PasteHashtag!H5)-1)*1</f>
        <v>11.3</v>
      </c>
      <c r="I5" s="5">
        <f>LEFT(PasteHashtag!H5,FIND("(",PasteHashtag!H5)-1)*1</f>
        <v>0.491</v>
      </c>
      <c r="J5" s="5">
        <f>MID(PasteHashtag!I5,1+FIND("(",PasteHashtag!I5),FIND("/",PasteHashtag!I5)-FIND("(",PasteHashtag!I5)-1)*1</f>
        <v>7.6</v>
      </c>
      <c r="K5" s="5">
        <f>LEFT(PasteHashtag!I5,FIND("(",PasteHashtag!I5)-1)*1</f>
        <v>0.792</v>
      </c>
      <c r="L5" s="5">
        <f>PasteHashtag!J5</f>
        <v>4.1</v>
      </c>
      <c r="M5" s="5">
        <f>PasteHashtag!K5</f>
        <v>34.4</v>
      </c>
      <c r="N5" s="5">
        <f>PasteHashtag!L5</f>
        <v>9.3</v>
      </c>
      <c r="O5" s="5">
        <f>PasteHashtag!M5</f>
        <v>9.9</v>
      </c>
      <c r="P5" s="5">
        <f>PasteHashtag!N5</f>
        <v>1.4</v>
      </c>
      <c r="Q5" s="5">
        <f>PasteHashtag!O5</f>
        <v>0.5</v>
      </c>
      <c r="R5" s="5">
        <f>PasteHashtag!P5</f>
        <v>3.8</v>
      </c>
      <c r="S5" s="5">
        <f>Mid(PasteHashtag!H5,FIND("/",PasteHashtag!H5)+1,LEN(PasteHashtag!H5)-FIND("/",PasteHashtag!H5)-1)*1</f>
        <v>23</v>
      </c>
      <c r="T5" s="178">
        <f>Mid(PasteHashtag!I5,FIND("/",PasteHashtag!I5)+1,LEN(PasteHashtag!I5)-FIND("/",PasteHashtag!I5)-1)*1</f>
        <v>9.7</v>
      </c>
      <c r="U5" s="18"/>
      <c r="V5" s="182" t="s">
        <v>193</v>
      </c>
      <c r="W5" s="183">
        <v>4.0</v>
      </c>
      <c r="X5" s="15">
        <v>4.0</v>
      </c>
      <c r="Y5" s="15">
        <v>4.0</v>
      </c>
      <c r="Z5" s="15">
        <v>12.0</v>
      </c>
      <c r="AB5" s="15" t="s">
        <v>58</v>
      </c>
    </row>
    <row r="6">
      <c r="A6" s="5">
        <v>5.0</v>
      </c>
      <c r="B6" s="5">
        <f>PasteHashtag!B6</f>
        <v>7.4</v>
      </c>
      <c r="C6" s="177" t="str">
        <f>PasteHashtag!C6</f>
        <v>Anthony Davis</v>
      </c>
      <c r="D6" s="5" t="str">
        <f>PasteHashtag!D6</f>
        <v>PF,C</v>
      </c>
      <c r="E6" s="5" t="str">
        <f>PasteHashtag!E6</f>
        <v>LAL</v>
      </c>
      <c r="F6" s="5">
        <f>PasteHashtag!F6</f>
        <v>67</v>
      </c>
      <c r="G6" s="5">
        <f>PasteHashtag!G6</f>
        <v>34.5</v>
      </c>
      <c r="H6" s="5">
        <f>MID(PasteHashtag!H6,1+FIND("(",PasteHashtag!H6),FIND("/",PasteHashtag!H6)-FIND("(",PasteHashtag!H6)-1)*1</f>
        <v>9.5</v>
      </c>
      <c r="I6" s="5">
        <f>LEFT(PasteHashtag!H6,FIND("(",PasteHashtag!H6)-1)*1</f>
        <v>0.559</v>
      </c>
      <c r="J6" s="5">
        <f>MID(PasteHashtag!I6,1+FIND("(",PasteHashtag!I6),FIND("/",PasteHashtag!I6)-FIND("(",PasteHashtag!I6)-1)*1</f>
        <v>5.8</v>
      </c>
      <c r="K6" s="5">
        <f>LEFT(PasteHashtag!I6,FIND("(",PasteHashtag!I6)-1)*1</f>
        <v>0.802</v>
      </c>
      <c r="L6" s="5">
        <f>PasteHashtag!J6</f>
        <v>0.4</v>
      </c>
      <c r="M6" s="5">
        <f>PasteHashtag!K6</f>
        <v>25.2</v>
      </c>
      <c r="N6" s="5">
        <f>PasteHashtag!L6</f>
        <v>12.7</v>
      </c>
      <c r="O6" s="5">
        <f>PasteHashtag!M6</f>
        <v>3.6</v>
      </c>
      <c r="P6" s="5">
        <f>PasteHashtag!N6</f>
        <v>1.2</v>
      </c>
      <c r="Q6" s="5">
        <f>PasteHashtag!O6</f>
        <v>2.3</v>
      </c>
      <c r="R6" s="5">
        <f>PasteHashtag!P6</f>
        <v>2.1</v>
      </c>
      <c r="S6" s="5">
        <f>Mid(PasteHashtag!H6,FIND("/",PasteHashtag!H6)+1,LEN(PasteHashtag!H6)-FIND("/",PasteHashtag!H6)-1)*1</f>
        <v>17</v>
      </c>
      <c r="T6" s="178">
        <f>Mid(PasteHashtag!I6,FIND("/",PasteHashtag!I6)+1,LEN(PasteHashtag!I6)-FIND("/",PasteHashtag!I6)-1)*1</f>
        <v>7.3</v>
      </c>
      <c r="U6" s="18"/>
      <c r="V6" s="182" t="s">
        <v>81</v>
      </c>
      <c r="W6" s="183">
        <v>4.0</v>
      </c>
      <c r="X6" s="15">
        <v>4.0</v>
      </c>
      <c r="Y6" s="15">
        <v>4.0</v>
      </c>
      <c r="Z6" s="15">
        <v>12.0</v>
      </c>
      <c r="AB6" s="15" t="s">
        <v>68</v>
      </c>
    </row>
    <row r="7">
      <c r="A7" s="5">
        <v>6.0</v>
      </c>
      <c r="B7" s="5">
        <f>PasteHashtag!B7</f>
        <v>9.6</v>
      </c>
      <c r="C7" s="177" t="str">
        <f>PasteHashtag!C7</f>
        <v>Joel Embiid</v>
      </c>
      <c r="D7" s="5" t="str">
        <f>PasteHashtag!D7</f>
        <v>C</v>
      </c>
      <c r="E7" s="5" t="str">
        <f>PasteHashtag!E7</f>
        <v>PHI</v>
      </c>
      <c r="F7" s="5">
        <f>PasteHashtag!F7</f>
        <v>60</v>
      </c>
      <c r="G7" s="5">
        <f>PasteHashtag!G7</f>
        <v>31.4</v>
      </c>
      <c r="H7" s="5">
        <f>MID(PasteHashtag!H7,1+FIND("(",PasteHashtag!H7),FIND("/",PasteHashtag!H7)-FIND("(",PasteHashtag!H7)-1)*1</f>
        <v>9.1</v>
      </c>
      <c r="I7" s="5">
        <f>LEFT(PasteHashtag!H7,FIND("(",PasteHashtag!H7)-1)*1</f>
        <v>0.518</v>
      </c>
      <c r="J7" s="5">
        <f>MID(PasteHashtag!I7,1+FIND("(",PasteHashtag!I7),FIND("/",PasteHashtag!I7)-FIND("(",PasteHashtag!I7)-1)*1</f>
        <v>8.7</v>
      </c>
      <c r="K7" s="5">
        <f>LEFT(PasteHashtag!I7,FIND("(",PasteHashtag!I7)-1)*1</f>
        <v>0.871</v>
      </c>
      <c r="L7" s="5">
        <f>PasteHashtag!J7</f>
        <v>1.3</v>
      </c>
      <c r="M7" s="5">
        <f>PasteHashtag!K7</f>
        <v>28.1</v>
      </c>
      <c r="N7" s="5">
        <f>PasteHashtag!L7</f>
        <v>10</v>
      </c>
      <c r="O7" s="5">
        <f>PasteHashtag!M7</f>
        <v>3.9</v>
      </c>
      <c r="P7" s="5">
        <f>PasteHashtag!N7</f>
        <v>0.9</v>
      </c>
      <c r="Q7" s="5">
        <f>PasteHashtag!O7</f>
        <v>1.4</v>
      </c>
      <c r="R7" s="5">
        <f>PasteHashtag!P7</f>
        <v>3.3</v>
      </c>
      <c r="S7" s="5">
        <f>Mid(PasteHashtag!H7,FIND("/",PasteHashtag!H7)+1,LEN(PasteHashtag!H7)-FIND("/",PasteHashtag!H7)-1)*1</f>
        <v>17.6</v>
      </c>
      <c r="T7" s="178">
        <f>Mid(PasteHashtag!I7,FIND("/",PasteHashtag!I7)+1,LEN(PasteHashtag!I7)-FIND("/",PasteHashtag!I7)-1)*1</f>
        <v>9.9</v>
      </c>
      <c r="U7" s="18"/>
      <c r="V7" s="182" t="s">
        <v>172</v>
      </c>
      <c r="W7" s="183">
        <v>4.0</v>
      </c>
      <c r="X7" s="15">
        <v>4.0</v>
      </c>
      <c r="Y7" s="15">
        <v>4.0</v>
      </c>
      <c r="Z7" s="15">
        <v>12.0</v>
      </c>
      <c r="AB7" s="15" t="s">
        <v>81</v>
      </c>
    </row>
    <row r="8">
      <c r="A8" s="5">
        <v>7.0</v>
      </c>
      <c r="B8" s="5">
        <f>PasteHashtag!B8</f>
        <v>6.7</v>
      </c>
      <c r="C8" s="177" t="str">
        <f>PasteHashtag!C8</f>
        <v>Giannis Antetokounmpo</v>
      </c>
      <c r="D8" s="5" t="str">
        <f>PasteHashtag!D8</f>
        <v>PF,C</v>
      </c>
      <c r="E8" s="5" t="str">
        <f>PasteHashtag!E8</f>
        <v>MIL</v>
      </c>
      <c r="F8" s="5">
        <f>PasteHashtag!F8</f>
        <v>71</v>
      </c>
      <c r="G8" s="5">
        <f>PasteHashtag!G8</f>
        <v>34.6</v>
      </c>
      <c r="H8" s="5">
        <f>MID(PasteHashtag!H8,1+FIND("(",PasteHashtag!H8),FIND("/",PasteHashtag!H8)-FIND("(",PasteHashtag!H8)-1)*1</f>
        <v>11.8</v>
      </c>
      <c r="I8" s="5">
        <f>LEFT(PasteHashtag!H8,FIND("(",PasteHashtag!H8)-1)*1</f>
        <v>0.614</v>
      </c>
      <c r="J8" s="5">
        <f>MID(PasteHashtag!I8,1+FIND("(",PasteHashtag!I8),FIND("/",PasteHashtag!I8)-FIND("(",PasteHashtag!I8)-1)*1</f>
        <v>7</v>
      </c>
      <c r="K8" s="5">
        <f>LEFT(PasteHashtag!I8,FIND("(",PasteHashtag!I8)-1)*1</f>
        <v>0.671</v>
      </c>
      <c r="L8" s="5">
        <f>PasteHashtag!J8</f>
        <v>0.6</v>
      </c>
      <c r="M8" s="5">
        <f>PasteHashtag!K8</f>
        <v>31.1</v>
      </c>
      <c r="N8" s="5">
        <f>PasteHashtag!L8</f>
        <v>11.8</v>
      </c>
      <c r="O8" s="5">
        <f>PasteHashtag!M8</f>
        <v>6.7</v>
      </c>
      <c r="P8" s="5">
        <f>PasteHashtag!N8</f>
        <v>1.2</v>
      </c>
      <c r="Q8" s="5">
        <f>PasteHashtag!O8</f>
        <v>1.1</v>
      </c>
      <c r="R8" s="5">
        <f>PasteHashtag!P8</f>
        <v>3.4</v>
      </c>
      <c r="S8" s="5">
        <f>Mid(PasteHashtag!H8,FIND("/",PasteHashtag!H8)+1,LEN(PasteHashtag!H8)-FIND("/",PasteHashtag!H8)-1)*1</f>
        <v>19.2</v>
      </c>
      <c r="T8" s="178">
        <f>Mid(PasteHashtag!I8,FIND("/",PasteHashtag!I8)+1,LEN(PasteHashtag!I8)-FIND("/",PasteHashtag!I8)-1)*1</f>
        <v>10.5</v>
      </c>
      <c r="U8" s="18"/>
      <c r="V8" s="182" t="s">
        <v>94</v>
      </c>
      <c r="W8" s="183">
        <v>4.0</v>
      </c>
      <c r="X8" s="15">
        <v>4.0</v>
      </c>
      <c r="Y8" s="15">
        <v>3.0</v>
      </c>
      <c r="Z8" s="15">
        <v>11.0</v>
      </c>
      <c r="AB8" s="15" t="s">
        <v>75</v>
      </c>
    </row>
    <row r="9">
      <c r="A9" s="5">
        <v>8.0</v>
      </c>
      <c r="B9" s="5">
        <f>PasteHashtag!B9</f>
        <v>8.4</v>
      </c>
      <c r="C9" s="177" t="str">
        <f>PasteHashtag!C9</f>
        <v>Tyrese Haliburton</v>
      </c>
      <c r="D9" s="5" t="str">
        <f>PasteHashtag!D9</f>
        <v>PG,SG</v>
      </c>
      <c r="E9" s="5" t="str">
        <f>PasteHashtag!E9</f>
        <v>IND</v>
      </c>
      <c r="F9" s="5">
        <f>PasteHashtag!F9</f>
        <v>69</v>
      </c>
      <c r="G9" s="5">
        <f>PasteHashtag!G9</f>
        <v>33.6</v>
      </c>
      <c r="H9" s="5">
        <f>MID(PasteHashtag!H9,1+FIND("(",PasteHashtag!H9),FIND("/",PasteHashtag!H9)-FIND("(",PasteHashtag!H9)-1)*1</f>
        <v>7.5</v>
      </c>
      <c r="I9" s="5">
        <f>LEFT(PasteHashtag!H9,FIND("(",PasteHashtag!H9)-1)*1</f>
        <v>0.483</v>
      </c>
      <c r="J9" s="5">
        <f>MID(PasteHashtag!I9,1+FIND("(",PasteHashtag!I9),FIND("/",PasteHashtag!I9)-FIND("(",PasteHashtag!I9)-1)*1</f>
        <v>3.1</v>
      </c>
      <c r="K9" s="5">
        <f>LEFT(PasteHashtag!I9,FIND("(",PasteHashtag!I9)-1)*1</f>
        <v>0.862</v>
      </c>
      <c r="L9" s="5">
        <f>PasteHashtag!J9</f>
        <v>3</v>
      </c>
      <c r="M9" s="5">
        <f>PasteHashtag!K9</f>
        <v>21.1</v>
      </c>
      <c r="N9" s="5">
        <f>PasteHashtag!L9</f>
        <v>3.9</v>
      </c>
      <c r="O9" s="5">
        <f>PasteHashtag!M9</f>
        <v>11.1</v>
      </c>
      <c r="P9" s="5">
        <f>PasteHashtag!N9</f>
        <v>1.4</v>
      </c>
      <c r="Q9" s="5">
        <f>PasteHashtag!O9</f>
        <v>0.7</v>
      </c>
      <c r="R9" s="5">
        <f>PasteHashtag!P9</f>
        <v>2.5</v>
      </c>
      <c r="S9" s="5">
        <f>Mid(PasteHashtag!H9,FIND("/",PasteHashtag!H9)+1,LEN(PasteHashtag!H9)-FIND("/",PasteHashtag!H9)-1)*1</f>
        <v>15.6</v>
      </c>
      <c r="T9" s="178">
        <f>Mid(PasteHashtag!I9,FIND("/",PasteHashtag!I9)+1,LEN(PasteHashtag!I9)-FIND("/",PasteHashtag!I9)-1)*1</f>
        <v>3.5</v>
      </c>
      <c r="U9" s="18"/>
      <c r="V9" s="182" t="s">
        <v>316</v>
      </c>
      <c r="W9" s="183">
        <v>3.0</v>
      </c>
      <c r="X9" s="15">
        <v>5.0</v>
      </c>
      <c r="Y9" s="15">
        <v>3.0</v>
      </c>
      <c r="Z9" s="15">
        <v>11.0</v>
      </c>
      <c r="AB9" s="15" t="s">
        <v>85</v>
      </c>
    </row>
    <row r="10">
      <c r="A10" s="5">
        <v>9.0</v>
      </c>
      <c r="B10" s="5">
        <f>PasteHashtag!B10</f>
        <v>12.5</v>
      </c>
      <c r="C10" s="177" t="str">
        <f>PasteHashtag!C10</f>
        <v>Trae Young</v>
      </c>
      <c r="D10" s="5" t="str">
        <f>PasteHashtag!D10</f>
        <v>PG</v>
      </c>
      <c r="E10" s="5" t="str">
        <f>PasteHashtag!E10</f>
        <v>ATL</v>
      </c>
      <c r="F10" s="5">
        <f>PasteHashtag!F10</f>
        <v>72</v>
      </c>
      <c r="G10" s="5">
        <f>PasteHashtag!G10</f>
        <v>35.2</v>
      </c>
      <c r="H10" s="5">
        <f>MID(PasteHashtag!H10,1+FIND("(",PasteHashtag!H10),FIND("/",PasteHashtag!H10)-FIND("(",PasteHashtag!H10)-1)*1</f>
        <v>8.4</v>
      </c>
      <c r="I10" s="5">
        <f>LEFT(PasteHashtag!H10,FIND("(",PasteHashtag!H10)-1)*1</f>
        <v>0.432</v>
      </c>
      <c r="J10" s="5">
        <f>MID(PasteHashtag!I10,1+FIND("(",PasteHashtag!I10),FIND("/",PasteHashtag!I10)-FIND("(",PasteHashtag!I10)-1)*1</f>
        <v>7.8</v>
      </c>
      <c r="K10" s="5">
        <f>LEFT(PasteHashtag!I10,FIND("(",PasteHashtag!I10)-1)*1</f>
        <v>0.877</v>
      </c>
      <c r="L10" s="5">
        <f>PasteHashtag!J10</f>
        <v>3.4</v>
      </c>
      <c r="M10" s="5">
        <f>PasteHashtag!K10</f>
        <v>28.1</v>
      </c>
      <c r="N10" s="5">
        <f>PasteHashtag!L10</f>
        <v>2.9</v>
      </c>
      <c r="O10" s="5">
        <f>PasteHashtag!M10</f>
        <v>10.8</v>
      </c>
      <c r="P10" s="5">
        <f>PasteHashtag!N10</f>
        <v>1.2</v>
      </c>
      <c r="Q10" s="5">
        <f>PasteHashtag!O10</f>
        <v>0.2</v>
      </c>
      <c r="R10" s="5">
        <f>PasteHashtag!P10</f>
        <v>4.2</v>
      </c>
      <c r="S10" s="5">
        <f>Mid(PasteHashtag!H10,FIND("/",PasteHashtag!H10)+1,LEN(PasteHashtag!H10)-FIND("/",PasteHashtag!H10)-1)*1</f>
        <v>19.5</v>
      </c>
      <c r="T10" s="178">
        <f>Mid(PasteHashtag!I10,FIND("/",PasteHashtag!I10)+1,LEN(PasteHashtag!I10)-FIND("/",PasteHashtag!I10)-1)*1</f>
        <v>8.9</v>
      </c>
      <c r="U10" s="18"/>
      <c r="V10" s="182" t="s">
        <v>160</v>
      </c>
      <c r="W10" s="183">
        <v>4.0</v>
      </c>
      <c r="X10" s="15">
        <v>3.0</v>
      </c>
      <c r="Y10" s="15">
        <v>4.0</v>
      </c>
      <c r="Z10" s="15">
        <v>11.0</v>
      </c>
      <c r="AB10" s="15" t="s">
        <v>89</v>
      </c>
    </row>
    <row r="11">
      <c r="A11" s="5">
        <v>10.0</v>
      </c>
      <c r="B11" s="5">
        <f>PasteHashtag!B11</f>
        <v>9.5</v>
      </c>
      <c r="C11" s="177" t="str">
        <f>PasteHashtag!C11</f>
        <v>Jayson Tatum</v>
      </c>
      <c r="D11" s="5" t="str">
        <f>PasteHashtag!D11</f>
        <v>SF,PF</v>
      </c>
      <c r="E11" s="5" t="str">
        <f>PasteHashtag!E11</f>
        <v>BOS</v>
      </c>
      <c r="F11" s="5">
        <f>PasteHashtag!F11</f>
        <v>75</v>
      </c>
      <c r="G11" s="5">
        <f>PasteHashtag!G11</f>
        <v>35.8</v>
      </c>
      <c r="H11" s="5">
        <f>MID(PasteHashtag!H11,1+FIND("(",PasteHashtag!H11),FIND("/",PasteHashtag!H11)-FIND("(",PasteHashtag!H11)-1)*1</f>
        <v>9.4</v>
      </c>
      <c r="I11" s="5">
        <f>LEFT(PasteHashtag!H11,FIND("(",PasteHashtag!H11)-1)*1</f>
        <v>0.469</v>
      </c>
      <c r="J11" s="5">
        <f>MID(PasteHashtag!I11,1+FIND("(",PasteHashtag!I11),FIND("/",PasteHashtag!I11)-FIND("(",PasteHashtag!I11)-1)*1</f>
        <v>6.1</v>
      </c>
      <c r="K11" s="5">
        <f>LEFT(PasteHashtag!I11,FIND("(",PasteHashtag!I11)-1)*1</f>
        <v>0.836</v>
      </c>
      <c r="L11" s="5">
        <f>PasteHashtag!J11</f>
        <v>2.9</v>
      </c>
      <c r="M11" s="5">
        <f>PasteHashtag!K11</f>
        <v>27.9</v>
      </c>
      <c r="N11" s="5">
        <f>PasteHashtag!L11</f>
        <v>9</v>
      </c>
      <c r="O11" s="5">
        <f>PasteHashtag!M11</f>
        <v>5.1</v>
      </c>
      <c r="P11" s="5">
        <f>PasteHashtag!N11</f>
        <v>1.1</v>
      </c>
      <c r="Q11" s="5">
        <f>PasteHashtag!O11</f>
        <v>0.7</v>
      </c>
      <c r="R11" s="5">
        <f>PasteHashtag!P11</f>
        <v>2.5</v>
      </c>
      <c r="S11" s="5">
        <f>Mid(PasteHashtag!H11,FIND("/",PasteHashtag!H11)+1,LEN(PasteHashtag!H11)-FIND("/",PasteHashtag!H11)-1)*1</f>
        <v>20.1</v>
      </c>
      <c r="T11" s="178">
        <f>Mid(PasteHashtag!I11,FIND("/",PasteHashtag!I11)+1,LEN(PasteHashtag!I11)-FIND("/",PasteHashtag!I11)-1)*1</f>
        <v>7.3</v>
      </c>
      <c r="U11" s="18"/>
      <c r="V11" s="182" t="s">
        <v>121</v>
      </c>
      <c r="W11" s="183">
        <v>4.0</v>
      </c>
      <c r="X11" s="15">
        <v>3.0</v>
      </c>
      <c r="Y11" s="15">
        <v>4.0</v>
      </c>
      <c r="Z11" s="15">
        <v>11.0</v>
      </c>
      <c r="AB11" s="15" t="s">
        <v>94</v>
      </c>
    </row>
    <row r="12">
      <c r="A12" s="5">
        <v>11.0</v>
      </c>
      <c r="B12" s="5">
        <f>PasteHashtag!B12</f>
        <v>16.2</v>
      </c>
      <c r="C12" s="177" t="str">
        <f>PasteHashtag!C12</f>
        <v>James Harden</v>
      </c>
      <c r="D12" s="5" t="str">
        <f>PasteHashtag!D12</f>
        <v>PG,SG</v>
      </c>
      <c r="E12" s="5" t="str">
        <f>PasteHashtag!E12</f>
        <v>LAC</v>
      </c>
      <c r="F12" s="5">
        <f>PasteHashtag!F12</f>
        <v>68</v>
      </c>
      <c r="G12" s="5">
        <f>PasteHashtag!G12</f>
        <v>34.5</v>
      </c>
      <c r="H12" s="5">
        <f>MID(PasteHashtag!H12,1+FIND("(",PasteHashtag!H12),FIND("/",PasteHashtag!H12)-FIND("(",PasteHashtag!H12)-1)*1</f>
        <v>6.5</v>
      </c>
      <c r="I12" s="5">
        <f>LEFT(PasteHashtag!H12,FIND("(",PasteHashtag!H12)-1)*1</f>
        <v>0.438</v>
      </c>
      <c r="J12" s="5">
        <f>MID(PasteHashtag!I12,1+FIND("(",PasteHashtag!I12),FIND("/",PasteHashtag!I12)-FIND("(",PasteHashtag!I12)-1)*1</f>
        <v>4.7</v>
      </c>
      <c r="K12" s="5">
        <f>LEFT(PasteHashtag!I12,FIND("(",PasteHashtag!I12)-1)*1</f>
        <v>0.871</v>
      </c>
      <c r="L12" s="5">
        <f>PasteHashtag!J12</f>
        <v>2.8</v>
      </c>
      <c r="M12" s="5">
        <f>PasteHashtag!K12</f>
        <v>20.4</v>
      </c>
      <c r="N12" s="5">
        <f>PasteHashtag!L12</f>
        <v>6.1</v>
      </c>
      <c r="O12" s="5">
        <f>PasteHashtag!M12</f>
        <v>10.4</v>
      </c>
      <c r="P12" s="5">
        <f>PasteHashtag!N12</f>
        <v>1.1</v>
      </c>
      <c r="Q12" s="5">
        <f>PasteHashtag!O12</f>
        <v>0.7</v>
      </c>
      <c r="R12" s="5">
        <f>PasteHashtag!P12</f>
        <v>2.9</v>
      </c>
      <c r="S12" s="5">
        <f>Mid(PasteHashtag!H12,FIND("/",PasteHashtag!H12)+1,LEN(PasteHashtag!H12)-FIND("/",PasteHashtag!H12)-1)*1</f>
        <v>14.8</v>
      </c>
      <c r="T12" s="178">
        <f>Mid(PasteHashtag!I12,FIND("/",PasteHashtag!I12)+1,LEN(PasteHashtag!I12)-FIND("/",PasteHashtag!I12)-1)*1</f>
        <v>5.3</v>
      </c>
      <c r="U12" s="18"/>
      <c r="V12" s="182" t="s">
        <v>42</v>
      </c>
      <c r="W12" s="183">
        <v>3.0</v>
      </c>
      <c r="X12" s="15">
        <v>4.0</v>
      </c>
      <c r="Y12" s="15">
        <v>4.0</v>
      </c>
      <c r="Z12" s="15">
        <v>11.0</v>
      </c>
      <c r="AB12" s="15" t="s">
        <v>99</v>
      </c>
    </row>
    <row r="13">
      <c r="A13" s="5">
        <v>12.0</v>
      </c>
      <c r="B13" s="5">
        <f>PasteHashtag!B13</f>
        <v>12.4</v>
      </c>
      <c r="C13" s="177" t="str">
        <f>PasteHashtag!C13</f>
        <v>Stephen Curry</v>
      </c>
      <c r="D13" s="5" t="str">
        <f>PasteHashtag!D13</f>
        <v>PG,SG</v>
      </c>
      <c r="E13" s="5" t="str">
        <f>PasteHashtag!E13</f>
        <v>GS</v>
      </c>
      <c r="F13" s="5">
        <f>PasteHashtag!F13</f>
        <v>68</v>
      </c>
      <c r="G13" s="5">
        <f>PasteHashtag!G13</f>
        <v>31.4</v>
      </c>
      <c r="H13" s="5">
        <f>MID(PasteHashtag!H13,1+FIND("(",PasteHashtag!H13),FIND("/",PasteHashtag!H13)-FIND("(",PasteHashtag!H13)-1)*1</f>
        <v>8.8</v>
      </c>
      <c r="I13" s="5">
        <f>LEFT(PasteHashtag!H13,FIND("(",PasteHashtag!H13)-1)*1</f>
        <v>0.469</v>
      </c>
      <c r="J13" s="5">
        <f>MID(PasteHashtag!I13,1+FIND("(",PasteHashtag!I13),FIND("/",PasteHashtag!I13)-FIND("(",PasteHashtag!I13)-1)*1</f>
        <v>4</v>
      </c>
      <c r="K13" s="5">
        <f>LEFT(PasteHashtag!I13,FIND("(",PasteHashtag!I13)-1)*1</f>
        <v>0.918</v>
      </c>
      <c r="L13" s="5">
        <f>PasteHashtag!J13</f>
        <v>4.8</v>
      </c>
      <c r="M13" s="5">
        <f>PasteHashtag!K13</f>
        <v>26.4</v>
      </c>
      <c r="N13" s="5">
        <f>PasteHashtag!L13</f>
        <v>4.5</v>
      </c>
      <c r="O13" s="5">
        <f>PasteHashtag!M13</f>
        <v>5.3</v>
      </c>
      <c r="P13" s="5">
        <f>PasteHashtag!N13</f>
        <v>0.8</v>
      </c>
      <c r="Q13" s="5">
        <f>PasteHashtag!O13</f>
        <v>0.4</v>
      </c>
      <c r="R13" s="5">
        <f>PasteHashtag!P13</f>
        <v>2.8</v>
      </c>
      <c r="S13" s="5">
        <f>Mid(PasteHashtag!H13,FIND("/",PasteHashtag!H13)+1,LEN(PasteHashtag!H13)-FIND("/",PasteHashtag!H13)-1)*1</f>
        <v>18.7</v>
      </c>
      <c r="T13" s="178">
        <f>Mid(PasteHashtag!I13,FIND("/",PasteHashtag!I13)+1,LEN(PasteHashtag!I13)-FIND("/",PasteHashtag!I13)-1)*1</f>
        <v>4.4</v>
      </c>
      <c r="U13" s="18"/>
      <c r="V13" s="182" t="s">
        <v>250</v>
      </c>
      <c r="W13" s="183">
        <v>4.0</v>
      </c>
      <c r="X13" s="15">
        <v>3.0</v>
      </c>
      <c r="Y13" s="15">
        <v>4.0</v>
      </c>
      <c r="Z13" s="15">
        <v>11.0</v>
      </c>
      <c r="AB13" s="15" t="s">
        <v>103</v>
      </c>
    </row>
    <row r="14">
      <c r="A14" s="5">
        <v>13.0</v>
      </c>
      <c r="B14" s="5">
        <f>PasteHashtag!B14</f>
        <v>17</v>
      </c>
      <c r="C14" s="177" t="str">
        <f>PasteHashtag!C14</f>
        <v>Donovan Mitchell</v>
      </c>
      <c r="D14" s="5" t="str">
        <f>PasteHashtag!D14</f>
        <v>PG,SG</v>
      </c>
      <c r="E14" s="5" t="str">
        <f>PasteHashtag!E14</f>
        <v>CLE</v>
      </c>
      <c r="F14" s="5">
        <f>PasteHashtag!F14</f>
        <v>67</v>
      </c>
      <c r="G14" s="5">
        <f>PasteHashtag!G14</f>
        <v>33.7</v>
      </c>
      <c r="H14" s="5">
        <f>MID(PasteHashtag!H14,1+FIND("(",PasteHashtag!H14),FIND("/",PasteHashtag!H14)-FIND("(",PasteHashtag!H14)-1)*1</f>
        <v>9.1</v>
      </c>
      <c r="I14" s="5">
        <f>LEFT(PasteHashtag!H14,FIND("(",PasteHashtag!H14)-1)*1</f>
        <v>0.468</v>
      </c>
      <c r="J14" s="5">
        <f>MID(PasteHashtag!I14,1+FIND("(",PasteHashtag!I14),FIND("/",PasteHashtag!I14)-FIND("(",PasteHashtag!I14)-1)*1</f>
        <v>4.6</v>
      </c>
      <c r="K14" s="5">
        <f>LEFT(PasteHashtag!I14,FIND("(",PasteHashtag!I14)-1)*1</f>
        <v>0.866</v>
      </c>
      <c r="L14" s="5">
        <f>PasteHashtag!J14</f>
        <v>3.3</v>
      </c>
      <c r="M14" s="5">
        <f>PasteHashtag!K14</f>
        <v>26.2</v>
      </c>
      <c r="N14" s="5">
        <f>PasteHashtag!L14</f>
        <v>4.4</v>
      </c>
      <c r="O14" s="5">
        <f>PasteHashtag!M14</f>
        <v>5.4</v>
      </c>
      <c r="P14" s="5">
        <f>PasteHashtag!N14</f>
        <v>1.6</v>
      </c>
      <c r="Q14" s="5">
        <f>PasteHashtag!O14</f>
        <v>0.4</v>
      </c>
      <c r="R14" s="5">
        <f>PasteHashtag!P14</f>
        <v>2.8</v>
      </c>
      <c r="S14" s="5">
        <f>Mid(PasteHashtag!H14,FIND("/",PasteHashtag!H14)+1,LEN(PasteHashtag!H14)-FIND("/",PasteHashtag!H14)-1)*1</f>
        <v>19.5</v>
      </c>
      <c r="T14" s="178">
        <f>Mid(PasteHashtag!I14,FIND("/",PasteHashtag!I14)+1,LEN(PasteHashtag!I14)-FIND("/",PasteHashtag!I14)-1)*1</f>
        <v>5.4</v>
      </c>
      <c r="U14" s="18"/>
      <c r="V14" s="182" t="s">
        <v>115</v>
      </c>
      <c r="W14" s="183">
        <v>4.0</v>
      </c>
      <c r="X14" s="15">
        <v>3.0</v>
      </c>
      <c r="Y14" s="15">
        <v>4.0</v>
      </c>
      <c r="Z14" s="15">
        <v>11.0</v>
      </c>
      <c r="AB14" s="15" t="s">
        <v>115</v>
      </c>
    </row>
    <row r="15">
      <c r="A15" s="5">
        <v>14.0</v>
      </c>
      <c r="B15" s="5">
        <f>PasteHashtag!B15</f>
        <v>26.6</v>
      </c>
      <c r="C15" s="177" t="str">
        <f>PasteHashtag!C15</f>
        <v>Kyrie Irving</v>
      </c>
      <c r="D15" s="5" t="str">
        <f>PasteHashtag!D15</f>
        <v>PG,SG</v>
      </c>
      <c r="E15" s="5" t="str">
        <f>PasteHashtag!E15</f>
        <v>DAL</v>
      </c>
      <c r="F15" s="5">
        <f>PasteHashtag!F15</f>
        <v>61</v>
      </c>
      <c r="G15" s="5">
        <f>PasteHashtag!G15</f>
        <v>34.8</v>
      </c>
      <c r="H15" s="5">
        <f>MID(PasteHashtag!H15,1+FIND("(",PasteHashtag!H15),FIND("/",PasteHashtag!H15)-FIND("(",PasteHashtag!H15)-1)*1</f>
        <v>9.2</v>
      </c>
      <c r="I15" s="5">
        <f>LEFT(PasteHashtag!H15,FIND("(",PasteHashtag!H15)-1)*1</f>
        <v>0.495</v>
      </c>
      <c r="J15" s="5">
        <f>MID(PasteHashtag!I15,1+FIND("(",PasteHashtag!I15),FIND("/",PasteHashtag!I15)-FIND("(",PasteHashtag!I15)-1)*1</f>
        <v>3.2</v>
      </c>
      <c r="K15" s="5">
        <f>LEFT(PasteHashtag!I15,FIND("(",PasteHashtag!I15)-1)*1</f>
        <v>0.907</v>
      </c>
      <c r="L15" s="5">
        <f>PasteHashtag!J15</f>
        <v>3</v>
      </c>
      <c r="M15" s="5">
        <f>PasteHashtag!K15</f>
        <v>24.6</v>
      </c>
      <c r="N15" s="5">
        <f>PasteHashtag!L15</f>
        <v>4.9</v>
      </c>
      <c r="O15" s="5">
        <f>PasteHashtag!M15</f>
        <v>5.2</v>
      </c>
      <c r="P15" s="5">
        <f>PasteHashtag!N15</f>
        <v>1.2</v>
      </c>
      <c r="Q15" s="5">
        <f>PasteHashtag!O15</f>
        <v>0.6</v>
      </c>
      <c r="R15" s="5">
        <f>PasteHashtag!P15</f>
        <v>1.8</v>
      </c>
      <c r="S15" s="5">
        <f>Mid(PasteHashtag!H15,FIND("/",PasteHashtag!H15)+1,LEN(PasteHashtag!H15)-FIND("/",PasteHashtag!H15)-1)*1</f>
        <v>18.6</v>
      </c>
      <c r="T15" s="178">
        <f>Mid(PasteHashtag!I15,FIND("/",PasteHashtag!I15)+1,LEN(PasteHashtag!I15)-FIND("/",PasteHashtag!I15)-1)*1</f>
        <v>3.6</v>
      </c>
      <c r="U15" s="18"/>
      <c r="V15" s="182" t="s">
        <v>89</v>
      </c>
      <c r="W15" s="183">
        <v>3.0</v>
      </c>
      <c r="X15" s="15">
        <v>4.0</v>
      </c>
      <c r="Y15" s="15">
        <v>4.0</v>
      </c>
      <c r="Z15" s="15">
        <v>11.0</v>
      </c>
      <c r="AB15" s="15" t="s">
        <v>121</v>
      </c>
    </row>
    <row r="16">
      <c r="A16" s="5">
        <v>15.0</v>
      </c>
      <c r="B16" s="5">
        <f>PasteHashtag!B16</f>
        <v>18.3</v>
      </c>
      <c r="C16" s="177" t="str">
        <f>PasteHashtag!C16</f>
        <v>Kevin Durant</v>
      </c>
      <c r="D16" s="5" t="str">
        <f>PasteHashtag!D16</f>
        <v>SF,PF</v>
      </c>
      <c r="E16" s="5" t="str">
        <f>PasteHashtag!E16</f>
        <v>PHO</v>
      </c>
      <c r="F16" s="5">
        <f>PasteHashtag!F16</f>
        <v>65</v>
      </c>
      <c r="G16" s="5">
        <f>PasteHashtag!G16</f>
        <v>35.2</v>
      </c>
      <c r="H16" s="5">
        <f>MID(PasteHashtag!H16,1+FIND("(",PasteHashtag!H16),FIND("/",PasteHashtag!H16)-FIND("(",PasteHashtag!H16)-1)*1</f>
        <v>9.5</v>
      </c>
      <c r="I16" s="5">
        <f>LEFT(PasteHashtag!H16,FIND("(",PasteHashtag!H16)-1)*1</f>
        <v>0.52</v>
      </c>
      <c r="J16" s="5">
        <f>MID(PasteHashtag!I16,1+FIND("(",PasteHashtag!I16),FIND("/",PasteHashtag!I16)-FIND("(",PasteHashtag!I16)-1)*1</f>
        <v>4.6</v>
      </c>
      <c r="K16" s="5">
        <f>LEFT(PasteHashtag!I16,FIND("(",PasteHashtag!I16)-1)*1</f>
        <v>0.846</v>
      </c>
      <c r="L16" s="5">
        <f>PasteHashtag!J16</f>
        <v>2.1</v>
      </c>
      <c r="M16" s="5">
        <f>PasteHashtag!K16</f>
        <v>25.7</v>
      </c>
      <c r="N16" s="5">
        <f>PasteHashtag!L16</f>
        <v>6.4</v>
      </c>
      <c r="O16" s="5">
        <f>PasteHashtag!M16</f>
        <v>4.8</v>
      </c>
      <c r="P16" s="5">
        <f>PasteHashtag!N16</f>
        <v>0.8</v>
      </c>
      <c r="Q16" s="5">
        <f>PasteHashtag!O16</f>
        <v>1.2</v>
      </c>
      <c r="R16" s="5">
        <f>PasteHashtag!P16</f>
        <v>3.2</v>
      </c>
      <c r="S16" s="5">
        <f>Mid(PasteHashtag!H16,FIND("/",PasteHashtag!H16)+1,LEN(PasteHashtag!H16)-FIND("/",PasteHashtag!H16)-1)*1</f>
        <v>18.3</v>
      </c>
      <c r="T16" s="178">
        <f>Mid(PasteHashtag!I16,FIND("/",PasteHashtag!I16)+1,LEN(PasteHashtag!I16)-FIND("/",PasteHashtag!I16)-1)*1</f>
        <v>5.5</v>
      </c>
      <c r="U16" s="18"/>
      <c r="V16" s="182" t="s">
        <v>197</v>
      </c>
      <c r="W16" s="183">
        <v>4.0</v>
      </c>
      <c r="X16" s="15">
        <v>4.0</v>
      </c>
      <c r="Y16" s="15">
        <v>3.0</v>
      </c>
      <c r="Z16" s="15">
        <v>11.0</v>
      </c>
      <c r="AB16" s="15" t="s">
        <v>68</v>
      </c>
    </row>
    <row r="17">
      <c r="A17" s="5">
        <v>16.0</v>
      </c>
      <c r="B17" s="5">
        <f>PasteHashtag!B17</f>
        <v>24.2</v>
      </c>
      <c r="C17" s="177" t="str">
        <f>PasteHashtag!C17</f>
        <v>LeBron James</v>
      </c>
      <c r="D17" s="5" t="str">
        <f>PasteHashtag!D17</f>
        <v>SF,PF</v>
      </c>
      <c r="E17" s="5" t="str">
        <f>PasteHashtag!E17</f>
        <v>LAL</v>
      </c>
      <c r="F17" s="5">
        <f>PasteHashtag!F17</f>
        <v>67</v>
      </c>
      <c r="G17" s="5">
        <f>PasteHashtag!G17</f>
        <v>34</v>
      </c>
      <c r="H17" s="5">
        <f>MID(PasteHashtag!H17,1+FIND("(",PasteHashtag!H17),FIND("/",PasteHashtag!H17)-FIND("(",PasteHashtag!H17)-1)*1</f>
        <v>9.4</v>
      </c>
      <c r="I17" s="5">
        <f>LEFT(PasteHashtag!H17,FIND("(",PasteHashtag!H17)-1)*1</f>
        <v>0.535</v>
      </c>
      <c r="J17" s="5">
        <f>MID(PasteHashtag!I17,1+FIND("(",PasteHashtag!I17),FIND("/",PasteHashtag!I17)-FIND("(",PasteHashtag!I17)-1)*1</f>
        <v>4.3</v>
      </c>
      <c r="K17" s="5">
        <f>LEFT(PasteHashtag!I17,FIND("(",PasteHashtag!I17)-1)*1</f>
        <v>0.758</v>
      </c>
      <c r="L17" s="5">
        <f>PasteHashtag!J17</f>
        <v>2.1</v>
      </c>
      <c r="M17" s="5">
        <f>PasteHashtag!K17</f>
        <v>25.2</v>
      </c>
      <c r="N17" s="5">
        <f>PasteHashtag!L17</f>
        <v>7.2</v>
      </c>
      <c r="O17" s="5">
        <f>PasteHashtag!M17</f>
        <v>8.2</v>
      </c>
      <c r="P17" s="5">
        <f>PasteHashtag!N17</f>
        <v>1.1</v>
      </c>
      <c r="Q17" s="5">
        <f>PasteHashtag!O17</f>
        <v>0.5</v>
      </c>
      <c r="R17" s="5">
        <f>PasteHashtag!P17</f>
        <v>3.3</v>
      </c>
      <c r="S17" s="5">
        <f>Mid(PasteHashtag!H17,FIND("/",PasteHashtag!H17)+1,LEN(PasteHashtag!H17)-FIND("/",PasteHashtag!H17)-1)*1</f>
        <v>17.6</v>
      </c>
      <c r="T17" s="178">
        <f>Mid(PasteHashtag!I17,FIND("/",PasteHashtag!I17)+1,LEN(PasteHashtag!I17)-FIND("/",PasteHashtag!I17)-1)*1</f>
        <v>5.6</v>
      </c>
      <c r="U17" s="18"/>
      <c r="V17" s="182" t="s">
        <v>85</v>
      </c>
      <c r="W17" s="183">
        <v>4.0</v>
      </c>
      <c r="X17" s="15">
        <v>4.0</v>
      </c>
      <c r="Y17" s="15">
        <v>3.0</v>
      </c>
      <c r="Z17" s="15">
        <v>11.0</v>
      </c>
      <c r="AB17" s="15" t="s">
        <v>129</v>
      </c>
    </row>
    <row r="18">
      <c r="A18" s="5">
        <v>17.0</v>
      </c>
      <c r="B18" s="5">
        <f>PasteHashtag!B18</f>
        <v>19</v>
      </c>
      <c r="C18" s="177" t="str">
        <f>PasteHashtag!C18</f>
        <v>Scottie Barnes</v>
      </c>
      <c r="D18" s="5" t="str">
        <f>PasteHashtag!D18</f>
        <v>SG,SF,PF</v>
      </c>
      <c r="E18" s="5" t="str">
        <f>PasteHashtag!E18</f>
        <v>TOR</v>
      </c>
      <c r="F18" s="5">
        <f>PasteHashtag!F18</f>
        <v>70</v>
      </c>
      <c r="G18" s="5">
        <f>PasteHashtag!G18</f>
        <v>34.8</v>
      </c>
      <c r="H18" s="5">
        <f>MID(PasteHashtag!H18,1+FIND("(",PasteHashtag!H18),FIND("/",PasteHashtag!H18)-FIND("(",PasteHashtag!H18)-1)*1</f>
        <v>7</v>
      </c>
      <c r="I18" s="5">
        <f>LEFT(PasteHashtag!H18,FIND("(",PasteHashtag!H18)-1)*1</f>
        <v>0.479</v>
      </c>
      <c r="J18" s="5">
        <f>MID(PasteHashtag!I18,1+FIND("(",PasteHashtag!I18),FIND("/",PasteHashtag!I18)-FIND("(",PasteHashtag!I18)-1)*1</f>
        <v>3.5</v>
      </c>
      <c r="K18" s="5">
        <f>LEFT(PasteHashtag!I18,FIND("(",PasteHashtag!I18)-1)*1</f>
        <v>0.791</v>
      </c>
      <c r="L18" s="5">
        <f>PasteHashtag!J18</f>
        <v>1.7</v>
      </c>
      <c r="M18" s="5">
        <f>PasteHashtag!K18</f>
        <v>19.1</v>
      </c>
      <c r="N18" s="5">
        <f>PasteHashtag!L18</f>
        <v>8.3</v>
      </c>
      <c r="O18" s="5">
        <f>PasteHashtag!M18</f>
        <v>6</v>
      </c>
      <c r="P18" s="5">
        <f>PasteHashtag!N18</f>
        <v>1.3</v>
      </c>
      <c r="Q18" s="5">
        <f>PasteHashtag!O18</f>
        <v>1.5</v>
      </c>
      <c r="R18" s="5">
        <f>PasteHashtag!P18</f>
        <v>2.4</v>
      </c>
      <c r="S18" s="5">
        <f>Mid(PasteHashtag!H18,FIND("/",PasteHashtag!H18)+1,LEN(PasteHashtag!H18)-FIND("/",PasteHashtag!H18)-1)*1</f>
        <v>14.5</v>
      </c>
      <c r="T18" s="178">
        <f>Mid(PasteHashtag!I18,FIND("/",PasteHashtag!I18)+1,LEN(PasteHashtag!I18)-FIND("/",PasteHashtag!I18)-1)*1</f>
        <v>4.4</v>
      </c>
      <c r="U18" s="18"/>
      <c r="V18" s="182" t="s">
        <v>58</v>
      </c>
      <c r="W18" s="183">
        <v>4.0</v>
      </c>
      <c r="X18" s="15">
        <v>4.0</v>
      </c>
      <c r="Y18" s="15">
        <v>3.0</v>
      </c>
      <c r="Z18" s="15">
        <v>11.0</v>
      </c>
      <c r="AB18" s="15" t="s">
        <v>75</v>
      </c>
    </row>
    <row r="19">
      <c r="A19" s="5">
        <v>18.0</v>
      </c>
      <c r="B19" s="5">
        <f>PasteHashtag!B19</f>
        <v>24.3</v>
      </c>
      <c r="C19" s="177" t="str">
        <f>PasteHashtag!C19</f>
        <v>Damian Lillard</v>
      </c>
      <c r="D19" s="5" t="str">
        <f>PasteHashtag!D19</f>
        <v>PG</v>
      </c>
      <c r="E19" s="5" t="str">
        <f>PasteHashtag!E19</f>
        <v>MIL</v>
      </c>
      <c r="F19" s="5">
        <f>PasteHashtag!F19</f>
        <v>70</v>
      </c>
      <c r="G19" s="5">
        <f>PasteHashtag!G19</f>
        <v>35.2</v>
      </c>
      <c r="H19" s="5">
        <f>MID(PasteHashtag!H19,1+FIND("(",PasteHashtag!H19),FIND("/",PasteHashtag!H19)-FIND("(",PasteHashtag!H19)-1)*1</f>
        <v>7.7</v>
      </c>
      <c r="I19" s="5">
        <f>LEFT(PasteHashtag!H19,FIND("(",PasteHashtag!H19)-1)*1</f>
        <v>0.432</v>
      </c>
      <c r="J19" s="5">
        <f>MID(PasteHashtag!I19,1+FIND("(",PasteHashtag!I19),FIND("/",PasteHashtag!I19)-FIND("(",PasteHashtag!I19)-1)*1</f>
        <v>6.5</v>
      </c>
      <c r="K19" s="5">
        <f>LEFT(PasteHashtag!I19,FIND("(",PasteHashtag!I19)-1)*1</f>
        <v>0.918</v>
      </c>
      <c r="L19" s="5">
        <f>PasteHashtag!J19</f>
        <v>3.1</v>
      </c>
      <c r="M19" s="5">
        <f>PasteHashtag!K19</f>
        <v>24.9</v>
      </c>
      <c r="N19" s="5">
        <f>PasteHashtag!L19</f>
        <v>4.5</v>
      </c>
      <c r="O19" s="5">
        <f>PasteHashtag!M19</f>
        <v>7.1</v>
      </c>
      <c r="P19" s="5">
        <f>PasteHashtag!N19</f>
        <v>0.9</v>
      </c>
      <c r="Q19" s="5">
        <f>PasteHashtag!O19</f>
        <v>0.3</v>
      </c>
      <c r="R19" s="5">
        <f>PasteHashtag!P19</f>
        <v>2.9</v>
      </c>
      <c r="S19" s="5">
        <f>Mid(PasteHashtag!H19,FIND("/",PasteHashtag!H19)+1,LEN(PasteHashtag!H19)-FIND("/",PasteHashtag!H19)-1)*1</f>
        <v>17.8</v>
      </c>
      <c r="T19" s="178">
        <f>Mid(PasteHashtag!I19,FIND("/",PasteHashtag!I19)+1,LEN(PasteHashtag!I19)-FIND("/",PasteHashtag!I19)-1)*1</f>
        <v>7</v>
      </c>
      <c r="U19" s="18"/>
      <c r="V19" s="182" t="s">
        <v>287</v>
      </c>
      <c r="W19" s="183">
        <v>4.0</v>
      </c>
      <c r="X19" s="15">
        <v>3.0</v>
      </c>
      <c r="Y19" s="15">
        <v>4.0</v>
      </c>
      <c r="Z19" s="15">
        <v>11.0</v>
      </c>
      <c r="AB19" s="15" t="s">
        <v>138</v>
      </c>
    </row>
    <row r="20">
      <c r="A20" s="5">
        <v>19.0</v>
      </c>
      <c r="B20" s="5">
        <f>PasteHashtag!B20</f>
        <v>20</v>
      </c>
      <c r="C20" s="177" t="str">
        <f>PasteHashtag!C20</f>
        <v>Devin Booker</v>
      </c>
      <c r="D20" s="5" t="str">
        <f>PasteHashtag!D20</f>
        <v>PG,SG</v>
      </c>
      <c r="E20" s="5" t="str">
        <f>PasteHashtag!E20</f>
        <v>PHO</v>
      </c>
      <c r="F20" s="5">
        <f>PasteHashtag!F20</f>
        <v>68</v>
      </c>
      <c r="G20" s="5">
        <f>PasteHashtag!G20</f>
        <v>35.1</v>
      </c>
      <c r="H20" s="5">
        <f>MID(PasteHashtag!H20,1+FIND("(",PasteHashtag!H20),FIND("/",PasteHashtag!H20)-FIND("(",PasteHashtag!H20)-1)*1</f>
        <v>9.9</v>
      </c>
      <c r="I20" s="5">
        <f>LEFT(PasteHashtag!H20,FIND("(",PasteHashtag!H20)-1)*1</f>
        <v>0.49</v>
      </c>
      <c r="J20" s="5">
        <f>MID(PasteHashtag!I20,1+FIND("(",PasteHashtag!I20),FIND("/",PasteHashtag!I20)-FIND("(",PasteHashtag!I20)-1)*1</f>
        <v>5.9</v>
      </c>
      <c r="K20" s="5">
        <f>LEFT(PasteHashtag!I20,FIND("(",PasteHashtag!I20)-1)*1</f>
        <v>0.873</v>
      </c>
      <c r="L20" s="5">
        <f>PasteHashtag!J20</f>
        <v>2.2</v>
      </c>
      <c r="M20" s="5">
        <f>PasteHashtag!K20</f>
        <v>27.8</v>
      </c>
      <c r="N20" s="5">
        <f>PasteHashtag!L20</f>
        <v>4.5</v>
      </c>
      <c r="O20" s="5">
        <f>PasteHashtag!M20</f>
        <v>5.5</v>
      </c>
      <c r="P20" s="5">
        <f>PasteHashtag!N20</f>
        <v>1</v>
      </c>
      <c r="Q20" s="5">
        <f>PasteHashtag!O20</f>
        <v>0.4</v>
      </c>
      <c r="R20" s="5">
        <f>PasteHashtag!P20</f>
        <v>2.7</v>
      </c>
      <c r="S20" s="5">
        <f>Mid(PasteHashtag!H20,FIND("/",PasteHashtag!H20)+1,LEN(PasteHashtag!H20)-FIND("/",PasteHashtag!H20)-1)*1</f>
        <v>20.1</v>
      </c>
      <c r="T20" s="178">
        <f>Mid(PasteHashtag!I20,FIND("/",PasteHashtag!I20)+1,LEN(PasteHashtag!I20)-FIND("/",PasteHashtag!I20)-1)*1</f>
        <v>6.8</v>
      </c>
      <c r="U20" s="18"/>
      <c r="V20" s="182" t="s">
        <v>168</v>
      </c>
      <c r="W20" s="183">
        <v>4.0</v>
      </c>
      <c r="X20" s="15">
        <v>3.0</v>
      </c>
      <c r="Y20" s="15">
        <v>4.0</v>
      </c>
      <c r="Z20" s="15">
        <v>11.0</v>
      </c>
      <c r="AB20" s="15" t="s">
        <v>85</v>
      </c>
    </row>
    <row r="21">
      <c r="A21" s="5">
        <v>20.0</v>
      </c>
      <c r="B21" s="5">
        <f>PasteHashtag!B21</f>
        <v>22.3</v>
      </c>
      <c r="C21" s="177" t="str">
        <f>PasteHashtag!C21</f>
        <v>LaMelo Ball</v>
      </c>
      <c r="D21" s="5" t="str">
        <f>PasteHashtag!D21</f>
        <v>PG,SG</v>
      </c>
      <c r="E21" s="5" t="str">
        <f>PasteHashtag!E21</f>
        <v>CHA</v>
      </c>
      <c r="F21" s="5">
        <f>PasteHashtag!F21</f>
        <v>58</v>
      </c>
      <c r="G21" s="5">
        <f>PasteHashtag!G21</f>
        <v>32.4</v>
      </c>
      <c r="H21" s="5">
        <f>MID(PasteHashtag!H21,1+FIND("(",PasteHashtag!H21),FIND("/",PasteHashtag!H21)-FIND("(",PasteHashtag!H21)-1)*1</f>
        <v>8.2</v>
      </c>
      <c r="I21" s="5">
        <f>LEFT(PasteHashtag!H21,FIND("(",PasteHashtag!H21)-1)*1</f>
        <v>0.427</v>
      </c>
      <c r="J21" s="5">
        <f>MID(PasteHashtag!I21,1+FIND("(",PasteHashtag!I21),FIND("/",PasteHashtag!I21)-FIND("(",PasteHashtag!I21)-1)*1</f>
        <v>3.2</v>
      </c>
      <c r="K21" s="5">
        <f>LEFT(PasteHashtag!I21,FIND("(",PasteHashtag!I21)-1)*1</f>
        <v>0.857</v>
      </c>
      <c r="L21" s="5">
        <f>PasteHashtag!J21</f>
        <v>3.6</v>
      </c>
      <c r="M21" s="5">
        <f>PasteHashtag!K21</f>
        <v>23.2</v>
      </c>
      <c r="N21" s="5">
        <f>PasteHashtag!L21</f>
        <v>5.7</v>
      </c>
      <c r="O21" s="5">
        <f>PasteHashtag!M21</f>
        <v>8.6</v>
      </c>
      <c r="P21" s="5">
        <f>PasteHashtag!N21</f>
        <v>1.6</v>
      </c>
      <c r="Q21" s="5">
        <f>PasteHashtag!O21</f>
        <v>0.3</v>
      </c>
      <c r="R21" s="5">
        <f>PasteHashtag!P21</f>
        <v>3.5</v>
      </c>
      <c r="S21" s="5">
        <f>Mid(PasteHashtag!H21,FIND("/",PasteHashtag!H21)+1,LEN(PasteHashtag!H21)-FIND("/",PasteHashtag!H21)-1)*1</f>
        <v>19.2</v>
      </c>
      <c r="T21" s="178">
        <f>Mid(PasteHashtag!I21,FIND("/",PasteHashtag!I21)+1,LEN(PasteHashtag!I21)-FIND("/",PasteHashtag!I21)-1)*1</f>
        <v>3.7</v>
      </c>
      <c r="U21" s="18"/>
      <c r="V21" s="182" t="s">
        <v>35</v>
      </c>
      <c r="W21" s="183">
        <v>3.0</v>
      </c>
      <c r="X21" s="15">
        <v>4.0</v>
      </c>
      <c r="Y21" s="15">
        <v>4.0</v>
      </c>
      <c r="Z21" s="15">
        <v>11.0</v>
      </c>
      <c r="AB21" s="15" t="s">
        <v>129</v>
      </c>
    </row>
    <row r="22">
      <c r="A22" s="5">
        <v>21.0</v>
      </c>
      <c r="B22" s="5">
        <f>PasteHashtag!B22</f>
        <v>22.1</v>
      </c>
      <c r="C22" s="177" t="str">
        <f>PasteHashtag!C22</f>
        <v>Karl-Anthony Towns</v>
      </c>
      <c r="D22" s="5" t="str">
        <f>PasteHashtag!D22</f>
        <v>PF,C</v>
      </c>
      <c r="E22" s="5" t="str">
        <f>PasteHashtag!E22</f>
        <v>NY</v>
      </c>
      <c r="F22" s="5">
        <f>PasteHashtag!F22</f>
        <v>67</v>
      </c>
      <c r="G22" s="5">
        <f>PasteHashtag!G22</f>
        <v>33.7</v>
      </c>
      <c r="H22" s="5">
        <f>MID(PasteHashtag!H22,1+FIND("(",PasteHashtag!H22),FIND("/",PasteHashtag!H22)-FIND("(",PasteHashtag!H22)-1)*1</f>
        <v>7.4</v>
      </c>
      <c r="I22" s="5">
        <f>LEFT(PasteHashtag!H22,FIND("(",PasteHashtag!H22)-1)*1</f>
        <v>0.501</v>
      </c>
      <c r="J22" s="5">
        <f>MID(PasteHashtag!I22,1+FIND("(",PasteHashtag!I22),FIND("/",PasteHashtag!I22)-FIND("(",PasteHashtag!I22)-1)*1</f>
        <v>4.4</v>
      </c>
      <c r="K22" s="5">
        <f>LEFT(PasteHashtag!I22,FIND("(",PasteHashtag!I22)-1)*1</f>
        <v>0.873</v>
      </c>
      <c r="L22" s="5">
        <f>PasteHashtag!J22</f>
        <v>2.2</v>
      </c>
      <c r="M22" s="5">
        <f>PasteHashtag!K22</f>
        <v>21.4</v>
      </c>
      <c r="N22" s="5">
        <f>PasteHashtag!L22</f>
        <v>9.5</v>
      </c>
      <c r="O22" s="5">
        <f>PasteHashtag!M22</f>
        <v>3.3</v>
      </c>
      <c r="P22" s="5">
        <f>PasteHashtag!N22</f>
        <v>0.7</v>
      </c>
      <c r="Q22" s="5">
        <f>PasteHashtag!O22</f>
        <v>1</v>
      </c>
      <c r="R22" s="5">
        <f>PasteHashtag!P22</f>
        <v>2.9</v>
      </c>
      <c r="S22" s="5">
        <f>Mid(PasteHashtag!H22,FIND("/",PasteHashtag!H22)+1,LEN(PasteHashtag!H22)-FIND("/",PasteHashtag!H22)-1)*1</f>
        <v>14.8</v>
      </c>
      <c r="T22" s="178">
        <f>Mid(PasteHashtag!I22,FIND("/",PasteHashtag!I22)+1,LEN(PasteHashtag!I22)-FIND("/",PasteHashtag!I22)-1)*1</f>
        <v>5.1</v>
      </c>
      <c r="U22" s="18"/>
      <c r="V22" s="182" t="s">
        <v>312</v>
      </c>
      <c r="W22" s="183">
        <v>3.0</v>
      </c>
      <c r="X22" s="15">
        <v>5.0</v>
      </c>
      <c r="Y22" s="15">
        <v>3.0</v>
      </c>
      <c r="Z22" s="15">
        <v>11.0</v>
      </c>
      <c r="AB22" s="15" t="s">
        <v>160</v>
      </c>
    </row>
    <row r="23">
      <c r="A23" s="5">
        <v>22.0</v>
      </c>
      <c r="B23" s="5">
        <f>PasteHashtag!B23</f>
        <v>14.6</v>
      </c>
      <c r="C23" s="177" t="str">
        <f>PasteHashtag!C23</f>
        <v>Domantas Sabonis</v>
      </c>
      <c r="D23" s="5" t="str">
        <f>PasteHashtag!D23</f>
        <v>C</v>
      </c>
      <c r="E23" s="5" t="str">
        <f>PasteHashtag!E23</f>
        <v>SAC</v>
      </c>
      <c r="F23" s="5">
        <f>PasteHashtag!F23</f>
        <v>77</v>
      </c>
      <c r="G23" s="5">
        <f>PasteHashtag!G23</f>
        <v>35.6</v>
      </c>
      <c r="H23" s="5">
        <f>MID(PasteHashtag!H23,1+FIND("(",PasteHashtag!H23),FIND("/",PasteHashtag!H23)-FIND("(",PasteHashtag!H23)-1)*1</f>
        <v>7.2</v>
      </c>
      <c r="I23" s="5">
        <f>LEFT(PasteHashtag!H23,FIND("(",PasteHashtag!H23)-1)*1</f>
        <v>0.6</v>
      </c>
      <c r="J23" s="5">
        <f>MID(PasteHashtag!I23,1+FIND("(",PasteHashtag!I23),FIND("/",PasteHashtag!I23)-FIND("(",PasteHashtag!I23)-1)*1</f>
        <v>3.9</v>
      </c>
      <c r="K23" s="5">
        <f>LEFT(PasteHashtag!I23,FIND("(",PasteHashtag!I23)-1)*1</f>
        <v>0.725</v>
      </c>
      <c r="L23" s="5">
        <f>PasteHashtag!J23</f>
        <v>0.4</v>
      </c>
      <c r="M23" s="5">
        <f>PasteHashtag!K23</f>
        <v>18.8</v>
      </c>
      <c r="N23" s="5">
        <f>PasteHashtag!L23</f>
        <v>13.2</v>
      </c>
      <c r="O23" s="5">
        <f>PasteHashtag!M23</f>
        <v>7.9</v>
      </c>
      <c r="P23" s="5">
        <f>PasteHashtag!N23</f>
        <v>0.9</v>
      </c>
      <c r="Q23" s="5">
        <f>PasteHashtag!O23</f>
        <v>0.6</v>
      </c>
      <c r="R23" s="5">
        <f>PasteHashtag!P23</f>
        <v>3.2</v>
      </c>
      <c r="S23" s="5">
        <f>Mid(PasteHashtag!H23,FIND("/",PasteHashtag!H23)+1,LEN(PasteHashtag!H23)-FIND("/",PasteHashtag!H23)-1)*1</f>
        <v>12.1</v>
      </c>
      <c r="T23" s="178">
        <f>Mid(PasteHashtag!I23,FIND("/",PasteHashtag!I23)+1,LEN(PasteHashtag!I23)-FIND("/",PasteHashtag!I23)-1)*1</f>
        <v>5.4</v>
      </c>
      <c r="U23" s="18"/>
      <c r="V23" s="182" t="s">
        <v>99</v>
      </c>
      <c r="W23" s="183">
        <v>3.0</v>
      </c>
      <c r="X23" s="15">
        <v>4.0</v>
      </c>
      <c r="Y23" s="15">
        <v>3.0</v>
      </c>
      <c r="Z23" s="15">
        <v>10.0</v>
      </c>
      <c r="AB23" s="15" t="s">
        <v>168</v>
      </c>
    </row>
    <row r="24">
      <c r="A24" s="5">
        <v>23.0</v>
      </c>
      <c r="B24" s="5">
        <f>PasteHashtag!B24</f>
        <v>30.1</v>
      </c>
      <c r="C24" s="177" t="str">
        <f>PasteHashtag!C24</f>
        <v>Lauri Markkanen</v>
      </c>
      <c r="D24" s="5" t="str">
        <f>PasteHashtag!D24</f>
        <v>SF,PF</v>
      </c>
      <c r="E24" s="5" t="str">
        <f>PasteHashtag!E24</f>
        <v>UTA</v>
      </c>
      <c r="F24" s="5">
        <f>PasteHashtag!F24</f>
        <v>64</v>
      </c>
      <c r="G24" s="5">
        <f>PasteHashtag!G24</f>
        <v>33.5</v>
      </c>
      <c r="H24" s="5">
        <f>MID(PasteHashtag!H24,1+FIND("(",PasteHashtag!H24),FIND("/",PasteHashtag!H24)-FIND("(",PasteHashtag!H24)-1)*1</f>
        <v>8.3</v>
      </c>
      <c r="I24" s="5">
        <f>LEFT(PasteHashtag!H24,FIND("(",PasteHashtag!H24)-1)*1</f>
        <v>0.483</v>
      </c>
      <c r="J24" s="5">
        <f>MID(PasteHashtag!I24,1+FIND("(",PasteHashtag!I24),FIND("/",PasteHashtag!I24)-FIND("(",PasteHashtag!I24)-1)*1</f>
        <v>4.9</v>
      </c>
      <c r="K24" s="5">
        <f>LEFT(PasteHashtag!I24,FIND("(",PasteHashtag!I24)-1)*1</f>
        <v>0.884</v>
      </c>
      <c r="L24" s="5">
        <f>PasteHashtag!J24</f>
        <v>3.1</v>
      </c>
      <c r="M24" s="5">
        <f>PasteHashtag!K24</f>
        <v>24.5</v>
      </c>
      <c r="N24" s="5">
        <f>PasteHashtag!L24</f>
        <v>8.4</v>
      </c>
      <c r="O24" s="5">
        <f>PasteHashtag!M24</f>
        <v>1.9</v>
      </c>
      <c r="P24" s="5">
        <f>PasteHashtag!N24</f>
        <v>0.8</v>
      </c>
      <c r="Q24" s="5">
        <f>PasteHashtag!O24</f>
        <v>0.5</v>
      </c>
      <c r="R24" s="5">
        <f>PasteHashtag!P24</f>
        <v>1.7</v>
      </c>
      <c r="S24" s="5">
        <f>Mid(PasteHashtag!H24,FIND("/",PasteHashtag!H24)+1,LEN(PasteHashtag!H24)-FIND("/",PasteHashtag!H24)-1)*1</f>
        <v>17.1</v>
      </c>
      <c r="T24" s="178">
        <f>Mid(PasteHashtag!I24,FIND("/",PasteHashtag!I24)+1,LEN(PasteHashtag!I24)-FIND("/",PasteHashtag!I24)-1)*1</f>
        <v>5.6</v>
      </c>
      <c r="U24" s="18"/>
      <c r="V24" s="182" t="s">
        <v>271</v>
      </c>
      <c r="W24" s="183">
        <v>2.0</v>
      </c>
      <c r="X24" s="15">
        <v>4.0</v>
      </c>
      <c r="Y24" s="15">
        <v>4.0</v>
      </c>
      <c r="Z24" s="15">
        <v>10.0</v>
      </c>
      <c r="AB24" s="15" t="s">
        <v>164</v>
      </c>
    </row>
    <row r="25">
      <c r="A25" s="5">
        <v>24.0</v>
      </c>
      <c r="B25" s="5">
        <f>PasteHashtag!B25</f>
        <v>17.6</v>
      </c>
      <c r="C25" s="177" t="str">
        <f>PasteHashtag!C25</f>
        <v>Chet Holmgren</v>
      </c>
      <c r="D25" s="5" t="str">
        <f>PasteHashtag!D25</f>
        <v>PF,C</v>
      </c>
      <c r="E25" s="5" t="str">
        <f>PasteHashtag!E25</f>
        <v>OKC</v>
      </c>
      <c r="F25" s="5">
        <f>PasteHashtag!F25</f>
        <v>75</v>
      </c>
      <c r="G25" s="5">
        <f>PasteHashtag!G25</f>
        <v>30.6</v>
      </c>
      <c r="H25" s="5">
        <f>MID(PasteHashtag!H25,1+FIND("(",PasteHashtag!H25),FIND("/",PasteHashtag!H25)-FIND("(",PasteHashtag!H25)-1)*1</f>
        <v>6.5</v>
      </c>
      <c r="I25" s="5">
        <f>LEFT(PasteHashtag!H25,FIND("(",PasteHashtag!H25)-1)*1</f>
        <v>0.53</v>
      </c>
      <c r="J25" s="5">
        <f>MID(PasteHashtag!I25,1+FIND("(",PasteHashtag!I25),FIND("/",PasteHashtag!I25)-FIND("(",PasteHashtag!I25)-1)*1</f>
        <v>2.8</v>
      </c>
      <c r="K25" s="5">
        <f>LEFT(PasteHashtag!I25,FIND("(",PasteHashtag!I25)-1)*1</f>
        <v>0.793</v>
      </c>
      <c r="L25" s="5">
        <f>PasteHashtag!J25</f>
        <v>1.7</v>
      </c>
      <c r="M25" s="5">
        <f>PasteHashtag!K25</f>
        <v>17.4</v>
      </c>
      <c r="N25" s="5">
        <f>PasteHashtag!L25</f>
        <v>8.1</v>
      </c>
      <c r="O25" s="5">
        <f>PasteHashtag!M25</f>
        <v>2.6</v>
      </c>
      <c r="P25" s="5">
        <f>PasteHashtag!N25</f>
        <v>0.7</v>
      </c>
      <c r="Q25" s="5">
        <f>PasteHashtag!O25</f>
        <v>2.3</v>
      </c>
      <c r="R25" s="5">
        <f>PasteHashtag!P25</f>
        <v>1.7</v>
      </c>
      <c r="S25" s="5">
        <f>Mid(PasteHashtag!H25,FIND("/",PasteHashtag!H25)+1,LEN(PasteHashtag!H25)-FIND("/",PasteHashtag!H25)-1)*1</f>
        <v>12.2</v>
      </c>
      <c r="T25" s="178">
        <f>Mid(PasteHashtag!I25,FIND("/",PasteHashtag!I25)+1,LEN(PasteHashtag!I25)-FIND("/",PasteHashtag!I25)-1)*1</f>
        <v>3.5</v>
      </c>
      <c r="U25" s="18"/>
      <c r="V25" s="182" t="s">
        <v>68</v>
      </c>
      <c r="W25" s="183">
        <v>4.0</v>
      </c>
      <c r="X25" s="15">
        <v>4.0</v>
      </c>
      <c r="Y25" s="15">
        <v>2.0</v>
      </c>
      <c r="Z25" s="15">
        <v>10.0</v>
      </c>
      <c r="AB25" s="15" t="s">
        <v>172</v>
      </c>
    </row>
    <row r="26">
      <c r="A26" s="5">
        <v>25.0</v>
      </c>
      <c r="B26" s="5">
        <f>PasteHashtag!B26</f>
        <v>19.1</v>
      </c>
      <c r="C26" s="177" t="str">
        <f>PasteHashtag!C26</f>
        <v>Jalen Brunson</v>
      </c>
      <c r="D26" s="5" t="str">
        <f>PasteHashtag!D26</f>
        <v>PG</v>
      </c>
      <c r="E26" s="5" t="str">
        <f>PasteHashtag!E26</f>
        <v>NY</v>
      </c>
      <c r="F26" s="5">
        <f>PasteHashtag!F26</f>
        <v>74</v>
      </c>
      <c r="G26" s="5">
        <f>PasteHashtag!G26</f>
        <v>34.9</v>
      </c>
      <c r="H26" s="5">
        <f>MID(PasteHashtag!H26,1+FIND("(",PasteHashtag!H26),FIND("/",PasteHashtag!H26)-FIND("(",PasteHashtag!H26)-1)*1</f>
        <v>9.8</v>
      </c>
      <c r="I26" s="5">
        <f>LEFT(PasteHashtag!H26,FIND("(",PasteHashtag!H26)-1)*1</f>
        <v>0.484</v>
      </c>
      <c r="J26" s="5">
        <f>MID(PasteHashtag!I26,1+FIND("(",PasteHashtag!I26),FIND("/",PasteHashtag!I26)-FIND("(",PasteHashtag!I26)-1)*1</f>
        <v>5.3</v>
      </c>
      <c r="K26" s="5">
        <f>LEFT(PasteHashtag!I26,FIND("(",PasteHashtag!I26)-1)*1</f>
        <v>0.839</v>
      </c>
      <c r="L26" s="5">
        <f>PasteHashtag!J26</f>
        <v>2.7</v>
      </c>
      <c r="M26" s="5">
        <f>PasteHashtag!K26</f>
        <v>27.7</v>
      </c>
      <c r="N26" s="5">
        <f>PasteHashtag!L26</f>
        <v>3.7</v>
      </c>
      <c r="O26" s="5">
        <f>PasteHashtag!M26</f>
        <v>7</v>
      </c>
      <c r="P26" s="5">
        <f>PasteHashtag!N26</f>
        <v>0.9</v>
      </c>
      <c r="Q26" s="5">
        <f>PasteHashtag!O26</f>
        <v>0.2</v>
      </c>
      <c r="R26" s="5">
        <f>PasteHashtag!P26</f>
        <v>2.3</v>
      </c>
      <c r="S26" s="5">
        <f>Mid(PasteHashtag!H26,FIND("/",PasteHashtag!H26)+1,LEN(PasteHashtag!H26)-FIND("/",PasteHashtag!H26)-1)*1</f>
        <v>20.3</v>
      </c>
      <c r="T26" s="178">
        <f>Mid(PasteHashtag!I26,FIND("/",PasteHashtag!I26)+1,LEN(PasteHashtag!I26)-FIND("/",PasteHashtag!I26)-1)*1</f>
        <v>6.4</v>
      </c>
      <c r="U26" s="18"/>
      <c r="V26" s="182" t="s">
        <v>75</v>
      </c>
      <c r="W26" s="183">
        <v>3.0</v>
      </c>
      <c r="X26" s="15">
        <v>4.0</v>
      </c>
      <c r="Y26" s="15">
        <v>3.0</v>
      </c>
      <c r="Z26" s="15">
        <v>10.0</v>
      </c>
      <c r="AB26" s="15" t="s">
        <v>58</v>
      </c>
    </row>
    <row r="27">
      <c r="A27" s="5">
        <v>26.0</v>
      </c>
      <c r="B27" s="5">
        <f>PasteHashtag!B27</f>
        <v>10.1</v>
      </c>
      <c r="C27" s="177" t="str">
        <f>PasteHashtag!C27</f>
        <v>Anthony Edwards</v>
      </c>
      <c r="D27" s="5" t="str">
        <f>PasteHashtag!D27</f>
        <v>SG,SF</v>
      </c>
      <c r="E27" s="5" t="str">
        <f>PasteHashtag!E27</f>
        <v>MIN</v>
      </c>
      <c r="F27" s="5">
        <f>PasteHashtag!F27</f>
        <v>79</v>
      </c>
      <c r="G27" s="5">
        <f>PasteHashtag!G27</f>
        <v>35.4</v>
      </c>
      <c r="H27" s="5">
        <f>MID(PasteHashtag!H27,1+FIND("(",PasteHashtag!H27),FIND("/",PasteHashtag!H27)-FIND("(",PasteHashtag!H27)-1)*1</f>
        <v>9.3</v>
      </c>
      <c r="I27" s="5">
        <f>LEFT(PasteHashtag!H27,FIND("(",PasteHashtag!H27)-1)*1</f>
        <v>0.46</v>
      </c>
      <c r="J27" s="5">
        <f>MID(PasteHashtag!I27,1+FIND("(",PasteHashtag!I27),FIND("/",PasteHashtag!I27)-FIND("(",PasteHashtag!I27)-1)*1</f>
        <v>5</v>
      </c>
      <c r="K27" s="5">
        <f>LEFT(PasteHashtag!I27,FIND("(",PasteHashtag!I27)-1)*1</f>
        <v>0.823</v>
      </c>
      <c r="L27" s="5">
        <f>PasteHashtag!J27</f>
        <v>2.5</v>
      </c>
      <c r="M27" s="5">
        <f>PasteHashtag!K27</f>
        <v>26.2</v>
      </c>
      <c r="N27" s="5">
        <f>PasteHashtag!L27</f>
        <v>5.5</v>
      </c>
      <c r="O27" s="5">
        <f>PasteHashtag!M27</f>
        <v>5.2</v>
      </c>
      <c r="P27" s="5">
        <f>PasteHashtag!N27</f>
        <v>1.4</v>
      </c>
      <c r="Q27" s="5">
        <f>PasteHashtag!O27</f>
        <v>0.7</v>
      </c>
      <c r="R27" s="5">
        <f>PasteHashtag!P27</f>
        <v>3.1</v>
      </c>
      <c r="S27" s="5">
        <f>Mid(PasteHashtag!H27,FIND("/",PasteHashtag!H27)+1,LEN(PasteHashtag!H27)-FIND("/",PasteHashtag!H27)-1)*1</f>
        <v>20.3</v>
      </c>
      <c r="T27" s="178">
        <f>Mid(PasteHashtag!I27,FIND("/",PasteHashtag!I27)+1,LEN(PasteHashtag!I27)-FIND("/",PasteHashtag!I27)-1)*1</f>
        <v>6.1</v>
      </c>
      <c r="U27" s="18"/>
      <c r="V27" s="182" t="s">
        <v>183</v>
      </c>
      <c r="W27" s="183">
        <v>4.0</v>
      </c>
      <c r="X27" s="15">
        <v>3.0</v>
      </c>
      <c r="Y27" s="15">
        <v>3.0</v>
      </c>
      <c r="Z27" s="15">
        <v>10.0</v>
      </c>
      <c r="AB27" s="15" t="s">
        <v>103</v>
      </c>
    </row>
    <row r="28">
      <c r="A28" s="5">
        <v>27.0</v>
      </c>
      <c r="B28" s="5">
        <f>PasteHashtag!B28</f>
        <v>32.1</v>
      </c>
      <c r="C28" s="177" t="str">
        <f>PasteHashtag!C28</f>
        <v>Paul George</v>
      </c>
      <c r="D28" s="5" t="str">
        <f>PasteHashtag!D28</f>
        <v>SG,SF,PF</v>
      </c>
      <c r="E28" s="5" t="str">
        <f>PasteHashtag!E28</f>
        <v>PHI</v>
      </c>
      <c r="F28" s="5">
        <f>PasteHashtag!F28</f>
        <v>60</v>
      </c>
      <c r="G28" s="5">
        <f>PasteHashtag!G28</f>
        <v>33</v>
      </c>
      <c r="H28" s="5">
        <f>MID(PasteHashtag!H28,1+FIND("(",PasteHashtag!H28),FIND("/",PasteHashtag!H28)-FIND("(",PasteHashtag!H28)-1)*1</f>
        <v>7.7</v>
      </c>
      <c r="I28" s="5">
        <f>LEFT(PasteHashtag!H28,FIND("(",PasteHashtag!H28)-1)*1</f>
        <v>0.465</v>
      </c>
      <c r="J28" s="5">
        <f>MID(PasteHashtag!I28,1+FIND("(",PasteHashtag!I28),FIND("/",PasteHashtag!I28)-FIND("(",PasteHashtag!I28)-1)*1</f>
        <v>3.8</v>
      </c>
      <c r="K28" s="5">
        <f>LEFT(PasteHashtag!I28,FIND("(",PasteHashtag!I28)-1)*1</f>
        <v>0.889</v>
      </c>
      <c r="L28" s="5">
        <f>PasteHashtag!J28</f>
        <v>3</v>
      </c>
      <c r="M28" s="5">
        <f>PasteHashtag!K28</f>
        <v>22.1</v>
      </c>
      <c r="N28" s="5">
        <f>PasteHashtag!L28</f>
        <v>5</v>
      </c>
      <c r="O28" s="5">
        <f>PasteHashtag!M28</f>
        <v>3.4</v>
      </c>
      <c r="P28" s="5">
        <f>PasteHashtag!N28</f>
        <v>1.4</v>
      </c>
      <c r="Q28" s="5">
        <f>PasteHashtag!O28</f>
        <v>0.4</v>
      </c>
      <c r="R28" s="5">
        <f>PasteHashtag!P28</f>
        <v>2.4</v>
      </c>
      <c r="S28" s="5">
        <f>Mid(PasteHashtag!H28,FIND("/",PasteHashtag!H28)+1,LEN(PasteHashtag!H28)-FIND("/",PasteHashtag!H28)-1)*1</f>
        <v>16.5</v>
      </c>
      <c r="T28" s="178">
        <f>Mid(PasteHashtag!I28,FIND("/",PasteHashtag!I28)+1,LEN(PasteHashtag!I28)-FIND("/",PasteHashtag!I28)-1)*1</f>
        <v>4.3</v>
      </c>
      <c r="U28" s="18"/>
      <c r="V28" s="182" t="s">
        <v>237</v>
      </c>
      <c r="W28" s="183">
        <v>4.0</v>
      </c>
      <c r="X28" s="15">
        <v>2.0</v>
      </c>
      <c r="Y28" s="15">
        <v>4.0</v>
      </c>
      <c r="Z28" s="15">
        <v>10.0</v>
      </c>
      <c r="AB28" s="15" t="s">
        <v>164</v>
      </c>
    </row>
    <row r="29">
      <c r="A29" s="5">
        <v>28.0</v>
      </c>
      <c r="B29" s="5">
        <f>PasteHashtag!B29</f>
        <v>36</v>
      </c>
      <c r="C29" s="177" t="str">
        <f>PasteHashtag!C29</f>
        <v>Jalen Williams</v>
      </c>
      <c r="D29" s="5" t="str">
        <f>PasteHashtag!D29</f>
        <v>SG,SF,PF</v>
      </c>
      <c r="E29" s="5" t="str">
        <f>PasteHashtag!E29</f>
        <v>OKC</v>
      </c>
      <c r="F29" s="5">
        <f>PasteHashtag!F29</f>
        <v>73</v>
      </c>
      <c r="G29" s="5">
        <f>PasteHashtag!G29</f>
        <v>32.2</v>
      </c>
      <c r="H29" s="5">
        <f>MID(PasteHashtag!H29,1+FIND("(",PasteHashtag!H29),FIND("/",PasteHashtag!H29)-FIND("(",PasteHashtag!H29)-1)*1</f>
        <v>7.8</v>
      </c>
      <c r="I29" s="5">
        <f>LEFT(PasteHashtag!H29,FIND("(",PasteHashtag!H29)-1)*1</f>
        <v>0.536</v>
      </c>
      <c r="J29" s="5">
        <f>MID(PasteHashtag!I29,1+FIND("(",PasteHashtag!I29),FIND("/",PasteHashtag!I29)-FIND("(",PasteHashtag!I29)-1)*1</f>
        <v>2.8</v>
      </c>
      <c r="K29" s="5">
        <f>LEFT(PasteHashtag!I29,FIND("(",PasteHashtag!I29)-1)*1</f>
        <v>0.822</v>
      </c>
      <c r="L29" s="5">
        <f>PasteHashtag!J29</f>
        <v>1.7</v>
      </c>
      <c r="M29" s="5">
        <f>PasteHashtag!K29</f>
        <v>20</v>
      </c>
      <c r="N29" s="5">
        <f>PasteHashtag!L29</f>
        <v>4.6</v>
      </c>
      <c r="O29" s="5">
        <f>PasteHashtag!M29</f>
        <v>4.9</v>
      </c>
      <c r="P29" s="5">
        <f>PasteHashtag!N29</f>
        <v>1.2</v>
      </c>
      <c r="Q29" s="5">
        <f>PasteHashtag!O29</f>
        <v>0.6</v>
      </c>
      <c r="R29" s="5">
        <f>PasteHashtag!P29</f>
        <v>1.8</v>
      </c>
      <c r="S29" s="5">
        <f>Mid(PasteHashtag!H29,FIND("/",PasteHashtag!H29)+1,LEN(PasteHashtag!H29)-FIND("/",PasteHashtag!H29)-1)*1</f>
        <v>14.5</v>
      </c>
      <c r="T29" s="178">
        <f>Mid(PasteHashtag!I29,FIND("/",PasteHashtag!I29)+1,LEN(PasteHashtag!I29)-FIND("/",PasteHashtag!I29)-1)*1</f>
        <v>3.4</v>
      </c>
      <c r="U29" s="18"/>
      <c r="V29" s="182" t="s">
        <v>164</v>
      </c>
      <c r="W29" s="183">
        <v>3.0</v>
      </c>
      <c r="X29" s="15">
        <v>3.0</v>
      </c>
      <c r="Y29" s="15">
        <v>4.0</v>
      </c>
      <c r="Z29" s="15">
        <v>10.0</v>
      </c>
      <c r="AB29" s="15" t="s">
        <v>81</v>
      </c>
    </row>
    <row r="30">
      <c r="A30" s="5">
        <v>29.0</v>
      </c>
      <c r="B30" s="5">
        <f>PasteHashtag!B30</f>
        <v>46</v>
      </c>
      <c r="C30" s="177" t="str">
        <f>PasteHashtag!C30</f>
        <v>Jimmy Butler</v>
      </c>
      <c r="D30" s="5" t="str">
        <f>PasteHashtag!D30</f>
        <v>SF,PF</v>
      </c>
      <c r="E30" s="5" t="str">
        <f>PasteHashtag!E30</f>
        <v>MIA</v>
      </c>
      <c r="F30" s="5">
        <f>PasteHashtag!F30</f>
        <v>60</v>
      </c>
      <c r="G30" s="5">
        <f>PasteHashtag!G30</f>
        <v>33.1</v>
      </c>
      <c r="H30" s="5">
        <f>MID(PasteHashtag!H30,1+FIND("(",PasteHashtag!H30),FIND("/",PasteHashtag!H30)-FIND("(",PasteHashtag!H30)-1)*1</f>
        <v>6.5</v>
      </c>
      <c r="I30" s="5">
        <f>LEFT(PasteHashtag!H30,FIND("(",PasteHashtag!H30)-1)*1</f>
        <v>0.492</v>
      </c>
      <c r="J30" s="5">
        <f>MID(PasteHashtag!I30,1+FIND("(",PasteHashtag!I30),FIND("/",PasteHashtag!I30)-FIND("(",PasteHashtag!I30)-1)*1</f>
        <v>6.9</v>
      </c>
      <c r="K30" s="5">
        <f>LEFT(PasteHashtag!I30,FIND("(",PasteHashtag!I30)-1)*1</f>
        <v>0.855</v>
      </c>
      <c r="L30" s="5">
        <f>PasteHashtag!J30</f>
        <v>0.8</v>
      </c>
      <c r="M30" s="5">
        <f>PasteHashtag!K30</f>
        <v>20.7</v>
      </c>
      <c r="N30" s="5">
        <f>PasteHashtag!L30</f>
        <v>5.4</v>
      </c>
      <c r="O30" s="5">
        <f>PasteHashtag!M30</f>
        <v>5.1</v>
      </c>
      <c r="P30" s="5">
        <f>PasteHashtag!N30</f>
        <v>1.3</v>
      </c>
      <c r="Q30" s="5">
        <f>PasteHashtag!O30</f>
        <v>0.3</v>
      </c>
      <c r="R30" s="5">
        <f>PasteHashtag!P30</f>
        <v>1.6</v>
      </c>
      <c r="S30" s="5">
        <f>Mid(PasteHashtag!H30,FIND("/",PasteHashtag!H30)+1,LEN(PasteHashtag!H30)-FIND("/",PasteHashtag!H30)-1)*1</f>
        <v>13.2</v>
      </c>
      <c r="T30" s="178">
        <f>Mid(PasteHashtag!I30,FIND("/",PasteHashtag!I30)+1,LEN(PasteHashtag!I30)-FIND("/",PasteHashtag!I30)-1)*1</f>
        <v>8.1</v>
      </c>
      <c r="U30" s="18"/>
      <c r="V30" s="182" t="s">
        <v>129</v>
      </c>
      <c r="W30" s="183">
        <v>3.0</v>
      </c>
      <c r="X30" s="15">
        <v>4.0</v>
      </c>
      <c r="Y30" s="15">
        <v>3.0</v>
      </c>
      <c r="Z30" s="15">
        <v>10.0</v>
      </c>
      <c r="AB30" s="15" t="s">
        <v>183</v>
      </c>
    </row>
    <row r="31">
      <c r="A31" s="5">
        <v>30.0</v>
      </c>
      <c r="B31" s="5">
        <f>PasteHashtag!B31</f>
        <v>37.3</v>
      </c>
      <c r="C31" s="177" t="str">
        <f>PasteHashtag!C31</f>
        <v>Jaren Jackson Jr.</v>
      </c>
      <c r="D31" s="5" t="str">
        <f>PasteHashtag!D31</f>
        <v>PF,C</v>
      </c>
      <c r="E31" s="5" t="str">
        <f>PasteHashtag!E31</f>
        <v>MEM</v>
      </c>
      <c r="F31" s="5">
        <f>PasteHashtag!F31</f>
        <v>68</v>
      </c>
      <c r="G31" s="5">
        <f>PasteHashtag!G31</f>
        <v>31.2</v>
      </c>
      <c r="H31" s="5">
        <f>MID(PasteHashtag!H31,1+FIND("(",PasteHashtag!H31),FIND("/",PasteHashtag!H31)-FIND("(",PasteHashtag!H31)-1)*1</f>
        <v>7.5</v>
      </c>
      <c r="I31" s="5">
        <f>LEFT(PasteHashtag!H31,FIND("(",PasteHashtag!H31)-1)*1</f>
        <v>0.47</v>
      </c>
      <c r="J31" s="5">
        <f>MID(PasteHashtag!I31,1+FIND("(",PasteHashtag!I31),FIND("/",PasteHashtag!I31)-FIND("(",PasteHashtag!I31)-1)*1</f>
        <v>4.6</v>
      </c>
      <c r="K31" s="5">
        <f>LEFT(PasteHashtag!I31,FIND("(",PasteHashtag!I31)-1)*1</f>
        <v>0.8</v>
      </c>
      <c r="L31" s="5">
        <f>PasteHashtag!J31</f>
        <v>1.7</v>
      </c>
      <c r="M31" s="5">
        <f>PasteHashtag!K31</f>
        <v>21.3</v>
      </c>
      <c r="N31" s="5">
        <f>PasteHashtag!L31</f>
        <v>6.3</v>
      </c>
      <c r="O31" s="5">
        <f>PasteHashtag!M31</f>
        <v>1.7</v>
      </c>
      <c r="P31" s="5">
        <f>PasteHashtag!N31</f>
        <v>1.2</v>
      </c>
      <c r="Q31" s="5">
        <f>PasteHashtag!O31</f>
        <v>1.9</v>
      </c>
      <c r="R31" s="5">
        <f>PasteHashtag!P31</f>
        <v>2.1</v>
      </c>
      <c r="S31" s="5">
        <f>Mid(PasteHashtag!H31,FIND("/",PasteHashtag!H31)+1,LEN(PasteHashtag!H31)-FIND("/",PasteHashtag!H31)-1)*1</f>
        <v>15.9</v>
      </c>
      <c r="T31" s="178">
        <f>Mid(PasteHashtag!I31,FIND("/",PasteHashtag!I31)+1,LEN(PasteHashtag!I31)-FIND("/",PasteHashtag!I31)-1)*1</f>
        <v>5.8</v>
      </c>
      <c r="U31" s="18"/>
      <c r="V31" s="182" t="s">
        <v>138</v>
      </c>
      <c r="W31" s="183">
        <v>3.0</v>
      </c>
      <c r="X31" s="15">
        <v>4.0</v>
      </c>
      <c r="Y31" s="15">
        <v>3.0</v>
      </c>
      <c r="Z31" s="15">
        <v>10.0</v>
      </c>
      <c r="AB31" s="15" t="s">
        <v>193</v>
      </c>
    </row>
    <row r="32">
      <c r="A32" s="5">
        <v>31.0</v>
      </c>
      <c r="B32" s="5">
        <f>PasteHashtag!B32</f>
        <v>27.8</v>
      </c>
      <c r="C32" s="177" t="str">
        <f>PasteHashtag!C32</f>
        <v>Tyrese Maxey</v>
      </c>
      <c r="D32" s="5" t="str">
        <f>PasteHashtag!D32</f>
        <v>PG,SG</v>
      </c>
      <c r="E32" s="5" t="str">
        <f>PasteHashtag!E32</f>
        <v>PHI</v>
      </c>
      <c r="F32" s="5">
        <f>PasteHashtag!F32</f>
        <v>70</v>
      </c>
      <c r="G32" s="5">
        <f>PasteHashtag!G32</f>
        <v>36.2</v>
      </c>
      <c r="H32" s="5">
        <f>MID(PasteHashtag!H32,1+FIND("(",PasteHashtag!H32),FIND("/",PasteHashtag!H32)-FIND("(",PasteHashtag!H32)-1)*1</f>
        <v>8.7</v>
      </c>
      <c r="I32" s="5">
        <f>LEFT(PasteHashtag!H32,FIND("(",PasteHashtag!H32)-1)*1</f>
        <v>0.462</v>
      </c>
      <c r="J32" s="5">
        <f>MID(PasteHashtag!I32,1+FIND("(",PasteHashtag!I32),FIND("/",PasteHashtag!I32)-FIND("(",PasteHashtag!I32)-1)*1</f>
        <v>4.1</v>
      </c>
      <c r="K32" s="5">
        <f>LEFT(PasteHashtag!I32,FIND("(",PasteHashtag!I32)-1)*1</f>
        <v>0.859</v>
      </c>
      <c r="L32" s="5">
        <f>PasteHashtag!J32</f>
        <v>3</v>
      </c>
      <c r="M32" s="5">
        <f>PasteHashtag!K32</f>
        <v>24.4</v>
      </c>
      <c r="N32" s="5">
        <f>PasteHashtag!L32</f>
        <v>3.5</v>
      </c>
      <c r="O32" s="5">
        <f>PasteHashtag!M32</f>
        <v>5.9</v>
      </c>
      <c r="P32" s="5">
        <f>PasteHashtag!N32</f>
        <v>1</v>
      </c>
      <c r="Q32" s="5">
        <f>PasteHashtag!O32</f>
        <v>0.3</v>
      </c>
      <c r="R32" s="5">
        <f>PasteHashtag!P32</f>
        <v>1.6</v>
      </c>
      <c r="S32" s="5">
        <f>Mid(PasteHashtag!H32,FIND("/",PasteHashtag!H32)+1,LEN(PasteHashtag!H32)-FIND("/",PasteHashtag!H32)-1)*1</f>
        <v>18.8</v>
      </c>
      <c r="T32" s="178">
        <f>Mid(PasteHashtag!I32,FIND("/",PasteHashtag!I32)+1,LEN(PasteHashtag!I32)-FIND("/",PasteHashtag!I32)-1)*1</f>
        <v>4.8</v>
      </c>
      <c r="U32" s="18"/>
      <c r="V32" s="182" t="s">
        <v>264</v>
      </c>
      <c r="W32" s="183">
        <v>2.0</v>
      </c>
      <c r="X32" s="15">
        <v>4.0</v>
      </c>
      <c r="Y32" s="15">
        <v>3.0</v>
      </c>
      <c r="Z32" s="15">
        <v>9.0</v>
      </c>
      <c r="AB32" s="15" t="s">
        <v>204</v>
      </c>
    </row>
    <row r="33">
      <c r="A33" s="5">
        <v>32.0</v>
      </c>
      <c r="B33" s="5">
        <f>PasteHashtag!B33</f>
        <v>38.4</v>
      </c>
      <c r="C33" s="177" t="str">
        <f>PasteHashtag!C33</f>
        <v>Fred VanVleet</v>
      </c>
      <c r="D33" s="5" t="str">
        <f>PasteHashtag!D33</f>
        <v>PG</v>
      </c>
      <c r="E33" s="5" t="str">
        <f>PasteHashtag!E33</f>
        <v>HOU</v>
      </c>
      <c r="F33" s="5">
        <f>PasteHashtag!F33</f>
        <v>70</v>
      </c>
      <c r="G33" s="5">
        <f>PasteHashtag!G33</f>
        <v>36</v>
      </c>
      <c r="H33" s="5">
        <f>MID(PasteHashtag!H33,1+FIND("(",PasteHashtag!H33),FIND("/",PasteHashtag!H33)-FIND("(",PasteHashtag!H33)-1)*1</f>
        <v>5.7</v>
      </c>
      <c r="I33" s="5">
        <f>LEFT(PasteHashtag!H33,FIND("(",PasteHashtag!H33)-1)*1</f>
        <v>0.406</v>
      </c>
      <c r="J33" s="5">
        <f>MID(PasteHashtag!I33,1+FIND("(",PasteHashtag!I33),FIND("/",PasteHashtag!I33)-FIND("(",PasteHashtag!I33)-1)*1</f>
        <v>3</v>
      </c>
      <c r="K33" s="5">
        <f>LEFT(PasteHashtag!I33,FIND("(",PasteHashtag!I33)-1)*1</f>
        <v>0.874</v>
      </c>
      <c r="L33" s="5">
        <f>PasteHashtag!J33</f>
        <v>2.9</v>
      </c>
      <c r="M33" s="5">
        <f>PasteHashtag!K33</f>
        <v>17.3</v>
      </c>
      <c r="N33" s="5">
        <f>PasteHashtag!L33</f>
        <v>3.7</v>
      </c>
      <c r="O33" s="5">
        <f>PasteHashtag!M33</f>
        <v>7.6</v>
      </c>
      <c r="P33" s="5">
        <f>PasteHashtag!N33</f>
        <v>1.4</v>
      </c>
      <c r="Q33" s="5">
        <f>PasteHashtag!O33</f>
        <v>0.7</v>
      </c>
      <c r="R33" s="5">
        <f>PasteHashtag!P33</f>
        <v>1.8</v>
      </c>
      <c r="S33" s="5">
        <f>Mid(PasteHashtag!H33,FIND("/",PasteHashtag!H33)+1,LEN(PasteHashtag!H33)-FIND("/",PasteHashtag!H33)-1)*1</f>
        <v>14.1</v>
      </c>
      <c r="T33" s="178">
        <f>Mid(PasteHashtag!I33,FIND("/",PasteHashtag!I33)+1,LEN(PasteHashtag!I33)-FIND("/",PasteHashtag!I33)-1)*1</f>
        <v>3.4</v>
      </c>
      <c r="U33" s="18"/>
      <c r="V33" s="18"/>
      <c r="W33" s="18"/>
      <c r="AB33" s="15" t="s">
        <v>197</v>
      </c>
    </row>
    <row r="34">
      <c r="A34" s="5">
        <v>33.0</v>
      </c>
      <c r="B34" s="5">
        <f>PasteHashtag!B34</f>
        <v>41.4</v>
      </c>
      <c r="C34" s="177" t="str">
        <f>PasteHashtag!C34</f>
        <v>Jalen Johnson</v>
      </c>
      <c r="D34" s="5" t="str">
        <f>PasteHashtag!D34</f>
        <v>PF</v>
      </c>
      <c r="E34" s="5" t="str">
        <f>PasteHashtag!E34</f>
        <v>ATL</v>
      </c>
      <c r="F34" s="5">
        <f>PasteHashtag!F34</f>
        <v>68</v>
      </c>
      <c r="G34" s="5">
        <f>PasteHashtag!G34</f>
        <v>34.2</v>
      </c>
      <c r="H34" s="5">
        <f>MID(PasteHashtag!H34,1+FIND("(",PasteHashtag!H34),FIND("/",PasteHashtag!H34)-FIND("(",PasteHashtag!H34)-1)*1</f>
        <v>7.3</v>
      </c>
      <c r="I34" s="5">
        <f>LEFT(PasteHashtag!H34,FIND("(",PasteHashtag!H34)-1)*1</f>
        <v>0.503</v>
      </c>
      <c r="J34" s="5">
        <f>MID(PasteHashtag!I34,1+FIND("(",PasteHashtag!I34),FIND("/",PasteHashtag!I34)-FIND("(",PasteHashtag!I34)-1)*1</f>
        <v>2.1</v>
      </c>
      <c r="K34" s="5">
        <f>LEFT(PasteHashtag!I34,FIND("(",PasteHashtag!I34)-1)*1</f>
        <v>0.747</v>
      </c>
      <c r="L34" s="5">
        <f>PasteHashtag!J34</f>
        <v>1.4</v>
      </c>
      <c r="M34" s="5">
        <f>PasteHashtag!K34</f>
        <v>18.2</v>
      </c>
      <c r="N34" s="5">
        <f>PasteHashtag!L34</f>
        <v>9.2</v>
      </c>
      <c r="O34" s="5">
        <f>PasteHashtag!M34</f>
        <v>3.5</v>
      </c>
      <c r="P34" s="5">
        <f>PasteHashtag!N34</f>
        <v>1.3</v>
      </c>
      <c r="Q34" s="5">
        <f>PasteHashtag!O34</f>
        <v>1</v>
      </c>
      <c r="R34" s="5">
        <f>PasteHashtag!P34</f>
        <v>1.7</v>
      </c>
      <c r="S34" s="5">
        <f>Mid(PasteHashtag!H34,FIND("/",PasteHashtag!H34)+1,LEN(PasteHashtag!H34)-FIND("/",PasteHashtag!H34)-1)*1</f>
        <v>14.5</v>
      </c>
      <c r="T34" s="178">
        <f>Mid(PasteHashtag!I34,FIND("/",PasteHashtag!I34)+1,LEN(PasteHashtag!I34)-FIND("/",PasteHashtag!I34)-1)*1</f>
        <v>2.9</v>
      </c>
      <c r="U34" s="18"/>
      <c r="V34" s="18"/>
      <c r="W34" s="18"/>
      <c r="AB34" s="15" t="s">
        <v>81</v>
      </c>
    </row>
    <row r="35">
      <c r="A35" s="5">
        <v>34.0</v>
      </c>
      <c r="B35" s="5">
        <f>PasteHashtag!B35</f>
        <v>26.1</v>
      </c>
      <c r="C35" s="177" t="str">
        <f>PasteHashtag!C35</f>
        <v>De'Aaron Fox</v>
      </c>
      <c r="D35" s="5" t="str">
        <f>PasteHashtag!D35</f>
        <v>PG</v>
      </c>
      <c r="E35" s="5" t="str">
        <f>PasteHashtag!E35</f>
        <v>SAC</v>
      </c>
      <c r="F35" s="5">
        <f>PasteHashtag!F35</f>
        <v>72</v>
      </c>
      <c r="G35" s="5">
        <f>PasteHashtag!G35</f>
        <v>34.5</v>
      </c>
      <c r="H35" s="5">
        <f>MID(PasteHashtag!H35,1+FIND("(",PasteHashtag!H35),FIND("/",PasteHashtag!H35)-FIND("(",PasteHashtag!H35)-1)*1</f>
        <v>9.2</v>
      </c>
      <c r="I35" s="5">
        <f>LEFT(PasteHashtag!H35,FIND("(",PasteHashtag!H35)-1)*1</f>
        <v>0.472</v>
      </c>
      <c r="J35" s="5">
        <f>MID(PasteHashtag!I35,1+FIND("(",PasteHashtag!I35),FIND("/",PasteHashtag!I35)-FIND("(",PasteHashtag!I35)-1)*1</f>
        <v>4.3</v>
      </c>
      <c r="K35" s="5">
        <f>LEFT(PasteHashtag!I35,FIND("(",PasteHashtag!I35)-1)*1</f>
        <v>0.759</v>
      </c>
      <c r="L35" s="5">
        <f>PasteHashtag!J35</f>
        <v>2.5</v>
      </c>
      <c r="M35" s="5">
        <f>PasteHashtag!K35</f>
        <v>25.1</v>
      </c>
      <c r="N35" s="5">
        <f>PasteHashtag!L35</f>
        <v>4.2</v>
      </c>
      <c r="O35" s="5">
        <f>PasteHashtag!M35</f>
        <v>5.5</v>
      </c>
      <c r="P35" s="5">
        <f>PasteHashtag!N35</f>
        <v>1.7</v>
      </c>
      <c r="Q35" s="5">
        <f>PasteHashtag!O35</f>
        <v>0.4</v>
      </c>
      <c r="R35" s="5">
        <f>PasteHashtag!P35</f>
        <v>2.5</v>
      </c>
      <c r="S35" s="5">
        <f>Mid(PasteHashtag!H35,FIND("/",PasteHashtag!H35)+1,LEN(PasteHashtag!H35)-FIND("/",PasteHashtag!H35)-1)*1</f>
        <v>19.4</v>
      </c>
      <c r="T35" s="178">
        <f>Mid(PasteHashtag!I35,FIND("/",PasteHashtag!I35)+1,LEN(PasteHashtag!I35)-FIND("/",PasteHashtag!I35)-1)*1</f>
        <v>5.6</v>
      </c>
      <c r="U35" s="18"/>
      <c r="V35" s="18"/>
      <c r="W35" s="18"/>
      <c r="AB35" s="15" t="s">
        <v>168</v>
      </c>
    </row>
    <row r="36">
      <c r="A36" s="5">
        <v>35.0</v>
      </c>
      <c r="B36" s="5">
        <f>PasteHashtag!B36</f>
        <v>48.4</v>
      </c>
      <c r="C36" s="177" t="str">
        <f>PasteHashtag!C36</f>
        <v>Derrick White</v>
      </c>
      <c r="D36" s="5" t="str">
        <f>PasteHashtag!D36</f>
        <v>PG,SG</v>
      </c>
      <c r="E36" s="5" t="str">
        <f>PasteHashtag!E36</f>
        <v>BOS</v>
      </c>
      <c r="F36" s="5">
        <f>PasteHashtag!F36</f>
        <v>75</v>
      </c>
      <c r="G36" s="5">
        <f>PasteHashtag!G36</f>
        <v>32.8</v>
      </c>
      <c r="H36" s="5">
        <f>MID(PasteHashtag!H36,1+FIND("(",PasteHashtag!H36),FIND("/",PasteHashtag!H36)-FIND("(",PasteHashtag!H36)-1)*1</f>
        <v>5.2</v>
      </c>
      <c r="I36" s="5">
        <f>LEFT(PasteHashtag!H36,FIND("(",PasteHashtag!H36)-1)*1</f>
        <v>0.461</v>
      </c>
      <c r="J36" s="5">
        <f>MID(PasteHashtag!I36,1+FIND("(",PasteHashtag!I36),FIND("/",PasteHashtag!I36)-FIND("(",PasteHashtag!I36)-1)*1</f>
        <v>2.2</v>
      </c>
      <c r="K36" s="5">
        <f>LEFT(PasteHashtag!I36,FIND("(",PasteHashtag!I36)-1)*1</f>
        <v>0.888</v>
      </c>
      <c r="L36" s="5">
        <f>PasteHashtag!J36</f>
        <v>2.7</v>
      </c>
      <c r="M36" s="5">
        <f>PasteHashtag!K36</f>
        <v>15.2</v>
      </c>
      <c r="N36" s="5">
        <f>PasteHashtag!L36</f>
        <v>4.3</v>
      </c>
      <c r="O36" s="5">
        <f>PasteHashtag!M36</f>
        <v>4.9</v>
      </c>
      <c r="P36" s="5">
        <f>PasteHashtag!N36</f>
        <v>0.9</v>
      </c>
      <c r="Q36" s="5">
        <f>PasteHashtag!O36</f>
        <v>1.2</v>
      </c>
      <c r="R36" s="5">
        <f>PasteHashtag!P36</f>
        <v>1.5</v>
      </c>
      <c r="S36" s="5">
        <f>Mid(PasteHashtag!H36,FIND("/",PasteHashtag!H36)+1,LEN(PasteHashtag!H36)-FIND("/",PasteHashtag!H36)-1)*1</f>
        <v>11.3</v>
      </c>
      <c r="T36" s="178">
        <f>Mid(PasteHashtag!I36,FIND("/",PasteHashtag!I36)+1,LEN(PasteHashtag!I36)-FIND("/",PasteHashtag!I36)-1)*1</f>
        <v>2.4</v>
      </c>
      <c r="U36" s="18"/>
      <c r="V36" s="18"/>
      <c r="W36" s="18"/>
      <c r="AB36" s="15" t="s">
        <v>99</v>
      </c>
    </row>
    <row r="37">
      <c r="A37" s="5">
        <v>36.0</v>
      </c>
      <c r="B37" s="5">
        <f>PasteHashtag!B37</f>
        <v>35.2</v>
      </c>
      <c r="C37" s="177" t="str">
        <f>PasteHashtag!C37</f>
        <v>Ja Morant</v>
      </c>
      <c r="D37" s="5" t="str">
        <f>PasteHashtag!D37</f>
        <v>PG</v>
      </c>
      <c r="E37" s="5" t="str">
        <f>PasteHashtag!E37</f>
        <v>MEM</v>
      </c>
      <c r="F37" s="5">
        <f>PasteHashtag!F37</f>
        <v>63</v>
      </c>
      <c r="G37" s="5">
        <f>PasteHashtag!G37</f>
        <v>33.6</v>
      </c>
      <c r="H37" s="5">
        <f>MID(PasteHashtag!H37,1+FIND("(",PasteHashtag!H37),FIND("/",PasteHashtag!H37)-FIND("(",PasteHashtag!H37)-1)*1</f>
        <v>9.2</v>
      </c>
      <c r="I37" s="5">
        <f>LEFT(PasteHashtag!H37,FIND("(",PasteHashtag!H37)-1)*1</f>
        <v>0.47</v>
      </c>
      <c r="J37" s="5">
        <f>MID(PasteHashtag!I37,1+FIND("(",PasteHashtag!I37),FIND("/",PasteHashtag!I37)-FIND("(",PasteHashtag!I37)-1)*1</f>
        <v>5.8</v>
      </c>
      <c r="K37" s="5">
        <f>LEFT(PasteHashtag!I37,FIND("(",PasteHashtag!I37)-1)*1</f>
        <v>0.788</v>
      </c>
      <c r="L37" s="5">
        <f>PasteHashtag!J37</f>
        <v>1.5</v>
      </c>
      <c r="M37" s="5">
        <f>PasteHashtag!K37</f>
        <v>25.8</v>
      </c>
      <c r="N37" s="5">
        <f>PasteHashtag!L37</f>
        <v>5.9</v>
      </c>
      <c r="O37" s="5">
        <f>PasteHashtag!M37</f>
        <v>8.2</v>
      </c>
      <c r="P37" s="5">
        <f>PasteHashtag!N37</f>
        <v>0.9</v>
      </c>
      <c r="Q37" s="5">
        <f>PasteHashtag!O37</f>
        <v>0.5</v>
      </c>
      <c r="R37" s="5">
        <f>PasteHashtag!P37</f>
        <v>3</v>
      </c>
      <c r="S37" s="5">
        <f>Mid(PasteHashtag!H37,FIND("/",PasteHashtag!H37)+1,LEN(PasteHashtag!H37)-FIND("/",PasteHashtag!H37)-1)*1</f>
        <v>19.6</v>
      </c>
      <c r="T37" s="178">
        <f>Mid(PasteHashtag!I37,FIND("/",PasteHashtag!I37)+1,LEN(PasteHashtag!I37)-FIND("/",PasteHashtag!I37)-1)*1</f>
        <v>7.4</v>
      </c>
      <c r="U37" s="18"/>
      <c r="V37" s="18"/>
      <c r="W37" s="18"/>
      <c r="AB37" s="15" t="s">
        <v>197</v>
      </c>
    </row>
    <row r="38">
      <c r="A38" s="5">
        <v>37.0</v>
      </c>
      <c r="B38" s="5">
        <f>PasteHashtag!B38</f>
        <v>54.1</v>
      </c>
      <c r="C38" s="177" t="str">
        <f>PasteHashtag!C38</f>
        <v>DeMar DeRozan</v>
      </c>
      <c r="D38" s="5" t="str">
        <f>PasteHashtag!D38</f>
        <v>SF,PF</v>
      </c>
      <c r="E38" s="5" t="str">
        <f>PasteHashtag!E38</f>
        <v>SAC</v>
      </c>
      <c r="F38" s="5">
        <f>PasteHashtag!F38</f>
        <v>76</v>
      </c>
      <c r="G38" s="5">
        <f>PasteHashtag!G38</f>
        <v>34.9</v>
      </c>
      <c r="H38" s="5">
        <f>MID(PasteHashtag!H38,1+FIND("(",PasteHashtag!H38),FIND("/",PasteHashtag!H38)-FIND("(",PasteHashtag!H38)-1)*1</f>
        <v>7.5</v>
      </c>
      <c r="I38" s="5">
        <f>LEFT(PasteHashtag!H38,FIND("(",PasteHashtag!H38)-1)*1</f>
        <v>0.486</v>
      </c>
      <c r="J38" s="5">
        <f>MID(PasteHashtag!I38,1+FIND("(",PasteHashtag!I38),FIND("/",PasteHashtag!I38)-FIND("(",PasteHashtag!I38)-1)*1</f>
        <v>6</v>
      </c>
      <c r="K38" s="5">
        <f>LEFT(PasteHashtag!I38,FIND("(",PasteHashtag!I38)-1)*1</f>
        <v>0.863</v>
      </c>
      <c r="L38" s="5">
        <f>PasteHashtag!J38</f>
        <v>1.1</v>
      </c>
      <c r="M38" s="5">
        <f>PasteHashtag!K38</f>
        <v>22.1</v>
      </c>
      <c r="N38" s="5">
        <f>PasteHashtag!L38</f>
        <v>3.8</v>
      </c>
      <c r="O38" s="5">
        <f>PasteHashtag!M38</f>
        <v>3.9</v>
      </c>
      <c r="P38" s="5">
        <f>PasteHashtag!N38</f>
        <v>1.1</v>
      </c>
      <c r="Q38" s="5">
        <f>PasteHashtag!O38</f>
        <v>0.6</v>
      </c>
      <c r="R38" s="5">
        <f>PasteHashtag!P38</f>
        <v>1.7</v>
      </c>
      <c r="S38" s="5">
        <f>Mid(PasteHashtag!H38,FIND("/",PasteHashtag!H38)+1,LEN(PasteHashtag!H38)-FIND("/",PasteHashtag!H38)-1)*1</f>
        <v>15.4</v>
      </c>
      <c r="T38" s="178">
        <f>Mid(PasteHashtag!I38,FIND("/",PasteHashtag!I38)+1,LEN(PasteHashtag!I38)-FIND("/",PasteHashtag!I38)-1)*1</f>
        <v>7</v>
      </c>
      <c r="U38" s="18"/>
      <c r="V38" s="18"/>
      <c r="W38" s="18"/>
      <c r="AB38" s="15" t="s">
        <v>121</v>
      </c>
    </row>
    <row r="39">
      <c r="A39" s="5">
        <v>38.0</v>
      </c>
      <c r="B39" s="5">
        <f>PasteHashtag!B39</f>
        <v>39</v>
      </c>
      <c r="C39" s="177" t="str">
        <f>PasteHashtag!C39</f>
        <v>Evan Mobley</v>
      </c>
      <c r="D39" s="5" t="str">
        <f>PasteHashtag!D39</f>
        <v>PF,C</v>
      </c>
      <c r="E39" s="5" t="str">
        <f>PasteHashtag!E39</f>
        <v>CLE</v>
      </c>
      <c r="F39" s="5">
        <f>PasteHashtag!F39</f>
        <v>68</v>
      </c>
      <c r="G39" s="5">
        <f>PasteHashtag!G39</f>
        <v>32</v>
      </c>
      <c r="H39" s="5">
        <f>MID(PasteHashtag!H39,1+FIND("(",PasteHashtag!H39),FIND("/",PasteHashtag!H39)-FIND("(",PasteHashtag!H39)-1)*1</f>
        <v>6.5</v>
      </c>
      <c r="I39" s="5">
        <f>LEFT(PasteHashtag!H39,FIND("(",PasteHashtag!H39)-1)*1</f>
        <v>0.573</v>
      </c>
      <c r="J39" s="5">
        <f>MID(PasteHashtag!I39,1+FIND("(",PasteHashtag!I39),FIND("/",PasteHashtag!I39)-FIND("(",PasteHashtag!I39)-1)*1</f>
        <v>2.6</v>
      </c>
      <c r="K39" s="5">
        <f>LEFT(PasteHashtag!I39,FIND("(",PasteHashtag!I39)-1)*1</f>
        <v>0.726</v>
      </c>
      <c r="L39" s="5">
        <f>PasteHashtag!J39</f>
        <v>0.4</v>
      </c>
      <c r="M39" s="5">
        <f>PasteHashtag!K39</f>
        <v>16.1</v>
      </c>
      <c r="N39" s="5">
        <f>PasteHashtag!L39</f>
        <v>9.2</v>
      </c>
      <c r="O39" s="5">
        <f>PasteHashtag!M39</f>
        <v>3.4</v>
      </c>
      <c r="P39" s="5">
        <f>PasteHashtag!N39</f>
        <v>0.9</v>
      </c>
      <c r="Q39" s="5">
        <f>PasteHashtag!O39</f>
        <v>1.5</v>
      </c>
      <c r="R39" s="5">
        <f>PasteHashtag!P39</f>
        <v>1.8</v>
      </c>
      <c r="S39" s="5">
        <f>Mid(PasteHashtag!H39,FIND("/",PasteHashtag!H39)+1,LEN(PasteHashtag!H39)-FIND("/",PasteHashtag!H39)-1)*1</f>
        <v>11.4</v>
      </c>
      <c r="T39" s="178">
        <f>Mid(PasteHashtag!I39,FIND("/",PasteHashtag!I39)+1,LEN(PasteHashtag!I39)-FIND("/",PasteHashtag!I39)-1)*1</f>
        <v>3.6</v>
      </c>
      <c r="U39" s="18"/>
      <c r="V39" s="18"/>
      <c r="W39" s="18"/>
      <c r="AB39" s="15" t="s">
        <v>197</v>
      </c>
    </row>
    <row r="40">
      <c r="A40" s="5">
        <v>39.0</v>
      </c>
      <c r="B40" s="5">
        <f>PasteHashtag!B40</f>
        <v>49.1</v>
      </c>
      <c r="C40" s="177" t="str">
        <f>PasteHashtag!C40</f>
        <v>Kawhi Leonard</v>
      </c>
      <c r="D40" s="5" t="str">
        <f>PasteHashtag!D40</f>
        <v>SG,SF,PF</v>
      </c>
      <c r="E40" s="5" t="str">
        <f>PasteHashtag!E40</f>
        <v>LAC</v>
      </c>
      <c r="F40" s="5">
        <f>PasteHashtag!F40</f>
        <v>48</v>
      </c>
      <c r="G40" s="5">
        <f>PasteHashtag!G40</f>
        <v>30</v>
      </c>
      <c r="H40" s="5">
        <f>MID(PasteHashtag!H40,1+FIND("(",PasteHashtag!H40),FIND("/",PasteHashtag!H40)-FIND("(",PasteHashtag!H40)-1)*1</f>
        <v>7.5</v>
      </c>
      <c r="I40" s="5">
        <f>LEFT(PasteHashtag!H40,FIND("(",PasteHashtag!H40)-1)*1</f>
        <v>0.507</v>
      </c>
      <c r="J40" s="5">
        <f>MID(PasteHashtag!I40,1+FIND("(",PasteHashtag!I40),FIND("/",PasteHashtag!I40)-FIND("(",PasteHashtag!I40)-1)*1</f>
        <v>3.5</v>
      </c>
      <c r="K40" s="5">
        <f>LEFT(PasteHashtag!I40,FIND("(",PasteHashtag!I40)-1)*1</f>
        <v>0.859</v>
      </c>
      <c r="L40" s="5">
        <f>PasteHashtag!J40</f>
        <v>1.7</v>
      </c>
      <c r="M40" s="5">
        <f>PasteHashtag!K40</f>
        <v>20.2</v>
      </c>
      <c r="N40" s="5">
        <f>PasteHashtag!L40</f>
        <v>5.4</v>
      </c>
      <c r="O40" s="5">
        <f>PasteHashtag!M40</f>
        <v>3.2</v>
      </c>
      <c r="P40" s="5">
        <f>PasteHashtag!N40</f>
        <v>1.1</v>
      </c>
      <c r="Q40" s="5">
        <f>PasteHashtag!O40</f>
        <v>0.5</v>
      </c>
      <c r="R40" s="5">
        <f>PasteHashtag!P40</f>
        <v>1.6</v>
      </c>
      <c r="S40" s="5">
        <f>Mid(PasteHashtag!H40,FIND("/",PasteHashtag!H40)+1,LEN(PasteHashtag!H40)-FIND("/",PasteHashtag!H40)-1)*1</f>
        <v>14.7</v>
      </c>
      <c r="T40" s="178">
        <f>Mid(PasteHashtag!I40,FIND("/",PasteHashtag!I40)+1,LEN(PasteHashtag!I40)-FIND("/",PasteHashtag!I40)-1)*1</f>
        <v>4.1</v>
      </c>
      <c r="U40" s="18"/>
      <c r="V40" s="18"/>
      <c r="W40" s="18"/>
      <c r="AB40" s="15" t="s">
        <v>58</v>
      </c>
    </row>
    <row r="41">
      <c r="A41" s="5">
        <v>40.0</v>
      </c>
      <c r="B41" s="5">
        <f>PasteHashtag!B41</f>
        <v>44.1</v>
      </c>
      <c r="C41" s="177" t="str">
        <f>PasteHashtag!C41</f>
        <v>Desmond Bane</v>
      </c>
      <c r="D41" s="5" t="str">
        <f>PasteHashtag!D41</f>
        <v>SG,SF</v>
      </c>
      <c r="E41" s="5" t="str">
        <f>PasteHashtag!E41</f>
        <v>MEM</v>
      </c>
      <c r="F41" s="5">
        <f>PasteHashtag!F41</f>
        <v>68</v>
      </c>
      <c r="G41" s="5">
        <f>PasteHashtag!G41</f>
        <v>32.8</v>
      </c>
      <c r="H41" s="5">
        <f>MID(PasteHashtag!H41,1+FIND("(",PasteHashtag!H41),FIND("/",PasteHashtag!H41)-FIND("(",PasteHashtag!H41)-1)*1</f>
        <v>7.7</v>
      </c>
      <c r="I41" s="5">
        <f>LEFT(PasteHashtag!H41,FIND("(",PasteHashtag!H41)-1)*1</f>
        <v>0.472</v>
      </c>
      <c r="J41" s="5">
        <f>MID(PasteHashtag!I41,1+FIND("(",PasteHashtag!I41),FIND("/",PasteHashtag!I41)-FIND("(",PasteHashtag!I41)-1)*1</f>
        <v>3.1</v>
      </c>
      <c r="K41" s="5">
        <f>LEFT(PasteHashtag!I41,FIND("(",PasteHashtag!I41)-1)*1</f>
        <v>0.877</v>
      </c>
      <c r="L41" s="5">
        <f>PasteHashtag!J41</f>
        <v>2.9</v>
      </c>
      <c r="M41" s="5">
        <f>PasteHashtag!K41</f>
        <v>21.4</v>
      </c>
      <c r="N41" s="5">
        <f>PasteHashtag!L41</f>
        <v>4.5</v>
      </c>
      <c r="O41" s="5">
        <f>PasteHashtag!M41</f>
        <v>4.4</v>
      </c>
      <c r="P41" s="5">
        <f>PasteHashtag!N41</f>
        <v>1</v>
      </c>
      <c r="Q41" s="5">
        <f>PasteHashtag!O41</f>
        <v>0.4</v>
      </c>
      <c r="R41" s="5">
        <f>PasteHashtag!P41</f>
        <v>2.3</v>
      </c>
      <c r="S41" s="5">
        <f>Mid(PasteHashtag!H41,FIND("/",PasteHashtag!H41)+1,LEN(PasteHashtag!H41)-FIND("/",PasteHashtag!H41)-1)*1</f>
        <v>16.4</v>
      </c>
      <c r="T41" s="178">
        <f>Mid(PasteHashtag!I41,FIND("/",PasteHashtag!I41)+1,LEN(PasteHashtag!I41)-FIND("/",PasteHashtag!I41)-1)*1</f>
        <v>3.5</v>
      </c>
      <c r="U41" s="18"/>
      <c r="V41" s="18"/>
      <c r="W41" s="18"/>
      <c r="AB41" s="15" t="s">
        <v>94</v>
      </c>
    </row>
    <row r="42">
      <c r="A42" s="5">
        <v>41.0</v>
      </c>
      <c r="B42" s="5">
        <f>PasteHashtag!B42</f>
        <v>35.6</v>
      </c>
      <c r="C42" s="177" t="str">
        <f>PasteHashtag!C42</f>
        <v>Dejounte Murray</v>
      </c>
      <c r="D42" s="5" t="str">
        <f>PasteHashtag!D42</f>
        <v>PG,SG</v>
      </c>
      <c r="E42" s="5" t="str">
        <f>PasteHashtag!E42</f>
        <v>NO</v>
      </c>
      <c r="F42" s="5">
        <f>PasteHashtag!F42</f>
        <v>74</v>
      </c>
      <c r="G42" s="5">
        <f>PasteHashtag!G42</f>
        <v>32</v>
      </c>
      <c r="H42" s="5">
        <f>MID(PasteHashtag!H42,1+FIND("(",PasteHashtag!H42),FIND("/",PasteHashtag!H42)-FIND("(",PasteHashtag!H42)-1)*1</f>
        <v>7.6</v>
      </c>
      <c r="I42" s="5">
        <f>LEFT(PasteHashtag!H42,FIND("(",PasteHashtag!H42)-1)*1</f>
        <v>0.462</v>
      </c>
      <c r="J42" s="5">
        <f>MID(PasteHashtag!I42,1+FIND("(",PasteHashtag!I42),FIND("/",PasteHashtag!I42)-FIND("(",PasteHashtag!I42)-1)*1</f>
        <v>2.2</v>
      </c>
      <c r="K42" s="5">
        <f>LEFT(PasteHashtag!I42,FIND("(",PasteHashtag!I42)-1)*1</f>
        <v>0.809</v>
      </c>
      <c r="L42" s="5">
        <f>PasteHashtag!J42</f>
        <v>2.2</v>
      </c>
      <c r="M42" s="5">
        <f>PasteHashtag!K42</f>
        <v>19.5</v>
      </c>
      <c r="N42" s="5">
        <f>PasteHashtag!L42</f>
        <v>5.2</v>
      </c>
      <c r="O42" s="5">
        <f>PasteHashtag!M42</f>
        <v>6.5</v>
      </c>
      <c r="P42" s="5">
        <f>PasteHashtag!N42</f>
        <v>1.4</v>
      </c>
      <c r="Q42" s="5">
        <f>PasteHashtag!O42</f>
        <v>0.3</v>
      </c>
      <c r="R42" s="5">
        <f>PasteHashtag!P42</f>
        <v>2.1</v>
      </c>
      <c r="S42" s="5">
        <f>Mid(PasteHashtag!H42,FIND("/",PasteHashtag!H42)+1,LEN(PasteHashtag!H42)-FIND("/",PasteHashtag!H42)-1)*1</f>
        <v>16.4</v>
      </c>
      <c r="T42" s="178">
        <f>Mid(PasteHashtag!I42,FIND("/",PasteHashtag!I42)+1,LEN(PasteHashtag!I42)-FIND("/",PasteHashtag!I42)-1)*1</f>
        <v>2.7</v>
      </c>
      <c r="U42" s="18"/>
      <c r="V42" s="18"/>
      <c r="W42" s="18"/>
      <c r="AB42" s="15" t="s">
        <v>237</v>
      </c>
    </row>
    <row r="43">
      <c r="A43" s="5">
        <v>42.0</v>
      </c>
      <c r="B43" s="5">
        <f>PasteHashtag!B43</f>
        <v>27.7</v>
      </c>
      <c r="C43" s="177" t="str">
        <f>PasteHashtag!C43</f>
        <v>Alperen Sengün</v>
      </c>
      <c r="D43" s="5" t="str">
        <f>PasteHashtag!D43</f>
        <v>C</v>
      </c>
      <c r="E43" s="5" t="str">
        <f>PasteHashtag!E43</f>
        <v>HOU</v>
      </c>
      <c r="F43" s="5">
        <f>PasteHashtag!F43</f>
        <v>72</v>
      </c>
      <c r="G43" s="5">
        <f>PasteHashtag!G43</f>
        <v>32.6</v>
      </c>
      <c r="H43" s="5">
        <f>MID(PasteHashtag!H43,1+FIND("(",PasteHashtag!H43),FIND("/",PasteHashtag!H43)-FIND("(",PasteHashtag!H43)-1)*1</f>
        <v>7.6</v>
      </c>
      <c r="I43" s="5">
        <f>LEFT(PasteHashtag!H43,FIND("(",PasteHashtag!H43)-1)*1</f>
        <v>0.544</v>
      </c>
      <c r="J43" s="5">
        <f>MID(PasteHashtag!I43,1+FIND("(",PasteHashtag!I43),FIND("/",PasteHashtag!I43)-FIND("(",PasteHashtag!I43)-1)*1</f>
        <v>3.9</v>
      </c>
      <c r="K43" s="5">
        <f>LEFT(PasteHashtag!I43,FIND("(",PasteHashtag!I43)-1)*1</f>
        <v>0.713</v>
      </c>
      <c r="L43" s="5">
        <f>PasteHashtag!J43</f>
        <v>0.4</v>
      </c>
      <c r="M43" s="5">
        <f>PasteHashtag!K43</f>
        <v>19.4</v>
      </c>
      <c r="N43" s="5">
        <f>PasteHashtag!L43</f>
        <v>9.9</v>
      </c>
      <c r="O43" s="5">
        <f>PasteHashtag!M43</f>
        <v>5.4</v>
      </c>
      <c r="P43" s="5">
        <f>PasteHashtag!N43</f>
        <v>1.2</v>
      </c>
      <c r="Q43" s="5">
        <f>PasteHashtag!O43</f>
        <v>0.8</v>
      </c>
      <c r="R43" s="5">
        <f>PasteHashtag!P43</f>
        <v>2.8</v>
      </c>
      <c r="S43" s="5">
        <f>Mid(PasteHashtag!H43,FIND("/",PasteHashtag!H43)+1,LEN(PasteHashtag!H43)-FIND("/",PasteHashtag!H43)-1)*1</f>
        <v>13.9</v>
      </c>
      <c r="T43" s="178">
        <f>Mid(PasteHashtag!I43,FIND("/",PasteHashtag!I43)+1,LEN(PasteHashtag!I43)-FIND("/",PasteHashtag!I43)-1)*1</f>
        <v>5.4</v>
      </c>
      <c r="U43" s="18"/>
      <c r="V43" s="18"/>
      <c r="W43" s="18"/>
      <c r="AB43" s="15" t="s">
        <v>42</v>
      </c>
    </row>
    <row r="44">
      <c r="A44" s="5">
        <v>43.0</v>
      </c>
      <c r="B44" s="5">
        <f>PasteHashtag!B44</f>
        <v>32.2</v>
      </c>
      <c r="C44" s="177" t="str">
        <f>PasteHashtag!C44</f>
        <v>Bam Adebayo</v>
      </c>
      <c r="D44" s="5" t="str">
        <f>PasteHashtag!D44</f>
        <v>C</v>
      </c>
      <c r="E44" s="5" t="str">
        <f>PasteHashtag!E44</f>
        <v>MIA</v>
      </c>
      <c r="F44" s="5">
        <f>PasteHashtag!F44</f>
        <v>73</v>
      </c>
      <c r="G44" s="5">
        <f>PasteHashtag!G44</f>
        <v>34.4</v>
      </c>
      <c r="H44" s="5">
        <f>MID(PasteHashtag!H44,1+FIND("(",PasteHashtag!H44),FIND("/",PasteHashtag!H44)-FIND("(",PasteHashtag!H44)-1)*1</f>
        <v>7.8</v>
      </c>
      <c r="I44" s="5">
        <f>LEFT(PasteHashtag!H44,FIND("(",PasteHashtag!H44)-1)*1</f>
        <v>0.531</v>
      </c>
      <c r="J44" s="5">
        <f>MID(PasteHashtag!I44,1+FIND("(",PasteHashtag!I44),FIND("/",PasteHashtag!I44)-FIND("(",PasteHashtag!I44)-1)*1</f>
        <v>4.1</v>
      </c>
      <c r="K44" s="5">
        <f>LEFT(PasteHashtag!I44,FIND("(",PasteHashtag!I44)-1)*1</f>
        <v>0.743</v>
      </c>
      <c r="L44" s="5">
        <f>PasteHashtag!J44</f>
        <v>0.2</v>
      </c>
      <c r="M44" s="5">
        <f>PasteHashtag!K44</f>
        <v>20</v>
      </c>
      <c r="N44" s="5">
        <f>PasteHashtag!L44</f>
        <v>10.4</v>
      </c>
      <c r="O44" s="5">
        <f>PasteHashtag!M44</f>
        <v>3.9</v>
      </c>
      <c r="P44" s="5">
        <f>PasteHashtag!N44</f>
        <v>1.2</v>
      </c>
      <c r="Q44" s="5">
        <f>PasteHashtag!O44</f>
        <v>0.9</v>
      </c>
      <c r="R44" s="5">
        <f>PasteHashtag!P44</f>
        <v>2.4</v>
      </c>
      <c r="S44" s="5">
        <f>Mid(PasteHashtag!H44,FIND("/",PasteHashtag!H44)+1,LEN(PasteHashtag!H44)-FIND("/",PasteHashtag!H44)-1)*1</f>
        <v>14.8</v>
      </c>
      <c r="T44" s="178">
        <f>Mid(PasteHashtag!I44,FIND("/",PasteHashtag!I44)+1,LEN(PasteHashtag!I44)-FIND("/",PasteHashtag!I44)-1)*1</f>
        <v>5.5</v>
      </c>
      <c r="U44" s="18"/>
      <c r="V44" s="18"/>
      <c r="W44" s="18"/>
      <c r="AB44" s="15" t="s">
        <v>204</v>
      </c>
    </row>
    <row r="45">
      <c r="A45" s="5">
        <v>44.0</v>
      </c>
      <c r="B45" s="5">
        <f>PasteHashtag!B45</f>
        <v>103.3</v>
      </c>
      <c r="C45" s="177" t="str">
        <f>PasteHashtag!C45</f>
        <v>Kristaps Porzingis</v>
      </c>
      <c r="D45" s="5" t="str">
        <f>PasteHashtag!D45</f>
        <v>PF,C</v>
      </c>
      <c r="E45" s="5" t="str">
        <f>PasteHashtag!E45</f>
        <v>BOS</v>
      </c>
      <c r="F45" s="5">
        <f>PasteHashtag!F45</f>
        <v>40</v>
      </c>
      <c r="G45" s="5">
        <f>PasteHashtag!G45</f>
        <v>27.1</v>
      </c>
      <c r="H45" s="5">
        <f>MID(PasteHashtag!H45,1+FIND("(",PasteHashtag!H45),FIND("/",PasteHashtag!H45)-FIND("(",PasteHashtag!H45)-1)*1</f>
        <v>6.1</v>
      </c>
      <c r="I45" s="5">
        <f>LEFT(PasteHashtag!H45,FIND("(",PasteHashtag!H45)-1)*1</f>
        <v>0.484</v>
      </c>
      <c r="J45" s="5">
        <f>MID(PasteHashtag!I45,1+FIND("(",PasteHashtag!I45),FIND("/",PasteHashtag!I45)-FIND("(",PasteHashtag!I45)-1)*1</f>
        <v>3.8</v>
      </c>
      <c r="K45" s="5">
        <f>LEFT(PasteHashtag!I45,FIND("(",PasteHashtag!I45)-1)*1</f>
        <v>0.848</v>
      </c>
      <c r="L45" s="5">
        <f>PasteHashtag!J45</f>
        <v>1.8</v>
      </c>
      <c r="M45" s="5">
        <f>PasteHashtag!K45</f>
        <v>17.8</v>
      </c>
      <c r="N45" s="5">
        <f>PasteHashtag!L45</f>
        <v>6.7</v>
      </c>
      <c r="O45" s="5">
        <f>PasteHashtag!M45</f>
        <v>2</v>
      </c>
      <c r="P45" s="5">
        <f>PasteHashtag!N45</f>
        <v>0.7</v>
      </c>
      <c r="Q45" s="5">
        <f>PasteHashtag!O45</f>
        <v>1.5</v>
      </c>
      <c r="R45" s="5">
        <f>PasteHashtag!P45</f>
        <v>1.6</v>
      </c>
      <c r="S45" s="5">
        <f>Mid(PasteHashtag!H45,FIND("/",PasteHashtag!H45)+1,LEN(PasteHashtag!H45)-FIND("/",PasteHashtag!H45)-1)*1</f>
        <v>12.6</v>
      </c>
      <c r="T45" s="178">
        <f>Mid(PasteHashtag!I45,FIND("/",PasteHashtag!I45)+1,LEN(PasteHashtag!I45)-FIND("/",PasteHashtag!I45)-1)*1</f>
        <v>4.5</v>
      </c>
      <c r="U45" s="18"/>
      <c r="V45" s="18"/>
      <c r="W45" s="18"/>
      <c r="AB45" s="15" t="s">
        <v>193</v>
      </c>
    </row>
    <row r="46">
      <c r="A46" s="5">
        <v>45.0</v>
      </c>
      <c r="B46" s="5">
        <f>PasteHashtag!B46</f>
        <v>34</v>
      </c>
      <c r="C46" s="177" t="str">
        <f>PasteHashtag!C46</f>
        <v>Cade Cunningham</v>
      </c>
      <c r="D46" s="5" t="str">
        <f>PasteHashtag!D46</f>
        <v>PG,SG</v>
      </c>
      <c r="E46" s="5" t="str">
        <f>PasteHashtag!E46</f>
        <v>DET</v>
      </c>
      <c r="F46" s="5">
        <f>PasteHashtag!F46</f>
        <v>64</v>
      </c>
      <c r="G46" s="5">
        <f>PasteHashtag!G46</f>
        <v>33.7</v>
      </c>
      <c r="H46" s="5">
        <f>MID(PasteHashtag!H46,1+FIND("(",PasteHashtag!H46),FIND("/",PasteHashtag!H46)-FIND("(",PasteHashtag!H46)-1)*1</f>
        <v>8.8</v>
      </c>
      <c r="I46" s="5">
        <f>LEFT(PasteHashtag!H46,FIND("(",PasteHashtag!H46)-1)*1</f>
        <v>0.45</v>
      </c>
      <c r="J46" s="5">
        <f>MID(PasteHashtag!I46,1+FIND("(",PasteHashtag!I46),FIND("/",PasteHashtag!I46)-FIND("(",PasteHashtag!I46)-1)*1</f>
        <v>3.8</v>
      </c>
      <c r="K46" s="5">
        <f>LEFT(PasteHashtag!I46,FIND("(",PasteHashtag!I46)-1)*1</f>
        <v>0.865</v>
      </c>
      <c r="L46" s="5">
        <f>PasteHashtag!J46</f>
        <v>1.9</v>
      </c>
      <c r="M46" s="5">
        <f>PasteHashtag!K46</f>
        <v>23.2</v>
      </c>
      <c r="N46" s="5">
        <f>PasteHashtag!L46</f>
        <v>4.7</v>
      </c>
      <c r="O46" s="5">
        <f>PasteHashtag!M46</f>
        <v>7.8</v>
      </c>
      <c r="P46" s="5">
        <f>PasteHashtag!N46</f>
        <v>0.9</v>
      </c>
      <c r="Q46" s="5">
        <f>PasteHashtag!O46</f>
        <v>0.4</v>
      </c>
      <c r="R46" s="5">
        <f>PasteHashtag!P46</f>
        <v>3.5</v>
      </c>
      <c r="S46" s="5">
        <f>Mid(PasteHashtag!H46,FIND("/",PasteHashtag!H46)+1,LEN(PasteHashtag!H46)-FIND("/",PasteHashtag!H46)-1)*1</f>
        <v>19.5</v>
      </c>
      <c r="T46" s="178">
        <f>Mid(PasteHashtag!I46,FIND("/",PasteHashtag!I46)+1,LEN(PasteHashtag!I46)-FIND("/",PasteHashtag!I46)-1)*1</f>
        <v>4.4</v>
      </c>
      <c r="U46" s="18"/>
      <c r="V46" s="18"/>
      <c r="W46" s="18"/>
      <c r="AB46" s="15" t="s">
        <v>99</v>
      </c>
    </row>
    <row r="47">
      <c r="A47" s="5">
        <v>46.0</v>
      </c>
      <c r="B47" s="5">
        <f>PasteHashtag!B47</f>
        <v>45</v>
      </c>
      <c r="C47" s="177" t="str">
        <f>PasteHashtag!C47</f>
        <v>Myles Turner</v>
      </c>
      <c r="D47" s="5" t="str">
        <f>PasteHashtag!D47</f>
        <v>C</v>
      </c>
      <c r="E47" s="5" t="str">
        <f>PasteHashtag!E47</f>
        <v>IND</v>
      </c>
      <c r="F47" s="5">
        <f>PasteHashtag!F47</f>
        <v>72</v>
      </c>
      <c r="G47" s="5">
        <f>PasteHashtag!G47</f>
        <v>28.8</v>
      </c>
      <c r="H47" s="5">
        <f>MID(PasteHashtag!H47,1+FIND("(",PasteHashtag!H47),FIND("/",PasteHashtag!H47)-FIND("(",PasteHashtag!H47)-1)*1</f>
        <v>6.1</v>
      </c>
      <c r="I47" s="5">
        <f>LEFT(PasteHashtag!H47,FIND("(",PasteHashtag!H47)-1)*1</f>
        <v>0.535</v>
      </c>
      <c r="J47" s="5">
        <f>MID(PasteHashtag!I47,1+FIND("(",PasteHashtag!I47),FIND("/",PasteHashtag!I47)-FIND("(",PasteHashtag!I47)-1)*1</f>
        <v>3.2</v>
      </c>
      <c r="K47" s="5">
        <f>LEFT(PasteHashtag!I47,FIND("(",PasteHashtag!I47)-1)*1</f>
        <v>0.778</v>
      </c>
      <c r="L47" s="5">
        <f>PasteHashtag!J47</f>
        <v>1.5</v>
      </c>
      <c r="M47" s="5">
        <f>PasteHashtag!K47</f>
        <v>17</v>
      </c>
      <c r="N47" s="5">
        <f>PasteHashtag!L47</f>
        <v>7</v>
      </c>
      <c r="O47" s="5">
        <f>PasteHashtag!M47</f>
        <v>1.3</v>
      </c>
      <c r="P47" s="5">
        <f>PasteHashtag!N47</f>
        <v>0.5</v>
      </c>
      <c r="Q47" s="5">
        <f>PasteHashtag!O47</f>
        <v>2</v>
      </c>
      <c r="R47" s="5">
        <f>PasteHashtag!P47</f>
        <v>1.5</v>
      </c>
      <c r="S47" s="5">
        <f>Mid(PasteHashtag!H47,FIND("/",PasteHashtag!H47)+1,LEN(PasteHashtag!H47)-FIND("/",PasteHashtag!H47)-1)*1</f>
        <v>11.5</v>
      </c>
      <c r="T47" s="178">
        <f>Mid(PasteHashtag!I47,FIND("/",PasteHashtag!I47)+1,LEN(PasteHashtag!I47)-FIND("/",PasteHashtag!I47)-1)*1</f>
        <v>4.1</v>
      </c>
      <c r="U47" s="18"/>
      <c r="V47" s="18"/>
      <c r="W47" s="18"/>
      <c r="AB47" s="15" t="s">
        <v>89</v>
      </c>
    </row>
    <row r="48">
      <c r="A48" s="5">
        <v>47.0</v>
      </c>
      <c r="B48" s="5">
        <f>PasteHashtag!B48</f>
        <v>53.8</v>
      </c>
      <c r="C48" s="177" t="str">
        <f>PasteHashtag!C48</f>
        <v>Immanuel Quickley</v>
      </c>
      <c r="D48" s="5" t="str">
        <f>PasteHashtag!D48</f>
        <v>PG,SG</v>
      </c>
      <c r="E48" s="5" t="str">
        <f>PasteHashtag!E48</f>
        <v>TOR</v>
      </c>
      <c r="F48" s="5">
        <f>PasteHashtag!F48</f>
        <v>72</v>
      </c>
      <c r="G48" s="5">
        <f>PasteHashtag!G48</f>
        <v>33.3</v>
      </c>
      <c r="H48" s="5">
        <f>MID(PasteHashtag!H48,1+FIND("(",PasteHashtag!H48),FIND("/",PasteHashtag!H48)-FIND("(",PasteHashtag!H48)-1)*1</f>
        <v>6.4</v>
      </c>
      <c r="I48" s="5">
        <f>LEFT(PasteHashtag!H48,FIND("(",PasteHashtag!H48)-1)*1</f>
        <v>0.44</v>
      </c>
      <c r="J48" s="5">
        <f>MID(PasteHashtag!I48,1+FIND("(",PasteHashtag!I48),FIND("/",PasteHashtag!I48)-FIND("(",PasteHashtag!I48)-1)*1</f>
        <v>3.2</v>
      </c>
      <c r="K48" s="5">
        <f>LEFT(PasteHashtag!I48,FIND("(",PasteHashtag!I48)-1)*1</f>
        <v>0.849</v>
      </c>
      <c r="L48" s="5">
        <f>PasteHashtag!J48</f>
        <v>2.6</v>
      </c>
      <c r="M48" s="5">
        <f>PasteHashtag!K48</f>
        <v>18.7</v>
      </c>
      <c r="N48" s="5">
        <f>PasteHashtag!L48</f>
        <v>4.6</v>
      </c>
      <c r="O48" s="5">
        <f>PasteHashtag!M48</f>
        <v>6.8</v>
      </c>
      <c r="P48" s="5">
        <f>PasteHashtag!N48</f>
        <v>1.1</v>
      </c>
      <c r="Q48" s="5">
        <f>PasteHashtag!O48</f>
        <v>0.2</v>
      </c>
      <c r="R48" s="5">
        <f>PasteHashtag!P48</f>
        <v>1.6</v>
      </c>
      <c r="S48" s="5">
        <f>Mid(PasteHashtag!H48,FIND("/",PasteHashtag!H48)+1,LEN(PasteHashtag!H48)-FIND("/",PasteHashtag!H48)-1)*1</f>
        <v>14.7</v>
      </c>
      <c r="T48" s="178">
        <f>Mid(PasteHashtag!I48,FIND("/",PasteHashtag!I48)+1,LEN(PasteHashtag!I48)-FIND("/",PasteHashtag!I48)-1)*1</f>
        <v>3.8</v>
      </c>
      <c r="U48" s="18"/>
      <c r="V48" s="18"/>
      <c r="W48" s="18"/>
      <c r="AB48" s="15" t="s">
        <v>250</v>
      </c>
    </row>
    <row r="49">
      <c r="A49" s="5">
        <v>48.0</v>
      </c>
      <c r="B49" s="5">
        <f>PasteHashtag!B49</f>
        <v>52.7</v>
      </c>
      <c r="C49" s="177" t="str">
        <f>PasteHashtag!C49</f>
        <v>Jamal Murray</v>
      </c>
      <c r="D49" s="5" t="str">
        <f>PasteHashtag!D49</f>
        <v>PG,SG</v>
      </c>
      <c r="E49" s="5" t="str">
        <f>PasteHashtag!E49</f>
        <v>DEN</v>
      </c>
      <c r="F49" s="5">
        <f>PasteHashtag!F49</f>
        <v>60</v>
      </c>
      <c r="G49" s="5">
        <f>PasteHashtag!G49</f>
        <v>31.1</v>
      </c>
      <c r="H49" s="5">
        <f>MID(PasteHashtag!H49,1+FIND("(",PasteHashtag!H49),FIND("/",PasteHashtag!H49)-FIND("(",PasteHashtag!H49)-1)*1</f>
        <v>7.4</v>
      </c>
      <c r="I49" s="5">
        <f>LEFT(PasteHashtag!H49,FIND("(",PasteHashtag!H49)-1)*1</f>
        <v>0.471</v>
      </c>
      <c r="J49" s="5">
        <f>MID(PasteHashtag!I49,1+FIND("(",PasteHashtag!I49),FIND("/",PasteHashtag!I49)-FIND("(",PasteHashtag!I49)-1)*1</f>
        <v>2.6</v>
      </c>
      <c r="K49" s="5">
        <f>LEFT(PasteHashtag!I49,FIND("(",PasteHashtag!I49)-1)*1</f>
        <v>0.841</v>
      </c>
      <c r="L49" s="5">
        <f>PasteHashtag!J49</f>
        <v>2.5</v>
      </c>
      <c r="M49" s="5">
        <f>PasteHashtag!K49</f>
        <v>20</v>
      </c>
      <c r="N49" s="5">
        <f>PasteHashtag!L49</f>
        <v>3.9</v>
      </c>
      <c r="O49" s="5">
        <f>PasteHashtag!M49</f>
        <v>6.1</v>
      </c>
      <c r="P49" s="5">
        <f>PasteHashtag!N49</f>
        <v>1</v>
      </c>
      <c r="Q49" s="5">
        <f>PasteHashtag!O49</f>
        <v>0.5</v>
      </c>
      <c r="R49" s="5">
        <f>PasteHashtag!P49</f>
        <v>2.1</v>
      </c>
      <c r="S49" s="5">
        <f>Mid(PasteHashtag!H49,FIND("/",PasteHashtag!H49)+1,LEN(PasteHashtag!H49)-FIND("/",PasteHashtag!H49)-1)*1</f>
        <v>15.8</v>
      </c>
      <c r="T49" s="178">
        <f>Mid(PasteHashtag!I49,FIND("/",PasteHashtag!I49)+1,LEN(PasteHashtag!I49)-FIND("/",PasteHashtag!I49)-1)*1</f>
        <v>3.1</v>
      </c>
      <c r="U49" s="18"/>
      <c r="V49" s="18"/>
      <c r="W49" s="18"/>
      <c r="AB49" s="15" t="s">
        <v>138</v>
      </c>
    </row>
    <row r="50">
      <c r="A50" s="5">
        <v>49.0</v>
      </c>
      <c r="B50" s="5">
        <f>PasteHashtag!B50</f>
        <v>46.1</v>
      </c>
      <c r="C50" s="177" t="str">
        <f>PasteHashtag!C50</f>
        <v>Franz Wagner</v>
      </c>
      <c r="D50" s="5" t="str">
        <f>PasteHashtag!D50</f>
        <v>SF,PF</v>
      </c>
      <c r="E50" s="5" t="str">
        <f>PasteHashtag!E50</f>
        <v>ORL</v>
      </c>
      <c r="F50" s="5">
        <f>PasteHashtag!F50</f>
        <v>76</v>
      </c>
      <c r="G50" s="5">
        <f>PasteHashtag!G50</f>
        <v>33.1</v>
      </c>
      <c r="H50" s="5">
        <f>MID(PasteHashtag!H50,1+FIND("(",PasteHashtag!H50),FIND("/",PasteHashtag!H50)-FIND("(",PasteHashtag!H50)-1)*1</f>
        <v>7.2</v>
      </c>
      <c r="I50" s="5">
        <f>LEFT(PasteHashtag!H50,FIND("(",PasteHashtag!H50)-1)*1</f>
        <v>0.483</v>
      </c>
      <c r="J50" s="5">
        <f>MID(PasteHashtag!I50,1+FIND("(",PasteHashtag!I50),FIND("/",PasteHashtag!I50)-FIND("(",PasteHashtag!I50)-1)*1</f>
        <v>3.7</v>
      </c>
      <c r="K50" s="5">
        <f>LEFT(PasteHashtag!I50,FIND("(",PasteHashtag!I50)-1)*1</f>
        <v>0.845</v>
      </c>
      <c r="L50" s="5">
        <f>PasteHashtag!J50</f>
        <v>1.4</v>
      </c>
      <c r="M50" s="5">
        <f>PasteHashtag!K50</f>
        <v>19.6</v>
      </c>
      <c r="N50" s="5">
        <f>PasteHashtag!L50</f>
        <v>5.4</v>
      </c>
      <c r="O50" s="5">
        <f>PasteHashtag!M50</f>
        <v>3.9</v>
      </c>
      <c r="P50" s="5">
        <f>PasteHashtag!N50</f>
        <v>1.2</v>
      </c>
      <c r="Q50" s="5">
        <f>PasteHashtag!O50</f>
        <v>0.4</v>
      </c>
      <c r="R50" s="5">
        <f>PasteHashtag!P50</f>
        <v>2</v>
      </c>
      <c r="S50" s="5">
        <f>Mid(PasteHashtag!H50,FIND("/",PasteHashtag!H50)+1,LEN(PasteHashtag!H50)-FIND("/",PasteHashtag!H50)-1)*1</f>
        <v>15</v>
      </c>
      <c r="T50" s="178">
        <f>Mid(PasteHashtag!I50,FIND("/",PasteHashtag!I50)+1,LEN(PasteHashtag!I50)-FIND("/",PasteHashtag!I50)-1)*1</f>
        <v>4.3</v>
      </c>
      <c r="U50" s="18"/>
      <c r="V50" s="18"/>
      <c r="W50" s="18"/>
      <c r="AB50" s="15" t="s">
        <v>168</v>
      </c>
    </row>
    <row r="51">
      <c r="A51" s="5">
        <v>50.0</v>
      </c>
      <c r="B51" s="5">
        <f>PasteHashtag!B51</f>
        <v>66.6</v>
      </c>
      <c r="C51" s="177" t="str">
        <f>PasteHashtag!C51</f>
        <v>Tobias Harris</v>
      </c>
      <c r="D51" s="5" t="str">
        <f>PasteHashtag!D51</f>
        <v>SF,PF</v>
      </c>
      <c r="E51" s="5" t="str">
        <f>PasteHashtag!E51</f>
        <v>DET</v>
      </c>
      <c r="F51" s="5">
        <f>PasteHashtag!F51</f>
        <v>69</v>
      </c>
      <c r="G51" s="5">
        <f>PasteHashtag!G51</f>
        <v>31.9</v>
      </c>
      <c r="H51" s="5">
        <f>MID(PasteHashtag!H51,1+FIND("(",PasteHashtag!H51),FIND("/",PasteHashtag!H51)-FIND("(",PasteHashtag!H51)-1)*1</f>
        <v>6.8</v>
      </c>
      <c r="I51" s="5">
        <f>LEFT(PasteHashtag!H51,FIND("(",PasteHashtag!H51)-1)*1</f>
        <v>0.482</v>
      </c>
      <c r="J51" s="5">
        <f>MID(PasteHashtag!I51,1+FIND("(",PasteHashtag!I51),FIND("/",PasteHashtag!I51)-FIND("(",PasteHashtag!I51)-1)*1</f>
        <v>2.5</v>
      </c>
      <c r="K51" s="5">
        <f>LEFT(PasteHashtag!I51,FIND("(",PasteHashtag!I51)-1)*1</f>
        <v>0.878</v>
      </c>
      <c r="L51" s="5">
        <f>PasteHashtag!J51</f>
        <v>1.6</v>
      </c>
      <c r="M51" s="5">
        <f>PasteHashtag!K51</f>
        <v>17.6</v>
      </c>
      <c r="N51" s="5">
        <f>PasteHashtag!L51</f>
        <v>6.3</v>
      </c>
      <c r="O51" s="5">
        <f>PasteHashtag!M51</f>
        <v>3</v>
      </c>
      <c r="P51" s="5">
        <f>PasteHashtag!N51</f>
        <v>1</v>
      </c>
      <c r="Q51" s="5">
        <f>PasteHashtag!O51</f>
        <v>0.6</v>
      </c>
      <c r="R51" s="5">
        <f>PasteHashtag!P51</f>
        <v>1.3</v>
      </c>
      <c r="S51" s="5">
        <f>Mid(PasteHashtag!H51,FIND("/",PasteHashtag!H51)+1,LEN(PasteHashtag!H51)-FIND("/",PasteHashtag!H51)-1)*1</f>
        <v>14.1</v>
      </c>
      <c r="T51" s="178">
        <f>Mid(PasteHashtag!I51,FIND("/",PasteHashtag!I51)+1,LEN(PasteHashtag!I51)-FIND("/",PasteHashtag!I51)-1)*1</f>
        <v>2.9</v>
      </c>
      <c r="U51" s="18"/>
      <c r="V51" s="18"/>
      <c r="W51" s="18"/>
      <c r="AB51" s="15" t="s">
        <v>264</v>
      </c>
    </row>
    <row r="52">
      <c r="A52" s="5">
        <v>51.0</v>
      </c>
      <c r="B52" s="5">
        <f>PasteHashtag!B52</f>
        <v>55.2</v>
      </c>
      <c r="C52" s="177" t="str">
        <f>PasteHashtag!C52</f>
        <v>Nikola Vucevic</v>
      </c>
      <c r="D52" s="5" t="str">
        <f>PasteHashtag!D52</f>
        <v>PF,C</v>
      </c>
      <c r="E52" s="5" t="str">
        <f>PasteHashtag!E52</f>
        <v>CHI</v>
      </c>
      <c r="F52" s="5">
        <f>PasteHashtag!F52</f>
        <v>75</v>
      </c>
      <c r="G52" s="5">
        <f>PasteHashtag!G52</f>
        <v>33.2</v>
      </c>
      <c r="H52" s="5">
        <f>MID(PasteHashtag!H52,1+FIND("(",PasteHashtag!H52),FIND("/",PasteHashtag!H52)-FIND("(",PasteHashtag!H52)-1)*1</f>
        <v>7.1</v>
      </c>
      <c r="I52" s="5">
        <f>LEFT(PasteHashtag!H52,FIND("(",PasteHashtag!H52)-1)*1</f>
        <v>0.482</v>
      </c>
      <c r="J52" s="5">
        <f>MID(PasteHashtag!I52,1+FIND("(",PasteHashtag!I52),FIND("/",PasteHashtag!I52)-FIND("(",PasteHashtag!I52)-1)*1</f>
        <v>1.5</v>
      </c>
      <c r="K52" s="5">
        <f>LEFT(PasteHashtag!I52,FIND("(",PasteHashtag!I52)-1)*1</f>
        <v>0.817</v>
      </c>
      <c r="L52" s="5">
        <f>PasteHashtag!J52</f>
        <v>1.4</v>
      </c>
      <c r="M52" s="5">
        <f>PasteHashtag!K52</f>
        <v>17.1</v>
      </c>
      <c r="N52" s="5">
        <f>PasteHashtag!L52</f>
        <v>10.4</v>
      </c>
      <c r="O52" s="5">
        <f>PasteHashtag!M52</f>
        <v>3.3</v>
      </c>
      <c r="P52" s="5">
        <f>PasteHashtag!N52</f>
        <v>0.7</v>
      </c>
      <c r="Q52" s="5">
        <f>PasteHashtag!O52</f>
        <v>0.7</v>
      </c>
      <c r="R52" s="5">
        <f>PasteHashtag!P52</f>
        <v>1.6</v>
      </c>
      <c r="S52" s="5">
        <f>Mid(PasteHashtag!H52,FIND("/",PasteHashtag!H52)+1,LEN(PasteHashtag!H52)-FIND("/",PasteHashtag!H52)-1)*1</f>
        <v>14.8</v>
      </c>
      <c r="T52" s="178">
        <f>Mid(PasteHashtag!I52,FIND("/",PasteHashtag!I52)+1,LEN(PasteHashtag!I52)-FIND("/",PasteHashtag!I52)-1)*1</f>
        <v>1.8</v>
      </c>
      <c r="U52" s="18"/>
      <c r="V52" s="18"/>
      <c r="W52" s="18"/>
      <c r="AB52" s="15" t="s">
        <v>183</v>
      </c>
    </row>
    <row r="53">
      <c r="A53" s="5">
        <v>52.0</v>
      </c>
      <c r="B53" s="5">
        <f>PasteHashtag!B53</f>
        <v>53.2</v>
      </c>
      <c r="C53" s="177" t="str">
        <f>PasteHashtag!C53</f>
        <v>Jarrett Allen</v>
      </c>
      <c r="D53" s="5" t="str">
        <f>PasteHashtag!D53</f>
        <v>C</v>
      </c>
      <c r="E53" s="5" t="str">
        <f>PasteHashtag!E53</f>
        <v>CLE</v>
      </c>
      <c r="F53" s="5">
        <f>PasteHashtag!F53</f>
        <v>70</v>
      </c>
      <c r="G53" s="5">
        <f>PasteHashtag!G53</f>
        <v>30.8</v>
      </c>
      <c r="H53" s="5">
        <f>MID(PasteHashtag!H53,1+FIND("(",PasteHashtag!H53),FIND("/",PasteHashtag!H53)-FIND("(",PasteHashtag!H53)-1)*1</f>
        <v>6.2</v>
      </c>
      <c r="I53" s="5">
        <f>LEFT(PasteHashtag!H53,FIND("(",PasteHashtag!H53)-1)*1</f>
        <v>0.637</v>
      </c>
      <c r="J53" s="5">
        <f>MID(PasteHashtag!I53,1+FIND("(",PasteHashtag!I53),FIND("/",PasteHashtag!I53)-FIND("(",PasteHashtag!I53)-1)*1</f>
        <v>2.6</v>
      </c>
      <c r="K53" s="5">
        <f>LEFT(PasteHashtag!I53,FIND("(",PasteHashtag!I53)-1)*1</f>
        <v>0.735</v>
      </c>
      <c r="L53" s="5">
        <f>PasteHashtag!J53</f>
        <v>0</v>
      </c>
      <c r="M53" s="5">
        <f>PasteHashtag!K53</f>
        <v>14.9</v>
      </c>
      <c r="N53" s="5">
        <f>PasteHashtag!L53</f>
        <v>9.9</v>
      </c>
      <c r="O53" s="5">
        <f>PasteHashtag!M53</f>
        <v>2.2</v>
      </c>
      <c r="P53" s="5">
        <f>PasteHashtag!N53</f>
        <v>0.7</v>
      </c>
      <c r="Q53" s="5">
        <f>PasteHashtag!O53</f>
        <v>1.1</v>
      </c>
      <c r="R53" s="5">
        <f>PasteHashtag!P53</f>
        <v>1.4</v>
      </c>
      <c r="S53" s="5">
        <f>Mid(PasteHashtag!H53,FIND("/",PasteHashtag!H53)+1,LEN(PasteHashtag!H53)-FIND("/",PasteHashtag!H53)-1)*1</f>
        <v>9.7</v>
      </c>
      <c r="T53" s="178">
        <f>Mid(PasteHashtag!I53,FIND("/",PasteHashtag!I53)+1,LEN(PasteHashtag!I53)-FIND("/",PasteHashtag!I53)-1)*1</f>
        <v>3.6</v>
      </c>
      <c r="U53" s="18"/>
      <c r="V53" s="18"/>
      <c r="W53" s="18"/>
      <c r="AB53" s="15" t="s">
        <v>121</v>
      </c>
    </row>
    <row r="54">
      <c r="A54" s="5">
        <v>53.0</v>
      </c>
      <c r="B54" s="5">
        <f>PasteHashtag!B54</f>
        <v>46.4</v>
      </c>
      <c r="C54" s="177" t="str">
        <f>PasteHashtag!C54</f>
        <v>Rudy Gobert</v>
      </c>
      <c r="D54" s="5" t="str">
        <f>PasteHashtag!D54</f>
        <v>C</v>
      </c>
      <c r="E54" s="5" t="str">
        <f>PasteHashtag!E54</f>
        <v>MIN</v>
      </c>
      <c r="F54" s="5">
        <f>PasteHashtag!F54</f>
        <v>73</v>
      </c>
      <c r="G54" s="5">
        <f>PasteHashtag!G54</f>
        <v>33.6</v>
      </c>
      <c r="H54" s="5">
        <f>MID(PasteHashtag!H54,1+FIND("(",PasteHashtag!H54),FIND("/",PasteHashtag!H54)-FIND("(",PasteHashtag!H54)-1)*1</f>
        <v>5.5</v>
      </c>
      <c r="I54" s="5">
        <f>LEFT(PasteHashtag!H54,FIND("(",PasteHashtag!H54)-1)*1</f>
        <v>0.66</v>
      </c>
      <c r="J54" s="5">
        <f>MID(PasteHashtag!I54,1+FIND("(",PasteHashtag!I54),FIND("/",PasteHashtag!I54)-FIND("(",PasteHashtag!I54)-1)*1</f>
        <v>3.4</v>
      </c>
      <c r="K54" s="5">
        <f>LEFT(PasteHashtag!I54,FIND("(",PasteHashtag!I54)-1)*1</f>
        <v>0.642</v>
      </c>
      <c r="L54" s="5">
        <f>PasteHashtag!J54</f>
        <v>0</v>
      </c>
      <c r="M54" s="5">
        <f>PasteHashtag!K54</f>
        <v>14.3</v>
      </c>
      <c r="N54" s="5">
        <f>PasteHashtag!L54</f>
        <v>12.9</v>
      </c>
      <c r="O54" s="5">
        <f>PasteHashtag!M54</f>
        <v>1.4</v>
      </c>
      <c r="P54" s="5">
        <f>PasteHashtag!N54</f>
        <v>0.8</v>
      </c>
      <c r="Q54" s="5">
        <f>PasteHashtag!O54</f>
        <v>1.8</v>
      </c>
      <c r="R54" s="5">
        <f>PasteHashtag!P54</f>
        <v>1.7</v>
      </c>
      <c r="S54" s="5">
        <f>Mid(PasteHashtag!H54,FIND("/",PasteHashtag!H54)+1,LEN(PasteHashtag!H54)-FIND("/",PasteHashtag!H54)-1)*1</f>
        <v>8.3</v>
      </c>
      <c r="T54" s="178">
        <f>Mid(PasteHashtag!I54,FIND("/",PasteHashtag!I54)+1,LEN(PasteHashtag!I54)-FIND("/",PasteHashtag!I54)-1)*1</f>
        <v>5.2</v>
      </c>
      <c r="U54" s="18"/>
      <c r="V54" s="18"/>
      <c r="W54" s="18"/>
      <c r="AB54" s="15" t="s">
        <v>271</v>
      </c>
    </row>
    <row r="55">
      <c r="A55" s="5">
        <v>54.0</v>
      </c>
      <c r="B55" s="5">
        <f>PasteHashtag!B55</f>
        <v>62.6</v>
      </c>
      <c r="C55" s="177" t="str">
        <f>PasteHashtag!C55</f>
        <v>Darius Garland</v>
      </c>
      <c r="D55" s="5" t="str">
        <f>PasteHashtag!D55</f>
        <v>PG</v>
      </c>
      <c r="E55" s="5" t="str">
        <f>PasteHashtag!E55</f>
        <v>CLE</v>
      </c>
      <c r="F55" s="5">
        <f>PasteHashtag!F55</f>
        <v>68</v>
      </c>
      <c r="G55" s="5">
        <f>PasteHashtag!G55</f>
        <v>33</v>
      </c>
      <c r="H55" s="5">
        <f>MID(PasteHashtag!H55,1+FIND("(",PasteHashtag!H55),FIND("/",PasteHashtag!H55)-FIND("(",PasteHashtag!H55)-1)*1</f>
        <v>6.9</v>
      </c>
      <c r="I55" s="5">
        <f>LEFT(PasteHashtag!H55,FIND("(",PasteHashtag!H55)-1)*1</f>
        <v>0.455</v>
      </c>
      <c r="J55" s="5">
        <f>MID(PasteHashtag!I55,1+FIND("(",PasteHashtag!I55),FIND("/",PasteHashtag!I55)-FIND("(",PasteHashtag!I55)-1)*1</f>
        <v>3.2</v>
      </c>
      <c r="K55" s="5">
        <f>LEFT(PasteHashtag!I55,FIND("(",PasteHashtag!I55)-1)*1</f>
        <v>0.85</v>
      </c>
      <c r="L55" s="5">
        <f>PasteHashtag!J55</f>
        <v>2.3</v>
      </c>
      <c r="M55" s="5">
        <f>PasteHashtag!K55</f>
        <v>19.3</v>
      </c>
      <c r="N55" s="5">
        <f>PasteHashtag!L55</f>
        <v>2.6</v>
      </c>
      <c r="O55" s="5">
        <f>PasteHashtag!M55</f>
        <v>7</v>
      </c>
      <c r="P55" s="5">
        <f>PasteHashtag!N55</f>
        <v>1.2</v>
      </c>
      <c r="Q55" s="5">
        <f>PasteHashtag!O55</f>
        <v>0.1</v>
      </c>
      <c r="R55" s="5">
        <f>PasteHashtag!P55</f>
        <v>2.9</v>
      </c>
      <c r="S55" s="5">
        <f>Mid(PasteHashtag!H55,FIND("/",PasteHashtag!H55)+1,LEN(PasteHashtag!H55)-FIND("/",PasteHashtag!H55)-1)*1</f>
        <v>15.1</v>
      </c>
      <c r="T55" s="178">
        <f>Mid(PasteHashtag!I55,FIND("/",PasteHashtag!I55)+1,LEN(PasteHashtag!I55)-FIND("/",PasteHashtag!I55)-1)*1</f>
        <v>3.8</v>
      </c>
      <c r="U55" s="18"/>
      <c r="V55" s="18"/>
      <c r="W55" s="18"/>
      <c r="AB55" s="15" t="s">
        <v>121</v>
      </c>
    </row>
    <row r="56">
      <c r="A56" s="5">
        <v>55.0</v>
      </c>
      <c r="B56" s="5">
        <f>PasteHashtag!B56</f>
        <v>40.9</v>
      </c>
      <c r="C56" s="177" t="str">
        <f>PasteHashtag!C56</f>
        <v>Jaylen Brown</v>
      </c>
      <c r="D56" s="5" t="str">
        <f>PasteHashtag!D56</f>
        <v>SG,SF</v>
      </c>
      <c r="E56" s="5" t="str">
        <f>PasteHashtag!E56</f>
        <v>BOS</v>
      </c>
      <c r="F56" s="5">
        <f>PasteHashtag!F56</f>
        <v>70</v>
      </c>
      <c r="G56" s="5">
        <f>PasteHashtag!G56</f>
        <v>33.8</v>
      </c>
      <c r="H56" s="5">
        <f>MID(PasteHashtag!H56,1+FIND("(",PasteHashtag!H56),FIND("/",PasteHashtag!H56)-FIND("(",PasteHashtag!H56)-1)*1</f>
        <v>9.4</v>
      </c>
      <c r="I56" s="5">
        <f>LEFT(PasteHashtag!H56,FIND("(",PasteHashtag!H56)-1)*1</f>
        <v>0.495</v>
      </c>
      <c r="J56" s="5">
        <f>MID(PasteHashtag!I56,1+FIND("(",PasteHashtag!I56),FIND("/",PasteHashtag!I56)-FIND("(",PasteHashtag!I56)-1)*1</f>
        <v>3.4</v>
      </c>
      <c r="K56" s="5">
        <f>LEFT(PasteHashtag!I56,FIND("(",PasteHashtag!I56)-1)*1</f>
        <v>0.737</v>
      </c>
      <c r="L56" s="5">
        <f>PasteHashtag!J56</f>
        <v>2.2</v>
      </c>
      <c r="M56" s="5">
        <f>PasteHashtag!K56</f>
        <v>24.4</v>
      </c>
      <c r="N56" s="5">
        <f>PasteHashtag!L56</f>
        <v>6.1</v>
      </c>
      <c r="O56" s="5">
        <f>PasteHashtag!M56</f>
        <v>3.5</v>
      </c>
      <c r="P56" s="5">
        <f>PasteHashtag!N56</f>
        <v>1.1</v>
      </c>
      <c r="Q56" s="5">
        <f>PasteHashtag!O56</f>
        <v>0.5</v>
      </c>
      <c r="R56" s="5">
        <f>PasteHashtag!P56</f>
        <v>2.6</v>
      </c>
      <c r="S56" s="5">
        <f>Mid(PasteHashtag!H56,FIND("/",PasteHashtag!H56)+1,LEN(PasteHashtag!H56)-FIND("/",PasteHashtag!H56)-1)*1</f>
        <v>19</v>
      </c>
      <c r="T56" s="178">
        <f>Mid(PasteHashtag!I56,FIND("/",PasteHashtag!I56)+1,LEN(PasteHashtag!I56)-FIND("/",PasteHashtag!I56)-1)*1</f>
        <v>4.6</v>
      </c>
      <c r="U56" s="18"/>
      <c r="V56" s="18"/>
      <c r="W56" s="18"/>
      <c r="AB56" s="15" t="s">
        <v>99</v>
      </c>
    </row>
    <row r="57">
      <c r="A57" s="5">
        <v>56.0</v>
      </c>
      <c r="B57" s="5">
        <f>PasteHashtag!B57</f>
        <v>60.8</v>
      </c>
      <c r="C57" s="177" t="str">
        <f>PasteHashtag!C57</f>
        <v>Deandre Ayton</v>
      </c>
      <c r="D57" s="5" t="str">
        <f>PasteHashtag!D57</f>
        <v>C</v>
      </c>
      <c r="E57" s="5" t="str">
        <f>PasteHashtag!E57</f>
        <v>POR</v>
      </c>
      <c r="F57" s="5">
        <f>PasteHashtag!F57</f>
        <v>65</v>
      </c>
      <c r="G57" s="5">
        <f>PasteHashtag!G57</f>
        <v>31</v>
      </c>
      <c r="H57" s="5">
        <f>MID(PasteHashtag!H57,1+FIND("(",PasteHashtag!H57),FIND("/",PasteHashtag!H57)-FIND("(",PasteHashtag!H57)-1)*1</f>
        <v>7.6</v>
      </c>
      <c r="I57" s="5">
        <f>LEFT(PasteHashtag!H57,FIND("(",PasteHashtag!H57)-1)*1</f>
        <v>0.571</v>
      </c>
      <c r="J57" s="5">
        <f>MID(PasteHashtag!I57,1+FIND("(",PasteHashtag!I57),FIND("/",PasteHashtag!I57)-FIND("(",PasteHashtag!I57)-1)*1</f>
        <v>1.8</v>
      </c>
      <c r="K57" s="5">
        <f>LEFT(PasteHashtag!I57,FIND("(",PasteHashtag!I57)-1)*1</f>
        <v>0.778</v>
      </c>
      <c r="L57" s="5">
        <f>PasteHashtag!J57</f>
        <v>0.1</v>
      </c>
      <c r="M57" s="5">
        <f>PasteHashtag!K57</f>
        <v>17</v>
      </c>
      <c r="N57" s="5">
        <f>PasteHashtag!L57</f>
        <v>10.3</v>
      </c>
      <c r="O57" s="5">
        <f>PasteHashtag!M57</f>
        <v>1.7</v>
      </c>
      <c r="P57" s="5">
        <f>PasteHashtag!N57</f>
        <v>0.8</v>
      </c>
      <c r="Q57" s="5">
        <f>PasteHashtag!O57</f>
        <v>0.8</v>
      </c>
      <c r="R57" s="5">
        <f>PasteHashtag!P57</f>
        <v>1.8</v>
      </c>
      <c r="S57" s="5">
        <f>Mid(PasteHashtag!H57,FIND("/",PasteHashtag!H57)+1,LEN(PasteHashtag!H57)-FIND("/",PasteHashtag!H57)-1)*1</f>
        <v>13.3</v>
      </c>
      <c r="T57" s="178">
        <f>Mid(PasteHashtag!I57,FIND("/",PasteHashtag!I57)+1,LEN(PasteHashtag!I57)-FIND("/",PasteHashtag!I57)-1)*1</f>
        <v>2.3</v>
      </c>
      <c r="U57" s="18"/>
      <c r="V57" s="18"/>
      <c r="W57" s="18"/>
      <c r="AB57" s="15" t="s">
        <v>129</v>
      </c>
    </row>
    <row r="58">
      <c r="A58" s="5">
        <v>57.0</v>
      </c>
      <c r="B58" s="5">
        <f>PasteHashtag!B58</f>
        <v>72.6</v>
      </c>
      <c r="C58" s="177" t="str">
        <f>PasteHashtag!C58</f>
        <v>Bradley Beal</v>
      </c>
      <c r="D58" s="5" t="str">
        <f>PasteHashtag!D58</f>
        <v>PG,SG</v>
      </c>
      <c r="E58" s="5" t="str">
        <f>PasteHashtag!E58</f>
        <v>PHO</v>
      </c>
      <c r="F58" s="5">
        <f>PasteHashtag!F58</f>
        <v>50</v>
      </c>
      <c r="G58" s="5">
        <f>PasteHashtag!G58</f>
        <v>32</v>
      </c>
      <c r="H58" s="5">
        <f>MID(PasteHashtag!H58,1+FIND("(",PasteHashtag!H58),FIND("/",PasteHashtag!H58)-FIND("(",PasteHashtag!H58)-1)*1</f>
        <v>7.2</v>
      </c>
      <c r="I58" s="5">
        <f>LEFT(PasteHashtag!H58,FIND("(",PasteHashtag!H58)-1)*1</f>
        <v>0.509</v>
      </c>
      <c r="J58" s="5">
        <f>MID(PasteHashtag!I58,1+FIND("(",PasteHashtag!I58),FIND("/",PasteHashtag!I58)-FIND("(",PasteHashtag!I58)-1)*1</f>
        <v>2.6</v>
      </c>
      <c r="K58" s="5">
        <f>LEFT(PasteHashtag!I58,FIND("(",PasteHashtag!I58)-1)*1</f>
        <v>0.821</v>
      </c>
      <c r="L58" s="5">
        <f>PasteHashtag!J58</f>
        <v>1.9</v>
      </c>
      <c r="M58" s="5">
        <f>PasteHashtag!K58</f>
        <v>18.9</v>
      </c>
      <c r="N58" s="5">
        <f>PasteHashtag!L58</f>
        <v>3.8</v>
      </c>
      <c r="O58" s="5">
        <f>PasteHashtag!M58</f>
        <v>4.2</v>
      </c>
      <c r="P58" s="5">
        <f>PasteHashtag!N58</f>
        <v>1</v>
      </c>
      <c r="Q58" s="5">
        <f>PasteHashtag!O58</f>
        <v>0.5</v>
      </c>
      <c r="R58" s="5">
        <f>PasteHashtag!P58</f>
        <v>2.4</v>
      </c>
      <c r="S58" s="5">
        <f>Mid(PasteHashtag!H58,FIND("/",PasteHashtag!H58)+1,LEN(PasteHashtag!H58)-FIND("/",PasteHashtag!H58)-1)*1</f>
        <v>14.2</v>
      </c>
      <c r="T58" s="178">
        <f>Mid(PasteHashtag!I58,FIND("/",PasteHashtag!I58)+1,LEN(PasteHashtag!I58)-FIND("/",PasteHashtag!I58)-1)*1</f>
        <v>3.1</v>
      </c>
      <c r="U58" s="18"/>
      <c r="V58" s="18"/>
      <c r="W58" s="18"/>
      <c r="AB58" s="15" t="s">
        <v>287</v>
      </c>
    </row>
    <row r="59">
      <c r="A59" s="5">
        <v>58.0</v>
      </c>
      <c r="B59" s="5">
        <f>PasteHashtag!B59</f>
        <v>74</v>
      </c>
      <c r="C59" s="177" t="str">
        <f>PasteHashtag!C59</f>
        <v>D'Angelo Russell</v>
      </c>
      <c r="D59" s="5" t="str">
        <f>PasteHashtag!D59</f>
        <v>PG</v>
      </c>
      <c r="E59" s="5" t="str">
        <f>PasteHashtag!E59</f>
        <v>LAL</v>
      </c>
      <c r="F59" s="5">
        <f>PasteHashtag!F59</f>
        <v>72</v>
      </c>
      <c r="G59" s="5">
        <f>PasteHashtag!G59</f>
        <v>32.6</v>
      </c>
      <c r="H59" s="5">
        <f>MID(PasteHashtag!H59,1+FIND("(",PasteHashtag!H59),FIND("/",PasteHashtag!H59)-FIND("(",PasteHashtag!H59)-1)*1</f>
        <v>6.2</v>
      </c>
      <c r="I59" s="5">
        <f>LEFT(PasteHashtag!H59,FIND("(",PasteHashtag!H59)-1)*1</f>
        <v>0.457</v>
      </c>
      <c r="J59" s="5">
        <f>MID(PasteHashtag!I59,1+FIND("(",PasteHashtag!I59),FIND("/",PasteHashtag!I59)-FIND("(",PasteHashtag!I59)-1)*1</f>
        <v>2.3</v>
      </c>
      <c r="K59" s="5">
        <f>LEFT(PasteHashtag!I59,FIND("(",PasteHashtag!I59)-1)*1</f>
        <v>0.829</v>
      </c>
      <c r="L59" s="5">
        <f>PasteHashtag!J59</f>
        <v>2.9</v>
      </c>
      <c r="M59" s="5">
        <f>PasteHashtag!K59</f>
        <v>17.5</v>
      </c>
      <c r="N59" s="5">
        <f>PasteHashtag!L59</f>
        <v>3.1</v>
      </c>
      <c r="O59" s="5">
        <f>PasteHashtag!M59</f>
        <v>6</v>
      </c>
      <c r="P59" s="5">
        <f>PasteHashtag!N59</f>
        <v>1</v>
      </c>
      <c r="Q59" s="5">
        <f>PasteHashtag!O59</f>
        <v>0.5</v>
      </c>
      <c r="R59" s="5">
        <f>PasteHashtag!P59</f>
        <v>2.4</v>
      </c>
      <c r="S59" s="5">
        <f>Mid(PasteHashtag!H59,FIND("/",PasteHashtag!H59)+1,LEN(PasteHashtag!H59)-FIND("/",PasteHashtag!H59)-1)*1</f>
        <v>13.5</v>
      </c>
      <c r="T59" s="178">
        <f>Mid(PasteHashtag!I59,FIND("/",PasteHashtag!I59)+1,LEN(PasteHashtag!I59)-FIND("/",PasteHashtag!I59)-1)*1</f>
        <v>2.8</v>
      </c>
      <c r="U59" s="18"/>
      <c r="V59" s="18"/>
      <c r="W59" s="18"/>
      <c r="AB59" s="15" t="s">
        <v>75</v>
      </c>
    </row>
    <row r="60">
      <c r="A60" s="5">
        <v>59.0</v>
      </c>
      <c r="B60" s="5">
        <f>PasteHashtag!B60</f>
        <v>53.8</v>
      </c>
      <c r="C60" s="177" t="str">
        <f>PasteHashtag!C60</f>
        <v>Jalen Duren</v>
      </c>
      <c r="D60" s="5" t="str">
        <f>PasteHashtag!D60</f>
        <v>C</v>
      </c>
      <c r="E60" s="5" t="str">
        <f>PasteHashtag!E60</f>
        <v>DET</v>
      </c>
      <c r="F60" s="5">
        <f>PasteHashtag!F60</f>
        <v>68</v>
      </c>
      <c r="G60" s="5">
        <f>PasteHashtag!G60</f>
        <v>30</v>
      </c>
      <c r="H60" s="5">
        <f>MID(PasteHashtag!H60,1+FIND("(",PasteHashtag!H60),FIND("/",PasteHashtag!H60)-FIND("(",PasteHashtag!H60)-1)*1</f>
        <v>5.3</v>
      </c>
      <c r="I60" s="5">
        <f>LEFT(PasteHashtag!H60,FIND("(",PasteHashtag!H60)-1)*1</f>
        <v>0.628</v>
      </c>
      <c r="J60" s="5">
        <f>MID(PasteHashtag!I60,1+FIND("(",PasteHashtag!I60),FIND("/",PasteHashtag!I60)-FIND("(",PasteHashtag!I60)-1)*1</f>
        <v>2.1</v>
      </c>
      <c r="K60" s="5">
        <f>LEFT(PasteHashtag!I60,FIND("(",PasteHashtag!I60)-1)*1</f>
        <v>0.781</v>
      </c>
      <c r="L60" s="5">
        <f>PasteHashtag!J60</f>
        <v>0</v>
      </c>
      <c r="M60" s="5">
        <f>PasteHashtag!K60</f>
        <v>12.8</v>
      </c>
      <c r="N60" s="5">
        <f>PasteHashtag!L60</f>
        <v>10.9</v>
      </c>
      <c r="O60" s="5">
        <f>PasteHashtag!M60</f>
        <v>2</v>
      </c>
      <c r="P60" s="5">
        <f>PasteHashtag!N60</f>
        <v>0.6</v>
      </c>
      <c r="Q60" s="5">
        <f>PasteHashtag!O60</f>
        <v>0.9</v>
      </c>
      <c r="R60" s="5">
        <f>PasteHashtag!P60</f>
        <v>1.9</v>
      </c>
      <c r="S60" s="5">
        <f>Mid(PasteHashtag!H60,FIND("/",PasteHashtag!H60)+1,LEN(PasteHashtag!H60)-FIND("/",PasteHashtag!H60)-1)*1</f>
        <v>8.5</v>
      </c>
      <c r="T60" s="178">
        <f>Mid(PasteHashtag!I60,FIND("/",PasteHashtag!I60)+1,LEN(PasteHashtag!I60)-FIND("/",PasteHashtag!I60)-1)*1</f>
        <v>2.7</v>
      </c>
      <c r="U60" s="18"/>
      <c r="V60" s="18"/>
      <c r="W60" s="18"/>
      <c r="AB60" s="15" t="s">
        <v>250</v>
      </c>
    </row>
    <row r="61">
      <c r="A61" s="5">
        <v>60.0</v>
      </c>
      <c r="B61" s="5">
        <f>PasteHashtag!B61</f>
        <v>78.5</v>
      </c>
      <c r="C61" s="177" t="str">
        <f>PasteHashtag!C61</f>
        <v>Jrue Holiday</v>
      </c>
      <c r="D61" s="5" t="str">
        <f>PasteHashtag!D61</f>
        <v>PG,SG</v>
      </c>
      <c r="E61" s="5" t="str">
        <f>PasteHashtag!E61</f>
        <v>BOS</v>
      </c>
      <c r="F61" s="5">
        <f>PasteHashtag!F61</f>
        <v>68</v>
      </c>
      <c r="G61" s="5">
        <f>PasteHashtag!G61</f>
        <v>32.5</v>
      </c>
      <c r="H61" s="5">
        <f>MID(PasteHashtag!H61,1+FIND("(",PasteHashtag!H61),FIND("/",PasteHashtag!H61)-FIND("(",PasteHashtag!H61)-1)*1</f>
        <v>5.1</v>
      </c>
      <c r="I61" s="5">
        <f>LEFT(PasteHashtag!H61,FIND("(",PasteHashtag!H61)-1)*1</f>
        <v>0.477</v>
      </c>
      <c r="J61" s="5">
        <f>MID(PasteHashtag!I61,1+FIND("(",PasteHashtag!I61),FIND("/",PasteHashtag!I61)-FIND("(",PasteHashtag!I61)-1)*1</f>
        <v>1.2</v>
      </c>
      <c r="K61" s="5">
        <f>LEFT(PasteHashtag!I61,FIND("(",PasteHashtag!I61)-1)*1</f>
        <v>0.847</v>
      </c>
      <c r="L61" s="5">
        <f>PasteHashtag!J61</f>
        <v>2.2</v>
      </c>
      <c r="M61" s="5">
        <f>PasteHashtag!K61</f>
        <v>13.5</v>
      </c>
      <c r="N61" s="5">
        <f>PasteHashtag!L61</f>
        <v>5.3</v>
      </c>
      <c r="O61" s="5">
        <f>PasteHashtag!M61</f>
        <v>5.1</v>
      </c>
      <c r="P61" s="5">
        <f>PasteHashtag!N61</f>
        <v>1</v>
      </c>
      <c r="Q61" s="5">
        <f>PasteHashtag!O61</f>
        <v>0.6</v>
      </c>
      <c r="R61" s="5">
        <f>PasteHashtag!P61</f>
        <v>2.4</v>
      </c>
      <c r="S61" s="5">
        <f>Mid(PasteHashtag!H61,FIND("/",PasteHashtag!H61)+1,LEN(PasteHashtag!H61)-FIND("/",PasteHashtag!H61)-1)*1</f>
        <v>10.6</v>
      </c>
      <c r="T61" s="178">
        <f>Mid(PasteHashtag!I61,FIND("/",PasteHashtag!I61)+1,LEN(PasteHashtag!I61)-FIND("/",PasteHashtag!I61)-1)*1</f>
        <v>1.4</v>
      </c>
      <c r="U61" s="18"/>
      <c r="V61" s="18"/>
      <c r="W61" s="18"/>
      <c r="AB61" s="15" t="s">
        <v>99</v>
      </c>
    </row>
    <row r="62">
      <c r="A62" s="5">
        <v>61.0</v>
      </c>
      <c r="B62" s="5">
        <f>PasteHashtag!B62</f>
        <v>46.6</v>
      </c>
      <c r="C62" s="177" t="str">
        <f>PasteHashtag!C62</f>
        <v>Zion Williamson</v>
      </c>
      <c r="D62" s="5" t="str">
        <f>PasteHashtag!D62</f>
        <v>PF,C</v>
      </c>
      <c r="E62" s="5" t="str">
        <f>PasteHashtag!E62</f>
        <v>NO</v>
      </c>
      <c r="F62" s="5">
        <f>PasteHashtag!F62</f>
        <v>67</v>
      </c>
      <c r="G62" s="5">
        <f>PasteHashtag!G62</f>
        <v>32.1</v>
      </c>
      <c r="H62" s="5">
        <f>MID(PasteHashtag!H62,1+FIND("(",PasteHashtag!H62),FIND("/",PasteHashtag!H62)-FIND("(",PasteHashtag!H62)-1)*1</f>
        <v>8.8</v>
      </c>
      <c r="I62" s="5">
        <f>LEFT(PasteHashtag!H62,FIND("(",PasteHashtag!H62)-1)*1</f>
        <v>0.573</v>
      </c>
      <c r="J62" s="5">
        <f>MID(PasteHashtag!I62,1+FIND("(",PasteHashtag!I62),FIND("/",PasteHashtag!I62)-FIND("(",PasteHashtag!I62)-1)*1</f>
        <v>5</v>
      </c>
      <c r="K62" s="5">
        <f>LEFT(PasteHashtag!I62,FIND("(",PasteHashtag!I62)-1)*1</f>
        <v>0.714</v>
      </c>
      <c r="L62" s="5">
        <f>PasteHashtag!J62</f>
        <v>0.1</v>
      </c>
      <c r="M62" s="5">
        <f>PasteHashtag!K62</f>
        <v>22.8</v>
      </c>
      <c r="N62" s="5">
        <f>PasteHashtag!L62</f>
        <v>6.2</v>
      </c>
      <c r="O62" s="5">
        <f>PasteHashtag!M62</f>
        <v>5</v>
      </c>
      <c r="P62" s="5">
        <f>PasteHashtag!N62</f>
        <v>1.1</v>
      </c>
      <c r="Q62" s="5">
        <f>PasteHashtag!O62</f>
        <v>0.7</v>
      </c>
      <c r="R62" s="5">
        <f>PasteHashtag!P62</f>
        <v>3</v>
      </c>
      <c r="S62" s="5">
        <f>Mid(PasteHashtag!H62,FIND("/",PasteHashtag!H62)+1,LEN(PasteHashtag!H62)-FIND("/",PasteHashtag!H62)-1)*1</f>
        <v>15.4</v>
      </c>
      <c r="T62" s="178">
        <f>Mid(PasteHashtag!I62,FIND("/",PasteHashtag!I62)+1,LEN(PasteHashtag!I62)-FIND("/",PasteHashtag!I62)-1)*1</f>
        <v>7.1</v>
      </c>
      <c r="U62" s="18"/>
      <c r="V62" s="18"/>
      <c r="W62" s="18"/>
      <c r="AB62" s="15" t="s">
        <v>250</v>
      </c>
    </row>
    <row r="63">
      <c r="A63" s="5">
        <v>62.0</v>
      </c>
      <c r="B63" s="5">
        <f>PasteHashtag!B63</f>
        <v>48.3</v>
      </c>
      <c r="C63" s="177" t="str">
        <f>PasteHashtag!C63</f>
        <v>Pascal Siakam</v>
      </c>
      <c r="D63" s="5" t="str">
        <f>PasteHashtag!D63</f>
        <v>SF,PF</v>
      </c>
      <c r="E63" s="5" t="str">
        <f>PasteHashtag!E63</f>
        <v>IND</v>
      </c>
      <c r="F63" s="5">
        <f>PasteHashtag!F63</f>
        <v>74</v>
      </c>
      <c r="G63" s="5">
        <f>PasteHashtag!G63</f>
        <v>32</v>
      </c>
      <c r="H63" s="5">
        <f>MID(PasteHashtag!H63,1+FIND("(",PasteHashtag!H63),FIND("/",PasteHashtag!H63)-FIND("(",PasteHashtag!H63)-1)*1</f>
        <v>8.1</v>
      </c>
      <c r="I63" s="5">
        <f>LEFT(PasteHashtag!H63,FIND("(",PasteHashtag!H63)-1)*1</f>
        <v>0.539</v>
      </c>
      <c r="J63" s="5">
        <f>MID(PasteHashtag!I63,1+FIND("(",PasteHashtag!I63),FIND("/",PasteHashtag!I63)-FIND("(",PasteHashtag!I63)-1)*1</f>
        <v>3.8</v>
      </c>
      <c r="K63" s="5">
        <f>LEFT(PasteHashtag!I63,FIND("(",PasteHashtag!I63)-1)*1</f>
        <v>0.742</v>
      </c>
      <c r="L63" s="5">
        <f>PasteHashtag!J63</f>
        <v>1.1</v>
      </c>
      <c r="M63" s="5">
        <f>PasteHashtag!K63</f>
        <v>21.1</v>
      </c>
      <c r="N63" s="5">
        <f>PasteHashtag!L63</f>
        <v>7.5</v>
      </c>
      <c r="O63" s="5">
        <f>PasteHashtag!M63</f>
        <v>3.9</v>
      </c>
      <c r="P63" s="5">
        <f>PasteHashtag!N63</f>
        <v>0.8</v>
      </c>
      <c r="Q63" s="5">
        <f>PasteHashtag!O63</f>
        <v>0.4</v>
      </c>
      <c r="R63" s="5">
        <f>PasteHashtag!P63</f>
        <v>1.5</v>
      </c>
      <c r="S63" s="5">
        <f>Mid(PasteHashtag!H63,FIND("/",PasteHashtag!H63)+1,LEN(PasteHashtag!H63)-FIND("/",PasteHashtag!H63)-1)*1</f>
        <v>15</v>
      </c>
      <c r="T63" s="178">
        <f>Mid(PasteHashtag!I63,FIND("/",PasteHashtag!I63)+1,LEN(PasteHashtag!I63)-FIND("/",PasteHashtag!I63)-1)*1</f>
        <v>5.1</v>
      </c>
      <c r="U63" s="18"/>
      <c r="V63" s="18"/>
      <c r="W63" s="18"/>
      <c r="AB63" s="15" t="s">
        <v>237</v>
      </c>
    </row>
    <row r="64">
      <c r="A64" s="5">
        <v>63.0</v>
      </c>
      <c r="B64" s="5">
        <f>PasteHashtag!B64</f>
        <v>63</v>
      </c>
      <c r="C64" s="177" t="str">
        <f>PasteHashtag!C64</f>
        <v>Zach LaVine</v>
      </c>
      <c r="D64" s="5" t="str">
        <f>PasteHashtag!D64</f>
        <v>SG,SF</v>
      </c>
      <c r="E64" s="5" t="str">
        <f>PasteHashtag!E64</f>
        <v>CHI</v>
      </c>
      <c r="F64" s="5">
        <f>PasteHashtag!F64</f>
        <v>64</v>
      </c>
      <c r="G64" s="5">
        <f>PasteHashtag!G64</f>
        <v>34.4</v>
      </c>
      <c r="H64" s="5">
        <f>MID(PasteHashtag!H64,1+FIND("(",PasteHashtag!H64),FIND("/",PasteHashtag!H64)-FIND("(",PasteHashtag!H64)-1)*1</f>
        <v>7.5</v>
      </c>
      <c r="I64" s="5">
        <f>LEFT(PasteHashtag!H64,FIND("(",PasteHashtag!H64)-1)*1</f>
        <v>0.459</v>
      </c>
      <c r="J64" s="5">
        <f>MID(PasteHashtag!I64,1+FIND("(",PasteHashtag!I64),FIND("/",PasteHashtag!I64)-FIND("(",PasteHashtag!I64)-1)*1</f>
        <v>4.2</v>
      </c>
      <c r="K64" s="5">
        <f>LEFT(PasteHashtag!I64,FIND("(",PasteHashtag!I64)-1)*1</f>
        <v>0.845</v>
      </c>
      <c r="L64" s="5">
        <f>PasteHashtag!J64</f>
        <v>2.5</v>
      </c>
      <c r="M64" s="5">
        <f>PasteHashtag!K64</f>
        <v>21.6</v>
      </c>
      <c r="N64" s="5">
        <f>PasteHashtag!L64</f>
        <v>4.5</v>
      </c>
      <c r="O64" s="5">
        <f>PasteHashtag!M64</f>
        <v>4</v>
      </c>
      <c r="P64" s="5">
        <f>PasteHashtag!N64</f>
        <v>0.9</v>
      </c>
      <c r="Q64" s="5">
        <f>PasteHashtag!O64</f>
        <v>0.3</v>
      </c>
      <c r="R64" s="5">
        <f>PasteHashtag!P64</f>
        <v>2.3</v>
      </c>
      <c r="S64" s="5">
        <f>Mid(PasteHashtag!H64,FIND("/",PasteHashtag!H64)+1,LEN(PasteHashtag!H64)-FIND("/",PasteHashtag!H64)-1)*1</f>
        <v>16.3</v>
      </c>
      <c r="T64" s="178">
        <f>Mid(PasteHashtag!I64,FIND("/",PasteHashtag!I64)+1,LEN(PasteHashtag!I64)-FIND("/",PasteHashtag!I64)-1)*1</f>
        <v>5</v>
      </c>
      <c r="U64" s="18"/>
      <c r="V64" s="18"/>
      <c r="W64" s="18"/>
    </row>
    <row r="65">
      <c r="A65" s="5">
        <v>64.0</v>
      </c>
      <c r="B65" s="5">
        <f>PasteHashtag!B65</f>
        <v>86.4</v>
      </c>
      <c r="C65" s="177" t="str">
        <f>PasteHashtag!C65</f>
        <v>Jordan Poole</v>
      </c>
      <c r="D65" s="5" t="str">
        <f>PasteHashtag!D65</f>
        <v>PG,SG</v>
      </c>
      <c r="E65" s="5" t="str">
        <f>PasteHashtag!E65</f>
        <v>WAS</v>
      </c>
      <c r="F65" s="5">
        <f>PasteHashtag!F65</f>
        <v>77</v>
      </c>
      <c r="G65" s="5">
        <f>PasteHashtag!G65</f>
        <v>31.5</v>
      </c>
      <c r="H65" s="5">
        <f>MID(PasteHashtag!H65,1+FIND("(",PasteHashtag!H65),FIND("/",PasteHashtag!H65)-FIND("(",PasteHashtag!H65)-1)*1</f>
        <v>6.9</v>
      </c>
      <c r="I65" s="5">
        <f>LEFT(PasteHashtag!H65,FIND("(",PasteHashtag!H65)-1)*1</f>
        <v>0.422</v>
      </c>
      <c r="J65" s="5">
        <f>MID(PasteHashtag!I65,1+FIND("(",PasteHashtag!I65),FIND("/",PasteHashtag!I65)-FIND("(",PasteHashtag!I65)-1)*1</f>
        <v>3.7</v>
      </c>
      <c r="K65" s="5">
        <f>LEFT(PasteHashtag!I65,FIND("(",PasteHashtag!I65)-1)*1</f>
        <v>0.871</v>
      </c>
      <c r="L65" s="5">
        <f>PasteHashtag!J65</f>
        <v>2.6</v>
      </c>
      <c r="M65" s="5">
        <f>PasteHashtag!K65</f>
        <v>20.1</v>
      </c>
      <c r="N65" s="5">
        <f>PasteHashtag!L65</f>
        <v>2.9</v>
      </c>
      <c r="O65" s="5">
        <f>PasteHashtag!M65</f>
        <v>5.7</v>
      </c>
      <c r="P65" s="5">
        <f>PasteHashtag!N65</f>
        <v>1.1</v>
      </c>
      <c r="Q65" s="5">
        <f>PasteHashtag!O65</f>
        <v>0.3</v>
      </c>
      <c r="R65" s="5">
        <f>PasteHashtag!P65</f>
        <v>2.9</v>
      </c>
      <c r="S65" s="5">
        <f>Mid(PasteHashtag!H65,FIND("/",PasteHashtag!H65)+1,LEN(PasteHashtag!H65)-FIND("/",PasteHashtag!H65)-1)*1</f>
        <v>16.3</v>
      </c>
      <c r="T65" s="178">
        <f>Mid(PasteHashtag!I65,FIND("/",PasteHashtag!I65)+1,LEN(PasteHashtag!I65)-FIND("/",PasteHashtag!I65)-1)*1</f>
        <v>4.2</v>
      </c>
      <c r="U65" s="18"/>
      <c r="V65" s="18"/>
      <c r="W65" s="18"/>
    </row>
    <row r="66">
      <c r="A66" s="5">
        <v>65.0</v>
      </c>
      <c r="B66" s="5">
        <f>PasteHashtag!B66</f>
        <v>63.9</v>
      </c>
      <c r="C66" s="177" t="str">
        <f>PasteHashtag!C66</f>
        <v>Nicolas Claxton</v>
      </c>
      <c r="D66" s="5" t="str">
        <f>PasteHashtag!D66</f>
        <v>C</v>
      </c>
      <c r="E66" s="5" t="str">
        <f>PasteHashtag!E66</f>
        <v>BKN</v>
      </c>
      <c r="F66" s="5">
        <f>PasteHashtag!F66</f>
        <v>72</v>
      </c>
      <c r="G66" s="5">
        <f>PasteHashtag!G66</f>
        <v>30.1</v>
      </c>
      <c r="H66" s="5">
        <f>MID(PasteHashtag!H66,1+FIND("(",PasteHashtag!H66),FIND("/",PasteHashtag!H66)-FIND("(",PasteHashtag!H66)-1)*1</f>
        <v>5.4</v>
      </c>
      <c r="I66" s="5">
        <f>LEFT(PasteHashtag!H66,FIND("(",PasteHashtag!H66)-1)*1</f>
        <v>0.621</v>
      </c>
      <c r="J66" s="5">
        <f>MID(PasteHashtag!I66,1+FIND("(",PasteHashtag!I66),FIND("/",PasteHashtag!I66)-FIND("(",PasteHashtag!I66)-1)*1</f>
        <v>1.7</v>
      </c>
      <c r="K66" s="5">
        <f>LEFT(PasteHashtag!I66,FIND("(",PasteHashtag!I66)-1)*1</f>
        <v>0.555</v>
      </c>
      <c r="L66" s="5">
        <f>PasteHashtag!J66</f>
        <v>0</v>
      </c>
      <c r="M66" s="5">
        <f>PasteHashtag!K66</f>
        <v>12.5</v>
      </c>
      <c r="N66" s="5">
        <f>PasteHashtag!L66</f>
        <v>9.8</v>
      </c>
      <c r="O66" s="5">
        <f>PasteHashtag!M66</f>
        <v>2</v>
      </c>
      <c r="P66" s="5">
        <f>PasteHashtag!N66</f>
        <v>0.8</v>
      </c>
      <c r="Q66" s="5">
        <f>PasteHashtag!O66</f>
        <v>2.2</v>
      </c>
      <c r="R66" s="5">
        <f>PasteHashtag!P66</f>
        <v>1.3</v>
      </c>
      <c r="S66" s="5">
        <f>Mid(PasteHashtag!H66,FIND("/",PasteHashtag!H66)+1,LEN(PasteHashtag!H66)-FIND("/",PasteHashtag!H66)-1)*1</f>
        <v>8.7</v>
      </c>
      <c r="T66" s="178">
        <f>Mid(PasteHashtag!I66,FIND("/",PasteHashtag!I66)+1,LEN(PasteHashtag!I66)-FIND("/",PasteHashtag!I66)-1)*1</f>
        <v>3</v>
      </c>
      <c r="U66" s="18"/>
      <c r="V66" s="18"/>
      <c r="W66" s="18"/>
    </row>
    <row r="67">
      <c r="A67" s="5">
        <v>66.0</v>
      </c>
      <c r="B67" s="5">
        <f>PasteHashtag!B67</f>
        <v>58.2</v>
      </c>
      <c r="C67" s="177" t="str">
        <f>PasteHashtag!C67</f>
        <v>Miles Bridges</v>
      </c>
      <c r="D67" s="5" t="str">
        <f>PasteHashtag!D67</f>
        <v>SF,PF</v>
      </c>
      <c r="E67" s="5" t="str">
        <f>PasteHashtag!E67</f>
        <v>CHA</v>
      </c>
      <c r="F67" s="5">
        <f>PasteHashtag!F67</f>
        <v>73</v>
      </c>
      <c r="G67" s="5">
        <f>PasteHashtag!G67</f>
        <v>36.2</v>
      </c>
      <c r="H67" s="5">
        <f>MID(PasteHashtag!H67,1+FIND("(",PasteHashtag!H67),FIND("/",PasteHashtag!H67)-FIND("(",PasteHashtag!H67)-1)*1</f>
        <v>7.7</v>
      </c>
      <c r="I67" s="5">
        <f>LEFT(PasteHashtag!H67,FIND("(",PasteHashtag!H67)-1)*1</f>
        <v>0.462</v>
      </c>
      <c r="J67" s="5">
        <f>MID(PasteHashtag!I67,1+FIND("(",PasteHashtag!I67),FIND("/",PasteHashtag!I67)-FIND("(",PasteHashtag!I67)-1)*1</f>
        <v>2.4</v>
      </c>
      <c r="K67" s="5">
        <f>LEFT(PasteHashtag!I67,FIND("(",PasteHashtag!I67)-1)*1</f>
        <v>0.824</v>
      </c>
      <c r="L67" s="5">
        <f>PasteHashtag!J67</f>
        <v>2.2</v>
      </c>
      <c r="M67" s="5">
        <f>PasteHashtag!K67</f>
        <v>19.8</v>
      </c>
      <c r="N67" s="5">
        <f>PasteHashtag!L67</f>
        <v>6.9</v>
      </c>
      <c r="O67" s="5">
        <f>PasteHashtag!M67</f>
        <v>3.2</v>
      </c>
      <c r="P67" s="5">
        <f>PasteHashtag!N67</f>
        <v>0.9</v>
      </c>
      <c r="Q67" s="5">
        <f>PasteHashtag!O67</f>
        <v>0.5</v>
      </c>
      <c r="R67" s="5">
        <f>PasteHashtag!P67</f>
        <v>1.9</v>
      </c>
      <c r="S67" s="5">
        <f>Mid(PasteHashtag!H67,FIND("/",PasteHashtag!H67)+1,LEN(PasteHashtag!H67)-FIND("/",PasteHashtag!H67)-1)*1</f>
        <v>16.6</v>
      </c>
      <c r="T67" s="178">
        <f>Mid(PasteHashtag!I67,FIND("/",PasteHashtag!I67)+1,LEN(PasteHashtag!I67)-FIND("/",PasteHashtag!I67)-1)*1</f>
        <v>2.9</v>
      </c>
      <c r="U67" s="18"/>
      <c r="V67" s="18"/>
      <c r="W67" s="18"/>
    </row>
    <row r="68">
      <c r="A68" s="5">
        <v>67.0</v>
      </c>
      <c r="B68" s="5">
        <f>PasteHashtag!B68</f>
        <v>78</v>
      </c>
      <c r="C68" s="177" t="str">
        <f>PasteHashtag!C68</f>
        <v>Tyler Herro</v>
      </c>
      <c r="D68" s="5" t="str">
        <f>PasteHashtag!D68</f>
        <v>PG,SG</v>
      </c>
      <c r="E68" s="5" t="str">
        <f>PasteHashtag!E68</f>
        <v>MIA</v>
      </c>
      <c r="F68" s="5">
        <f>PasteHashtag!F68</f>
        <v>67</v>
      </c>
      <c r="G68" s="5">
        <f>PasteHashtag!G68</f>
        <v>33.6</v>
      </c>
      <c r="H68" s="5">
        <f>MID(PasteHashtag!H68,1+FIND("(",PasteHashtag!H68),FIND("/",PasteHashtag!H68)-FIND("(",PasteHashtag!H68)-1)*1</f>
        <v>7.4</v>
      </c>
      <c r="I68" s="5">
        <f>LEFT(PasteHashtag!H68,FIND("(",PasteHashtag!H68)-1)*1</f>
        <v>0.44</v>
      </c>
      <c r="J68" s="5">
        <f>MID(PasteHashtag!I68,1+FIND("(",PasteHashtag!I68),FIND("/",PasteHashtag!I68)-FIND("(",PasteHashtag!I68)-1)*1</f>
        <v>2.4</v>
      </c>
      <c r="K68" s="5">
        <f>LEFT(PasteHashtag!I68,FIND("(",PasteHashtag!I68)-1)*1</f>
        <v>0.903</v>
      </c>
      <c r="L68" s="5">
        <f>PasteHashtag!J68</f>
        <v>3.1</v>
      </c>
      <c r="M68" s="5">
        <f>PasteHashtag!K68</f>
        <v>20.2</v>
      </c>
      <c r="N68" s="5">
        <f>PasteHashtag!L68</f>
        <v>5.3</v>
      </c>
      <c r="O68" s="5">
        <f>PasteHashtag!M68</f>
        <v>4.3</v>
      </c>
      <c r="P68" s="5">
        <f>PasteHashtag!N68</f>
        <v>0.7</v>
      </c>
      <c r="Q68" s="5">
        <f>PasteHashtag!O68</f>
        <v>0.2</v>
      </c>
      <c r="R68" s="5">
        <f>PasteHashtag!P68</f>
        <v>2.3</v>
      </c>
      <c r="S68" s="5">
        <f>Mid(PasteHashtag!H68,FIND("/",PasteHashtag!H68)+1,LEN(PasteHashtag!H68)-FIND("/",PasteHashtag!H68)-1)*1</f>
        <v>16.8</v>
      </c>
      <c r="T68" s="178">
        <f>Mid(PasteHashtag!I68,FIND("/",PasteHashtag!I68)+1,LEN(PasteHashtag!I68)-FIND("/",PasteHashtag!I68)-1)*1</f>
        <v>2.7</v>
      </c>
      <c r="U68" s="18"/>
      <c r="V68" s="18"/>
      <c r="W68" s="18"/>
    </row>
    <row r="69">
      <c r="A69" s="5">
        <v>68.0</v>
      </c>
      <c r="B69" s="5">
        <f>PasteHashtag!B69</f>
        <v>96.7</v>
      </c>
      <c r="C69" s="177" t="str">
        <f>PasteHashtag!C69</f>
        <v>Trey Murphy III</v>
      </c>
      <c r="D69" s="5" t="str">
        <f>PasteHashtag!D69</f>
        <v>SF,PF</v>
      </c>
      <c r="E69" s="5" t="str">
        <f>PasteHashtag!E69</f>
        <v>NO</v>
      </c>
      <c r="F69" s="5">
        <f>PasteHashtag!F69</f>
        <v>62</v>
      </c>
      <c r="G69" s="5">
        <f>PasteHashtag!G69</f>
        <v>30</v>
      </c>
      <c r="H69" s="5">
        <f>MID(PasteHashtag!H69,1+FIND("(",PasteHashtag!H69),FIND("/",PasteHashtag!H69)-FIND("(",PasteHashtag!H69)-1)*1</f>
        <v>5</v>
      </c>
      <c r="I69" s="5">
        <f>LEFT(PasteHashtag!H69,FIND("(",PasteHashtag!H69)-1)*1</f>
        <v>0.455</v>
      </c>
      <c r="J69" s="5">
        <f>MID(PasteHashtag!I69,1+FIND("(",PasteHashtag!I69),FIND("/",PasteHashtag!I69)-FIND("(",PasteHashtag!I69)-1)*1</f>
        <v>2.3</v>
      </c>
      <c r="K69" s="5">
        <f>LEFT(PasteHashtag!I69,FIND("(",PasteHashtag!I69)-1)*1</f>
        <v>0.864</v>
      </c>
      <c r="L69" s="5">
        <f>PasteHashtag!J69</f>
        <v>2.9</v>
      </c>
      <c r="M69" s="5">
        <f>PasteHashtag!K69</f>
        <v>15.1</v>
      </c>
      <c r="N69" s="5">
        <f>PasteHashtag!L69</f>
        <v>4.3</v>
      </c>
      <c r="O69" s="5">
        <f>PasteHashtag!M69</f>
        <v>1.8</v>
      </c>
      <c r="P69" s="5">
        <f>PasteHashtag!N69</f>
        <v>1.1</v>
      </c>
      <c r="Q69" s="5">
        <f>PasteHashtag!O69</f>
        <v>0.6</v>
      </c>
      <c r="R69" s="5">
        <f>PasteHashtag!P69</f>
        <v>0.7</v>
      </c>
      <c r="S69" s="5">
        <f>Mid(PasteHashtag!H69,FIND("/",PasteHashtag!H69)+1,LEN(PasteHashtag!H69)-FIND("/",PasteHashtag!H69)-1)*1</f>
        <v>11</v>
      </c>
      <c r="T69" s="178">
        <f>Mid(PasteHashtag!I69,FIND("/",PasteHashtag!I69)+1,LEN(PasteHashtag!I69)-FIND("/",PasteHashtag!I69)-1)*1</f>
        <v>2.6</v>
      </c>
      <c r="U69" s="18"/>
      <c r="V69" s="18"/>
      <c r="W69" s="18"/>
    </row>
    <row r="70">
      <c r="A70" s="5">
        <v>69.0</v>
      </c>
      <c r="B70" s="5">
        <f>PasteHashtag!B70</f>
        <v>76.4</v>
      </c>
      <c r="C70" s="177" t="str">
        <f>PasteHashtag!C70</f>
        <v>Isaiah Hartenstein</v>
      </c>
      <c r="D70" s="5" t="str">
        <f>PasteHashtag!D70</f>
        <v>C</v>
      </c>
      <c r="E70" s="5" t="str">
        <f>PasteHashtag!E70</f>
        <v>OKC</v>
      </c>
      <c r="F70" s="5">
        <f>PasteHashtag!F70</f>
        <v>50</v>
      </c>
      <c r="G70" s="5">
        <f>PasteHashtag!G70</f>
        <v>27.9</v>
      </c>
      <c r="H70" s="5">
        <f>MID(PasteHashtag!H70,1+FIND("(",PasteHashtag!H70),FIND("/",PasteHashtag!H70)-FIND("(",PasteHashtag!H70)-1)*1</f>
        <v>3.6</v>
      </c>
      <c r="I70" s="5">
        <f>LEFT(PasteHashtag!H70,FIND("(",PasteHashtag!H70)-1)*1</f>
        <v>0.621</v>
      </c>
      <c r="J70" s="5">
        <f>MID(PasteHashtag!I70,1+FIND("(",PasteHashtag!I70),FIND("/",PasteHashtag!I70)-FIND("(",PasteHashtag!I70)-1)*1</f>
        <v>1.3</v>
      </c>
      <c r="K70" s="5">
        <f>LEFT(PasteHashtag!I70,FIND("(",PasteHashtag!I70)-1)*1</f>
        <v>0.7</v>
      </c>
      <c r="L70" s="5">
        <f>PasteHashtag!J70</f>
        <v>0.1</v>
      </c>
      <c r="M70" s="5">
        <f>PasteHashtag!K70</f>
        <v>8.7</v>
      </c>
      <c r="N70" s="5">
        <f>PasteHashtag!L70</f>
        <v>9</v>
      </c>
      <c r="O70" s="5">
        <f>PasteHashtag!M70</f>
        <v>2.4</v>
      </c>
      <c r="P70" s="5">
        <f>PasteHashtag!N70</f>
        <v>1.1</v>
      </c>
      <c r="Q70" s="5">
        <f>PasteHashtag!O70</f>
        <v>1.2</v>
      </c>
      <c r="R70" s="5">
        <f>PasteHashtag!P70</f>
        <v>1.3</v>
      </c>
      <c r="S70" s="5">
        <f>Mid(PasteHashtag!H70,FIND("/",PasteHashtag!H70)+1,LEN(PasteHashtag!H70)-FIND("/",PasteHashtag!H70)-1)*1</f>
        <v>5.9</v>
      </c>
      <c r="T70" s="178">
        <f>Mid(PasteHashtag!I70,FIND("/",PasteHashtag!I70)+1,LEN(PasteHashtag!I70)-FIND("/",PasteHashtag!I70)-1)*1</f>
        <v>1.9</v>
      </c>
      <c r="U70" s="18"/>
      <c r="V70" s="18"/>
      <c r="W70" s="18"/>
    </row>
    <row r="71">
      <c r="A71" s="5">
        <v>70.0</v>
      </c>
      <c r="B71" s="5">
        <f>PasteHashtag!B71</f>
        <v>93.2</v>
      </c>
      <c r="C71" s="177" t="str">
        <f>PasteHashtag!C71</f>
        <v>Walker Kessler</v>
      </c>
      <c r="D71" s="5" t="str">
        <f>PasteHashtag!D71</f>
        <v>C</v>
      </c>
      <c r="E71" s="5" t="str">
        <f>PasteHashtag!E71</f>
        <v>UTA</v>
      </c>
      <c r="F71" s="5">
        <f>PasteHashtag!F71</f>
        <v>69</v>
      </c>
      <c r="G71" s="5">
        <f>PasteHashtag!G71</f>
        <v>26.1</v>
      </c>
      <c r="H71" s="5">
        <f>MID(PasteHashtag!H71,1+FIND("(",PasteHashtag!H71),FIND("/",PasteHashtag!H71)-FIND("(",PasteHashtag!H71)-1)*1</f>
        <v>4.2</v>
      </c>
      <c r="I71" s="5">
        <f>LEFT(PasteHashtag!H71,FIND("(",PasteHashtag!H71)-1)*1</f>
        <v>0.662</v>
      </c>
      <c r="J71" s="5">
        <f>MID(PasteHashtag!I71,1+FIND("(",PasteHashtag!I71),FIND("/",PasteHashtag!I71)-FIND("(",PasteHashtag!I71)-1)*1</f>
        <v>1.1</v>
      </c>
      <c r="K71" s="5">
        <f>LEFT(PasteHashtag!I71,FIND("(",PasteHashtag!I71)-1)*1</f>
        <v>0.577</v>
      </c>
      <c r="L71" s="5">
        <f>PasteHashtag!J71</f>
        <v>0</v>
      </c>
      <c r="M71" s="5">
        <f>PasteHashtag!K71</f>
        <v>9.5</v>
      </c>
      <c r="N71" s="5">
        <f>PasteHashtag!L71</f>
        <v>8.7</v>
      </c>
      <c r="O71" s="5">
        <f>PasteHashtag!M71</f>
        <v>1</v>
      </c>
      <c r="P71" s="5">
        <f>PasteHashtag!N71</f>
        <v>0.4</v>
      </c>
      <c r="Q71" s="5">
        <f>PasteHashtag!O71</f>
        <v>2.5</v>
      </c>
      <c r="R71" s="5">
        <f>PasteHashtag!P71</f>
        <v>1</v>
      </c>
      <c r="S71" s="5">
        <f>Mid(PasteHashtag!H71,FIND("/",PasteHashtag!H71)+1,LEN(PasteHashtag!H71)-FIND("/",PasteHashtag!H71)-1)*1</f>
        <v>6.3</v>
      </c>
      <c r="T71" s="178">
        <f>Mid(PasteHashtag!I71,FIND("/",PasteHashtag!I71)+1,LEN(PasteHashtag!I71)-FIND("/",PasteHashtag!I71)-1)*1</f>
        <v>1.9</v>
      </c>
      <c r="U71" s="18"/>
      <c r="V71" s="18"/>
      <c r="W71" s="18"/>
    </row>
    <row r="72">
      <c r="A72" s="5">
        <v>71.0</v>
      </c>
      <c r="B72" s="5">
        <f>PasteHashtag!B72</f>
        <v>54.7</v>
      </c>
      <c r="C72" s="177" t="str">
        <f>PasteHashtag!C72</f>
        <v>Mikal Bridges</v>
      </c>
      <c r="D72" s="5" t="str">
        <f>PasteHashtag!D72</f>
        <v>SG,SF,PF</v>
      </c>
      <c r="E72" s="5" t="str">
        <f>PasteHashtag!E72</f>
        <v>NY</v>
      </c>
      <c r="F72" s="5">
        <f>PasteHashtag!F72</f>
        <v>78</v>
      </c>
      <c r="G72" s="5">
        <f>PasteHashtag!G72</f>
        <v>34</v>
      </c>
      <c r="H72" s="5">
        <f>MID(PasteHashtag!H72,1+FIND("(",PasteHashtag!H72),FIND("/",PasteHashtag!H72)-FIND("(",PasteHashtag!H72)-1)*1</f>
        <v>5.5</v>
      </c>
      <c r="I72" s="5">
        <f>LEFT(PasteHashtag!H72,FIND("(",PasteHashtag!H72)-1)*1</f>
        <v>0.454</v>
      </c>
      <c r="J72" s="5">
        <f>MID(PasteHashtag!I72,1+FIND("(",PasteHashtag!I72),FIND("/",PasteHashtag!I72)-FIND("(",PasteHashtag!I72)-1)*1</f>
        <v>2.7</v>
      </c>
      <c r="K72" s="5">
        <f>LEFT(PasteHashtag!I72,FIND("(",PasteHashtag!I72)-1)*1</f>
        <v>0.827</v>
      </c>
      <c r="L72" s="5">
        <f>PasteHashtag!J72</f>
        <v>2.4</v>
      </c>
      <c r="M72" s="5">
        <f>PasteHashtag!K72</f>
        <v>16</v>
      </c>
      <c r="N72" s="5">
        <f>PasteHashtag!L72</f>
        <v>4.1</v>
      </c>
      <c r="O72" s="5">
        <f>PasteHashtag!M72</f>
        <v>3.2</v>
      </c>
      <c r="P72" s="5">
        <f>PasteHashtag!N72</f>
        <v>1.1</v>
      </c>
      <c r="Q72" s="5">
        <f>PasteHashtag!O72</f>
        <v>0.7</v>
      </c>
      <c r="R72" s="5">
        <f>PasteHashtag!P72</f>
        <v>1.6</v>
      </c>
      <c r="S72" s="5">
        <f>Mid(PasteHashtag!H72,FIND("/",PasteHashtag!H72)+1,LEN(PasteHashtag!H72)-FIND("/",PasteHashtag!H72)-1)*1</f>
        <v>12</v>
      </c>
      <c r="T72" s="178">
        <f>Mid(PasteHashtag!I72,FIND("/",PasteHashtag!I72)+1,LEN(PasteHashtag!I72)-FIND("/",PasteHashtag!I72)-1)*1</f>
        <v>3.2</v>
      </c>
      <c r="U72" s="18"/>
      <c r="V72" s="18"/>
      <c r="W72" s="18"/>
    </row>
    <row r="73">
      <c r="A73" s="5">
        <v>72.0</v>
      </c>
      <c r="B73" s="5">
        <f>PasteHashtag!B73</f>
        <v>69.9</v>
      </c>
      <c r="C73" s="177" t="str">
        <f>PasteHashtag!C73</f>
        <v>Brandon Ingram</v>
      </c>
      <c r="D73" s="5" t="str">
        <f>PasteHashtag!D73</f>
        <v>SG,SF,PF</v>
      </c>
      <c r="E73" s="5" t="str">
        <f>PasteHashtag!E73</f>
        <v>NO</v>
      </c>
      <c r="F73" s="5">
        <f>PasteHashtag!F73</f>
        <v>60</v>
      </c>
      <c r="G73" s="5">
        <f>PasteHashtag!G73</f>
        <v>31.8</v>
      </c>
      <c r="H73" s="5">
        <f>MID(PasteHashtag!H73,1+FIND("(",PasteHashtag!H73),FIND("/",PasteHashtag!H73)-FIND("(",PasteHashtag!H73)-1)*1</f>
        <v>7.5</v>
      </c>
      <c r="I73" s="5">
        <f>LEFT(PasteHashtag!H73,FIND("(",PasteHashtag!H73)-1)*1</f>
        <v>0.492</v>
      </c>
      <c r="J73" s="5">
        <f>MID(PasteHashtag!I73,1+FIND("(",PasteHashtag!I73),FIND("/",PasteHashtag!I73)-FIND("(",PasteHashtag!I73)-1)*1</f>
        <v>3.8</v>
      </c>
      <c r="K73" s="5">
        <f>LEFT(PasteHashtag!I73,FIND("(",PasteHashtag!I73)-1)*1</f>
        <v>0.812</v>
      </c>
      <c r="L73" s="5">
        <f>PasteHashtag!J73</f>
        <v>1.3</v>
      </c>
      <c r="M73" s="5">
        <f>PasteHashtag!K73</f>
        <v>20.1</v>
      </c>
      <c r="N73" s="5">
        <f>PasteHashtag!L73</f>
        <v>4.8</v>
      </c>
      <c r="O73" s="5">
        <f>PasteHashtag!M73</f>
        <v>4.6</v>
      </c>
      <c r="P73" s="5">
        <f>PasteHashtag!N73</f>
        <v>0.8</v>
      </c>
      <c r="Q73" s="5">
        <f>PasteHashtag!O73</f>
        <v>0.6</v>
      </c>
      <c r="R73" s="5">
        <f>PasteHashtag!P73</f>
        <v>2.3</v>
      </c>
      <c r="S73" s="5">
        <f>Mid(PasteHashtag!H73,FIND("/",PasteHashtag!H73)+1,LEN(PasteHashtag!H73)-FIND("/",PasteHashtag!H73)-1)*1</f>
        <v>15.3</v>
      </c>
      <c r="T73" s="178">
        <f>Mid(PasteHashtag!I73,FIND("/",PasteHashtag!I73)+1,LEN(PasteHashtag!I73)-FIND("/",PasteHashtag!I73)-1)*1</f>
        <v>4.7</v>
      </c>
      <c r="U73" s="18"/>
      <c r="V73" s="18"/>
      <c r="W73" s="18"/>
    </row>
    <row r="74">
      <c r="A74" s="5">
        <v>73.0</v>
      </c>
      <c r="B74" s="5">
        <f>PasteHashtag!B74</f>
        <v>82</v>
      </c>
      <c r="C74" s="177" t="str">
        <f>PasteHashtag!C74</f>
        <v>Devin Vassell</v>
      </c>
      <c r="D74" s="5" t="str">
        <f>PasteHashtag!D74</f>
        <v>SG,SF</v>
      </c>
      <c r="E74" s="5" t="str">
        <f>PasteHashtag!E74</f>
        <v>SA</v>
      </c>
      <c r="F74" s="5">
        <f>PasteHashtag!F74</f>
        <v>58</v>
      </c>
      <c r="G74" s="5">
        <f>PasteHashtag!G74</f>
        <v>32.5</v>
      </c>
      <c r="H74" s="5">
        <f>MID(PasteHashtag!H74,1+FIND("(",PasteHashtag!H74),FIND("/",PasteHashtag!H74)-FIND("(",PasteHashtag!H74)-1)*1</f>
        <v>7.3</v>
      </c>
      <c r="I74" s="5">
        <f>LEFT(PasteHashtag!H74,FIND("(",PasteHashtag!H74)-1)*1</f>
        <v>0.46</v>
      </c>
      <c r="J74" s="5">
        <f>MID(PasteHashtag!I74,1+FIND("(",PasteHashtag!I74),FIND("/",PasteHashtag!I74)-FIND("(",PasteHashtag!I74)-1)*1</f>
        <v>2.3</v>
      </c>
      <c r="K74" s="5">
        <f>LEFT(PasteHashtag!I74,FIND("(",PasteHashtag!I74)-1)*1</f>
        <v>0.801</v>
      </c>
      <c r="L74" s="5">
        <f>PasteHashtag!J74</f>
        <v>2.6</v>
      </c>
      <c r="M74" s="5">
        <f>PasteHashtag!K74</f>
        <v>19.4</v>
      </c>
      <c r="N74" s="5">
        <f>PasteHashtag!L74</f>
        <v>3.9</v>
      </c>
      <c r="O74" s="5">
        <f>PasteHashtag!M74</f>
        <v>4</v>
      </c>
      <c r="P74" s="5">
        <f>PasteHashtag!N74</f>
        <v>1.1</v>
      </c>
      <c r="Q74" s="5">
        <f>PasteHashtag!O74</f>
        <v>0.4</v>
      </c>
      <c r="R74" s="5">
        <f>PasteHashtag!P74</f>
        <v>1.6</v>
      </c>
      <c r="S74" s="5">
        <f>Mid(PasteHashtag!H74,FIND("/",PasteHashtag!H74)+1,LEN(PasteHashtag!H74)-FIND("/",PasteHashtag!H74)-1)*1</f>
        <v>15.8</v>
      </c>
      <c r="T74" s="178">
        <f>Mid(PasteHashtag!I74,FIND("/",PasteHashtag!I74)+1,LEN(PasteHashtag!I74)-FIND("/",PasteHashtag!I74)-1)*1</f>
        <v>2.9</v>
      </c>
      <c r="U74" s="18"/>
      <c r="V74" s="18"/>
      <c r="W74" s="18"/>
    </row>
    <row r="75">
      <c r="A75" s="5">
        <v>74.0</v>
      </c>
      <c r="B75" s="5">
        <f>PasteHashtag!B75</f>
        <v>79.7</v>
      </c>
      <c r="C75" s="177" t="str">
        <f>PasteHashtag!C75</f>
        <v>Anfernee Simons</v>
      </c>
      <c r="D75" s="5" t="str">
        <f>PasteHashtag!D75</f>
        <v>PG,SG</v>
      </c>
      <c r="E75" s="5" t="str">
        <f>PasteHashtag!E75</f>
        <v>POR</v>
      </c>
      <c r="F75" s="5">
        <f>PasteHashtag!F75</f>
        <v>60</v>
      </c>
      <c r="G75" s="5">
        <f>PasteHashtag!G75</f>
        <v>33.9</v>
      </c>
      <c r="H75" s="5">
        <f>MID(PasteHashtag!H75,1+FIND("(",PasteHashtag!H75),FIND("/",PasteHashtag!H75)-FIND("(",PasteHashtag!H75)-1)*1</f>
        <v>7.6</v>
      </c>
      <c r="I75" s="5">
        <f>LEFT(PasteHashtag!H75,FIND("(",PasteHashtag!H75)-1)*1</f>
        <v>0.44</v>
      </c>
      <c r="J75" s="5">
        <f>MID(PasteHashtag!I75,1+FIND("(",PasteHashtag!I75),FIND("/",PasteHashtag!I75)-FIND("(",PasteHashtag!I75)-1)*1</f>
        <v>3</v>
      </c>
      <c r="K75" s="5">
        <f>LEFT(PasteHashtag!I75,FIND("(",PasteHashtag!I75)-1)*1</f>
        <v>0.905</v>
      </c>
      <c r="L75" s="5">
        <f>PasteHashtag!J75</f>
        <v>3.4</v>
      </c>
      <c r="M75" s="5">
        <f>PasteHashtag!K75</f>
        <v>21.4</v>
      </c>
      <c r="N75" s="5">
        <f>PasteHashtag!L75</f>
        <v>3</v>
      </c>
      <c r="O75" s="5">
        <f>PasteHashtag!M75</f>
        <v>4.9</v>
      </c>
      <c r="P75" s="5">
        <f>PasteHashtag!N75</f>
        <v>0.6</v>
      </c>
      <c r="Q75" s="5">
        <f>PasteHashtag!O75</f>
        <v>0.2</v>
      </c>
      <c r="R75" s="5">
        <f>PasteHashtag!P75</f>
        <v>2.3</v>
      </c>
      <c r="S75" s="5">
        <f>Mid(PasteHashtag!H75,FIND("/",PasteHashtag!H75)+1,LEN(PasteHashtag!H75)-FIND("/",PasteHashtag!H75)-1)*1</f>
        <v>17.2</v>
      </c>
      <c r="T75" s="178">
        <f>Mid(PasteHashtag!I75,FIND("/",PasteHashtag!I75)+1,LEN(PasteHashtag!I75)-FIND("/",PasteHashtag!I75)-1)*1</f>
        <v>3.3</v>
      </c>
      <c r="U75" s="18"/>
      <c r="V75" s="18"/>
      <c r="W75" s="18"/>
    </row>
    <row r="76">
      <c r="A76" s="5">
        <v>75.0</v>
      </c>
      <c r="B76" s="5">
        <f>PasteHashtag!B76</f>
        <v>108.3</v>
      </c>
      <c r="C76" s="177" t="str">
        <f>PasteHashtag!C76</f>
        <v>Dereck Lively II</v>
      </c>
      <c r="D76" s="5" t="str">
        <f>PasteHashtag!D76</f>
        <v>C</v>
      </c>
      <c r="E76" s="5" t="str">
        <f>PasteHashtag!E76</f>
        <v>DAL</v>
      </c>
      <c r="F76" s="5">
        <f>PasteHashtag!F76</f>
        <v>67</v>
      </c>
      <c r="G76" s="5">
        <f>PasteHashtag!G76</f>
        <v>25.8</v>
      </c>
      <c r="H76" s="5">
        <f>MID(PasteHashtag!H76,1+FIND("(",PasteHashtag!H76),FIND("/",PasteHashtag!H76)-FIND("(",PasteHashtag!H76)-1)*1</f>
        <v>4.7</v>
      </c>
      <c r="I76" s="5">
        <f>LEFT(PasteHashtag!H76,FIND("(",PasteHashtag!H76)-1)*1</f>
        <v>0.738</v>
      </c>
      <c r="J76" s="5">
        <f>MID(PasteHashtag!I76,1+FIND("(",PasteHashtag!I76),FIND("/",PasteHashtag!I76)-FIND("(",PasteHashtag!I76)-1)*1</f>
        <v>0.8</v>
      </c>
      <c r="K76" s="5">
        <f>LEFT(PasteHashtag!I76,FIND("(",PasteHashtag!I76)-1)*1</f>
        <v>0.535</v>
      </c>
      <c r="L76" s="5">
        <f>PasteHashtag!J76</f>
        <v>0</v>
      </c>
      <c r="M76" s="5">
        <f>PasteHashtag!K76</f>
        <v>10.1</v>
      </c>
      <c r="N76" s="5">
        <f>PasteHashtag!L76</f>
        <v>7.9</v>
      </c>
      <c r="O76" s="5">
        <f>PasteHashtag!M76</f>
        <v>1.5</v>
      </c>
      <c r="P76" s="5">
        <f>PasteHashtag!N76</f>
        <v>0.8</v>
      </c>
      <c r="Q76" s="5">
        <f>PasteHashtag!O76</f>
        <v>1.6</v>
      </c>
      <c r="R76" s="5">
        <f>PasteHashtag!P76</f>
        <v>1</v>
      </c>
      <c r="S76" s="5">
        <f>Mid(PasteHashtag!H76,FIND("/",PasteHashtag!H76)+1,LEN(PasteHashtag!H76)-FIND("/",PasteHashtag!H76)-1)*1</f>
        <v>6.3</v>
      </c>
      <c r="T76" s="178">
        <f>Mid(PasteHashtag!I76,FIND("/",PasteHashtag!I76)+1,LEN(PasteHashtag!I76)-FIND("/",PasteHashtag!I76)-1)*1</f>
        <v>1.6</v>
      </c>
      <c r="U76" s="18"/>
      <c r="V76" s="18"/>
      <c r="W76" s="18"/>
    </row>
    <row r="77">
      <c r="A77" s="5">
        <v>76.0</v>
      </c>
      <c r="B77" s="5">
        <f>PasteHashtag!B77</f>
        <v>94.9</v>
      </c>
      <c r="C77" s="177" t="str">
        <f>PasteHashtag!C77</f>
        <v>Collin Sexton</v>
      </c>
      <c r="D77" s="5" t="str">
        <f>PasteHashtag!D77</f>
        <v>PG,SG</v>
      </c>
      <c r="E77" s="5" t="str">
        <f>PasteHashtag!E77</f>
        <v>UTA</v>
      </c>
      <c r="F77" s="5">
        <f>PasteHashtag!F77</f>
        <v>70</v>
      </c>
      <c r="G77" s="5">
        <f>PasteHashtag!G77</f>
        <v>30.7</v>
      </c>
      <c r="H77" s="5">
        <f>MID(PasteHashtag!H77,1+FIND("(",PasteHashtag!H77),FIND("/",PasteHashtag!H77)-FIND("(",PasteHashtag!H77)-1)*1</f>
        <v>6.9</v>
      </c>
      <c r="I77" s="5">
        <f>LEFT(PasteHashtag!H77,FIND("(",PasteHashtag!H77)-1)*1</f>
        <v>0.487</v>
      </c>
      <c r="J77" s="5">
        <f>MID(PasteHashtag!I77,1+FIND("(",PasteHashtag!I77),FIND("/",PasteHashtag!I77)-FIND("(",PasteHashtag!I77)-1)*1</f>
        <v>4.5</v>
      </c>
      <c r="K77" s="5">
        <f>LEFT(PasteHashtag!I77,FIND("(",PasteHashtag!I77)-1)*1</f>
        <v>0.843</v>
      </c>
      <c r="L77" s="5">
        <f>PasteHashtag!J77</f>
        <v>1.7</v>
      </c>
      <c r="M77" s="5">
        <f>PasteHashtag!K77</f>
        <v>20</v>
      </c>
      <c r="N77" s="5">
        <f>PasteHashtag!L77</f>
        <v>2.9</v>
      </c>
      <c r="O77" s="5">
        <f>PasteHashtag!M77</f>
        <v>4.9</v>
      </c>
      <c r="P77" s="5">
        <f>PasteHashtag!N77</f>
        <v>0.8</v>
      </c>
      <c r="Q77" s="5">
        <f>PasteHashtag!O77</f>
        <v>0.2</v>
      </c>
      <c r="R77" s="5">
        <f>PasteHashtag!P77</f>
        <v>2.4</v>
      </c>
      <c r="S77" s="5">
        <f>Mid(PasteHashtag!H77,FIND("/",PasteHashtag!H77)+1,LEN(PasteHashtag!H77)-FIND("/",PasteHashtag!H77)-1)*1</f>
        <v>14.2</v>
      </c>
      <c r="T77" s="178">
        <f>Mid(PasteHashtag!I77,FIND("/",PasteHashtag!I77)+1,LEN(PasteHashtag!I77)-FIND("/",PasteHashtag!I77)-1)*1</f>
        <v>5.4</v>
      </c>
      <c r="U77" s="18"/>
      <c r="V77" s="18"/>
      <c r="W77" s="18"/>
    </row>
    <row r="78">
      <c r="A78" s="5">
        <v>77.0</v>
      </c>
      <c r="B78" s="5">
        <f>PasteHashtag!B78</f>
        <v>67.4</v>
      </c>
      <c r="C78" s="177" t="str">
        <f>PasteHashtag!C78</f>
        <v>Josh Giddey</v>
      </c>
      <c r="D78" s="5" t="str">
        <f>PasteHashtag!D78</f>
        <v>SG,SF</v>
      </c>
      <c r="E78" s="5" t="str">
        <f>PasteHashtag!E78</f>
        <v>CHI</v>
      </c>
      <c r="F78" s="5">
        <f>PasteHashtag!F78</f>
        <v>78</v>
      </c>
      <c r="G78" s="5">
        <f>PasteHashtag!G78</f>
        <v>31</v>
      </c>
      <c r="H78" s="5">
        <f>MID(PasteHashtag!H78,1+FIND("(",PasteHashtag!H78),FIND("/",PasteHashtag!H78)-FIND("(",PasteHashtag!H78)-1)*1</f>
        <v>6.7</v>
      </c>
      <c r="I78" s="5">
        <f>LEFT(PasteHashtag!H78,FIND("(",PasteHashtag!H78)-1)*1</f>
        <v>0.479</v>
      </c>
      <c r="J78" s="5">
        <f>MID(PasteHashtag!I78,1+FIND("(",PasteHashtag!I78),FIND("/",PasteHashtag!I78)-FIND("(",PasteHashtag!I78)-1)*1</f>
        <v>1.5</v>
      </c>
      <c r="K78" s="5">
        <f>LEFT(PasteHashtag!I78,FIND("(",PasteHashtag!I78)-1)*1</f>
        <v>0.795</v>
      </c>
      <c r="L78" s="5">
        <f>PasteHashtag!J78</f>
        <v>1.1</v>
      </c>
      <c r="M78" s="5">
        <f>PasteHashtag!K78</f>
        <v>16.1</v>
      </c>
      <c r="N78" s="5">
        <f>PasteHashtag!L78</f>
        <v>7.4</v>
      </c>
      <c r="O78" s="5">
        <f>PasteHashtag!M78</f>
        <v>6.1</v>
      </c>
      <c r="P78" s="5">
        <f>PasteHashtag!N78</f>
        <v>0.8</v>
      </c>
      <c r="Q78" s="5">
        <f>PasteHashtag!O78</f>
        <v>0.5</v>
      </c>
      <c r="R78" s="5">
        <f>PasteHashtag!P78</f>
        <v>2.7</v>
      </c>
      <c r="S78" s="5">
        <f>Mid(PasteHashtag!H78,FIND("/",PasteHashtag!H78)+1,LEN(PasteHashtag!H78)-FIND("/",PasteHashtag!H78)-1)*1</f>
        <v>14.1</v>
      </c>
      <c r="T78" s="178">
        <f>Mid(PasteHashtag!I78,FIND("/",PasteHashtag!I78)+1,LEN(PasteHashtag!I78)-FIND("/",PasteHashtag!I78)-1)*1</f>
        <v>1.9</v>
      </c>
      <c r="U78" s="18"/>
      <c r="V78" s="18"/>
      <c r="W78" s="18"/>
    </row>
    <row r="79">
      <c r="A79" s="5">
        <v>78.0</v>
      </c>
      <c r="B79" s="5">
        <f>PasteHashtag!B79</f>
        <v>99.3</v>
      </c>
      <c r="C79" s="177" t="str">
        <f>PasteHashtag!C79</f>
        <v>Mark Williams</v>
      </c>
      <c r="D79" s="5" t="str">
        <f>PasteHashtag!D79</f>
        <v>C</v>
      </c>
      <c r="E79" s="5" t="str">
        <f>PasteHashtag!E79</f>
        <v>CHA</v>
      </c>
      <c r="F79" s="5">
        <f>PasteHashtag!F79</f>
        <v>55</v>
      </c>
      <c r="G79" s="5">
        <f>PasteHashtag!G79</f>
        <v>26.8</v>
      </c>
      <c r="H79" s="5">
        <f>MID(PasteHashtag!H79,1+FIND("(",PasteHashtag!H79),FIND("/",PasteHashtag!H79)-FIND("(",PasteHashtag!H79)-1)*1</f>
        <v>5.1</v>
      </c>
      <c r="I79" s="5">
        <f>LEFT(PasteHashtag!H79,FIND("(",PasteHashtag!H79)-1)*1</f>
        <v>0.641</v>
      </c>
      <c r="J79" s="5">
        <f>MID(PasteHashtag!I79,1+FIND("(",PasteHashtag!I79),FIND("/",PasteHashtag!I79)-FIND("(",PasteHashtag!I79)-1)*1</f>
        <v>2.3</v>
      </c>
      <c r="K79" s="5">
        <f>LEFT(PasteHashtag!I79,FIND("(",PasteHashtag!I79)-1)*1</f>
        <v>0.704</v>
      </c>
      <c r="L79" s="5">
        <f>PasteHashtag!J79</f>
        <v>0</v>
      </c>
      <c r="M79" s="5">
        <f>PasteHashtag!K79</f>
        <v>12.6</v>
      </c>
      <c r="N79" s="5">
        <f>PasteHashtag!L79</f>
        <v>9.7</v>
      </c>
      <c r="O79" s="5">
        <f>PasteHashtag!M79</f>
        <v>0.8</v>
      </c>
      <c r="P79" s="5">
        <f>PasteHashtag!N79</f>
        <v>0.9</v>
      </c>
      <c r="Q79" s="5">
        <f>PasteHashtag!O79</f>
        <v>1.2</v>
      </c>
      <c r="R79" s="5">
        <f>PasteHashtag!P79</f>
        <v>1.1</v>
      </c>
      <c r="S79" s="5">
        <f>Mid(PasteHashtag!H79,FIND("/",PasteHashtag!H79)+1,LEN(PasteHashtag!H79)-FIND("/",PasteHashtag!H79)-1)*1</f>
        <v>8</v>
      </c>
      <c r="T79" s="178">
        <f>Mid(PasteHashtag!I79,FIND("/",PasteHashtag!I79)+1,LEN(PasteHashtag!I79)-FIND("/",PasteHashtag!I79)-1)*1</f>
        <v>3.2</v>
      </c>
      <c r="U79" s="18"/>
      <c r="V79" s="18"/>
      <c r="W79" s="18"/>
    </row>
    <row r="80">
      <c r="A80" s="5">
        <v>79.0</v>
      </c>
      <c r="B80" s="5">
        <f>PasteHashtag!B80</f>
        <v>101.8</v>
      </c>
      <c r="C80" s="177" t="str">
        <f>PasteHashtag!C80</f>
        <v>Jalen Suggs</v>
      </c>
      <c r="D80" s="5" t="str">
        <f>PasteHashtag!D80</f>
        <v>PG,SG</v>
      </c>
      <c r="E80" s="5" t="str">
        <f>PasteHashtag!E80</f>
        <v>ORL</v>
      </c>
      <c r="F80" s="5">
        <f>PasteHashtag!F80</f>
        <v>72</v>
      </c>
      <c r="G80" s="5">
        <f>PasteHashtag!G80</f>
        <v>30</v>
      </c>
      <c r="H80" s="5">
        <f>MID(PasteHashtag!H80,1+FIND("(",PasteHashtag!H80),FIND("/",PasteHashtag!H80)-FIND("(",PasteHashtag!H80)-1)*1</f>
        <v>5</v>
      </c>
      <c r="I80" s="5">
        <f>LEFT(PasteHashtag!H80,FIND("(",PasteHashtag!H80)-1)*1</f>
        <v>0.465</v>
      </c>
      <c r="J80" s="5">
        <f>MID(PasteHashtag!I80,1+FIND("(",PasteHashtag!I80),FIND("/",PasteHashtag!I80)-FIND("(",PasteHashtag!I80)-1)*1</f>
        <v>1.8</v>
      </c>
      <c r="K80" s="5">
        <f>LEFT(PasteHashtag!I80,FIND("(",PasteHashtag!I80)-1)*1</f>
        <v>0.758</v>
      </c>
      <c r="L80" s="5">
        <f>PasteHashtag!J80</f>
        <v>2.2</v>
      </c>
      <c r="M80" s="5">
        <f>PasteHashtag!K80</f>
        <v>14</v>
      </c>
      <c r="N80" s="5">
        <f>PasteHashtag!L80</f>
        <v>3.5</v>
      </c>
      <c r="O80" s="5">
        <f>PasteHashtag!M80</f>
        <v>3.6</v>
      </c>
      <c r="P80" s="5">
        <f>PasteHashtag!N80</f>
        <v>1.6</v>
      </c>
      <c r="Q80" s="5">
        <f>PasteHashtag!O80</f>
        <v>0.7</v>
      </c>
      <c r="R80" s="5">
        <f>PasteHashtag!P80</f>
        <v>2</v>
      </c>
      <c r="S80" s="5">
        <f>Mid(PasteHashtag!H80,FIND("/",PasteHashtag!H80)+1,LEN(PasteHashtag!H80)-FIND("/",PasteHashtag!H80)-1)*1</f>
        <v>10.7</v>
      </c>
      <c r="T80" s="178">
        <f>Mid(PasteHashtag!I80,FIND("/",PasteHashtag!I80)+1,LEN(PasteHashtag!I80)-FIND("/",PasteHashtag!I80)-1)*1</f>
        <v>2.4</v>
      </c>
      <c r="U80" s="18"/>
      <c r="V80" s="18"/>
      <c r="W80" s="18"/>
    </row>
    <row r="81">
      <c r="A81" s="5">
        <v>80.0</v>
      </c>
      <c r="B81" s="5">
        <f>PasteHashtag!B81</f>
        <v>80.8</v>
      </c>
      <c r="C81" s="177" t="str">
        <f>PasteHashtag!C81</f>
        <v>Jabari Smith Jr.</v>
      </c>
      <c r="D81" s="5" t="str">
        <f>PasteHashtag!D81</f>
        <v>PF,C</v>
      </c>
      <c r="E81" s="5" t="str">
        <f>PasteHashtag!E81</f>
        <v>HOU</v>
      </c>
      <c r="F81" s="5">
        <f>PasteHashtag!F81</f>
        <v>78</v>
      </c>
      <c r="G81" s="5">
        <f>PasteHashtag!G81</f>
        <v>32.2</v>
      </c>
      <c r="H81" s="5">
        <f>MID(PasteHashtag!H81,1+FIND("(",PasteHashtag!H81),FIND("/",PasteHashtag!H81)-FIND("(",PasteHashtag!H81)-1)*1</f>
        <v>5</v>
      </c>
      <c r="I81" s="5">
        <f>LEFT(PasteHashtag!H81,FIND("(",PasteHashtag!H81)-1)*1</f>
        <v>0.463</v>
      </c>
      <c r="J81" s="5">
        <f>MID(PasteHashtag!I81,1+FIND("(",PasteHashtag!I81),FIND("/",PasteHashtag!I81)-FIND("(",PasteHashtag!I81)-1)*1</f>
        <v>2.1</v>
      </c>
      <c r="K81" s="5">
        <f>LEFT(PasteHashtag!I81,FIND("(",PasteHashtag!I81)-1)*1</f>
        <v>0.824</v>
      </c>
      <c r="L81" s="5">
        <f>PasteHashtag!J81</f>
        <v>1.9</v>
      </c>
      <c r="M81" s="5">
        <f>PasteHashtag!K81</f>
        <v>14</v>
      </c>
      <c r="N81" s="5">
        <f>PasteHashtag!L81</f>
        <v>8.4</v>
      </c>
      <c r="O81" s="5">
        <f>PasteHashtag!M81</f>
        <v>1.5</v>
      </c>
      <c r="P81" s="5">
        <f>PasteHashtag!N81</f>
        <v>0.8</v>
      </c>
      <c r="Q81" s="5">
        <f>PasteHashtag!O81</f>
        <v>0.9</v>
      </c>
      <c r="R81" s="5">
        <f>PasteHashtag!P81</f>
        <v>1.3</v>
      </c>
      <c r="S81" s="5">
        <f>Mid(PasteHashtag!H81,FIND("/",PasteHashtag!H81)+1,LEN(PasteHashtag!H81)-FIND("/",PasteHashtag!H81)-1)*1</f>
        <v>10.8</v>
      </c>
      <c r="T81" s="178">
        <f>Mid(PasteHashtag!I81,FIND("/",PasteHashtag!I81)+1,LEN(PasteHashtag!I81)-FIND("/",PasteHashtag!I81)-1)*1</f>
        <v>2.6</v>
      </c>
      <c r="U81" s="18"/>
      <c r="V81" s="18"/>
      <c r="W81" s="18"/>
    </row>
    <row r="82">
      <c r="A82" s="5">
        <v>81.0</v>
      </c>
      <c r="B82" s="5">
        <f>PasteHashtag!B82</f>
        <v>138.9</v>
      </c>
      <c r="C82" s="177" t="str">
        <f>PasteHashtag!C82</f>
        <v>Taylor Hendricks</v>
      </c>
      <c r="D82" s="5" t="str">
        <f>PasteHashtag!D82</f>
        <v>SF,PF</v>
      </c>
      <c r="E82" s="5" t="str">
        <f>PasteHashtag!E82</f>
        <v>UTA</v>
      </c>
      <c r="F82" s="5">
        <f>PasteHashtag!F82</f>
        <v>68</v>
      </c>
      <c r="G82" s="5">
        <f>PasteHashtag!G82</f>
        <v>29.7</v>
      </c>
      <c r="H82" s="5">
        <f>MID(PasteHashtag!H82,1+FIND("(",PasteHashtag!H82),FIND("/",PasteHashtag!H82)-FIND("(",PasteHashtag!H82)-1)*1</f>
        <v>4.3</v>
      </c>
      <c r="I82" s="5">
        <f>LEFT(PasteHashtag!H82,FIND("(",PasteHashtag!H82)-1)*1</f>
        <v>0.471</v>
      </c>
      <c r="J82" s="5">
        <f>MID(PasteHashtag!I82,1+FIND("(",PasteHashtag!I82),FIND("/",PasteHashtag!I82)-FIND("(",PasteHashtag!I82)-1)*1</f>
        <v>0.9</v>
      </c>
      <c r="K82" s="5">
        <f>LEFT(PasteHashtag!I82,FIND("(",PasteHashtag!I82)-1)*1</f>
        <v>0.798</v>
      </c>
      <c r="L82" s="5">
        <f>PasteHashtag!J82</f>
        <v>2</v>
      </c>
      <c r="M82" s="5">
        <f>PasteHashtag!K82</f>
        <v>11.4</v>
      </c>
      <c r="N82" s="5">
        <f>PasteHashtag!L82</f>
        <v>7</v>
      </c>
      <c r="O82" s="5">
        <f>PasteHashtag!M82</f>
        <v>1.2</v>
      </c>
      <c r="P82" s="5">
        <f>PasteHashtag!N82</f>
        <v>1.1</v>
      </c>
      <c r="Q82" s="5">
        <f>PasteHashtag!O82</f>
        <v>1.1</v>
      </c>
      <c r="R82" s="5">
        <f>PasteHashtag!P82</f>
        <v>1</v>
      </c>
      <c r="S82" s="5">
        <f>Mid(PasteHashtag!H82,FIND("/",PasteHashtag!H82)+1,LEN(PasteHashtag!H82)-FIND("/",PasteHashtag!H82)-1)*1</f>
        <v>9</v>
      </c>
      <c r="T82" s="178">
        <f>Mid(PasteHashtag!I82,FIND("/",PasteHashtag!I82)+1,LEN(PasteHashtag!I82)-FIND("/",PasteHashtag!I82)-1)*1</f>
        <v>1.1</v>
      </c>
      <c r="U82" s="18"/>
      <c r="V82" s="18"/>
      <c r="W82" s="18"/>
    </row>
    <row r="83">
      <c r="A83" s="5">
        <v>82.0</v>
      </c>
      <c r="B83" s="5">
        <f>PasteHashtag!B83</f>
        <v>90.4</v>
      </c>
      <c r="C83" s="177" t="str">
        <f>PasteHashtag!C83</f>
        <v>Bogdan Bogdanovic</v>
      </c>
      <c r="D83" s="5" t="str">
        <f>PasteHashtag!D83</f>
        <v>SG,SF</v>
      </c>
      <c r="E83" s="5" t="str">
        <f>PasteHashtag!E83</f>
        <v>ATL</v>
      </c>
      <c r="F83" s="5">
        <f>PasteHashtag!F83</f>
        <v>68</v>
      </c>
      <c r="G83" s="5">
        <f>PasteHashtag!G83</f>
        <v>30.2</v>
      </c>
      <c r="H83" s="5">
        <f>MID(PasteHashtag!H83,1+FIND("(",PasteHashtag!H83),FIND("/",PasteHashtag!H83)-FIND("(",PasteHashtag!H83)-1)*1</f>
        <v>6</v>
      </c>
      <c r="I83" s="5">
        <f>LEFT(PasteHashtag!H83,FIND("(",PasteHashtag!H83)-1)*1</f>
        <v>0.434</v>
      </c>
      <c r="J83" s="5">
        <f>MID(PasteHashtag!I83,1+FIND("(",PasteHashtag!I83),FIND("/",PasteHashtag!I83)-FIND("(",PasteHashtag!I83)-1)*1</f>
        <v>2</v>
      </c>
      <c r="K83" s="5">
        <f>LEFT(PasteHashtag!I83,FIND("(",PasteHashtag!I83)-1)*1</f>
        <v>0.889</v>
      </c>
      <c r="L83" s="5">
        <f>PasteHashtag!J83</f>
        <v>3.1</v>
      </c>
      <c r="M83" s="5">
        <f>PasteHashtag!K83</f>
        <v>17.1</v>
      </c>
      <c r="N83" s="5">
        <f>PasteHashtag!L83</f>
        <v>3.5</v>
      </c>
      <c r="O83" s="5">
        <f>PasteHashtag!M83</f>
        <v>3.2</v>
      </c>
      <c r="P83" s="5">
        <f>PasteHashtag!N83</f>
        <v>1.1</v>
      </c>
      <c r="Q83" s="5">
        <f>PasteHashtag!O83</f>
        <v>0.4</v>
      </c>
      <c r="R83" s="5">
        <f>PasteHashtag!P83</f>
        <v>1.4</v>
      </c>
      <c r="S83" s="5">
        <f>Mid(PasteHashtag!H83,FIND("/",PasteHashtag!H83)+1,LEN(PasteHashtag!H83)-FIND("/",PasteHashtag!H83)-1)*1</f>
        <v>13.7</v>
      </c>
      <c r="T83" s="178">
        <f>Mid(PasteHashtag!I83,FIND("/",PasteHashtag!I83)+1,LEN(PasteHashtag!I83)-FIND("/",PasteHashtag!I83)-1)*1</f>
        <v>2.3</v>
      </c>
      <c r="U83" s="18"/>
      <c r="V83" s="18"/>
      <c r="W83" s="18"/>
    </row>
    <row r="84">
      <c r="A84" s="5">
        <v>83.0</v>
      </c>
      <c r="B84" s="5">
        <f>PasteHashtag!B84</f>
        <v>34.6</v>
      </c>
      <c r="C84" s="177" t="str">
        <f>PasteHashtag!C84</f>
        <v>Paolo Banchero</v>
      </c>
      <c r="D84" s="5" t="str">
        <f>PasteHashtag!D84</f>
        <v>SF,PF</v>
      </c>
      <c r="E84" s="5" t="str">
        <f>PasteHashtag!E84</f>
        <v>ORL</v>
      </c>
      <c r="F84" s="5">
        <f>PasteHashtag!F84</f>
        <v>76</v>
      </c>
      <c r="G84" s="5">
        <f>PasteHashtag!G84</f>
        <v>35.1</v>
      </c>
      <c r="H84" s="5">
        <f>MID(PasteHashtag!H84,1+FIND("(",PasteHashtag!H84),FIND("/",PasteHashtag!H84)-FIND("(",PasteHashtag!H84)-1)*1</f>
        <v>8</v>
      </c>
      <c r="I84" s="5">
        <f>LEFT(PasteHashtag!H84,FIND("(",PasteHashtag!H84)-1)*1</f>
        <v>0.462</v>
      </c>
      <c r="J84" s="5">
        <f>MID(PasteHashtag!I84,1+FIND("(",PasteHashtag!I84),FIND("/",PasteHashtag!I84)-FIND("(",PasteHashtag!I84)-1)*1</f>
        <v>5.4</v>
      </c>
      <c r="K84" s="5">
        <f>LEFT(PasteHashtag!I84,FIND("(",PasteHashtag!I84)-1)*1</f>
        <v>0.731</v>
      </c>
      <c r="L84" s="5">
        <f>PasteHashtag!J84</f>
        <v>1.6</v>
      </c>
      <c r="M84" s="5">
        <f>PasteHashtag!K84</f>
        <v>23.1</v>
      </c>
      <c r="N84" s="5">
        <f>PasteHashtag!L84</f>
        <v>7.4</v>
      </c>
      <c r="O84" s="5">
        <f>PasteHashtag!M84</f>
        <v>5.7</v>
      </c>
      <c r="P84" s="5">
        <f>PasteHashtag!N84</f>
        <v>1</v>
      </c>
      <c r="Q84" s="5">
        <f>PasteHashtag!O84</f>
        <v>0.7</v>
      </c>
      <c r="R84" s="5">
        <f>PasteHashtag!P84</f>
        <v>3</v>
      </c>
      <c r="S84" s="5">
        <f>Mid(PasteHashtag!H84,FIND("/",PasteHashtag!H84)+1,LEN(PasteHashtag!H84)-FIND("/",PasteHashtag!H84)-1)*1</f>
        <v>17.4</v>
      </c>
      <c r="T84" s="178">
        <f>Mid(PasteHashtag!I84,FIND("/",PasteHashtag!I84)+1,LEN(PasteHashtag!I84)-FIND("/",PasteHashtag!I84)-1)*1</f>
        <v>7.4</v>
      </c>
      <c r="U84" s="18"/>
      <c r="V84" s="18"/>
      <c r="W84" s="18"/>
    </row>
    <row r="85">
      <c r="A85" s="5">
        <v>84.0</v>
      </c>
      <c r="B85" s="5">
        <f>PasteHashtag!B85</f>
        <v>87.2</v>
      </c>
      <c r="C85" s="177" t="str">
        <f>PasteHashtag!C85</f>
        <v>Austin Reaves</v>
      </c>
      <c r="D85" s="5" t="str">
        <f>PasteHashtag!D85</f>
        <v>PG,SG</v>
      </c>
      <c r="E85" s="5" t="str">
        <f>PasteHashtag!E85</f>
        <v>LAL</v>
      </c>
      <c r="F85" s="5">
        <f>PasteHashtag!F85</f>
        <v>72</v>
      </c>
      <c r="G85" s="5">
        <f>PasteHashtag!G85</f>
        <v>32.6</v>
      </c>
      <c r="H85" s="5">
        <f>MID(PasteHashtag!H85,1+FIND("(",PasteHashtag!H85),FIND("/",PasteHashtag!H85)-FIND("(",PasteHashtag!H85)-1)*1</f>
        <v>5.2</v>
      </c>
      <c r="I85" s="5">
        <f>LEFT(PasteHashtag!H85,FIND("(",PasteHashtag!H85)-1)*1</f>
        <v>0.482</v>
      </c>
      <c r="J85" s="5">
        <f>MID(PasteHashtag!I85,1+FIND("(",PasteHashtag!I85),FIND("/",PasteHashtag!I85)-FIND("(",PasteHashtag!I85)-1)*1</f>
        <v>3.4</v>
      </c>
      <c r="K85" s="5">
        <f>LEFT(PasteHashtag!I85,FIND("(",PasteHashtag!I85)-1)*1</f>
        <v>0.859</v>
      </c>
      <c r="L85" s="5">
        <f>PasteHashtag!J85</f>
        <v>2</v>
      </c>
      <c r="M85" s="5">
        <f>PasteHashtag!K85</f>
        <v>15.7</v>
      </c>
      <c r="N85" s="5">
        <f>PasteHashtag!L85</f>
        <v>4</v>
      </c>
      <c r="O85" s="5">
        <f>PasteHashtag!M85</f>
        <v>5.1</v>
      </c>
      <c r="P85" s="5">
        <f>PasteHashtag!N85</f>
        <v>0.8</v>
      </c>
      <c r="Q85" s="5">
        <f>PasteHashtag!O85</f>
        <v>0.3</v>
      </c>
      <c r="R85" s="5">
        <f>PasteHashtag!P85</f>
        <v>2</v>
      </c>
      <c r="S85" s="5">
        <f>Mid(PasteHashtag!H85,FIND("/",PasteHashtag!H85)+1,LEN(PasteHashtag!H85)-FIND("/",PasteHashtag!H85)-1)*1</f>
        <v>10.8</v>
      </c>
      <c r="T85" s="178">
        <f>Mid(PasteHashtag!I85,FIND("/",PasteHashtag!I85)+1,LEN(PasteHashtag!I85)-FIND("/",PasteHashtag!I85)-1)*1</f>
        <v>3.9</v>
      </c>
      <c r="U85" s="18"/>
      <c r="V85" s="18"/>
      <c r="W85" s="18"/>
    </row>
    <row r="86">
      <c r="A86" s="5">
        <v>85.0</v>
      </c>
      <c r="B86" s="5">
        <f>PasteHashtag!B86</f>
        <v>81</v>
      </c>
      <c r="C86" s="177" t="str">
        <f>PasteHashtag!C86</f>
        <v>Keegan Murray</v>
      </c>
      <c r="D86" s="5" t="str">
        <f>PasteHashtag!D86</f>
        <v>SF,PF</v>
      </c>
      <c r="E86" s="5" t="str">
        <f>PasteHashtag!E86</f>
        <v>SAC</v>
      </c>
      <c r="F86" s="5">
        <f>PasteHashtag!F86</f>
        <v>78</v>
      </c>
      <c r="G86" s="5">
        <f>PasteHashtag!G86</f>
        <v>33.5</v>
      </c>
      <c r="H86" s="5">
        <f>MID(PasteHashtag!H86,1+FIND("(",PasteHashtag!H86),FIND("/",PasteHashtag!H86)-FIND("(",PasteHashtag!H86)-1)*1</f>
        <v>5.4</v>
      </c>
      <c r="I86" s="5">
        <f>LEFT(PasteHashtag!H86,FIND("(",PasteHashtag!H86)-1)*1</f>
        <v>0.454</v>
      </c>
      <c r="J86" s="5">
        <f>MID(PasteHashtag!I86,1+FIND("(",PasteHashtag!I86),FIND("/",PasteHashtag!I86)-FIND("(",PasteHashtag!I86)-1)*1</f>
        <v>1.1</v>
      </c>
      <c r="K86" s="5">
        <f>LEFT(PasteHashtag!I86,FIND("(",PasteHashtag!I86)-1)*1</f>
        <v>0.836</v>
      </c>
      <c r="L86" s="5">
        <f>PasteHashtag!J86</f>
        <v>2.7</v>
      </c>
      <c r="M86" s="5">
        <f>PasteHashtag!K86</f>
        <v>14.6</v>
      </c>
      <c r="N86" s="5">
        <f>PasteHashtag!L86</f>
        <v>5.4</v>
      </c>
      <c r="O86" s="5">
        <f>PasteHashtag!M86</f>
        <v>1.6</v>
      </c>
      <c r="P86" s="5">
        <f>PasteHashtag!N86</f>
        <v>1</v>
      </c>
      <c r="Q86" s="5">
        <f>PasteHashtag!O86</f>
        <v>0.8</v>
      </c>
      <c r="R86" s="5">
        <f>PasteHashtag!P86</f>
        <v>0.8</v>
      </c>
      <c r="S86" s="5">
        <f>Mid(PasteHashtag!H86,FIND("/",PasteHashtag!H86)+1,LEN(PasteHashtag!H86)-FIND("/",PasteHashtag!H86)-1)*1</f>
        <v>12</v>
      </c>
      <c r="T86" s="178">
        <f>Mid(PasteHashtag!I86,FIND("/",PasteHashtag!I86)+1,LEN(PasteHashtag!I86)-FIND("/",PasteHashtag!I86)-1)*1</f>
        <v>1.3</v>
      </c>
      <c r="U86" s="18"/>
      <c r="V86" s="18"/>
      <c r="W86" s="18"/>
    </row>
    <row r="87">
      <c r="A87" s="5">
        <v>86.0</v>
      </c>
      <c r="B87" s="5">
        <f>PasteHashtag!B87</f>
        <v>117.6</v>
      </c>
      <c r="C87" s="177" t="str">
        <f>PasteHashtag!C87</f>
        <v>Onyeka Okongwu</v>
      </c>
      <c r="D87" s="5" t="str">
        <f>PasteHashtag!D87</f>
        <v>PF,C</v>
      </c>
      <c r="E87" s="5" t="str">
        <f>PasteHashtag!E87</f>
        <v>ATL</v>
      </c>
      <c r="F87" s="5">
        <f>PasteHashtag!F87</f>
        <v>67</v>
      </c>
      <c r="G87" s="5">
        <f>PasteHashtag!G87</f>
        <v>26.8</v>
      </c>
      <c r="H87" s="5">
        <f>MID(PasteHashtag!H87,1+FIND("(",PasteHashtag!H87),FIND("/",PasteHashtag!H87)-FIND("(",PasteHashtag!H87)-1)*1</f>
        <v>4</v>
      </c>
      <c r="I87" s="5">
        <f>LEFT(PasteHashtag!H87,FIND("(",PasteHashtag!H87)-1)*1</f>
        <v>0.617</v>
      </c>
      <c r="J87" s="5">
        <f>MID(PasteHashtag!I87,1+FIND("(",PasteHashtag!I87),FIND("/",PasteHashtag!I87)-FIND("(",PasteHashtag!I87)-1)*1</f>
        <v>2</v>
      </c>
      <c r="K87" s="5">
        <f>LEFT(PasteHashtag!I87,FIND("(",PasteHashtag!I87)-1)*1</f>
        <v>0.785</v>
      </c>
      <c r="L87" s="5">
        <f>PasteHashtag!J87</f>
        <v>0.5</v>
      </c>
      <c r="M87" s="5">
        <f>PasteHashtag!K87</f>
        <v>10.6</v>
      </c>
      <c r="N87" s="5">
        <f>PasteHashtag!L87</f>
        <v>7.6</v>
      </c>
      <c r="O87" s="5">
        <f>PasteHashtag!M87</f>
        <v>1.3</v>
      </c>
      <c r="P87" s="5">
        <f>PasteHashtag!N87</f>
        <v>0.7</v>
      </c>
      <c r="Q87" s="5">
        <f>PasteHashtag!O87</f>
        <v>1.3</v>
      </c>
      <c r="R87" s="5">
        <f>PasteHashtag!P87</f>
        <v>1.1</v>
      </c>
      <c r="S87" s="5">
        <f>Mid(PasteHashtag!H87,FIND("/",PasteHashtag!H87)+1,LEN(PasteHashtag!H87)-FIND("/",PasteHashtag!H87)-1)*1</f>
        <v>6.6</v>
      </c>
      <c r="T87" s="178">
        <f>Mid(PasteHashtag!I87,FIND("/",PasteHashtag!I87)+1,LEN(PasteHashtag!I87)-FIND("/",PasteHashtag!I87)-1)*1</f>
        <v>2.6</v>
      </c>
      <c r="U87" s="18"/>
      <c r="V87" s="18"/>
      <c r="W87" s="18"/>
    </row>
    <row r="88">
      <c r="A88" s="5">
        <v>87.0</v>
      </c>
      <c r="B88" s="5">
        <f>PasteHashtag!B88</f>
        <v>82.6</v>
      </c>
      <c r="C88" s="177" t="str">
        <f>PasteHashtag!C88</f>
        <v>OG Anunoby</v>
      </c>
      <c r="D88" s="5" t="str">
        <f>PasteHashtag!D88</f>
        <v>SF,PF</v>
      </c>
      <c r="E88" s="5" t="str">
        <f>PasteHashtag!E88</f>
        <v>NY</v>
      </c>
      <c r="F88" s="5">
        <f>PasteHashtag!F88</f>
        <v>60</v>
      </c>
      <c r="G88" s="5">
        <f>PasteHashtag!G88</f>
        <v>33.1</v>
      </c>
      <c r="H88" s="5">
        <f>MID(PasteHashtag!H88,1+FIND("(",PasteHashtag!H88),FIND("/",PasteHashtag!H88)-FIND("(",PasteHashtag!H88)-1)*1</f>
        <v>5.8</v>
      </c>
      <c r="I88" s="5">
        <f>LEFT(PasteHashtag!H88,FIND("(",PasteHashtag!H88)-1)*1</f>
        <v>0.48</v>
      </c>
      <c r="J88" s="5">
        <f>MID(PasteHashtag!I88,1+FIND("(",PasteHashtag!I88),FIND("/",PasteHashtag!I88)-FIND("(",PasteHashtag!I88)-1)*1</f>
        <v>1.3</v>
      </c>
      <c r="K88" s="5">
        <f>LEFT(PasteHashtag!I88,FIND("(",PasteHashtag!I88)-1)*1</f>
        <v>0.77</v>
      </c>
      <c r="L88" s="5">
        <f>PasteHashtag!J88</f>
        <v>2</v>
      </c>
      <c r="M88" s="5">
        <f>PasteHashtag!K88</f>
        <v>14.8</v>
      </c>
      <c r="N88" s="5">
        <f>PasteHashtag!L88</f>
        <v>4.1</v>
      </c>
      <c r="O88" s="5">
        <f>PasteHashtag!M88</f>
        <v>2</v>
      </c>
      <c r="P88" s="5">
        <f>PasteHashtag!N88</f>
        <v>1.5</v>
      </c>
      <c r="Q88" s="5">
        <f>PasteHashtag!O88</f>
        <v>0.7</v>
      </c>
      <c r="R88" s="5">
        <f>PasteHashtag!P88</f>
        <v>1.8</v>
      </c>
      <c r="S88" s="5">
        <f>Mid(PasteHashtag!H88,FIND("/",PasteHashtag!H88)+1,LEN(PasteHashtag!H88)-FIND("/",PasteHashtag!H88)-1)*1</f>
        <v>12</v>
      </c>
      <c r="T88" s="178">
        <f>Mid(PasteHashtag!I88,FIND("/",PasteHashtag!I88)+1,LEN(PasteHashtag!I88)-FIND("/",PasteHashtag!I88)-1)*1</f>
        <v>1.7</v>
      </c>
      <c r="U88" s="18"/>
      <c r="V88" s="18"/>
      <c r="W88" s="18"/>
    </row>
    <row r="89">
      <c r="A89" s="5">
        <v>88.0</v>
      </c>
      <c r="B89" s="5">
        <f>PasteHashtag!B89</f>
        <v>86.5</v>
      </c>
      <c r="C89" s="177" t="str">
        <f>PasteHashtag!C89</f>
        <v>Coby White</v>
      </c>
      <c r="D89" s="5" t="str">
        <f>PasteHashtag!D89</f>
        <v>PG,SG</v>
      </c>
      <c r="E89" s="5" t="str">
        <f>PasteHashtag!E89</f>
        <v>CHI</v>
      </c>
      <c r="F89" s="5">
        <f>PasteHashtag!F89</f>
        <v>76</v>
      </c>
      <c r="G89" s="5">
        <f>PasteHashtag!G89</f>
        <v>35.5</v>
      </c>
      <c r="H89" s="5">
        <f>MID(PasteHashtag!H89,1+FIND("(",PasteHashtag!H89),FIND("/",PasteHashtag!H89)-FIND("(",PasteHashtag!H89)-1)*1</f>
        <v>6.5</v>
      </c>
      <c r="I89" s="5">
        <f>LEFT(PasteHashtag!H89,FIND("(",PasteHashtag!H89)-1)*1</f>
        <v>0.446</v>
      </c>
      <c r="J89" s="5">
        <f>MID(PasteHashtag!I89,1+FIND("(",PasteHashtag!I89),FIND("/",PasteHashtag!I89)-FIND("(",PasteHashtag!I89)-1)*1</f>
        <v>2.3</v>
      </c>
      <c r="K89" s="5">
        <f>LEFT(PasteHashtag!I89,FIND("(",PasteHashtag!I89)-1)*1</f>
        <v>0.843</v>
      </c>
      <c r="L89" s="5">
        <f>PasteHashtag!J89</f>
        <v>2.7</v>
      </c>
      <c r="M89" s="5">
        <f>PasteHashtag!K89</f>
        <v>18</v>
      </c>
      <c r="N89" s="5">
        <f>PasteHashtag!L89</f>
        <v>4.6</v>
      </c>
      <c r="O89" s="5">
        <f>PasteHashtag!M89</f>
        <v>4.9</v>
      </c>
      <c r="P89" s="5">
        <f>PasteHashtag!N89</f>
        <v>0.9</v>
      </c>
      <c r="Q89" s="5">
        <f>PasteHashtag!O89</f>
        <v>0.2</v>
      </c>
      <c r="R89" s="5">
        <f>PasteHashtag!P89</f>
        <v>2</v>
      </c>
      <c r="S89" s="5">
        <f>Mid(PasteHashtag!H89,FIND("/",PasteHashtag!H89)+1,LEN(PasteHashtag!H89)-FIND("/",PasteHashtag!H89)-1)*1</f>
        <v>14.6</v>
      </c>
      <c r="T89" s="178">
        <f>Mid(PasteHashtag!I89,FIND("/",PasteHashtag!I89)+1,LEN(PasteHashtag!I89)-FIND("/",PasteHashtag!I89)-1)*1</f>
        <v>2.7</v>
      </c>
      <c r="U89" s="18"/>
      <c r="V89" s="18"/>
      <c r="W89" s="18"/>
    </row>
    <row r="90">
      <c r="A90" s="5">
        <v>89.0</v>
      </c>
      <c r="B90" s="5">
        <f>PasteHashtag!B90</f>
        <v>73.3</v>
      </c>
      <c r="C90" s="177" t="str">
        <f>PasteHashtag!C90</f>
        <v>Michael Porter Jr.</v>
      </c>
      <c r="D90" s="5" t="str">
        <f>PasteHashtag!D90</f>
        <v>SF,PF</v>
      </c>
      <c r="E90" s="5" t="str">
        <f>PasteHashtag!E90</f>
        <v>DEN</v>
      </c>
      <c r="F90" s="5">
        <f>PasteHashtag!F90</f>
        <v>74</v>
      </c>
      <c r="G90" s="5">
        <f>PasteHashtag!G90</f>
        <v>31.8</v>
      </c>
      <c r="H90" s="5">
        <f>MID(PasteHashtag!H90,1+FIND("(",PasteHashtag!H90),FIND("/",PasteHashtag!H90)-FIND("(",PasteHashtag!H90)-1)*1</f>
        <v>6.6</v>
      </c>
      <c r="I90" s="5">
        <f>LEFT(PasteHashtag!H90,FIND("(",PasteHashtag!H90)-1)*1</f>
        <v>0.485</v>
      </c>
      <c r="J90" s="5">
        <f>MID(PasteHashtag!I90,1+FIND("(",PasteHashtag!I90),FIND("/",PasteHashtag!I90)-FIND("(",PasteHashtag!I90)-1)*1</f>
        <v>1.4</v>
      </c>
      <c r="K90" s="5">
        <f>LEFT(PasteHashtag!I90,FIND("(",PasteHashtag!I90)-1)*1</f>
        <v>0.818</v>
      </c>
      <c r="L90" s="5">
        <f>PasteHashtag!J90</f>
        <v>2.9</v>
      </c>
      <c r="M90" s="5">
        <f>PasteHashtag!K90</f>
        <v>17.5</v>
      </c>
      <c r="N90" s="5">
        <f>PasteHashtag!L90</f>
        <v>6.5</v>
      </c>
      <c r="O90" s="5">
        <f>PasteHashtag!M90</f>
        <v>1.4</v>
      </c>
      <c r="P90" s="5">
        <f>PasteHashtag!N90</f>
        <v>0.6</v>
      </c>
      <c r="Q90" s="5">
        <f>PasteHashtag!O90</f>
        <v>0.6</v>
      </c>
      <c r="R90" s="5">
        <f>PasteHashtag!P90</f>
        <v>1.2</v>
      </c>
      <c r="S90" s="5">
        <f>Mid(PasteHashtag!H90,FIND("/",PasteHashtag!H90)+1,LEN(PasteHashtag!H90)-FIND("/",PasteHashtag!H90)-1)*1</f>
        <v>13.6</v>
      </c>
      <c r="T90" s="178">
        <f>Mid(PasteHashtag!I90,FIND("/",PasteHashtag!I90)+1,LEN(PasteHashtag!I90)-FIND("/",PasteHashtag!I90)-1)*1</f>
        <v>1.7</v>
      </c>
      <c r="U90" s="18"/>
      <c r="V90" s="18"/>
      <c r="W90" s="18"/>
    </row>
    <row r="91">
      <c r="A91" s="5">
        <v>90.0</v>
      </c>
      <c r="B91" s="5">
        <f>PasteHashtag!B91</f>
        <v>102</v>
      </c>
      <c r="C91" s="177" t="str">
        <f>PasteHashtag!C91</f>
        <v>Alex Caruso</v>
      </c>
      <c r="D91" s="5" t="str">
        <f>PasteHashtag!D91</f>
        <v>SG,SF</v>
      </c>
      <c r="E91" s="5" t="str">
        <f>PasteHashtag!E91</f>
        <v>OKC</v>
      </c>
      <c r="F91" s="5">
        <f>PasteHashtag!F91</f>
        <v>68</v>
      </c>
      <c r="G91" s="5">
        <f>PasteHashtag!G91</f>
        <v>28.7</v>
      </c>
      <c r="H91" s="5">
        <f>MID(PasteHashtag!H91,1+FIND("(",PasteHashtag!H91),FIND("/",PasteHashtag!H91)-FIND("(",PasteHashtag!H91)-1)*1</f>
        <v>3.1</v>
      </c>
      <c r="I91" s="5">
        <f>LEFT(PasteHashtag!H91,FIND("(",PasteHashtag!H91)-1)*1</f>
        <v>0.463</v>
      </c>
      <c r="J91" s="5">
        <f>MID(PasteHashtag!I91,1+FIND("(",PasteHashtag!I91),FIND("/",PasteHashtag!I91)-FIND("(",PasteHashtag!I91)-1)*1</f>
        <v>1.1</v>
      </c>
      <c r="K91" s="5">
        <f>LEFT(PasteHashtag!I91,FIND("(",PasteHashtag!I91)-1)*1</f>
        <v>0.785</v>
      </c>
      <c r="L91" s="5">
        <f>PasteHashtag!J91</f>
        <v>1.5</v>
      </c>
      <c r="M91" s="5">
        <f>PasteHashtag!K91</f>
        <v>8.7</v>
      </c>
      <c r="N91" s="5">
        <f>PasteHashtag!L91</f>
        <v>3.8</v>
      </c>
      <c r="O91" s="5">
        <f>PasteHashtag!M91</f>
        <v>3.5</v>
      </c>
      <c r="P91" s="5">
        <f>PasteHashtag!N91</f>
        <v>1.6</v>
      </c>
      <c r="Q91" s="5">
        <f>PasteHashtag!O91</f>
        <v>0.9</v>
      </c>
      <c r="R91" s="5">
        <f>PasteHashtag!P91</f>
        <v>1.4</v>
      </c>
      <c r="S91" s="5">
        <f>Mid(PasteHashtag!H91,FIND("/",PasteHashtag!H91)+1,LEN(PasteHashtag!H91)-FIND("/",PasteHashtag!H91)-1)*1</f>
        <v>6.6</v>
      </c>
      <c r="T91" s="178">
        <f>Mid(PasteHashtag!I91,FIND("/",PasteHashtag!I91)+1,LEN(PasteHashtag!I91)-FIND("/",PasteHashtag!I91)-1)*1</f>
        <v>1.4</v>
      </c>
      <c r="U91" s="18"/>
      <c r="V91" s="18"/>
      <c r="W91" s="18"/>
    </row>
    <row r="92">
      <c r="A92" s="5">
        <v>91.0</v>
      </c>
      <c r="B92" s="5">
        <f>PasteHashtag!B92</f>
        <v>96.2</v>
      </c>
      <c r="C92" s="177" t="str">
        <f>PasteHashtag!C92</f>
        <v>Herbert Jones</v>
      </c>
      <c r="D92" s="5" t="str">
        <f>PasteHashtag!D92</f>
        <v>SF,PF</v>
      </c>
      <c r="E92" s="5" t="str">
        <f>PasteHashtag!E92</f>
        <v>NO</v>
      </c>
      <c r="F92" s="5">
        <f>PasteHashtag!F92</f>
        <v>71</v>
      </c>
      <c r="G92" s="5">
        <f>PasteHashtag!G92</f>
        <v>30.2</v>
      </c>
      <c r="H92" s="5">
        <f>MID(PasteHashtag!H92,1+FIND("(",PasteHashtag!H92),FIND("/",PasteHashtag!H92)-FIND("(",PasteHashtag!H92)-1)*1</f>
        <v>3.7</v>
      </c>
      <c r="I92" s="5">
        <f>LEFT(PasteHashtag!H92,FIND("(",PasteHashtag!H92)-1)*1</f>
        <v>0.484</v>
      </c>
      <c r="J92" s="5">
        <f>MID(PasteHashtag!I92,1+FIND("(",PasteHashtag!I92),FIND("/",PasteHashtag!I92)-FIND("(",PasteHashtag!I92)-1)*1</f>
        <v>1.8</v>
      </c>
      <c r="K92" s="5">
        <f>LEFT(PasteHashtag!I92,FIND("(",PasteHashtag!I92)-1)*1</f>
        <v>0.852</v>
      </c>
      <c r="L92" s="5">
        <f>PasteHashtag!J92</f>
        <v>1.2</v>
      </c>
      <c r="M92" s="5">
        <f>PasteHashtag!K92</f>
        <v>10.5</v>
      </c>
      <c r="N92" s="5">
        <f>PasteHashtag!L92</f>
        <v>4.2</v>
      </c>
      <c r="O92" s="5">
        <f>PasteHashtag!M92</f>
        <v>2.6</v>
      </c>
      <c r="P92" s="5">
        <f>PasteHashtag!N92</f>
        <v>1.4</v>
      </c>
      <c r="Q92" s="5">
        <f>PasteHashtag!O92</f>
        <v>0.9</v>
      </c>
      <c r="R92" s="5">
        <f>PasteHashtag!P92</f>
        <v>1.3</v>
      </c>
      <c r="S92" s="5">
        <f>Mid(PasteHashtag!H92,FIND("/",PasteHashtag!H92)+1,LEN(PasteHashtag!H92)-FIND("/",PasteHashtag!H92)-1)*1</f>
        <v>7.7</v>
      </c>
      <c r="T92" s="178">
        <f>Mid(PasteHashtag!I92,FIND("/",PasteHashtag!I92)+1,LEN(PasteHashtag!I92)-FIND("/",PasteHashtag!I92)-1)*1</f>
        <v>2.2</v>
      </c>
      <c r="U92" s="18"/>
      <c r="V92" s="18"/>
      <c r="W92" s="18"/>
    </row>
    <row r="93">
      <c r="A93" s="5">
        <v>92.0</v>
      </c>
      <c r="B93" s="5">
        <f>PasteHashtag!B93</f>
        <v>104.5</v>
      </c>
      <c r="C93" s="177" t="str">
        <f>PasteHashtag!C93</f>
        <v>Daniel Gafford</v>
      </c>
      <c r="D93" s="5" t="str">
        <f>PasteHashtag!D93</f>
        <v>PF,C</v>
      </c>
      <c r="E93" s="5" t="str">
        <f>PasteHashtag!E93</f>
        <v>DAL</v>
      </c>
      <c r="F93" s="5">
        <f>PasteHashtag!F93</f>
        <v>75</v>
      </c>
      <c r="G93" s="5">
        <f>PasteHashtag!G93</f>
        <v>24.5</v>
      </c>
      <c r="H93" s="5">
        <f>MID(PasteHashtag!H93,1+FIND("(",PasteHashtag!H93),FIND("/",PasteHashtag!H93)-FIND("(",PasteHashtag!H93)-1)*1</f>
        <v>4.3</v>
      </c>
      <c r="I93" s="5">
        <f>LEFT(PasteHashtag!H93,FIND("(",PasteHashtag!H93)-1)*1</f>
        <v>0.729</v>
      </c>
      <c r="J93" s="5">
        <f>MID(PasteHashtag!I93,1+FIND("(",PasteHashtag!I93),FIND("/",PasteHashtag!I93)-FIND("(",PasteHashtag!I93)-1)*1</f>
        <v>1.7</v>
      </c>
      <c r="K93" s="5">
        <f>LEFT(PasteHashtag!I93,FIND("(",PasteHashtag!I93)-1)*1</f>
        <v>0.675</v>
      </c>
      <c r="L93" s="5">
        <f>PasteHashtag!J93</f>
        <v>0</v>
      </c>
      <c r="M93" s="5">
        <f>PasteHashtag!K93</f>
        <v>10.3</v>
      </c>
      <c r="N93" s="5">
        <f>PasteHashtag!L93</f>
        <v>6.8</v>
      </c>
      <c r="O93" s="5">
        <f>PasteHashtag!M93</f>
        <v>1.4</v>
      </c>
      <c r="P93" s="5">
        <f>PasteHashtag!N93</f>
        <v>0.7</v>
      </c>
      <c r="Q93" s="5">
        <f>PasteHashtag!O93</f>
        <v>1.7</v>
      </c>
      <c r="R93" s="5">
        <f>PasteHashtag!P93</f>
        <v>1.1</v>
      </c>
      <c r="S93" s="5">
        <f>Mid(PasteHashtag!H93,FIND("/",PasteHashtag!H93)+1,LEN(PasteHashtag!H93)-FIND("/",PasteHashtag!H93)-1)*1</f>
        <v>5.9</v>
      </c>
      <c r="T93" s="178">
        <f>Mid(PasteHashtag!I93,FIND("/",PasteHashtag!I93)+1,LEN(PasteHashtag!I93)-FIND("/",PasteHashtag!I93)-1)*1</f>
        <v>2.5</v>
      </c>
      <c r="U93" s="18"/>
      <c r="V93" s="18"/>
      <c r="W93" s="18"/>
    </row>
    <row r="94">
      <c r="A94" s="5">
        <v>93.0</v>
      </c>
      <c r="B94" s="5">
        <f>PasteHashtag!B94</f>
        <v>101.4</v>
      </c>
      <c r="C94" s="177" t="str">
        <f>PasteHashtag!C94</f>
        <v>Draymond Green</v>
      </c>
      <c r="D94" s="5" t="str">
        <f>PasteHashtag!D94</f>
        <v>PF,C</v>
      </c>
      <c r="E94" s="5" t="str">
        <f>PasteHashtag!E94</f>
        <v>GS</v>
      </c>
      <c r="F94" s="5">
        <f>PasteHashtag!F94</f>
        <v>58</v>
      </c>
      <c r="G94" s="5">
        <f>PasteHashtag!G94</f>
        <v>27.3</v>
      </c>
      <c r="H94" s="5">
        <f>MID(PasteHashtag!H94,1+FIND("(",PasteHashtag!H94),FIND("/",PasteHashtag!H94)-FIND("(",PasteHashtag!H94)-1)*1</f>
        <v>3.3</v>
      </c>
      <c r="I94" s="5">
        <f>LEFT(PasteHashtag!H94,FIND("(",PasteHashtag!H94)-1)*1</f>
        <v>0.514</v>
      </c>
      <c r="J94" s="5">
        <f>MID(PasteHashtag!I94,1+FIND("(",PasteHashtag!I94),FIND("/",PasteHashtag!I94)-FIND("(",PasteHashtag!I94)-1)*1</f>
        <v>1</v>
      </c>
      <c r="K94" s="5">
        <f>LEFT(PasteHashtag!I94,FIND("(",PasteHashtag!I94)-1)*1</f>
        <v>0.713</v>
      </c>
      <c r="L94" s="5">
        <f>PasteHashtag!J94</f>
        <v>0.7</v>
      </c>
      <c r="M94" s="5">
        <f>PasteHashtag!K94</f>
        <v>8.2</v>
      </c>
      <c r="N94" s="5">
        <f>PasteHashtag!L94</f>
        <v>6.9</v>
      </c>
      <c r="O94" s="5">
        <f>PasteHashtag!M94</f>
        <v>6.2</v>
      </c>
      <c r="P94" s="5">
        <f>PasteHashtag!N94</f>
        <v>1.1</v>
      </c>
      <c r="Q94" s="5">
        <f>PasteHashtag!O94</f>
        <v>0.8</v>
      </c>
      <c r="R94" s="5">
        <f>PasteHashtag!P94</f>
        <v>2.5</v>
      </c>
      <c r="S94" s="5">
        <f>Mid(PasteHashtag!H94,FIND("/",PasteHashtag!H94)+1,LEN(PasteHashtag!H94)-FIND("/",PasteHashtag!H94)-1)*1</f>
        <v>6.3</v>
      </c>
      <c r="T94" s="178">
        <f>Mid(PasteHashtag!I94,FIND("/",PasteHashtag!I94)+1,LEN(PasteHashtag!I94)-FIND("/",PasteHashtag!I94)-1)*1</f>
        <v>1.4</v>
      </c>
      <c r="U94" s="18"/>
      <c r="V94" s="18"/>
      <c r="W94" s="18"/>
    </row>
    <row r="95">
      <c r="A95" s="5">
        <v>94.0</v>
      </c>
      <c r="B95" s="5">
        <f>PasteHashtag!B95</f>
        <v>92.7</v>
      </c>
      <c r="C95" s="177" t="str">
        <f>PasteHashtag!C95</f>
        <v>Jakob Poeltl</v>
      </c>
      <c r="D95" s="5" t="str">
        <f>PasteHashtag!D95</f>
        <v>C</v>
      </c>
      <c r="E95" s="5" t="str">
        <f>PasteHashtag!E95</f>
        <v>TOR</v>
      </c>
      <c r="F95" s="5">
        <f>PasteHashtag!F95</f>
        <v>68</v>
      </c>
      <c r="G95" s="5">
        <f>PasteHashtag!G95</f>
        <v>26.8</v>
      </c>
      <c r="H95" s="5">
        <f>MID(PasteHashtag!H95,1+FIND("(",PasteHashtag!H95),FIND("/",PasteHashtag!H95)-FIND("(",PasteHashtag!H95)-1)*1</f>
        <v>5.4</v>
      </c>
      <c r="I95" s="5">
        <f>LEFT(PasteHashtag!H95,FIND("(",PasteHashtag!H95)-1)*1</f>
        <v>0.64</v>
      </c>
      <c r="J95" s="5">
        <f>MID(PasteHashtag!I95,1+FIND("(",PasteHashtag!I95),FIND("/",PasteHashtag!I95)-FIND("(",PasteHashtag!I95)-1)*1</f>
        <v>1.5</v>
      </c>
      <c r="K95" s="5">
        <f>LEFT(PasteHashtag!I95,FIND("(",PasteHashtag!I95)-1)*1</f>
        <v>0.575</v>
      </c>
      <c r="L95" s="5">
        <f>PasteHashtag!J95</f>
        <v>0</v>
      </c>
      <c r="M95" s="5">
        <f>PasteHashtag!K95</f>
        <v>12.2</v>
      </c>
      <c r="N95" s="5">
        <f>PasteHashtag!L95</f>
        <v>9.1</v>
      </c>
      <c r="O95" s="5">
        <f>PasteHashtag!M95</f>
        <v>2.7</v>
      </c>
      <c r="P95" s="5">
        <f>PasteHashtag!N95</f>
        <v>0.9</v>
      </c>
      <c r="Q95" s="5">
        <f>PasteHashtag!O95</f>
        <v>1.4</v>
      </c>
      <c r="R95" s="5">
        <f>PasteHashtag!P95</f>
        <v>1.7</v>
      </c>
      <c r="S95" s="5">
        <f>Mid(PasteHashtag!H95,FIND("/",PasteHashtag!H95)+1,LEN(PasteHashtag!H95)-FIND("/",PasteHashtag!H95)-1)*1</f>
        <v>8.4</v>
      </c>
      <c r="T95" s="178">
        <f>Mid(PasteHashtag!I95,FIND("/",PasteHashtag!I95)+1,LEN(PasteHashtag!I95)-FIND("/",PasteHashtag!I95)-1)*1</f>
        <v>2.6</v>
      </c>
      <c r="U95" s="18"/>
      <c r="V95" s="18"/>
      <c r="W95" s="18"/>
    </row>
    <row r="96">
      <c r="A96" s="5">
        <v>95.0</v>
      </c>
      <c r="B96" s="5">
        <f>PasteHashtag!B96</f>
        <v>116.8</v>
      </c>
      <c r="C96" s="177" t="str">
        <f>PasteHashtag!C96</f>
        <v>Amen Thompson</v>
      </c>
      <c r="D96" s="5" t="str">
        <f>PasteHashtag!D96</f>
        <v>SG,SF</v>
      </c>
      <c r="E96" s="5" t="str">
        <f>PasteHashtag!E96</f>
        <v>HOU</v>
      </c>
      <c r="F96" s="5">
        <f>PasteHashtag!F96</f>
        <v>68</v>
      </c>
      <c r="G96" s="5">
        <f>PasteHashtag!G96</f>
        <v>27.2</v>
      </c>
      <c r="H96" s="5">
        <f>MID(PasteHashtag!H96,1+FIND("(",PasteHashtag!H96),FIND("/",PasteHashtag!H96)-FIND("(",PasteHashtag!H96)-1)*1</f>
        <v>4.8</v>
      </c>
      <c r="I96" s="5">
        <f>LEFT(PasteHashtag!H96,FIND("(",PasteHashtag!H96)-1)*1</f>
        <v>0.529</v>
      </c>
      <c r="J96" s="5">
        <f>MID(PasteHashtag!I96,1+FIND("(",PasteHashtag!I96),FIND("/",PasteHashtag!I96)-FIND("(",PasteHashtag!I96)-1)*1</f>
        <v>2.2</v>
      </c>
      <c r="K96" s="5">
        <f>LEFT(PasteHashtag!I96,FIND("(",PasteHashtag!I96)-1)*1</f>
        <v>0.72</v>
      </c>
      <c r="L96" s="5">
        <f>PasteHashtag!J96</f>
        <v>0.3</v>
      </c>
      <c r="M96" s="5">
        <f>PasteHashtag!K96</f>
        <v>12</v>
      </c>
      <c r="N96" s="5">
        <f>PasteHashtag!L96</f>
        <v>7.2</v>
      </c>
      <c r="O96" s="5">
        <f>PasteHashtag!M96</f>
        <v>3.2</v>
      </c>
      <c r="P96" s="5">
        <f>PasteHashtag!N96</f>
        <v>1.5</v>
      </c>
      <c r="Q96" s="5">
        <f>PasteHashtag!O96</f>
        <v>0.8</v>
      </c>
      <c r="R96" s="5">
        <f>PasteHashtag!P96</f>
        <v>1.8</v>
      </c>
      <c r="S96" s="5">
        <f>Mid(PasteHashtag!H96,FIND("/",PasteHashtag!H96)+1,LEN(PasteHashtag!H96)-FIND("/",PasteHashtag!H96)-1)*1</f>
        <v>9</v>
      </c>
      <c r="T96" s="178">
        <f>Mid(PasteHashtag!I96,FIND("/",PasteHashtag!I96)+1,LEN(PasteHashtag!I96)-FIND("/",PasteHashtag!I96)-1)*1</f>
        <v>3.1</v>
      </c>
      <c r="U96" s="18"/>
      <c r="V96" s="18"/>
      <c r="W96" s="18"/>
    </row>
    <row r="97">
      <c r="A97" s="5">
        <v>96.0</v>
      </c>
      <c r="B97" s="5">
        <f>PasteHashtag!B97</f>
        <v>86.9</v>
      </c>
      <c r="C97" s="177" t="str">
        <f>PasteHashtag!C97</f>
        <v>CJ McCollum</v>
      </c>
      <c r="D97" s="5" t="str">
        <f>PasteHashtag!D97</f>
        <v>PG,SG</v>
      </c>
      <c r="E97" s="5" t="str">
        <f>PasteHashtag!E97</f>
        <v>NO</v>
      </c>
      <c r="F97" s="5">
        <f>PasteHashtag!F97</f>
        <v>65</v>
      </c>
      <c r="G97" s="5">
        <f>PasteHashtag!G97</f>
        <v>32</v>
      </c>
      <c r="H97" s="5">
        <f>MID(PasteHashtag!H97,1+FIND("(",PasteHashtag!H97),FIND("/",PasteHashtag!H97)-FIND("(",PasteHashtag!H97)-1)*1</f>
        <v>6.8</v>
      </c>
      <c r="I97" s="5">
        <f>LEFT(PasteHashtag!H97,FIND("(",PasteHashtag!H97)-1)*1</f>
        <v>0.451</v>
      </c>
      <c r="J97" s="5">
        <f>MID(PasteHashtag!I97,1+FIND("(",PasteHashtag!I97),FIND("/",PasteHashtag!I97)-FIND("(",PasteHashtag!I97)-1)*1</f>
        <v>1.9</v>
      </c>
      <c r="K97" s="5">
        <f>LEFT(PasteHashtag!I97,FIND("(",PasteHashtag!I97)-1)*1</f>
        <v>0.814</v>
      </c>
      <c r="L97" s="5">
        <f>PasteHashtag!J97</f>
        <v>2.8</v>
      </c>
      <c r="M97" s="5">
        <f>PasteHashtag!K97</f>
        <v>18.3</v>
      </c>
      <c r="N97" s="5">
        <f>PasteHashtag!L97</f>
        <v>3.9</v>
      </c>
      <c r="O97" s="5">
        <f>PasteHashtag!M97</f>
        <v>4.1</v>
      </c>
      <c r="P97" s="5">
        <f>PasteHashtag!N97</f>
        <v>0.8</v>
      </c>
      <c r="Q97" s="5">
        <f>PasteHashtag!O97</f>
        <v>0.5</v>
      </c>
      <c r="R97" s="5">
        <f>PasteHashtag!P97</f>
        <v>1.9</v>
      </c>
      <c r="S97" s="5">
        <f>Mid(PasteHashtag!H97,FIND("/",PasteHashtag!H97)+1,LEN(PasteHashtag!H97)-FIND("/",PasteHashtag!H97)-1)*1</f>
        <v>15</v>
      </c>
      <c r="T97" s="178">
        <f>Mid(PasteHashtag!I97,FIND("/",PasteHashtag!I97)+1,LEN(PasteHashtag!I97)-FIND("/",PasteHashtag!I97)-1)*1</f>
        <v>2.3</v>
      </c>
      <c r="U97" s="18"/>
      <c r="V97" s="18"/>
      <c r="W97" s="18"/>
    </row>
    <row r="98">
      <c r="A98" s="5">
        <v>97.0</v>
      </c>
      <c r="B98" s="5">
        <f>PasteHashtag!B98</f>
        <v>70.1</v>
      </c>
      <c r="C98" s="177" t="str">
        <f>PasteHashtag!C98</f>
        <v>Cam Thomas</v>
      </c>
      <c r="D98" s="5" t="str">
        <f>PasteHashtag!D98</f>
        <v>SG</v>
      </c>
      <c r="E98" s="5" t="str">
        <f>PasteHashtag!E98</f>
        <v>BKN</v>
      </c>
      <c r="F98" s="5">
        <f>PasteHashtag!F98</f>
        <v>69</v>
      </c>
      <c r="G98" s="5">
        <f>PasteHashtag!G98</f>
        <v>32.1</v>
      </c>
      <c r="H98" s="5">
        <f>MID(PasteHashtag!H98,1+FIND("(",PasteHashtag!H98),FIND("/",PasteHashtag!H98)-FIND("(",PasteHashtag!H98)-1)*1</f>
        <v>9.1</v>
      </c>
      <c r="I98" s="5">
        <f>LEFT(PasteHashtag!H98,FIND("(",PasteHashtag!H98)-1)*1</f>
        <v>0.44</v>
      </c>
      <c r="J98" s="5">
        <f>MID(PasteHashtag!I98,1+FIND("(",PasteHashtag!I98),FIND("/",PasteHashtag!I98)-FIND("(",PasteHashtag!I98)-1)*1</f>
        <v>4.7</v>
      </c>
      <c r="K98" s="5">
        <f>LEFT(PasteHashtag!I98,FIND("(",PasteHashtag!I98)-1)*1</f>
        <v>0.861</v>
      </c>
      <c r="L98" s="5">
        <f>PasteHashtag!J98</f>
        <v>2.6</v>
      </c>
      <c r="M98" s="5">
        <f>PasteHashtag!K98</f>
        <v>25.6</v>
      </c>
      <c r="N98" s="5">
        <f>PasteHashtag!L98</f>
        <v>3.3</v>
      </c>
      <c r="O98" s="5">
        <f>PasteHashtag!M98</f>
        <v>2.9</v>
      </c>
      <c r="P98" s="5">
        <f>PasteHashtag!N98</f>
        <v>0.7</v>
      </c>
      <c r="Q98" s="5">
        <f>PasteHashtag!O98</f>
        <v>0.3</v>
      </c>
      <c r="R98" s="5">
        <f>PasteHashtag!P98</f>
        <v>2</v>
      </c>
      <c r="S98" s="5">
        <f>Mid(PasteHashtag!H98,FIND("/",PasteHashtag!H98)+1,LEN(PasteHashtag!H98)-FIND("/",PasteHashtag!H98)-1)*1</f>
        <v>20.7</v>
      </c>
      <c r="T98" s="178">
        <f>Mid(PasteHashtag!I98,FIND("/",PasteHashtag!I98)+1,LEN(PasteHashtag!I98)-FIND("/",PasteHashtag!I98)-1)*1</f>
        <v>5.5</v>
      </c>
      <c r="U98" s="18"/>
      <c r="V98" s="18"/>
      <c r="W98" s="18"/>
    </row>
    <row r="99">
      <c r="A99" s="5">
        <v>98.0</v>
      </c>
      <c r="B99" s="5">
        <f>PasteHashtag!B99</f>
        <v>136.7</v>
      </c>
      <c r="C99" s="177" t="str">
        <f>PasteHashtag!C99</f>
        <v>Al Horford</v>
      </c>
      <c r="D99" s="5" t="str">
        <f>PasteHashtag!D99</f>
        <v>PF,C</v>
      </c>
      <c r="E99" s="5" t="str">
        <f>PasteHashtag!E99</f>
        <v>BOS</v>
      </c>
      <c r="F99" s="5">
        <f>PasteHashtag!F99</f>
        <v>63</v>
      </c>
      <c r="G99" s="5">
        <f>PasteHashtag!G99</f>
        <v>27.4</v>
      </c>
      <c r="H99" s="5">
        <f>MID(PasteHashtag!H99,1+FIND("(",PasteHashtag!H99),FIND("/",PasteHashtag!H99)-FIND("(",PasteHashtag!H99)-1)*1</f>
        <v>3.7</v>
      </c>
      <c r="I99" s="5">
        <f>LEFT(PasteHashtag!H99,FIND("(",PasteHashtag!H99)-1)*1</f>
        <v>0.493</v>
      </c>
      <c r="J99" s="5">
        <f>MID(PasteHashtag!I99,1+FIND("(",PasteHashtag!I99),FIND("/",PasteHashtag!I99)-FIND("(",PasteHashtag!I99)-1)*1</f>
        <v>0.3</v>
      </c>
      <c r="K99" s="5">
        <f>LEFT(PasteHashtag!I99,FIND("(",PasteHashtag!I99)-1)*1</f>
        <v>0.791</v>
      </c>
      <c r="L99" s="5">
        <f>PasteHashtag!J99</f>
        <v>2.1</v>
      </c>
      <c r="M99" s="5">
        <f>PasteHashtag!K99</f>
        <v>9.8</v>
      </c>
      <c r="N99" s="5">
        <f>PasteHashtag!L99</f>
        <v>6.7</v>
      </c>
      <c r="O99" s="5">
        <f>PasteHashtag!M99</f>
        <v>3</v>
      </c>
      <c r="P99" s="5">
        <f>PasteHashtag!N99</f>
        <v>0.6</v>
      </c>
      <c r="Q99" s="5">
        <f>PasteHashtag!O99</f>
        <v>1</v>
      </c>
      <c r="R99" s="5">
        <f>PasteHashtag!P99</f>
        <v>0.7</v>
      </c>
      <c r="S99" s="5">
        <f>Mid(PasteHashtag!H99,FIND("/",PasteHashtag!H99)+1,LEN(PasteHashtag!H99)-FIND("/",PasteHashtag!H99)-1)*1</f>
        <v>7.4</v>
      </c>
      <c r="T99" s="178">
        <f>Mid(PasteHashtag!I99,FIND("/",PasteHashtag!I99)+1,LEN(PasteHashtag!I99)-FIND("/",PasteHashtag!I99)-1)*1</f>
        <v>0.4</v>
      </c>
      <c r="U99" s="18"/>
      <c r="V99" s="18"/>
      <c r="W99" s="18"/>
    </row>
    <row r="100">
      <c r="A100" s="5">
        <v>99.0</v>
      </c>
      <c r="B100" s="5">
        <f>PasteHashtag!B100</f>
        <v>91.6</v>
      </c>
      <c r="C100" s="177" t="str">
        <f>PasteHashtag!C100</f>
        <v>Ivica Zubac</v>
      </c>
      <c r="D100" s="5" t="str">
        <f>PasteHashtag!D100</f>
        <v>C</v>
      </c>
      <c r="E100" s="5" t="str">
        <f>PasteHashtag!E100</f>
        <v>LAC</v>
      </c>
      <c r="F100" s="5">
        <f>PasteHashtag!F100</f>
        <v>72</v>
      </c>
      <c r="G100" s="5">
        <f>PasteHashtag!G100</f>
        <v>28.5</v>
      </c>
      <c r="H100" s="5">
        <f>MID(PasteHashtag!H100,1+FIND("(",PasteHashtag!H100),FIND("/",PasteHashtag!H100)-FIND("(",PasteHashtag!H100)-1)*1</f>
        <v>5.1</v>
      </c>
      <c r="I100" s="5">
        <f>LEFT(PasteHashtag!H100,FIND("(",PasteHashtag!H100)-1)*1</f>
        <v>0.642</v>
      </c>
      <c r="J100" s="5">
        <f>MID(PasteHashtag!I100,1+FIND("(",PasteHashtag!I100),FIND("/",PasteHashtag!I100)-FIND("(",PasteHashtag!I100)-1)*1</f>
        <v>2.2</v>
      </c>
      <c r="K100" s="5">
        <f>LEFT(PasteHashtag!I100,FIND("(",PasteHashtag!I100)-1)*1</f>
        <v>0.709</v>
      </c>
      <c r="L100" s="5">
        <f>PasteHashtag!J100</f>
        <v>0</v>
      </c>
      <c r="M100" s="5">
        <f>PasteHashtag!K100</f>
        <v>12.3</v>
      </c>
      <c r="N100" s="5">
        <f>PasteHashtag!L100</f>
        <v>10.1</v>
      </c>
      <c r="O100" s="5">
        <f>PasteHashtag!M100</f>
        <v>1.3</v>
      </c>
      <c r="P100" s="5">
        <f>PasteHashtag!N100</f>
        <v>0.4</v>
      </c>
      <c r="Q100" s="5">
        <f>PasteHashtag!O100</f>
        <v>1.4</v>
      </c>
      <c r="R100" s="5">
        <f>PasteHashtag!P100</f>
        <v>1.5</v>
      </c>
      <c r="S100" s="5">
        <f>Mid(PasteHashtag!H100,FIND("/",PasteHashtag!H100)+1,LEN(PasteHashtag!H100)-FIND("/",PasteHashtag!H100)-1)*1</f>
        <v>7.9</v>
      </c>
      <c r="T100" s="178">
        <f>Mid(PasteHashtag!I100,FIND("/",PasteHashtag!I100)+1,LEN(PasteHashtag!I100)-FIND("/",PasteHashtag!I100)-1)*1</f>
        <v>3.1</v>
      </c>
      <c r="U100" s="18"/>
      <c r="V100" s="18"/>
      <c r="W100" s="18"/>
    </row>
    <row r="101">
      <c r="A101" s="5">
        <v>100.0</v>
      </c>
      <c r="B101" s="5">
        <f>PasteHashtag!B101</f>
        <v>111.1</v>
      </c>
      <c r="C101" s="177" t="str">
        <f>PasteHashtag!C101</f>
        <v>Khris Middleton</v>
      </c>
      <c r="D101" s="5" t="str">
        <f>PasteHashtag!D101</f>
        <v>SF</v>
      </c>
      <c r="E101" s="5" t="str">
        <f>PasteHashtag!E101</f>
        <v>MIL</v>
      </c>
      <c r="F101" s="5">
        <f>PasteHashtag!F101</f>
        <v>62</v>
      </c>
      <c r="G101" s="5">
        <f>PasteHashtag!G101</f>
        <v>28.1</v>
      </c>
      <c r="H101" s="5">
        <f>MID(PasteHashtag!H101,1+FIND("(",PasteHashtag!H101),FIND("/",PasteHashtag!H101)-FIND("(",PasteHashtag!H101)-1)*1</f>
        <v>6.2</v>
      </c>
      <c r="I101" s="5">
        <f>LEFT(PasteHashtag!H101,FIND("(",PasteHashtag!H101)-1)*1</f>
        <v>0.482</v>
      </c>
      <c r="J101" s="5">
        <f>MID(PasteHashtag!I101,1+FIND("(",PasteHashtag!I101),FIND("/",PasteHashtag!I101)-FIND("(",PasteHashtag!I101)-1)*1</f>
        <v>2.3</v>
      </c>
      <c r="K101" s="5">
        <f>LEFT(PasteHashtag!I101,FIND("(",PasteHashtag!I101)-1)*1</f>
        <v>0.867</v>
      </c>
      <c r="L101" s="5">
        <f>PasteHashtag!J101</f>
        <v>1.7</v>
      </c>
      <c r="M101" s="5">
        <f>PasteHashtag!K101</f>
        <v>16.4</v>
      </c>
      <c r="N101" s="5">
        <f>PasteHashtag!L101</f>
        <v>4.4</v>
      </c>
      <c r="O101" s="5">
        <f>PasteHashtag!M101</f>
        <v>4.7</v>
      </c>
      <c r="P101" s="5">
        <f>PasteHashtag!N101</f>
        <v>0.8</v>
      </c>
      <c r="Q101" s="5">
        <f>PasteHashtag!O101</f>
        <v>0.2</v>
      </c>
      <c r="R101" s="5">
        <f>PasteHashtag!P101</f>
        <v>2.4</v>
      </c>
      <c r="S101" s="5">
        <f>Mid(PasteHashtag!H101,FIND("/",PasteHashtag!H101)+1,LEN(PasteHashtag!H101)-FIND("/",PasteHashtag!H101)-1)*1</f>
        <v>12.9</v>
      </c>
      <c r="T101" s="178">
        <f>Mid(PasteHashtag!I101,FIND("/",PasteHashtag!I101)+1,LEN(PasteHashtag!I101)-FIND("/",PasteHashtag!I101)-1)*1</f>
        <v>2.6</v>
      </c>
      <c r="U101" s="18"/>
      <c r="V101" s="18"/>
      <c r="W101" s="18"/>
    </row>
    <row r="102">
      <c r="A102" s="5">
        <v>101.0</v>
      </c>
      <c r="B102" s="5">
        <f>PasteHashtag!B102</f>
        <v>132.8</v>
      </c>
      <c r="C102" s="177" t="str">
        <f>PasteHashtag!C102</f>
        <v>Mike Conley</v>
      </c>
      <c r="D102" s="5" t="str">
        <f>PasteHashtag!D102</f>
        <v>PG</v>
      </c>
      <c r="E102" s="5" t="str">
        <f>PasteHashtag!E102</f>
        <v>MIN</v>
      </c>
      <c r="F102" s="5">
        <f>PasteHashtag!F102</f>
        <v>72</v>
      </c>
      <c r="G102" s="5">
        <f>PasteHashtag!G102</f>
        <v>29.1</v>
      </c>
      <c r="H102" s="5">
        <f>MID(PasteHashtag!H102,1+FIND("(",PasteHashtag!H102),FIND("/",PasteHashtag!H102)-FIND("(",PasteHashtag!H102)-1)*1</f>
        <v>3.9</v>
      </c>
      <c r="I102" s="5">
        <f>LEFT(PasteHashtag!H102,FIND("(",PasteHashtag!H102)-1)*1</f>
        <v>0.442</v>
      </c>
      <c r="J102" s="5">
        <f>MID(PasteHashtag!I102,1+FIND("(",PasteHashtag!I102),FIND("/",PasteHashtag!I102)-FIND("(",PasteHashtag!I102)-1)*1</f>
        <v>1.7</v>
      </c>
      <c r="K102" s="5">
        <f>LEFT(PasteHashtag!I102,FIND("(",PasteHashtag!I102)-1)*1</f>
        <v>0.885</v>
      </c>
      <c r="L102" s="5">
        <f>PasteHashtag!J102</f>
        <v>2.2</v>
      </c>
      <c r="M102" s="5">
        <f>PasteHashtag!K102</f>
        <v>11.6</v>
      </c>
      <c r="N102" s="5">
        <f>PasteHashtag!L102</f>
        <v>2.8</v>
      </c>
      <c r="O102" s="5">
        <f>PasteHashtag!M102</f>
        <v>6</v>
      </c>
      <c r="P102" s="5">
        <f>PasteHashtag!N102</f>
        <v>1.1</v>
      </c>
      <c r="Q102" s="5">
        <f>PasteHashtag!O102</f>
        <v>0.2</v>
      </c>
      <c r="R102" s="5">
        <f>PasteHashtag!P102</f>
        <v>1.4</v>
      </c>
      <c r="S102" s="5">
        <f>Mid(PasteHashtag!H102,FIND("/",PasteHashtag!H102)+1,LEN(PasteHashtag!H102)-FIND("/",PasteHashtag!H102)-1)*1</f>
        <v>8.7</v>
      </c>
      <c r="T102" s="178">
        <f>Mid(PasteHashtag!I102,FIND("/",PasteHashtag!I102)+1,LEN(PasteHashtag!I102)-FIND("/",PasteHashtag!I102)-1)*1</f>
        <v>1.9</v>
      </c>
      <c r="U102" s="18"/>
      <c r="V102" s="18"/>
      <c r="W102" s="18"/>
    </row>
    <row r="103">
      <c r="A103" s="5">
        <v>102.0</v>
      </c>
      <c r="B103" s="5">
        <f>PasteHashtag!B103</f>
        <v>88.2</v>
      </c>
      <c r="C103" s="177" t="str">
        <f>PasteHashtag!C103</f>
        <v>Jonas Valanciunas</v>
      </c>
      <c r="D103" s="5" t="str">
        <f>PasteHashtag!D103</f>
        <v>C</v>
      </c>
      <c r="E103" s="5" t="str">
        <f>PasteHashtag!E103</f>
        <v>WAS</v>
      </c>
      <c r="F103" s="5">
        <f>PasteHashtag!F103</f>
        <v>74</v>
      </c>
      <c r="G103" s="5">
        <f>PasteHashtag!G103</f>
        <v>26.8</v>
      </c>
      <c r="H103" s="5">
        <f>MID(PasteHashtag!H103,1+FIND("(",PasteHashtag!H103),FIND("/",PasteHashtag!H103)-FIND("(",PasteHashtag!H103)-1)*1</f>
        <v>5.7</v>
      </c>
      <c r="I103" s="5">
        <f>LEFT(PasteHashtag!H103,FIND("(",PasteHashtag!H103)-1)*1</f>
        <v>0.548</v>
      </c>
      <c r="J103" s="5">
        <f>MID(PasteHashtag!I103,1+FIND("(",PasteHashtag!I103),FIND("/",PasteHashtag!I103)-FIND("(",PasteHashtag!I103)-1)*1</f>
        <v>2.3</v>
      </c>
      <c r="K103" s="5">
        <f>LEFT(PasteHashtag!I103,FIND("(",PasteHashtag!I103)-1)*1</f>
        <v>0.796</v>
      </c>
      <c r="L103" s="5">
        <f>PasteHashtag!J103</f>
        <v>0.5</v>
      </c>
      <c r="M103" s="5">
        <f>PasteHashtag!K103</f>
        <v>14.2</v>
      </c>
      <c r="N103" s="5">
        <f>PasteHashtag!L103</f>
        <v>10.3</v>
      </c>
      <c r="O103" s="5">
        <f>PasteHashtag!M103</f>
        <v>2.1</v>
      </c>
      <c r="P103" s="5">
        <f>PasteHashtag!N103</f>
        <v>0.4</v>
      </c>
      <c r="Q103" s="5">
        <f>PasteHashtag!O103</f>
        <v>0.8</v>
      </c>
      <c r="R103" s="5">
        <f>PasteHashtag!P103</f>
        <v>1.8</v>
      </c>
      <c r="S103" s="5">
        <f>Mid(PasteHashtag!H103,FIND("/",PasteHashtag!H103)+1,LEN(PasteHashtag!H103)-FIND("/",PasteHashtag!H103)-1)*1</f>
        <v>10.4</v>
      </c>
      <c r="T103" s="178">
        <f>Mid(PasteHashtag!I103,FIND("/",PasteHashtag!I103)+1,LEN(PasteHashtag!I103)-FIND("/",PasteHashtag!I103)-1)*1</f>
        <v>2.9</v>
      </c>
      <c r="U103" s="18"/>
      <c r="V103" s="18"/>
      <c r="W103" s="18"/>
    </row>
    <row r="104">
      <c r="A104" s="5">
        <v>103.0</v>
      </c>
      <c r="B104" s="5">
        <f>PasteHashtag!B104</f>
        <v>63</v>
      </c>
      <c r="C104" s="177" t="str">
        <f>PasteHashtag!C104</f>
        <v>Brandon Miller</v>
      </c>
      <c r="D104" s="5" t="str">
        <f>PasteHashtag!D104</f>
        <v>SG,SF</v>
      </c>
      <c r="E104" s="5" t="str">
        <f>PasteHashtag!E104</f>
        <v>CHA</v>
      </c>
      <c r="F104" s="5">
        <f>PasteHashtag!F104</f>
        <v>74</v>
      </c>
      <c r="G104" s="5">
        <f>PasteHashtag!G104</f>
        <v>33</v>
      </c>
      <c r="H104" s="5">
        <f>MID(PasteHashtag!H104,1+FIND("(",PasteHashtag!H104),FIND("/",PasteHashtag!H104)-FIND("(",PasteHashtag!H104)-1)*1</f>
        <v>6.7</v>
      </c>
      <c r="I104" s="5">
        <f>LEFT(PasteHashtag!H104,FIND("(",PasteHashtag!H104)-1)*1</f>
        <v>0.445</v>
      </c>
      <c r="J104" s="5">
        <f>MID(PasteHashtag!I104,1+FIND("(",PasteHashtag!I104),FIND("/",PasteHashtag!I104)-FIND("(",PasteHashtag!I104)-1)*1</f>
        <v>2.1</v>
      </c>
      <c r="K104" s="5">
        <f>LEFT(PasteHashtag!I104,FIND("(",PasteHashtag!I104)-1)*1</f>
        <v>0.837</v>
      </c>
      <c r="L104" s="5">
        <f>PasteHashtag!J104</f>
        <v>2.6</v>
      </c>
      <c r="M104" s="5">
        <f>PasteHashtag!K104</f>
        <v>18.1</v>
      </c>
      <c r="N104" s="5">
        <f>PasteHashtag!L104</f>
        <v>4.4</v>
      </c>
      <c r="O104" s="5">
        <f>PasteHashtag!M104</f>
        <v>2.5</v>
      </c>
      <c r="P104" s="5">
        <f>PasteHashtag!N104</f>
        <v>1</v>
      </c>
      <c r="Q104" s="5">
        <f>PasteHashtag!O104</f>
        <v>0.6</v>
      </c>
      <c r="R104" s="5">
        <f>PasteHashtag!P104</f>
        <v>1.9</v>
      </c>
      <c r="S104" s="5">
        <f>Mid(PasteHashtag!H104,FIND("/",PasteHashtag!H104)+1,LEN(PasteHashtag!H104)-FIND("/",PasteHashtag!H104)-1)*1</f>
        <v>15.1</v>
      </c>
      <c r="T104" s="178">
        <f>Mid(PasteHashtag!I104,FIND("/",PasteHashtag!I104)+1,LEN(PasteHashtag!I104)-FIND("/",PasteHashtag!I104)-1)*1</f>
        <v>2.5</v>
      </c>
      <c r="U104" s="18"/>
      <c r="V104" s="18"/>
      <c r="W104" s="18"/>
    </row>
    <row r="105">
      <c r="A105" s="5">
        <v>104.0</v>
      </c>
      <c r="B105" s="5">
        <f>PasteHashtag!B105</f>
        <v>116.1</v>
      </c>
      <c r="C105" s="177" t="str">
        <f>PasteHashtag!C105</f>
        <v>Tyus Jones</v>
      </c>
      <c r="D105" s="5" t="str">
        <f>PasteHashtag!D105</f>
        <v>PG</v>
      </c>
      <c r="E105" s="5" t="str">
        <f>PasteHashtag!E105</f>
        <v>PHO</v>
      </c>
      <c r="F105" s="5">
        <f>PasteHashtag!F105</f>
        <v>73</v>
      </c>
      <c r="G105" s="5">
        <f>PasteHashtag!G105</f>
        <v>29.4</v>
      </c>
      <c r="H105" s="5">
        <f>MID(PasteHashtag!H105,1+FIND("(",PasteHashtag!H105),FIND("/",PasteHashtag!H105)-FIND("(",PasteHashtag!H105)-1)*1</f>
        <v>4.8</v>
      </c>
      <c r="I105" s="5">
        <f>LEFT(PasteHashtag!H105,FIND("(",PasteHashtag!H105)-1)*1</f>
        <v>0.476</v>
      </c>
      <c r="J105" s="5">
        <f>MID(PasteHashtag!I105,1+FIND("(",PasteHashtag!I105),FIND("/",PasteHashtag!I105)-FIND("(",PasteHashtag!I105)-1)*1</f>
        <v>0.9</v>
      </c>
      <c r="K105" s="5">
        <f>LEFT(PasteHashtag!I105,FIND("(",PasteHashtag!I105)-1)*1</f>
        <v>0.802</v>
      </c>
      <c r="L105" s="5">
        <f>PasteHashtag!J105</f>
        <v>1.7</v>
      </c>
      <c r="M105" s="5">
        <f>PasteHashtag!K105</f>
        <v>12.2</v>
      </c>
      <c r="N105" s="5">
        <f>PasteHashtag!L105</f>
        <v>2.9</v>
      </c>
      <c r="O105" s="5">
        <f>PasteHashtag!M105</f>
        <v>6.8</v>
      </c>
      <c r="P105" s="5">
        <f>PasteHashtag!N105</f>
        <v>1.2</v>
      </c>
      <c r="Q105" s="5">
        <f>PasteHashtag!O105</f>
        <v>0.2</v>
      </c>
      <c r="R105" s="5">
        <f>PasteHashtag!P105</f>
        <v>1.1</v>
      </c>
      <c r="S105" s="5">
        <f>Mid(PasteHashtag!H105,FIND("/",PasteHashtag!H105)+1,LEN(PasteHashtag!H105)-FIND("/",PasteHashtag!H105)-1)*1</f>
        <v>10.1</v>
      </c>
      <c r="T105" s="178">
        <f>Mid(PasteHashtag!I105,FIND("/",PasteHashtag!I105)+1,LEN(PasteHashtag!I105)-FIND("/",PasteHashtag!I105)-1)*1</f>
        <v>1.1</v>
      </c>
      <c r="U105" s="18"/>
      <c r="V105" s="18"/>
      <c r="W105" s="18"/>
    </row>
    <row r="106">
      <c r="A106" s="5">
        <v>105.0</v>
      </c>
      <c r="B106" s="5">
        <f>PasteHashtag!B106</f>
        <v>76.9</v>
      </c>
      <c r="C106" s="177" t="str">
        <f>PasteHashtag!C106</f>
        <v>Brook Lopez</v>
      </c>
      <c r="D106" s="5" t="str">
        <f>PasteHashtag!D106</f>
        <v>C</v>
      </c>
      <c r="E106" s="5" t="str">
        <f>PasteHashtag!E106</f>
        <v>MIL</v>
      </c>
      <c r="F106" s="5">
        <f>PasteHashtag!F106</f>
        <v>70</v>
      </c>
      <c r="G106" s="5">
        <f>PasteHashtag!G106</f>
        <v>28.5</v>
      </c>
      <c r="H106" s="5">
        <f>MID(PasteHashtag!H106,1+FIND("(",PasteHashtag!H106),FIND("/",PasteHashtag!H106)-FIND("(",PasteHashtag!H106)-1)*1</f>
        <v>4.2</v>
      </c>
      <c r="I106" s="5">
        <f>LEFT(PasteHashtag!H106,FIND("(",PasteHashtag!H106)-1)*1</f>
        <v>0.471</v>
      </c>
      <c r="J106" s="5">
        <f>MID(PasteHashtag!I106,1+FIND("(",PasteHashtag!I106),FIND("/",PasteHashtag!I106)-FIND("(",PasteHashtag!I106)-1)*1</f>
        <v>1.4</v>
      </c>
      <c r="K106" s="5">
        <f>LEFT(PasteHashtag!I106,FIND("(",PasteHashtag!I106)-1)*1</f>
        <v>0.803</v>
      </c>
      <c r="L106" s="5">
        <f>PasteHashtag!J106</f>
        <v>1.7</v>
      </c>
      <c r="M106" s="5">
        <f>PasteHashtag!K106</f>
        <v>11.7</v>
      </c>
      <c r="N106" s="5">
        <f>PasteHashtag!L106</f>
        <v>4.9</v>
      </c>
      <c r="O106" s="5">
        <f>PasteHashtag!M106</f>
        <v>1.3</v>
      </c>
      <c r="P106" s="5">
        <f>PasteHashtag!N106</f>
        <v>0.5</v>
      </c>
      <c r="Q106" s="5">
        <f>PasteHashtag!O106</f>
        <v>2</v>
      </c>
      <c r="R106" s="5">
        <f>PasteHashtag!P106</f>
        <v>1</v>
      </c>
      <c r="S106" s="5">
        <f>Mid(PasteHashtag!H106,FIND("/",PasteHashtag!H106)+1,LEN(PasteHashtag!H106)-FIND("/",PasteHashtag!H106)-1)*1</f>
        <v>9</v>
      </c>
      <c r="T106" s="178">
        <f>Mid(PasteHashtag!I106,FIND("/",PasteHashtag!I106)+1,LEN(PasteHashtag!I106)-FIND("/",PasteHashtag!I106)-1)*1</f>
        <v>1.8</v>
      </c>
      <c r="U106" s="18"/>
      <c r="V106" s="18"/>
      <c r="W106" s="18"/>
    </row>
    <row r="107">
      <c r="A107" s="5">
        <v>106.0</v>
      </c>
      <c r="B107" s="5">
        <f>PasteHashtag!B107</f>
        <v>109.6</v>
      </c>
      <c r="C107" s="177" t="str">
        <f>PasteHashtag!C107</f>
        <v>Jerami Grant</v>
      </c>
      <c r="D107" s="5" t="str">
        <f>PasteHashtag!D107</f>
        <v>SF,PF</v>
      </c>
      <c r="E107" s="5" t="str">
        <f>PasteHashtag!E107</f>
        <v>POR</v>
      </c>
      <c r="F107" s="5">
        <f>PasteHashtag!F107</f>
        <v>55</v>
      </c>
      <c r="G107" s="5">
        <f>PasteHashtag!G107</f>
        <v>32.8</v>
      </c>
      <c r="H107" s="5">
        <f>MID(PasteHashtag!H107,1+FIND("(",PasteHashtag!H107),FIND("/",PasteHashtag!H107)-FIND("(",PasteHashtag!H107)-1)*1</f>
        <v>6.6</v>
      </c>
      <c r="I107" s="5">
        <f>LEFT(PasteHashtag!H107,FIND("(",PasteHashtag!H107)-1)*1</f>
        <v>0.463</v>
      </c>
      <c r="J107" s="5">
        <f>MID(PasteHashtag!I107,1+FIND("(",PasteHashtag!I107),FIND("/",PasteHashtag!I107)-FIND("(",PasteHashtag!I107)-1)*1</f>
        <v>4.3</v>
      </c>
      <c r="K107" s="5">
        <f>LEFT(PasteHashtag!I107,FIND("(",PasteHashtag!I107)-1)*1</f>
        <v>0.814</v>
      </c>
      <c r="L107" s="5">
        <f>PasteHashtag!J107</f>
        <v>2.1</v>
      </c>
      <c r="M107" s="5">
        <f>PasteHashtag!K107</f>
        <v>19.7</v>
      </c>
      <c r="N107" s="5">
        <f>PasteHashtag!L107</f>
        <v>3.9</v>
      </c>
      <c r="O107" s="5">
        <f>PasteHashtag!M107</f>
        <v>2.5</v>
      </c>
      <c r="P107" s="5">
        <f>PasteHashtag!N107</f>
        <v>0.8</v>
      </c>
      <c r="Q107" s="5">
        <f>PasteHashtag!O107</f>
        <v>0.7</v>
      </c>
      <c r="R107" s="5">
        <f>PasteHashtag!P107</f>
        <v>1.9</v>
      </c>
      <c r="S107" s="5">
        <f>Mid(PasteHashtag!H107,FIND("/",PasteHashtag!H107)+1,LEN(PasteHashtag!H107)-FIND("/",PasteHashtag!H107)-1)*1</f>
        <v>14.3</v>
      </c>
      <c r="T107" s="178">
        <f>Mid(PasteHashtag!I107,FIND("/",PasteHashtag!I107)+1,LEN(PasteHashtag!I107)-FIND("/",PasteHashtag!I107)-1)*1</f>
        <v>5.3</v>
      </c>
      <c r="U107" s="18"/>
      <c r="V107" s="18"/>
      <c r="W107" s="18"/>
    </row>
    <row r="108">
      <c r="A108" s="5">
        <v>107.0</v>
      </c>
      <c r="B108" s="5">
        <f>PasteHashtag!B108</f>
        <v>82.5</v>
      </c>
      <c r="C108" s="177" t="str">
        <f>PasteHashtag!C108</f>
        <v>Kyle Kuzma</v>
      </c>
      <c r="D108" s="5" t="str">
        <f>PasteHashtag!D108</f>
        <v>PF</v>
      </c>
      <c r="E108" s="5" t="str">
        <f>PasteHashtag!E108</f>
        <v>WAS</v>
      </c>
      <c r="F108" s="5">
        <f>PasteHashtag!F108</f>
        <v>69</v>
      </c>
      <c r="G108" s="5">
        <f>PasteHashtag!G108</f>
        <v>32.1</v>
      </c>
      <c r="H108" s="5">
        <f>MID(PasteHashtag!H108,1+FIND("(",PasteHashtag!H108),FIND("/",PasteHashtag!H108)-FIND("(",PasteHashtag!H108)-1)*1</f>
        <v>8.3</v>
      </c>
      <c r="I108" s="5">
        <f>LEFT(PasteHashtag!H108,FIND("(",PasteHashtag!H108)-1)*1</f>
        <v>0.456</v>
      </c>
      <c r="J108" s="5">
        <f>MID(PasteHashtag!I108,1+FIND("(",PasteHashtag!I108),FIND("/",PasteHashtag!I108)-FIND("(",PasteHashtag!I108)-1)*1</f>
        <v>2.8</v>
      </c>
      <c r="K108" s="5">
        <f>LEFT(PasteHashtag!I108,FIND("(",PasteHashtag!I108)-1)*1</f>
        <v>0.773</v>
      </c>
      <c r="L108" s="5">
        <f>PasteHashtag!J108</f>
        <v>2.3</v>
      </c>
      <c r="M108" s="5">
        <f>PasteHashtag!K108</f>
        <v>21.6</v>
      </c>
      <c r="N108" s="5">
        <f>PasteHashtag!L108</f>
        <v>6.9</v>
      </c>
      <c r="O108" s="5">
        <f>PasteHashtag!M108</f>
        <v>4</v>
      </c>
      <c r="P108" s="5">
        <f>PasteHashtag!N108</f>
        <v>0.5</v>
      </c>
      <c r="Q108" s="5">
        <f>PasteHashtag!O108</f>
        <v>0.6</v>
      </c>
      <c r="R108" s="5">
        <f>PasteHashtag!P108</f>
        <v>2.8</v>
      </c>
      <c r="S108" s="5">
        <f>Mid(PasteHashtag!H108,FIND("/",PasteHashtag!H108)+1,LEN(PasteHashtag!H108)-FIND("/",PasteHashtag!H108)-1)*1</f>
        <v>18.1</v>
      </c>
      <c r="T108" s="178">
        <f>Mid(PasteHashtag!I108,FIND("/",PasteHashtag!I108)+1,LEN(PasteHashtag!I108)-FIND("/",PasteHashtag!I108)-1)*1</f>
        <v>3.6</v>
      </c>
      <c r="U108" s="18"/>
      <c r="V108" s="18"/>
      <c r="W108" s="18"/>
    </row>
    <row r="109">
      <c r="A109" s="5">
        <v>108.0</v>
      </c>
      <c r="B109" s="5">
        <f>PasteHashtag!B109</f>
        <v>132.1</v>
      </c>
      <c r="C109" s="177" t="str">
        <f>PasteHashtag!C109</f>
        <v>Norman Powell</v>
      </c>
      <c r="D109" s="5" t="str">
        <f>PasteHashtag!D109</f>
        <v>SG,SF</v>
      </c>
      <c r="E109" s="5" t="str">
        <f>PasteHashtag!E109</f>
        <v>LAC</v>
      </c>
      <c r="F109" s="5">
        <f>PasteHashtag!F109</f>
        <v>69</v>
      </c>
      <c r="G109" s="5">
        <f>PasteHashtag!G109</f>
        <v>31.8</v>
      </c>
      <c r="H109" s="5">
        <f>MID(PasteHashtag!H109,1+FIND("(",PasteHashtag!H109),FIND("/",PasteHashtag!H109)-FIND("(",PasteHashtag!H109)-1)*1</f>
        <v>6.5</v>
      </c>
      <c r="I109" s="5">
        <f>LEFT(PasteHashtag!H109,FIND("(",PasteHashtag!H109)-1)*1</f>
        <v>0.482</v>
      </c>
      <c r="J109" s="5">
        <f>MID(PasteHashtag!I109,1+FIND("(",PasteHashtag!I109),FIND("/",PasteHashtag!I109)-FIND("(",PasteHashtag!I109)-1)*1</f>
        <v>3.3</v>
      </c>
      <c r="K109" s="5">
        <f>LEFT(PasteHashtag!I109,FIND("(",PasteHashtag!I109)-1)*1</f>
        <v>0.821</v>
      </c>
      <c r="L109" s="5">
        <f>PasteHashtag!J109</f>
        <v>2.6</v>
      </c>
      <c r="M109" s="5">
        <f>PasteHashtag!K109</f>
        <v>18.8</v>
      </c>
      <c r="N109" s="5">
        <f>PasteHashtag!L109</f>
        <v>3.4</v>
      </c>
      <c r="O109" s="5">
        <f>PasteHashtag!M109</f>
        <v>1.7</v>
      </c>
      <c r="P109" s="5">
        <f>PasteHashtag!N109</f>
        <v>0.8</v>
      </c>
      <c r="Q109" s="5">
        <f>PasteHashtag!O109</f>
        <v>0.4</v>
      </c>
      <c r="R109" s="5">
        <f>PasteHashtag!P109</f>
        <v>1.5</v>
      </c>
      <c r="S109" s="5">
        <f>Mid(PasteHashtag!H109,FIND("/",PasteHashtag!H109)+1,LEN(PasteHashtag!H109)-FIND("/",PasteHashtag!H109)-1)*1</f>
        <v>13.4</v>
      </c>
      <c r="T109" s="178">
        <f>Mid(PasteHashtag!I109,FIND("/",PasteHashtag!I109)+1,LEN(PasteHashtag!I109)-FIND("/",PasteHashtag!I109)-1)*1</f>
        <v>4.1</v>
      </c>
      <c r="U109" s="18"/>
      <c r="V109" s="18"/>
      <c r="W109" s="18"/>
    </row>
    <row r="110">
      <c r="A110" s="5">
        <v>109.0</v>
      </c>
      <c r="B110" s="5">
        <f>PasteHashtag!B110</f>
        <v>102.7</v>
      </c>
      <c r="C110" s="177" t="str">
        <f>PasteHashtag!C110</f>
        <v>Clint Capela</v>
      </c>
      <c r="D110" s="5" t="str">
        <f>PasteHashtag!D110</f>
        <v>C</v>
      </c>
      <c r="E110" s="5" t="str">
        <f>PasteHashtag!E110</f>
        <v>ATL</v>
      </c>
      <c r="F110" s="5">
        <f>PasteHashtag!F110</f>
        <v>70</v>
      </c>
      <c r="G110" s="5">
        <f>PasteHashtag!G110</f>
        <v>26</v>
      </c>
      <c r="H110" s="5">
        <f>MID(PasteHashtag!H110,1+FIND("(",PasteHashtag!H110),FIND("/",PasteHashtag!H110)-FIND("(",PasteHashtag!H110)-1)*1</f>
        <v>5</v>
      </c>
      <c r="I110" s="5">
        <f>LEFT(PasteHashtag!H110,FIND("(",PasteHashtag!H110)-1)*1</f>
        <v>0.597</v>
      </c>
      <c r="J110" s="5">
        <f>MID(PasteHashtag!I110,1+FIND("(",PasteHashtag!I110),FIND("/",PasteHashtag!I110)-FIND("(",PasteHashtag!I110)-1)*1</f>
        <v>1.5</v>
      </c>
      <c r="K110" s="5">
        <f>LEFT(PasteHashtag!I110,FIND("(",PasteHashtag!I110)-1)*1</f>
        <v>0.631</v>
      </c>
      <c r="L110" s="5">
        <f>PasteHashtag!J110</f>
        <v>0</v>
      </c>
      <c r="M110" s="5">
        <f>PasteHashtag!K110</f>
        <v>11.5</v>
      </c>
      <c r="N110" s="5">
        <f>PasteHashtag!L110</f>
        <v>10.7</v>
      </c>
      <c r="O110" s="5">
        <f>PasteHashtag!M110</f>
        <v>1.1</v>
      </c>
      <c r="P110" s="5">
        <f>PasteHashtag!N110</f>
        <v>0.6</v>
      </c>
      <c r="Q110" s="5">
        <f>PasteHashtag!O110</f>
        <v>1.3</v>
      </c>
      <c r="R110" s="5">
        <f>PasteHashtag!P110</f>
        <v>0.9</v>
      </c>
      <c r="S110" s="5">
        <f>Mid(PasteHashtag!H110,FIND("/",PasteHashtag!H110)+1,LEN(PasteHashtag!H110)-FIND("/",PasteHashtag!H110)-1)*1</f>
        <v>8.4</v>
      </c>
      <c r="T110" s="178">
        <f>Mid(PasteHashtag!I110,FIND("/",PasteHashtag!I110)+1,LEN(PasteHashtag!I110)-FIND("/",PasteHashtag!I110)-1)*1</f>
        <v>2.4</v>
      </c>
      <c r="U110" s="18"/>
      <c r="V110" s="18"/>
      <c r="W110" s="18"/>
    </row>
    <row r="111">
      <c r="A111" s="5">
        <v>110.0</v>
      </c>
      <c r="B111" s="5">
        <f>PasteHashtag!B111</f>
        <v>125.6</v>
      </c>
      <c r="C111" s="177" t="str">
        <f>PasteHashtag!C111</f>
        <v>Trayce Jackson-Davis</v>
      </c>
      <c r="D111" s="5" t="str">
        <f>PasteHashtag!D111</f>
        <v>PF,C</v>
      </c>
      <c r="E111" s="5" t="str">
        <f>PasteHashtag!E111</f>
        <v>GS</v>
      </c>
      <c r="F111" s="5">
        <f>PasteHashtag!F111</f>
        <v>70</v>
      </c>
      <c r="G111" s="5">
        <f>PasteHashtag!G111</f>
        <v>26.4</v>
      </c>
      <c r="H111" s="5">
        <f>MID(PasteHashtag!H111,1+FIND("(",PasteHashtag!H111),FIND("/",PasteHashtag!H111)-FIND("(",PasteHashtag!H111)-1)*1</f>
        <v>5.2</v>
      </c>
      <c r="I111" s="5">
        <f>LEFT(PasteHashtag!H111,FIND("(",PasteHashtag!H111)-1)*1</f>
        <v>0.703</v>
      </c>
      <c r="J111" s="5">
        <f>MID(PasteHashtag!I111,1+FIND("(",PasteHashtag!I111),FIND("/",PasteHashtag!I111)-FIND("(",PasteHashtag!I111)-1)*1</f>
        <v>1.7</v>
      </c>
      <c r="K111" s="5">
        <f>LEFT(PasteHashtag!I111,FIND("(",PasteHashtag!I111)-1)*1</f>
        <v>0.563</v>
      </c>
      <c r="L111" s="5">
        <f>PasteHashtag!J111</f>
        <v>0</v>
      </c>
      <c r="M111" s="5">
        <f>PasteHashtag!K111</f>
        <v>12.1</v>
      </c>
      <c r="N111" s="5">
        <f>PasteHashtag!L111</f>
        <v>7.6</v>
      </c>
      <c r="O111" s="5">
        <f>PasteHashtag!M111</f>
        <v>1.8</v>
      </c>
      <c r="P111" s="5">
        <f>PasteHashtag!N111</f>
        <v>0.6</v>
      </c>
      <c r="Q111" s="5">
        <f>PasteHashtag!O111</f>
        <v>1.6</v>
      </c>
      <c r="R111" s="5">
        <f>PasteHashtag!P111</f>
        <v>1.1</v>
      </c>
      <c r="S111" s="5">
        <f>Mid(PasteHashtag!H111,FIND("/",PasteHashtag!H111)+1,LEN(PasteHashtag!H111)-FIND("/",PasteHashtag!H111)-1)*1</f>
        <v>7.4</v>
      </c>
      <c r="T111" s="178">
        <f>Mid(PasteHashtag!I111,FIND("/",PasteHashtag!I111)+1,LEN(PasteHashtag!I111)-FIND("/",PasteHashtag!I111)-1)*1</f>
        <v>3</v>
      </c>
      <c r="U111" s="18"/>
      <c r="V111" s="18"/>
      <c r="W111" s="18"/>
    </row>
    <row r="112">
      <c r="A112" s="5">
        <v>111.0</v>
      </c>
      <c r="B112" s="5">
        <f>PasteHashtag!B112</f>
        <v>92.2</v>
      </c>
      <c r="C112" s="177" t="str">
        <f>PasteHashtag!C112</f>
        <v>Jalen Green</v>
      </c>
      <c r="D112" s="5" t="str">
        <f>PasteHashtag!D112</f>
        <v>PG,SG</v>
      </c>
      <c r="E112" s="5" t="str">
        <f>PasteHashtag!E112</f>
        <v>HOU</v>
      </c>
      <c r="F112" s="5">
        <f>PasteHashtag!F112</f>
        <v>76</v>
      </c>
      <c r="G112" s="5">
        <f>PasteHashtag!G112</f>
        <v>32</v>
      </c>
      <c r="H112" s="5">
        <f>MID(PasteHashtag!H112,1+FIND("(",PasteHashtag!H112),FIND("/",PasteHashtag!H112)-FIND("(",PasteHashtag!H112)-1)*1</f>
        <v>7</v>
      </c>
      <c r="I112" s="5">
        <f>LEFT(PasteHashtag!H112,FIND("(",PasteHashtag!H112)-1)*1</f>
        <v>0.429</v>
      </c>
      <c r="J112" s="5">
        <f>MID(PasteHashtag!I112,1+FIND("(",PasteHashtag!I112),FIND("/",PasteHashtag!I112)-FIND("(",PasteHashtag!I112)-1)*1</f>
        <v>4</v>
      </c>
      <c r="K112" s="5">
        <f>LEFT(PasteHashtag!I112,FIND("(",PasteHashtag!I112)-1)*1</f>
        <v>0.807</v>
      </c>
      <c r="L112" s="5">
        <f>PasteHashtag!J112</f>
        <v>2.4</v>
      </c>
      <c r="M112" s="5">
        <f>PasteHashtag!K112</f>
        <v>20.5</v>
      </c>
      <c r="N112" s="5">
        <f>PasteHashtag!L112</f>
        <v>4.9</v>
      </c>
      <c r="O112" s="5">
        <f>PasteHashtag!M112</f>
        <v>3.7</v>
      </c>
      <c r="P112" s="5">
        <f>PasteHashtag!N112</f>
        <v>0.9</v>
      </c>
      <c r="Q112" s="5">
        <f>PasteHashtag!O112</f>
        <v>0.3</v>
      </c>
      <c r="R112" s="5">
        <f>PasteHashtag!P112</f>
        <v>2.4</v>
      </c>
      <c r="S112" s="5">
        <f>Mid(PasteHashtag!H112,FIND("/",PasteHashtag!H112)+1,LEN(PasteHashtag!H112)-FIND("/",PasteHashtag!H112)-1)*1</f>
        <v>16.4</v>
      </c>
      <c r="T112" s="178">
        <f>Mid(PasteHashtag!I112,FIND("/",PasteHashtag!I112)+1,LEN(PasteHashtag!I112)-FIND("/",PasteHashtag!I112)-1)*1</f>
        <v>5</v>
      </c>
      <c r="U112" s="18"/>
      <c r="V112" s="18"/>
      <c r="W112" s="18"/>
    </row>
    <row r="113">
      <c r="A113" s="5">
        <v>112.0</v>
      </c>
      <c r="B113" s="5">
        <f>PasteHashtag!B113</f>
        <v>96.4</v>
      </c>
      <c r="C113" s="177" t="str">
        <f>PasteHashtag!C113</f>
        <v>Naz Reid</v>
      </c>
      <c r="D113" s="5" t="str">
        <f>PasteHashtag!D113</f>
        <v>PF,C</v>
      </c>
      <c r="E113" s="5" t="str">
        <f>PasteHashtag!E113</f>
        <v>MIN</v>
      </c>
      <c r="F113" s="5">
        <f>PasteHashtag!F113</f>
        <v>77</v>
      </c>
      <c r="G113" s="5">
        <f>PasteHashtag!G113</f>
        <v>27.1</v>
      </c>
      <c r="H113" s="5">
        <f>MID(PasteHashtag!H113,1+FIND("(",PasteHashtag!H113),FIND("/",PasteHashtag!H113)-FIND("(",PasteHashtag!H113)-1)*1</f>
        <v>5.5</v>
      </c>
      <c r="I113" s="5">
        <f>LEFT(PasteHashtag!H113,FIND("(",PasteHashtag!H113)-1)*1</f>
        <v>0.472</v>
      </c>
      <c r="J113" s="5">
        <f>MID(PasteHashtag!I113,1+FIND("(",PasteHashtag!I113),FIND("/",PasteHashtag!I113)-FIND("(",PasteHashtag!I113)-1)*1</f>
        <v>1.6</v>
      </c>
      <c r="K113" s="5">
        <f>LEFT(PasteHashtag!I113,FIND("(",PasteHashtag!I113)-1)*1</f>
        <v>0.735</v>
      </c>
      <c r="L113" s="5">
        <f>PasteHashtag!J113</f>
        <v>2</v>
      </c>
      <c r="M113" s="5">
        <f>PasteHashtag!K113</f>
        <v>14.7</v>
      </c>
      <c r="N113" s="5">
        <f>PasteHashtag!L113</f>
        <v>6.2</v>
      </c>
      <c r="O113" s="5">
        <f>PasteHashtag!M113</f>
        <v>1.5</v>
      </c>
      <c r="P113" s="5">
        <f>PasteHashtag!N113</f>
        <v>0.9</v>
      </c>
      <c r="Q113" s="5">
        <f>PasteHashtag!O113</f>
        <v>1</v>
      </c>
      <c r="R113" s="5">
        <f>PasteHashtag!P113</f>
        <v>1.7</v>
      </c>
      <c r="S113" s="5">
        <f>Mid(PasteHashtag!H113,FIND("/",PasteHashtag!H113)+1,LEN(PasteHashtag!H113)-FIND("/",PasteHashtag!H113)-1)*1</f>
        <v>11.7</v>
      </c>
      <c r="T113" s="178">
        <f>Mid(PasteHashtag!I113,FIND("/",PasteHashtag!I113)+1,LEN(PasteHashtag!I113)-FIND("/",PasteHashtag!I113)-1)*1</f>
        <v>2.2</v>
      </c>
      <c r="U113" s="18"/>
      <c r="V113" s="18"/>
      <c r="W113" s="18"/>
    </row>
    <row r="114">
      <c r="A114" s="5">
        <v>113.0</v>
      </c>
      <c r="B114" s="5">
        <f>PasteHashtag!B114</f>
        <v>63.6</v>
      </c>
      <c r="C114" s="177" t="str">
        <f>PasteHashtag!C114</f>
        <v>Julius Randle</v>
      </c>
      <c r="D114" s="5" t="str">
        <f>PasteHashtag!D114</f>
        <v>PF</v>
      </c>
      <c r="E114" s="5" t="str">
        <f>PasteHashtag!E114</f>
        <v>MIN</v>
      </c>
      <c r="F114" s="5">
        <f>PasteHashtag!F114</f>
        <v>68</v>
      </c>
      <c r="G114" s="5">
        <f>PasteHashtag!G114</f>
        <v>32.4</v>
      </c>
      <c r="H114" s="5">
        <f>MID(PasteHashtag!H114,1+FIND("(",PasteHashtag!H114),FIND("/",PasteHashtag!H114)-FIND("(",PasteHashtag!H114)-1)*1</f>
        <v>7.3</v>
      </c>
      <c r="I114" s="5">
        <f>LEFT(PasteHashtag!H114,FIND("(",PasteHashtag!H114)-1)*1</f>
        <v>0.477</v>
      </c>
      <c r="J114" s="5">
        <f>MID(PasteHashtag!I114,1+FIND("(",PasteHashtag!I114),FIND("/",PasteHashtag!I114)-FIND("(",PasteHashtag!I114)-1)*1</f>
        <v>4.2</v>
      </c>
      <c r="K114" s="5">
        <f>LEFT(PasteHashtag!I114,FIND("(",PasteHashtag!I114)-1)*1</f>
        <v>0.78</v>
      </c>
      <c r="L114" s="5">
        <f>PasteHashtag!J114</f>
        <v>1.4</v>
      </c>
      <c r="M114" s="5">
        <f>PasteHashtag!K114</f>
        <v>20.3</v>
      </c>
      <c r="N114" s="5">
        <f>PasteHashtag!L114</f>
        <v>8.5</v>
      </c>
      <c r="O114" s="5">
        <f>PasteHashtag!M114</f>
        <v>3.9</v>
      </c>
      <c r="P114" s="5">
        <f>PasteHashtag!N114</f>
        <v>0.5</v>
      </c>
      <c r="Q114" s="5">
        <f>PasteHashtag!O114</f>
        <v>0.2</v>
      </c>
      <c r="R114" s="5">
        <f>PasteHashtag!P114</f>
        <v>2.6</v>
      </c>
      <c r="S114" s="5">
        <f>Mid(PasteHashtag!H114,FIND("/",PasteHashtag!H114)+1,LEN(PasteHashtag!H114)-FIND("/",PasteHashtag!H114)-1)*1</f>
        <v>15.3</v>
      </c>
      <c r="T114" s="178">
        <f>Mid(PasteHashtag!I114,FIND("/",PasteHashtag!I114)+1,LEN(PasteHashtag!I114)-FIND("/",PasteHashtag!I114)-1)*1</f>
        <v>5.4</v>
      </c>
      <c r="U114" s="18"/>
      <c r="V114" s="18"/>
      <c r="W114" s="18"/>
    </row>
    <row r="115">
      <c r="A115" s="5">
        <v>114.0</v>
      </c>
      <c r="B115" s="5">
        <f>PasteHashtag!B115</f>
        <v>110.3</v>
      </c>
      <c r="C115" s="177" t="str">
        <f>PasteHashtag!C115</f>
        <v>Donte DiVincenzo</v>
      </c>
      <c r="D115" s="5" t="str">
        <f>PasteHashtag!D115</f>
        <v>SG,SF</v>
      </c>
      <c r="E115" s="5" t="str">
        <f>PasteHashtag!E115</f>
        <v>MIN</v>
      </c>
      <c r="F115" s="5">
        <f>PasteHashtag!F115</f>
        <v>73</v>
      </c>
      <c r="G115" s="5">
        <f>PasteHashtag!G115</f>
        <v>27.3</v>
      </c>
      <c r="H115" s="5">
        <f>MID(PasteHashtag!H115,1+FIND("(",PasteHashtag!H115),FIND("/",PasteHashtag!H115)-FIND("(",PasteHashtag!H115)-1)*1</f>
        <v>4.5</v>
      </c>
      <c r="I115" s="5">
        <f>LEFT(PasteHashtag!H115,FIND("(",PasteHashtag!H115)-1)*1</f>
        <v>0.444</v>
      </c>
      <c r="J115" s="5">
        <f>MID(PasteHashtag!I115,1+FIND("(",PasteHashtag!I115),FIND("/",PasteHashtag!I115)-FIND("(",PasteHashtag!I115)-1)*1</f>
        <v>0.9</v>
      </c>
      <c r="K115" s="5">
        <f>LEFT(PasteHashtag!I115,FIND("(",PasteHashtag!I115)-1)*1</f>
        <v>0.786</v>
      </c>
      <c r="L115" s="5">
        <f>PasteHashtag!J115</f>
        <v>2.7</v>
      </c>
      <c r="M115" s="5">
        <f>PasteHashtag!K115</f>
        <v>12.7</v>
      </c>
      <c r="N115" s="5">
        <f>PasteHashtag!L115</f>
        <v>3.9</v>
      </c>
      <c r="O115" s="5">
        <f>PasteHashtag!M115</f>
        <v>3</v>
      </c>
      <c r="P115" s="5">
        <f>PasteHashtag!N115</f>
        <v>1.3</v>
      </c>
      <c r="Q115" s="5">
        <f>PasteHashtag!O115</f>
        <v>0.3</v>
      </c>
      <c r="R115" s="5">
        <f>PasteHashtag!P115</f>
        <v>1.4</v>
      </c>
      <c r="S115" s="5">
        <f>Mid(PasteHashtag!H115,FIND("/",PasteHashtag!H115)+1,LEN(PasteHashtag!H115)-FIND("/",PasteHashtag!H115)-1)*1</f>
        <v>10.1</v>
      </c>
      <c r="T115" s="178">
        <f>Mid(PasteHashtag!I115,FIND("/",PasteHashtag!I115)+1,LEN(PasteHashtag!I115)-FIND("/",PasteHashtag!I115)-1)*1</f>
        <v>1.2</v>
      </c>
      <c r="U115" s="18"/>
      <c r="V115" s="18"/>
      <c r="W115" s="18"/>
    </row>
    <row r="116">
      <c r="A116" s="5">
        <v>115.0</v>
      </c>
      <c r="B116" s="5">
        <f>PasteHashtag!B116</f>
        <v>106.7</v>
      </c>
      <c r="C116" s="177" t="str">
        <f>PasteHashtag!C116</f>
        <v>John Collins</v>
      </c>
      <c r="D116" s="5" t="str">
        <f>PasteHashtag!D116</f>
        <v>PF,C</v>
      </c>
      <c r="E116" s="5" t="str">
        <f>PasteHashtag!E116</f>
        <v>UTA</v>
      </c>
      <c r="F116" s="5">
        <f>PasteHashtag!F116</f>
        <v>67</v>
      </c>
      <c r="G116" s="5">
        <f>PasteHashtag!G116</f>
        <v>27.2</v>
      </c>
      <c r="H116" s="5">
        <f>MID(PasteHashtag!H116,1+FIND("(",PasteHashtag!H116),FIND("/",PasteHashtag!H116)-FIND("(",PasteHashtag!H116)-1)*1</f>
        <v>5.3</v>
      </c>
      <c r="I116" s="5">
        <f>LEFT(PasteHashtag!H116,FIND("(",PasteHashtag!H116)-1)*1</f>
        <v>0.52</v>
      </c>
      <c r="J116" s="5">
        <f>MID(PasteHashtag!I116,1+FIND("(",PasteHashtag!I116),FIND("/",PasteHashtag!I116)-FIND("(",PasteHashtag!I116)-1)*1</f>
        <v>2</v>
      </c>
      <c r="K116" s="5">
        <f>LEFT(PasteHashtag!I116,FIND("(",PasteHashtag!I116)-1)*1</f>
        <v>0.796</v>
      </c>
      <c r="L116" s="5">
        <f>PasteHashtag!J116</f>
        <v>1.1</v>
      </c>
      <c r="M116" s="5">
        <f>PasteHashtag!K116</f>
        <v>13.7</v>
      </c>
      <c r="N116" s="5">
        <f>PasteHashtag!L116</f>
        <v>7.3</v>
      </c>
      <c r="O116" s="5">
        <f>PasteHashtag!M116</f>
        <v>1.1</v>
      </c>
      <c r="P116" s="5">
        <f>PasteHashtag!N116</f>
        <v>0.6</v>
      </c>
      <c r="Q116" s="5">
        <f>PasteHashtag!O116</f>
        <v>0.9</v>
      </c>
      <c r="R116" s="5">
        <f>PasteHashtag!P116</f>
        <v>1.2</v>
      </c>
      <c r="S116" s="5">
        <f>Mid(PasteHashtag!H116,FIND("/",PasteHashtag!H116)+1,LEN(PasteHashtag!H116)-FIND("/",PasteHashtag!H116)-1)*1</f>
        <v>10.2</v>
      </c>
      <c r="T116" s="178">
        <f>Mid(PasteHashtag!I116,FIND("/",PasteHashtag!I116)+1,LEN(PasteHashtag!I116)-FIND("/",PasteHashtag!I116)-1)*1</f>
        <v>2.6</v>
      </c>
      <c r="U116" s="18"/>
      <c r="V116" s="18"/>
      <c r="W116" s="18"/>
    </row>
    <row r="117">
      <c r="A117" s="5">
        <v>116.0</v>
      </c>
      <c r="B117" s="5">
        <f>PasteHashtag!B117</f>
        <v>103.8</v>
      </c>
      <c r="C117" s="177" t="str">
        <f>PasteHashtag!C117</f>
        <v>Chris Paul</v>
      </c>
      <c r="D117" s="5" t="str">
        <f>PasteHashtag!D117</f>
        <v>PG</v>
      </c>
      <c r="E117" s="5" t="str">
        <f>PasteHashtag!E117</f>
        <v>SA</v>
      </c>
      <c r="F117" s="5">
        <f>PasteHashtag!F117</f>
        <v>58</v>
      </c>
      <c r="G117" s="5">
        <f>PasteHashtag!G117</f>
        <v>26.4</v>
      </c>
      <c r="H117" s="5">
        <f>MID(PasteHashtag!H117,1+FIND("(",PasteHashtag!H117),FIND("/",PasteHashtag!H117)-FIND("(",PasteHashtag!H117)-1)*1</f>
        <v>3.8</v>
      </c>
      <c r="I117" s="5">
        <f>LEFT(PasteHashtag!H117,FIND("(",PasteHashtag!H117)-1)*1</f>
        <v>0.441</v>
      </c>
      <c r="J117" s="5">
        <f>MID(PasteHashtag!I117,1+FIND("(",PasteHashtag!I117),FIND("/",PasteHashtag!I117)-FIND("(",PasteHashtag!I117)-1)*1</f>
        <v>1.3</v>
      </c>
      <c r="K117" s="5">
        <f>LEFT(PasteHashtag!I117,FIND("(",PasteHashtag!I117)-1)*1</f>
        <v>0.831</v>
      </c>
      <c r="L117" s="5">
        <f>PasteHashtag!J117</f>
        <v>1.3</v>
      </c>
      <c r="M117" s="5">
        <f>PasteHashtag!K117</f>
        <v>10.2</v>
      </c>
      <c r="N117" s="5">
        <f>PasteHashtag!L117</f>
        <v>3.6</v>
      </c>
      <c r="O117" s="5">
        <f>PasteHashtag!M117</f>
        <v>6.9</v>
      </c>
      <c r="P117" s="5">
        <f>PasteHashtag!N117</f>
        <v>1.2</v>
      </c>
      <c r="Q117" s="5">
        <f>PasteHashtag!O117</f>
        <v>0.2</v>
      </c>
      <c r="R117" s="5">
        <f>PasteHashtag!P117</f>
        <v>1.4</v>
      </c>
      <c r="S117" s="5">
        <f>Mid(PasteHashtag!H117,FIND("/",PasteHashtag!H117)+1,LEN(PasteHashtag!H117)-FIND("/",PasteHashtag!H117)-1)*1</f>
        <v>8.6</v>
      </c>
      <c r="T117" s="178">
        <f>Mid(PasteHashtag!I117,FIND("/",PasteHashtag!I117)+1,LEN(PasteHashtag!I117)-FIND("/",PasteHashtag!I117)-1)*1</f>
        <v>1.6</v>
      </c>
      <c r="U117" s="18"/>
      <c r="V117" s="18"/>
      <c r="W117" s="18"/>
    </row>
    <row r="118">
      <c r="A118" s="5">
        <v>117.0</v>
      </c>
      <c r="B118" s="5">
        <f>PasteHashtag!B118</f>
        <v>84.2</v>
      </c>
      <c r="C118" s="177" t="str">
        <f>PasteHashtag!C118</f>
        <v>Jusuf Nurkic</v>
      </c>
      <c r="D118" s="5" t="str">
        <f>PasteHashtag!D118</f>
        <v>C</v>
      </c>
      <c r="E118" s="5" t="str">
        <f>PasteHashtag!E118</f>
        <v>PHO</v>
      </c>
      <c r="F118" s="5">
        <f>PasteHashtag!F118</f>
        <v>68</v>
      </c>
      <c r="G118" s="5">
        <f>PasteHashtag!G118</f>
        <v>27.5</v>
      </c>
      <c r="H118" s="5">
        <f>MID(PasteHashtag!H118,1+FIND("(",PasteHashtag!H118),FIND("/",PasteHashtag!H118)-FIND("(",PasteHashtag!H118)-1)*1</f>
        <v>4.7</v>
      </c>
      <c r="I118" s="5">
        <f>LEFT(PasteHashtag!H118,FIND("(",PasteHashtag!H118)-1)*1</f>
        <v>0.514</v>
      </c>
      <c r="J118" s="5">
        <f>MID(PasteHashtag!I118,1+FIND("(",PasteHashtag!I118),FIND("/",PasteHashtag!I118)-FIND("(",PasteHashtag!I118)-1)*1</f>
        <v>2.4</v>
      </c>
      <c r="K118" s="5">
        <f>LEFT(PasteHashtag!I118,FIND("(",PasteHashtag!I118)-1)*1</f>
        <v>0.647</v>
      </c>
      <c r="L118" s="5">
        <f>PasteHashtag!J118</f>
        <v>0.5</v>
      </c>
      <c r="M118" s="5">
        <f>PasteHashtag!K118</f>
        <v>12.2</v>
      </c>
      <c r="N118" s="5">
        <f>PasteHashtag!L118</f>
        <v>10.5</v>
      </c>
      <c r="O118" s="5">
        <f>PasteHashtag!M118</f>
        <v>3.6</v>
      </c>
      <c r="P118" s="5">
        <f>PasteHashtag!N118</f>
        <v>1</v>
      </c>
      <c r="Q118" s="5">
        <f>PasteHashtag!O118</f>
        <v>1</v>
      </c>
      <c r="R118" s="5">
        <f>PasteHashtag!P118</f>
        <v>2.4</v>
      </c>
      <c r="S118" s="5">
        <f>Mid(PasteHashtag!H118,FIND("/",PasteHashtag!H118)+1,LEN(PasteHashtag!H118)-FIND("/",PasteHashtag!H118)-1)*1</f>
        <v>9.1</v>
      </c>
      <c r="T118" s="178">
        <f>Mid(PasteHashtag!I118,FIND("/",PasteHashtag!I118)+1,LEN(PasteHashtag!I118)-FIND("/",PasteHashtag!I118)-1)*1</f>
        <v>3.6</v>
      </c>
      <c r="U118" s="18"/>
      <c r="V118" s="18"/>
      <c r="W118" s="18"/>
    </row>
    <row r="119">
      <c r="A119" s="5">
        <v>118.0</v>
      </c>
      <c r="B119" s="5">
        <f>PasteHashtag!B119</f>
        <v>124</v>
      </c>
      <c r="C119" s="177" t="str">
        <f>PasteHashtag!C119</f>
        <v>Cameron Johnson</v>
      </c>
      <c r="D119" s="5" t="str">
        <f>PasteHashtag!D119</f>
        <v>SF,PF</v>
      </c>
      <c r="E119" s="5" t="str">
        <f>PasteHashtag!E119</f>
        <v>BKN</v>
      </c>
      <c r="F119" s="5">
        <f>PasteHashtag!F119</f>
        <v>60</v>
      </c>
      <c r="G119" s="5">
        <f>PasteHashtag!G119</f>
        <v>28.6</v>
      </c>
      <c r="H119" s="5">
        <f>MID(PasteHashtag!H119,1+FIND("(",PasteHashtag!H119),FIND("/",PasteHashtag!H119)-FIND("(",PasteHashtag!H119)-1)*1</f>
        <v>5.2</v>
      </c>
      <c r="I119" s="5">
        <f>LEFT(PasteHashtag!H119,FIND("(",PasteHashtag!H119)-1)*1</f>
        <v>0.457</v>
      </c>
      <c r="J119" s="5">
        <f>MID(PasteHashtag!I119,1+FIND("(",PasteHashtag!I119),FIND("/",PasteHashtag!I119)-FIND("(",PasteHashtag!I119)-1)*1</f>
        <v>1.9</v>
      </c>
      <c r="K119" s="5">
        <f>LEFT(PasteHashtag!I119,FIND("(",PasteHashtag!I119)-1)*1</f>
        <v>0.818</v>
      </c>
      <c r="L119" s="5">
        <f>PasteHashtag!J119</f>
        <v>2.5</v>
      </c>
      <c r="M119" s="5">
        <f>PasteHashtag!K119</f>
        <v>14.7</v>
      </c>
      <c r="N119" s="5">
        <f>PasteHashtag!L119</f>
        <v>4.5</v>
      </c>
      <c r="O119" s="5">
        <f>PasteHashtag!M119</f>
        <v>2.2</v>
      </c>
      <c r="P119" s="5">
        <f>PasteHashtag!N119</f>
        <v>1</v>
      </c>
      <c r="Q119" s="5">
        <f>PasteHashtag!O119</f>
        <v>0.3</v>
      </c>
      <c r="R119" s="5">
        <f>PasteHashtag!P119</f>
        <v>1</v>
      </c>
      <c r="S119" s="5">
        <f>Mid(PasteHashtag!H119,FIND("/",PasteHashtag!H119)+1,LEN(PasteHashtag!H119)-FIND("/",PasteHashtag!H119)-1)*1</f>
        <v>11.3</v>
      </c>
      <c r="T119" s="178">
        <f>Mid(PasteHashtag!I119,FIND("/",PasteHashtag!I119)+1,LEN(PasteHashtag!I119)-FIND("/",PasteHashtag!I119)-1)*1</f>
        <v>2.4</v>
      </c>
      <c r="U119" s="18"/>
      <c r="V119" s="18"/>
      <c r="W119" s="18"/>
    </row>
    <row r="120">
      <c r="A120" s="5">
        <v>119.0</v>
      </c>
      <c r="B120" s="5">
        <f>PasteHashtag!B120</f>
        <v>105.4</v>
      </c>
      <c r="C120" s="177" t="str">
        <f>PasteHashtag!C120</f>
        <v>Terry Rozier</v>
      </c>
      <c r="D120" s="5" t="str">
        <f>PasteHashtag!D120</f>
        <v>PG</v>
      </c>
      <c r="E120" s="5" t="str">
        <f>PasteHashtag!E120</f>
        <v>MIA</v>
      </c>
      <c r="F120" s="5">
        <f>PasteHashtag!F120</f>
        <v>68</v>
      </c>
      <c r="G120" s="5">
        <f>PasteHashtag!G120</f>
        <v>31.6</v>
      </c>
      <c r="H120" s="5">
        <f>MID(PasteHashtag!H120,1+FIND("(",PasteHashtag!H120),FIND("/",PasteHashtag!H120)-FIND("(",PasteHashtag!H120)-1)*1</f>
        <v>6.5</v>
      </c>
      <c r="I120" s="5">
        <f>LEFT(PasteHashtag!H120,FIND("(",PasteHashtag!H120)-1)*1</f>
        <v>0.435</v>
      </c>
      <c r="J120" s="5">
        <f>MID(PasteHashtag!I120,1+FIND("(",PasteHashtag!I120),FIND("/",PasteHashtag!I120)-FIND("(",PasteHashtag!I120)-1)*1</f>
        <v>2.4</v>
      </c>
      <c r="K120" s="5">
        <f>LEFT(PasteHashtag!I120,FIND("(",PasteHashtag!I120)-1)*1</f>
        <v>0.842</v>
      </c>
      <c r="L120" s="5">
        <f>PasteHashtag!J120</f>
        <v>2.2</v>
      </c>
      <c r="M120" s="5">
        <f>PasteHashtag!K120</f>
        <v>17.7</v>
      </c>
      <c r="N120" s="5">
        <f>PasteHashtag!L120</f>
        <v>3.5</v>
      </c>
      <c r="O120" s="5">
        <f>PasteHashtag!M120</f>
        <v>4.5</v>
      </c>
      <c r="P120" s="5">
        <f>PasteHashtag!N120</f>
        <v>1</v>
      </c>
      <c r="Q120" s="5">
        <f>PasteHashtag!O120</f>
        <v>0.3</v>
      </c>
      <c r="R120" s="5">
        <f>PasteHashtag!P120</f>
        <v>1.7</v>
      </c>
      <c r="S120" s="5">
        <f>Mid(PasteHashtag!H120,FIND("/",PasteHashtag!H120)+1,LEN(PasteHashtag!H120)-FIND("/",PasteHashtag!H120)-1)*1</f>
        <v>15</v>
      </c>
      <c r="T120" s="178">
        <f>Mid(PasteHashtag!I120,FIND("/",PasteHashtag!I120)+1,LEN(PasteHashtag!I120)-FIND("/",PasteHashtag!I120)-1)*1</f>
        <v>2.9</v>
      </c>
      <c r="U120" s="18"/>
      <c r="V120" s="18"/>
      <c r="W120" s="18"/>
    </row>
    <row r="121">
      <c r="A121" s="5">
        <v>120.0</v>
      </c>
      <c r="B121" s="5">
        <f>PasteHashtag!B121</f>
        <v>142</v>
      </c>
      <c r="C121" s="177" t="str">
        <f>PasteHashtag!C121</f>
        <v>De'Anthony Melton</v>
      </c>
      <c r="D121" s="5" t="str">
        <f>PasteHashtag!D121</f>
        <v>PG,SG</v>
      </c>
      <c r="E121" s="5" t="str">
        <f>PasteHashtag!E121</f>
        <v>GS</v>
      </c>
      <c r="F121" s="5">
        <f>PasteHashtag!F121</f>
        <v>68</v>
      </c>
      <c r="G121" s="5">
        <f>PasteHashtag!G121</f>
        <v>25.3</v>
      </c>
      <c r="H121" s="5">
        <f>MID(PasteHashtag!H121,1+FIND("(",PasteHashtag!H121),FIND("/",PasteHashtag!H121)-FIND("(",PasteHashtag!H121)-1)*1</f>
        <v>3.5</v>
      </c>
      <c r="I121" s="5">
        <f>LEFT(PasteHashtag!H121,FIND("(",PasteHashtag!H121)-1)*1</f>
        <v>0.42</v>
      </c>
      <c r="J121" s="5">
        <f>MID(PasteHashtag!I121,1+FIND("(",PasteHashtag!I121),FIND("/",PasteHashtag!I121)-FIND("(",PasteHashtag!I121)-1)*1</f>
        <v>1.1</v>
      </c>
      <c r="K121" s="5">
        <f>LEFT(PasteHashtag!I121,FIND("(",PasteHashtag!I121)-1)*1</f>
        <v>0.819</v>
      </c>
      <c r="L121" s="5">
        <f>PasteHashtag!J121</f>
        <v>2</v>
      </c>
      <c r="M121" s="5">
        <f>PasteHashtag!K121</f>
        <v>10.1</v>
      </c>
      <c r="N121" s="5">
        <f>PasteHashtag!L121</f>
        <v>3.8</v>
      </c>
      <c r="O121" s="5">
        <f>PasteHashtag!M121</f>
        <v>2.6</v>
      </c>
      <c r="P121" s="5">
        <f>PasteHashtag!N121</f>
        <v>1.6</v>
      </c>
      <c r="Q121" s="5">
        <f>PasteHashtag!O121</f>
        <v>0.5</v>
      </c>
      <c r="R121" s="5">
        <f>PasteHashtag!P121</f>
        <v>1.2</v>
      </c>
      <c r="S121" s="5">
        <f>Mid(PasteHashtag!H121,FIND("/",PasteHashtag!H121)+1,LEN(PasteHashtag!H121)-FIND("/",PasteHashtag!H121)-1)*1</f>
        <v>8.3</v>
      </c>
      <c r="T121" s="178">
        <f>Mid(PasteHashtag!I121,FIND("/",PasteHashtag!I121)+1,LEN(PasteHashtag!I121)-FIND("/",PasteHashtag!I121)-1)*1</f>
        <v>1.4</v>
      </c>
      <c r="U121" s="18"/>
      <c r="V121" s="18"/>
      <c r="W121" s="18"/>
    </row>
    <row r="122">
      <c r="A122" s="5">
        <v>121.0</v>
      </c>
      <c r="B122" s="5">
        <f>PasteHashtag!B122</f>
        <v>146.3</v>
      </c>
      <c r="C122" s="177" t="str">
        <f>PasteHashtag!C122</f>
        <v>Keon Ellis</v>
      </c>
      <c r="D122" s="5" t="str">
        <f>PasteHashtag!D122</f>
        <v>SG,SF</v>
      </c>
      <c r="E122" s="5" t="str">
        <f>PasteHashtag!E122</f>
        <v>SAC</v>
      </c>
      <c r="F122" s="5">
        <f>PasteHashtag!F122</f>
        <v>68</v>
      </c>
      <c r="G122" s="5">
        <f>PasteHashtag!G122</f>
        <v>26.4</v>
      </c>
      <c r="H122" s="5">
        <f>MID(PasteHashtag!H122,1+FIND("(",PasteHashtag!H122),FIND("/",PasteHashtag!H122)-FIND("(",PasteHashtag!H122)-1)*1</f>
        <v>2.9</v>
      </c>
      <c r="I122" s="5">
        <f>LEFT(PasteHashtag!H122,FIND("(",PasteHashtag!H122)-1)*1</f>
        <v>0.461</v>
      </c>
      <c r="J122" s="5">
        <f>MID(PasteHashtag!I122,1+FIND("(",PasteHashtag!I122),FIND("/",PasteHashtag!I122)-FIND("(",PasteHashtag!I122)-1)*1</f>
        <v>0.8</v>
      </c>
      <c r="K122" s="5">
        <f>LEFT(PasteHashtag!I122,FIND("(",PasteHashtag!I122)-1)*1</f>
        <v>0.735</v>
      </c>
      <c r="L122" s="5">
        <f>PasteHashtag!J122</f>
        <v>1.9</v>
      </c>
      <c r="M122" s="5">
        <f>PasteHashtag!K122</f>
        <v>8.4</v>
      </c>
      <c r="N122" s="5">
        <f>PasteHashtag!L122</f>
        <v>3.3</v>
      </c>
      <c r="O122" s="5">
        <f>PasteHashtag!M122</f>
        <v>2.3</v>
      </c>
      <c r="P122" s="5">
        <f>PasteHashtag!N122</f>
        <v>1.4</v>
      </c>
      <c r="Q122" s="5">
        <f>PasteHashtag!O122</f>
        <v>0.8</v>
      </c>
      <c r="R122" s="5">
        <f>PasteHashtag!P122</f>
        <v>1</v>
      </c>
      <c r="S122" s="5">
        <f>Mid(PasteHashtag!H122,FIND("/",PasteHashtag!H122)+1,LEN(PasteHashtag!H122)-FIND("/",PasteHashtag!H122)-1)*1</f>
        <v>6.2</v>
      </c>
      <c r="T122" s="178">
        <f>Mid(PasteHashtag!I122,FIND("/",PasteHashtag!I122)+1,LEN(PasteHashtag!I122)-FIND("/",PasteHashtag!I122)-1)*1</f>
        <v>1</v>
      </c>
      <c r="U122" s="18"/>
      <c r="V122" s="18"/>
      <c r="W122" s="18"/>
    </row>
    <row r="123">
      <c r="A123" s="5">
        <v>122.0</v>
      </c>
      <c r="B123" s="5">
        <f>PasteHashtag!B123</f>
        <v>116.6</v>
      </c>
      <c r="C123" s="177" t="str">
        <f>PasteHashtag!C123</f>
        <v>Brandin Podziemski</v>
      </c>
      <c r="D123" s="5" t="str">
        <f>PasteHashtag!D123</f>
        <v>SG</v>
      </c>
      <c r="E123" s="5" t="str">
        <f>PasteHashtag!E123</f>
        <v>GS</v>
      </c>
      <c r="F123" s="5">
        <f>PasteHashtag!F123</f>
        <v>74</v>
      </c>
      <c r="G123" s="5">
        <f>PasteHashtag!G123</f>
        <v>29.5</v>
      </c>
      <c r="H123" s="5">
        <f>MID(PasteHashtag!H123,1+FIND("(",PasteHashtag!H123),FIND("/",PasteHashtag!H123)-FIND("(",PasteHashtag!H123)-1)*1</f>
        <v>4.4</v>
      </c>
      <c r="I123" s="5">
        <f>LEFT(PasteHashtag!H123,FIND("(",PasteHashtag!H123)-1)*1</f>
        <v>0.459</v>
      </c>
      <c r="J123" s="5">
        <f>MID(PasteHashtag!I123,1+FIND("(",PasteHashtag!I123),FIND("/",PasteHashtag!I123)-FIND("(",PasteHashtag!I123)-1)*1</f>
        <v>0.9</v>
      </c>
      <c r="K123" s="5">
        <f>LEFT(PasteHashtag!I123,FIND("(",PasteHashtag!I123)-1)*1</f>
        <v>0.664</v>
      </c>
      <c r="L123" s="5">
        <f>PasteHashtag!J123</f>
        <v>1.5</v>
      </c>
      <c r="M123" s="5">
        <f>PasteHashtag!K123</f>
        <v>11.2</v>
      </c>
      <c r="N123" s="5">
        <f>PasteHashtag!L123</f>
        <v>6.9</v>
      </c>
      <c r="O123" s="5">
        <f>PasteHashtag!M123</f>
        <v>4.4</v>
      </c>
      <c r="P123" s="5">
        <f>PasteHashtag!N123</f>
        <v>1.2</v>
      </c>
      <c r="Q123" s="5">
        <f>PasteHashtag!O123</f>
        <v>0.2</v>
      </c>
      <c r="R123" s="5">
        <f>PasteHashtag!P123</f>
        <v>1.4</v>
      </c>
      <c r="S123" s="5">
        <f>Mid(PasteHashtag!H123,FIND("/",PasteHashtag!H123)+1,LEN(PasteHashtag!H123)-FIND("/",PasteHashtag!H123)-1)*1</f>
        <v>9.7</v>
      </c>
      <c r="T123" s="178">
        <f>Mid(PasteHashtag!I123,FIND("/",PasteHashtag!I123)+1,LEN(PasteHashtag!I123)-FIND("/",PasteHashtag!I123)-1)*1</f>
        <v>1.3</v>
      </c>
      <c r="U123" s="18"/>
      <c r="V123" s="18"/>
      <c r="W123" s="18"/>
    </row>
    <row r="124">
      <c r="A124" s="5">
        <v>123.0</v>
      </c>
      <c r="B124" s="5">
        <f>PasteHashtag!B124</f>
        <v>139</v>
      </c>
      <c r="C124" s="177" t="str">
        <f>PasteHashtag!C124</f>
        <v>Dennis Schröder</v>
      </c>
      <c r="D124" s="5" t="str">
        <f>PasteHashtag!D124</f>
        <v>PG</v>
      </c>
      <c r="E124" s="5" t="str">
        <f>PasteHashtag!E124</f>
        <v>BKN</v>
      </c>
      <c r="F124" s="5">
        <f>PasteHashtag!F124</f>
        <v>70</v>
      </c>
      <c r="G124" s="5">
        <f>PasteHashtag!G124</f>
        <v>31</v>
      </c>
      <c r="H124" s="5">
        <f>MID(PasteHashtag!H124,1+FIND("(",PasteHashtag!H124),FIND("/",PasteHashtag!H124)-FIND("(",PasteHashtag!H124)-1)*1</f>
        <v>5.2</v>
      </c>
      <c r="I124" s="5">
        <f>LEFT(PasteHashtag!H124,FIND("(",PasteHashtag!H124)-1)*1</f>
        <v>0.435</v>
      </c>
      <c r="J124" s="5">
        <f>MID(PasteHashtag!I124,1+FIND("(",PasteHashtag!I124),FIND("/",PasteHashtag!I124)-FIND("(",PasteHashtag!I124)-1)*1</f>
        <v>2.9</v>
      </c>
      <c r="K124" s="5">
        <f>LEFT(PasteHashtag!I124,FIND("(",PasteHashtag!I124)-1)*1</f>
        <v>0.847</v>
      </c>
      <c r="L124" s="5">
        <f>PasteHashtag!J124</f>
        <v>1.7</v>
      </c>
      <c r="M124" s="5">
        <f>PasteHashtag!K124</f>
        <v>15.1</v>
      </c>
      <c r="N124" s="5">
        <f>PasteHashtag!L124</f>
        <v>3</v>
      </c>
      <c r="O124" s="5">
        <f>PasteHashtag!M124</f>
        <v>5.9</v>
      </c>
      <c r="P124" s="5">
        <f>PasteHashtag!N124</f>
        <v>0.8</v>
      </c>
      <c r="Q124" s="5">
        <f>PasteHashtag!O124</f>
        <v>0.2</v>
      </c>
      <c r="R124" s="5">
        <f>PasteHashtag!P124</f>
        <v>2</v>
      </c>
      <c r="S124" s="5">
        <f>Mid(PasteHashtag!H124,FIND("/",PasteHashtag!H124)+1,LEN(PasteHashtag!H124)-FIND("/",PasteHashtag!H124)-1)*1</f>
        <v>12</v>
      </c>
      <c r="T124" s="178">
        <f>Mid(PasteHashtag!I124,FIND("/",PasteHashtag!I124)+1,LEN(PasteHashtag!I124)-FIND("/",PasteHashtag!I124)-1)*1</f>
        <v>3.5</v>
      </c>
      <c r="U124" s="18"/>
      <c r="V124" s="18"/>
      <c r="W124" s="18"/>
    </row>
    <row r="125">
      <c r="A125" s="5">
        <v>124.0</v>
      </c>
      <c r="B125" s="5">
        <f>PasteHashtag!B125</f>
        <v>91</v>
      </c>
      <c r="C125" s="177" t="str">
        <f>PasteHashtag!C125</f>
        <v>Jonathan Kuminga</v>
      </c>
      <c r="D125" s="5" t="str">
        <f>PasteHashtag!D125</f>
        <v>PF</v>
      </c>
      <c r="E125" s="5" t="str">
        <f>PasteHashtag!E125</f>
        <v>GS</v>
      </c>
      <c r="F125" s="5">
        <f>PasteHashtag!F125</f>
        <v>72</v>
      </c>
      <c r="G125" s="5">
        <f>PasteHashtag!G125</f>
        <v>28.6</v>
      </c>
      <c r="H125" s="5">
        <f>MID(PasteHashtag!H125,1+FIND("(",PasteHashtag!H125),FIND("/",PasteHashtag!H125)-FIND("(",PasteHashtag!H125)-1)*1</f>
        <v>6.2</v>
      </c>
      <c r="I125" s="5">
        <f>LEFT(PasteHashtag!H125,FIND("(",PasteHashtag!H125)-1)*1</f>
        <v>0.527</v>
      </c>
      <c r="J125" s="5">
        <f>MID(PasteHashtag!I125,1+FIND("(",PasteHashtag!I125),FIND("/",PasteHashtag!I125)-FIND("(",PasteHashtag!I125)-1)*1</f>
        <v>2.9</v>
      </c>
      <c r="K125" s="5">
        <f>LEFT(PasteHashtag!I125,FIND("(",PasteHashtag!I125)-1)*1</f>
        <v>0.759</v>
      </c>
      <c r="L125" s="5">
        <f>PasteHashtag!J125</f>
        <v>0.9</v>
      </c>
      <c r="M125" s="5">
        <f>PasteHashtag!K125</f>
        <v>16.2</v>
      </c>
      <c r="N125" s="5">
        <f>PasteHashtag!L125</f>
        <v>5.1</v>
      </c>
      <c r="O125" s="5">
        <f>PasteHashtag!M125</f>
        <v>2.5</v>
      </c>
      <c r="P125" s="5">
        <f>PasteHashtag!N125</f>
        <v>0.8</v>
      </c>
      <c r="Q125" s="5">
        <f>PasteHashtag!O125</f>
        <v>0.6</v>
      </c>
      <c r="R125" s="5">
        <f>PasteHashtag!P125</f>
        <v>1.9</v>
      </c>
      <c r="S125" s="5">
        <f>Mid(PasteHashtag!H125,FIND("/",PasteHashtag!H125)+1,LEN(PasteHashtag!H125)-FIND("/",PasteHashtag!H125)-1)*1</f>
        <v>11.7</v>
      </c>
      <c r="T125" s="178">
        <f>Mid(PasteHashtag!I125,FIND("/",PasteHashtag!I125)+1,LEN(PasteHashtag!I125)-FIND("/",PasteHashtag!I125)-1)*1</f>
        <v>3.8</v>
      </c>
      <c r="U125" s="18"/>
      <c r="V125" s="18"/>
      <c r="W125" s="18"/>
    </row>
    <row r="126">
      <c r="A126" s="5">
        <v>125.0</v>
      </c>
      <c r="B126" s="5">
        <f>PasteHashtag!B126</f>
        <v>130.7</v>
      </c>
      <c r="C126" s="177" t="str">
        <f>PasteHashtag!C126</f>
        <v>Marcus Smart</v>
      </c>
      <c r="D126" s="5" t="str">
        <f>PasteHashtag!D126</f>
        <v>PG,SG</v>
      </c>
      <c r="E126" s="5" t="str">
        <f>PasteHashtag!E126</f>
        <v>MEM</v>
      </c>
      <c r="F126" s="5">
        <f>PasteHashtag!F126</f>
        <v>65</v>
      </c>
      <c r="G126" s="5">
        <f>PasteHashtag!G126</f>
        <v>31</v>
      </c>
      <c r="H126" s="5">
        <f>MID(PasteHashtag!H126,1+FIND("(",PasteHashtag!H126),FIND("/",PasteHashtag!H126)-FIND("(",PasteHashtag!H126)-1)*1</f>
        <v>4.3</v>
      </c>
      <c r="I126" s="5">
        <f>LEFT(PasteHashtag!H126,FIND("(",PasteHashtag!H126)-1)*1</f>
        <v>0.42</v>
      </c>
      <c r="J126" s="5">
        <f>MID(PasteHashtag!I126,1+FIND("(",PasteHashtag!I126),FIND("/",PasteHashtag!I126)-FIND("(",PasteHashtag!I126)-1)*1</f>
        <v>1.6</v>
      </c>
      <c r="K126" s="5">
        <f>LEFT(PasteHashtag!I126,FIND("(",PasteHashtag!I126)-1)*1</f>
        <v>0.751</v>
      </c>
      <c r="L126" s="5">
        <f>PasteHashtag!J126</f>
        <v>1.9</v>
      </c>
      <c r="M126" s="5">
        <f>PasteHashtag!K126</f>
        <v>12.1</v>
      </c>
      <c r="N126" s="5">
        <f>PasteHashtag!L126</f>
        <v>3</v>
      </c>
      <c r="O126" s="5">
        <f>PasteHashtag!M126</f>
        <v>4.7</v>
      </c>
      <c r="P126" s="5">
        <f>PasteHashtag!N126</f>
        <v>1.6</v>
      </c>
      <c r="Q126" s="5">
        <f>PasteHashtag!O126</f>
        <v>0.3</v>
      </c>
      <c r="R126" s="5">
        <f>PasteHashtag!P126</f>
        <v>2.5</v>
      </c>
      <c r="S126" s="5">
        <f>Mid(PasteHashtag!H126,FIND("/",PasteHashtag!H126)+1,LEN(PasteHashtag!H126)-FIND("/",PasteHashtag!H126)-1)*1</f>
        <v>10.3</v>
      </c>
      <c r="T126" s="178">
        <f>Mid(PasteHashtag!I126,FIND("/",PasteHashtag!I126)+1,LEN(PasteHashtag!I126)-FIND("/",PasteHashtag!I126)-1)*1</f>
        <v>2.1</v>
      </c>
      <c r="U126" s="18"/>
      <c r="V126" s="18"/>
      <c r="W126" s="18"/>
    </row>
    <row r="127">
      <c r="A127" s="5">
        <v>126.0</v>
      </c>
      <c r="B127" s="5">
        <f>PasteHashtag!B127</f>
        <v>144.3</v>
      </c>
      <c r="C127" s="177" t="str">
        <f>PasteHashtag!C127</f>
        <v>Jalen Smith</v>
      </c>
      <c r="D127" s="5" t="str">
        <f>PasteHashtag!D127</f>
        <v>PF,C</v>
      </c>
      <c r="E127" s="5" t="str">
        <f>PasteHashtag!E127</f>
        <v>CHI</v>
      </c>
      <c r="F127" s="5">
        <f>PasteHashtag!F127</f>
        <v>64</v>
      </c>
      <c r="G127" s="5">
        <f>PasteHashtag!G127</f>
        <v>25</v>
      </c>
      <c r="H127" s="5">
        <f>MID(PasteHashtag!H127,1+FIND("(",PasteHashtag!H127),FIND("/",PasteHashtag!H127)-FIND("(",PasteHashtag!H127)-1)*1</f>
        <v>5</v>
      </c>
      <c r="I127" s="5">
        <f>LEFT(PasteHashtag!H127,FIND("(",PasteHashtag!H127)-1)*1</f>
        <v>0.537</v>
      </c>
      <c r="J127" s="5">
        <f>MID(PasteHashtag!I127,1+FIND("(",PasteHashtag!I127),FIND("/",PasteHashtag!I127)-FIND("(",PasteHashtag!I127)-1)*1</f>
        <v>1.7</v>
      </c>
      <c r="K127" s="5">
        <f>LEFT(PasteHashtag!I127,FIND("(",PasteHashtag!I127)-1)*1</f>
        <v>0.711</v>
      </c>
      <c r="L127" s="5">
        <f>PasteHashtag!J127</f>
        <v>1.3</v>
      </c>
      <c r="M127" s="5">
        <f>PasteHashtag!K127</f>
        <v>12.9</v>
      </c>
      <c r="N127" s="5">
        <f>PasteHashtag!L127</f>
        <v>7.6</v>
      </c>
      <c r="O127" s="5">
        <f>PasteHashtag!M127</f>
        <v>1.3</v>
      </c>
      <c r="P127" s="5">
        <f>PasteHashtag!N127</f>
        <v>0.4</v>
      </c>
      <c r="Q127" s="5">
        <f>PasteHashtag!O127</f>
        <v>1</v>
      </c>
      <c r="R127" s="5">
        <f>PasteHashtag!P127</f>
        <v>1.2</v>
      </c>
      <c r="S127" s="5">
        <f>Mid(PasteHashtag!H127,FIND("/",PasteHashtag!H127)+1,LEN(PasteHashtag!H127)-FIND("/",PasteHashtag!H127)-1)*1</f>
        <v>9.2</v>
      </c>
      <c r="T127" s="178">
        <f>Mid(PasteHashtag!I127,FIND("/",PasteHashtag!I127)+1,LEN(PasteHashtag!I127)-FIND("/",PasteHashtag!I127)-1)*1</f>
        <v>2.4</v>
      </c>
      <c r="U127" s="18"/>
      <c r="V127" s="18"/>
      <c r="W127" s="18"/>
    </row>
    <row r="128">
      <c r="A128" s="5">
        <v>127.0</v>
      </c>
      <c r="B128" s="5">
        <f>PasteHashtag!B128</f>
        <v>145.4</v>
      </c>
      <c r="C128" s="177" t="str">
        <f>PasteHashtag!C128</f>
        <v>Corey Kispert</v>
      </c>
      <c r="D128" s="5" t="str">
        <f>PasteHashtag!D128</f>
        <v>SG,SF</v>
      </c>
      <c r="E128" s="5" t="str">
        <f>PasteHashtag!E128</f>
        <v>WAS</v>
      </c>
      <c r="F128" s="5">
        <f>PasteHashtag!F128</f>
        <v>77</v>
      </c>
      <c r="G128" s="5">
        <f>PasteHashtag!G128</f>
        <v>31</v>
      </c>
      <c r="H128" s="5">
        <f>MID(PasteHashtag!H128,1+FIND("(",PasteHashtag!H128),FIND("/",PasteHashtag!H128)-FIND("(",PasteHashtag!H128)-1)*1</f>
        <v>5.4</v>
      </c>
      <c r="I128" s="5">
        <f>LEFT(PasteHashtag!H128,FIND("(",PasteHashtag!H128)-1)*1</f>
        <v>0.484</v>
      </c>
      <c r="J128" s="5">
        <f>MID(PasteHashtag!I128,1+FIND("(",PasteHashtag!I128),FIND("/",PasteHashtag!I128)-FIND("(",PasteHashtag!I128)-1)*1</f>
        <v>1.7</v>
      </c>
      <c r="K128" s="5">
        <f>LEFT(PasteHashtag!I128,FIND("(",PasteHashtag!I128)-1)*1</f>
        <v>0.821</v>
      </c>
      <c r="L128" s="5">
        <f>PasteHashtag!J128</f>
        <v>2.7</v>
      </c>
      <c r="M128" s="5">
        <f>PasteHashtag!K128</f>
        <v>15.1</v>
      </c>
      <c r="N128" s="5">
        <f>PasteHashtag!L128</f>
        <v>3.4</v>
      </c>
      <c r="O128" s="5">
        <f>PasteHashtag!M128</f>
        <v>2.4</v>
      </c>
      <c r="P128" s="5">
        <f>PasteHashtag!N128</f>
        <v>0.7</v>
      </c>
      <c r="Q128" s="5">
        <f>PasteHashtag!O128</f>
        <v>0.2</v>
      </c>
      <c r="R128" s="5">
        <f>PasteHashtag!P128</f>
        <v>1.2</v>
      </c>
      <c r="S128" s="5">
        <f>Mid(PasteHashtag!H128,FIND("/",PasteHashtag!H128)+1,LEN(PasteHashtag!H128)-FIND("/",PasteHashtag!H128)-1)*1</f>
        <v>11.1</v>
      </c>
      <c r="T128" s="178">
        <f>Mid(PasteHashtag!I128,FIND("/",PasteHashtag!I128)+1,LEN(PasteHashtag!I128)-FIND("/",PasteHashtag!I128)-1)*1</f>
        <v>2</v>
      </c>
      <c r="U128" s="18"/>
      <c r="V128" s="18"/>
      <c r="W128" s="18"/>
    </row>
    <row r="129">
      <c r="A129" s="5">
        <v>128.0</v>
      </c>
      <c r="B129" s="5">
        <f>PasteHashtag!B129</f>
        <v>126.5</v>
      </c>
      <c r="C129" s="177" t="str">
        <f>PasteHashtag!C129</f>
        <v>Buddy Hield</v>
      </c>
      <c r="D129" s="5" t="str">
        <f>PasteHashtag!D129</f>
        <v>SG,SF</v>
      </c>
      <c r="E129" s="5" t="str">
        <f>PasteHashtag!E129</f>
        <v>GS</v>
      </c>
      <c r="F129" s="5">
        <f>PasteHashtag!F129</f>
        <v>78</v>
      </c>
      <c r="G129" s="5">
        <f>PasteHashtag!G129</f>
        <v>27.8</v>
      </c>
      <c r="H129" s="5">
        <f>MID(PasteHashtag!H129,1+FIND("(",PasteHashtag!H129),FIND("/",PasteHashtag!H129)-FIND("(",PasteHashtag!H129)-1)*1</f>
        <v>4.8</v>
      </c>
      <c r="I129" s="5">
        <f>LEFT(PasteHashtag!H129,FIND("(",PasteHashtag!H129)-1)*1</f>
        <v>0.445</v>
      </c>
      <c r="J129" s="5">
        <f>MID(PasteHashtag!I129,1+FIND("(",PasteHashtag!I129),FIND("/",PasteHashtag!I129)-FIND("(",PasteHashtag!I129)-1)*1</f>
        <v>0.9</v>
      </c>
      <c r="K129" s="5">
        <f>LEFT(PasteHashtag!I129,FIND("(",PasteHashtag!I129)-1)*1</f>
        <v>0.835</v>
      </c>
      <c r="L129" s="5">
        <f>PasteHashtag!J129</f>
        <v>2.7</v>
      </c>
      <c r="M129" s="5">
        <f>PasteHashtag!K129</f>
        <v>13.2</v>
      </c>
      <c r="N129" s="5">
        <f>PasteHashtag!L129</f>
        <v>3.8</v>
      </c>
      <c r="O129" s="5">
        <f>PasteHashtag!M129</f>
        <v>2.7</v>
      </c>
      <c r="P129" s="5">
        <f>PasteHashtag!N129</f>
        <v>0.9</v>
      </c>
      <c r="Q129" s="5">
        <f>PasteHashtag!O129</f>
        <v>0.4</v>
      </c>
      <c r="R129" s="5">
        <f>PasteHashtag!P129</f>
        <v>1.4</v>
      </c>
      <c r="S129" s="5">
        <f>Mid(PasteHashtag!H129,FIND("/",PasteHashtag!H129)+1,LEN(PasteHashtag!H129)-FIND("/",PasteHashtag!H129)-1)*1</f>
        <v>10.7</v>
      </c>
      <c r="T129" s="178">
        <f>Mid(PasteHashtag!I129,FIND("/",PasteHashtag!I129)+1,LEN(PasteHashtag!I129)-FIND("/",PasteHashtag!I129)-1)*1</f>
        <v>1.1</v>
      </c>
      <c r="U129" s="18"/>
      <c r="V129" s="18"/>
      <c r="W129" s="18"/>
    </row>
    <row r="130">
      <c r="A130" s="5">
        <v>129.0</v>
      </c>
      <c r="B130" s="5">
        <f>PasteHashtag!B130</f>
        <v>106.5</v>
      </c>
      <c r="C130" s="177" t="str">
        <f>PasteHashtag!C130</f>
        <v>Klay Thompson</v>
      </c>
      <c r="D130" s="5" t="str">
        <f>PasteHashtag!D130</f>
        <v>SG,SF</v>
      </c>
      <c r="E130" s="5" t="str">
        <f>PasteHashtag!E130</f>
        <v>DAL</v>
      </c>
      <c r="F130" s="5">
        <f>PasteHashtag!F130</f>
        <v>70</v>
      </c>
      <c r="G130" s="5">
        <f>PasteHashtag!G130</f>
        <v>29.4</v>
      </c>
      <c r="H130" s="5">
        <f>MID(PasteHashtag!H130,1+FIND("(",PasteHashtag!H130),FIND("/",PasteHashtag!H130)-FIND("(",PasteHashtag!H130)-1)*1</f>
        <v>6.2</v>
      </c>
      <c r="I130" s="5">
        <f>LEFT(PasteHashtag!H130,FIND("(",PasteHashtag!H130)-1)*1</f>
        <v>0.434</v>
      </c>
      <c r="J130" s="5">
        <f>MID(PasteHashtag!I130,1+FIND("(",PasteHashtag!I130),FIND("/",PasteHashtag!I130)-FIND("(",PasteHashtag!I130)-1)*1</f>
        <v>1.5</v>
      </c>
      <c r="K130" s="5">
        <f>LEFT(PasteHashtag!I130,FIND("(",PasteHashtag!I130)-1)*1</f>
        <v>0.901</v>
      </c>
      <c r="L130" s="5">
        <f>PasteHashtag!J130</f>
        <v>3.4</v>
      </c>
      <c r="M130" s="5">
        <f>PasteHashtag!K130</f>
        <v>17.2</v>
      </c>
      <c r="N130" s="5">
        <f>PasteHashtag!L130</f>
        <v>3.2</v>
      </c>
      <c r="O130" s="5">
        <f>PasteHashtag!M130</f>
        <v>2</v>
      </c>
      <c r="P130" s="5">
        <f>PasteHashtag!N130</f>
        <v>0.6</v>
      </c>
      <c r="Q130" s="5">
        <f>PasteHashtag!O130</f>
        <v>0.4</v>
      </c>
      <c r="R130" s="5">
        <f>PasteHashtag!P130</f>
        <v>1.4</v>
      </c>
      <c r="S130" s="5">
        <f>Mid(PasteHashtag!H130,FIND("/",PasteHashtag!H130)+1,LEN(PasteHashtag!H130)-FIND("/",PasteHashtag!H130)-1)*1</f>
        <v>14.3</v>
      </c>
      <c r="T130" s="178">
        <f>Mid(PasteHashtag!I130,FIND("/",PasteHashtag!I130)+1,LEN(PasteHashtag!I130)-FIND("/",PasteHashtag!I130)-1)*1</f>
        <v>1.6</v>
      </c>
      <c r="U130" s="18"/>
      <c r="V130" s="18"/>
      <c r="W130" s="18"/>
    </row>
    <row r="131">
      <c r="A131" s="5">
        <v>130.0</v>
      </c>
      <c r="B131" s="5">
        <f>PasteHashtag!B131</f>
        <v>138.2</v>
      </c>
      <c r="C131" s="177" t="str">
        <f>PasteHashtag!C131</f>
        <v>Grayson Allen</v>
      </c>
      <c r="D131" s="5" t="str">
        <f>PasteHashtag!D131</f>
        <v>PG,SG</v>
      </c>
      <c r="E131" s="5" t="str">
        <f>PasteHashtag!E131</f>
        <v>PHO</v>
      </c>
      <c r="F131" s="5">
        <f>PasteHashtag!F131</f>
        <v>73</v>
      </c>
      <c r="G131" s="5">
        <f>PasteHashtag!G131</f>
        <v>27.4</v>
      </c>
      <c r="H131" s="5">
        <f>MID(PasteHashtag!H131,1+FIND("(",PasteHashtag!H131),FIND("/",PasteHashtag!H131)-FIND("(",PasteHashtag!H131)-1)*1</f>
        <v>3.9</v>
      </c>
      <c r="I131" s="5">
        <f>LEFT(PasteHashtag!H131,FIND("(",PasteHashtag!H131)-1)*1</f>
        <v>0.485</v>
      </c>
      <c r="J131" s="5">
        <f>MID(PasteHashtag!I131,1+FIND("(",PasteHashtag!I131),FIND("/",PasteHashtag!I131)-FIND("(",PasteHashtag!I131)-1)*1</f>
        <v>1.5</v>
      </c>
      <c r="K131" s="5">
        <f>LEFT(PasteHashtag!I131,FIND("(",PasteHashtag!I131)-1)*1</f>
        <v>0.893</v>
      </c>
      <c r="L131" s="5">
        <f>PasteHashtag!J131</f>
        <v>2.2</v>
      </c>
      <c r="M131" s="5">
        <f>PasteHashtag!K131</f>
        <v>11.4</v>
      </c>
      <c r="N131" s="5">
        <f>PasteHashtag!L131</f>
        <v>3.3</v>
      </c>
      <c r="O131" s="5">
        <f>PasteHashtag!M131</f>
        <v>2.4</v>
      </c>
      <c r="P131" s="5">
        <f>PasteHashtag!N131</f>
        <v>0.8</v>
      </c>
      <c r="Q131" s="5">
        <f>PasteHashtag!O131</f>
        <v>0.4</v>
      </c>
      <c r="R131" s="5">
        <f>PasteHashtag!P131</f>
        <v>1</v>
      </c>
      <c r="S131" s="5">
        <f>Mid(PasteHashtag!H131,FIND("/",PasteHashtag!H131)+1,LEN(PasteHashtag!H131)-FIND("/",PasteHashtag!H131)-1)*1</f>
        <v>8</v>
      </c>
      <c r="T131" s="178">
        <f>Mid(PasteHashtag!I131,FIND("/",PasteHashtag!I131)+1,LEN(PasteHashtag!I131)-FIND("/",PasteHashtag!I131)-1)*1</f>
        <v>1.7</v>
      </c>
      <c r="U131" s="18"/>
      <c r="V131" s="18"/>
      <c r="W131" s="18"/>
    </row>
    <row r="132">
      <c r="A132" s="5">
        <v>131.0</v>
      </c>
      <c r="B132" s="5">
        <f>PasteHashtag!B132</f>
        <v>144.9</v>
      </c>
      <c r="C132" s="177" t="str">
        <f>PasteHashtag!C132</f>
        <v>Terance Mann</v>
      </c>
      <c r="D132" s="5" t="str">
        <f>PasteHashtag!D132</f>
        <v>SG,SF</v>
      </c>
      <c r="E132" s="5" t="str">
        <f>PasteHashtag!E132</f>
        <v>LAC</v>
      </c>
      <c r="F132" s="5">
        <f>PasteHashtag!F132</f>
        <v>76</v>
      </c>
      <c r="G132" s="5">
        <f>PasteHashtag!G132</f>
        <v>29</v>
      </c>
      <c r="H132" s="5">
        <f>MID(PasteHashtag!H132,1+FIND("(",PasteHashtag!H132),FIND("/",PasteHashtag!H132)-FIND("(",PasteHashtag!H132)-1)*1</f>
        <v>5</v>
      </c>
      <c r="I132" s="5">
        <f>LEFT(PasteHashtag!H132,FIND("(",PasteHashtag!H132)-1)*1</f>
        <v>0.513</v>
      </c>
      <c r="J132" s="5">
        <f>MID(PasteHashtag!I132,1+FIND("(",PasteHashtag!I132),FIND("/",PasteHashtag!I132)-FIND("(",PasteHashtag!I132)-1)*1</f>
        <v>1.5</v>
      </c>
      <c r="K132" s="5">
        <f>LEFT(PasteHashtag!I132,FIND("(",PasteHashtag!I132)-1)*1</f>
        <v>0.806</v>
      </c>
      <c r="L132" s="5">
        <f>PasteHashtag!J132</f>
        <v>1.3</v>
      </c>
      <c r="M132" s="5">
        <f>PasteHashtag!K132</f>
        <v>12.9</v>
      </c>
      <c r="N132" s="5">
        <f>PasteHashtag!L132</f>
        <v>4.8</v>
      </c>
      <c r="O132" s="5">
        <f>PasteHashtag!M132</f>
        <v>2.7</v>
      </c>
      <c r="P132" s="5">
        <f>PasteHashtag!N132</f>
        <v>0.8</v>
      </c>
      <c r="Q132" s="5">
        <f>PasteHashtag!O132</f>
        <v>0.4</v>
      </c>
      <c r="R132" s="5">
        <f>PasteHashtag!P132</f>
        <v>1.1</v>
      </c>
      <c r="S132" s="5">
        <f>Mid(PasteHashtag!H132,FIND("/",PasteHashtag!H132)+1,LEN(PasteHashtag!H132)-FIND("/",PasteHashtag!H132)-1)*1</f>
        <v>9.8</v>
      </c>
      <c r="T132" s="178">
        <f>Mid(PasteHashtag!I132,FIND("/",PasteHashtag!I132)+1,LEN(PasteHashtag!I132)-FIND("/",PasteHashtag!I132)-1)*1</f>
        <v>1.9</v>
      </c>
      <c r="U132" s="18"/>
      <c r="V132" s="18"/>
      <c r="W132" s="18"/>
    </row>
    <row r="133">
      <c r="A133" s="5">
        <v>132.0</v>
      </c>
      <c r="B133" s="5">
        <f>PasteHashtag!B133</f>
        <v>115.9</v>
      </c>
      <c r="C133" s="177" t="str">
        <f>PasteHashtag!C133</f>
        <v>Bobby Portis</v>
      </c>
      <c r="D133" s="5" t="str">
        <f>PasteHashtag!D133</f>
        <v>PF,C</v>
      </c>
      <c r="E133" s="5" t="str">
        <f>PasteHashtag!E133</f>
        <v>MIL</v>
      </c>
      <c r="F133" s="5">
        <f>PasteHashtag!F133</f>
        <v>74</v>
      </c>
      <c r="G133" s="5">
        <f>PasteHashtag!G133</f>
        <v>25.2</v>
      </c>
      <c r="H133" s="5">
        <f>MID(PasteHashtag!H133,1+FIND("(",PasteHashtag!H133),FIND("/",PasteHashtag!H133)-FIND("(",PasteHashtag!H133)-1)*1</f>
        <v>5.8</v>
      </c>
      <c r="I133" s="5">
        <f>LEFT(PasteHashtag!H133,FIND("(",PasteHashtag!H133)-1)*1</f>
        <v>0.502</v>
      </c>
      <c r="J133" s="5">
        <f>MID(PasteHashtag!I133,1+FIND("(",PasteHashtag!I133),FIND("/",PasteHashtag!I133)-FIND("(",PasteHashtag!I133)-1)*1</f>
        <v>1.3</v>
      </c>
      <c r="K133" s="5">
        <f>LEFT(PasteHashtag!I133,FIND("(",PasteHashtag!I133)-1)*1</f>
        <v>0.777</v>
      </c>
      <c r="L133" s="5">
        <f>PasteHashtag!J133</f>
        <v>1.3</v>
      </c>
      <c r="M133" s="5">
        <f>PasteHashtag!K133</f>
        <v>14.1</v>
      </c>
      <c r="N133" s="5">
        <f>PasteHashtag!L133</f>
        <v>8.3</v>
      </c>
      <c r="O133" s="5">
        <f>PasteHashtag!M133</f>
        <v>1.4</v>
      </c>
      <c r="P133" s="5">
        <f>PasteHashtag!N133</f>
        <v>0.7</v>
      </c>
      <c r="Q133" s="5">
        <f>PasteHashtag!O133</f>
        <v>0.3</v>
      </c>
      <c r="R133" s="5">
        <f>PasteHashtag!P133</f>
        <v>1.1</v>
      </c>
      <c r="S133" s="5">
        <f>Mid(PasteHashtag!H133,FIND("/",PasteHashtag!H133)+1,LEN(PasteHashtag!H133)-FIND("/",PasteHashtag!H133)-1)*1</f>
        <v>11.5</v>
      </c>
      <c r="T133" s="178">
        <f>Mid(PasteHashtag!I133,FIND("/",PasteHashtag!I133)+1,LEN(PasteHashtag!I133)-FIND("/",PasteHashtag!I133)-1)*1</f>
        <v>1.7</v>
      </c>
      <c r="U133" s="18"/>
      <c r="V133" s="18"/>
      <c r="W133" s="18"/>
    </row>
    <row r="134">
      <c r="A134" s="5">
        <v>133.0</v>
      </c>
      <c r="B134" s="5">
        <f>PasteHashtag!B134</f>
        <v>118.7</v>
      </c>
      <c r="C134" s="177" t="str">
        <f>PasteHashtag!C134</f>
        <v>Keyonte George</v>
      </c>
      <c r="D134" s="5" t="str">
        <f>PasteHashtag!D134</f>
        <v>PG,SG</v>
      </c>
      <c r="E134" s="5" t="str">
        <f>PasteHashtag!E134</f>
        <v>UTA</v>
      </c>
      <c r="F134" s="5">
        <f>PasteHashtag!F134</f>
        <v>73</v>
      </c>
      <c r="G134" s="5">
        <f>PasteHashtag!G134</f>
        <v>31.6</v>
      </c>
      <c r="H134" s="5">
        <f>MID(PasteHashtag!H134,1+FIND("(",PasteHashtag!H134),FIND("/",PasteHashtag!H134)-FIND("(",PasteHashtag!H134)-1)*1</f>
        <v>5.4</v>
      </c>
      <c r="I134" s="5">
        <f>LEFT(PasteHashtag!H134,FIND("(",PasteHashtag!H134)-1)*1</f>
        <v>0.422</v>
      </c>
      <c r="J134" s="5">
        <f>MID(PasteHashtag!I134,1+FIND("(",PasteHashtag!I134),FIND("/",PasteHashtag!I134)-FIND("(",PasteHashtag!I134)-1)*1</f>
        <v>3</v>
      </c>
      <c r="K134" s="5">
        <f>LEFT(PasteHashtag!I134,FIND("(",PasteHashtag!I134)-1)*1</f>
        <v>0.851</v>
      </c>
      <c r="L134" s="5">
        <f>PasteHashtag!J134</f>
        <v>2.4</v>
      </c>
      <c r="M134" s="5">
        <f>PasteHashtag!K134</f>
        <v>16.3</v>
      </c>
      <c r="N134" s="5">
        <f>PasteHashtag!L134</f>
        <v>3.3</v>
      </c>
      <c r="O134" s="5">
        <f>PasteHashtag!M134</f>
        <v>5.2</v>
      </c>
      <c r="P134" s="5">
        <f>PasteHashtag!N134</f>
        <v>0.6</v>
      </c>
      <c r="Q134" s="5">
        <f>PasteHashtag!O134</f>
        <v>0.2</v>
      </c>
      <c r="R134" s="5">
        <f>PasteHashtag!P134</f>
        <v>2.6</v>
      </c>
      <c r="S134" s="5">
        <f>Mid(PasteHashtag!H134,FIND("/",PasteHashtag!H134)+1,LEN(PasteHashtag!H134)-FIND("/",PasteHashtag!H134)-1)*1</f>
        <v>12.9</v>
      </c>
      <c r="T134" s="178">
        <f>Mid(PasteHashtag!I134,FIND("/",PasteHashtag!I134)+1,LEN(PasteHashtag!I134)-FIND("/",PasteHashtag!I134)-1)*1</f>
        <v>3.5</v>
      </c>
      <c r="U134" s="18"/>
      <c r="V134" s="18"/>
      <c r="W134" s="18"/>
    </row>
    <row r="135">
      <c r="A135" s="5">
        <v>134.0</v>
      </c>
      <c r="B135" s="5">
        <f>PasteHashtag!B135</f>
        <v>140.4</v>
      </c>
      <c r="C135" s="177" t="str">
        <f>PasteHashtag!C135</f>
        <v>Kentavious Caldwell-Pope</v>
      </c>
      <c r="D135" s="5" t="str">
        <f>PasteHashtag!D135</f>
        <v>SG,SF</v>
      </c>
      <c r="E135" s="5" t="str">
        <f>PasteHashtag!E135</f>
        <v>ORL</v>
      </c>
      <c r="F135" s="5">
        <f>PasteHashtag!F135</f>
        <v>76</v>
      </c>
      <c r="G135" s="5">
        <f>PasteHashtag!G135</f>
        <v>30.1</v>
      </c>
      <c r="H135" s="5">
        <f>MID(PasteHashtag!H135,1+FIND("(",PasteHashtag!H135),FIND("/",PasteHashtag!H135)-FIND("(",PasteHashtag!H135)-1)*1</f>
        <v>3.6</v>
      </c>
      <c r="I135" s="5">
        <f>LEFT(PasteHashtag!H135,FIND("(",PasteHashtag!H135)-1)*1</f>
        <v>0.461</v>
      </c>
      <c r="J135" s="5">
        <f>MID(PasteHashtag!I135,1+FIND("(",PasteHashtag!I135),FIND("/",PasteHashtag!I135)-FIND("(",PasteHashtag!I135)-1)*1</f>
        <v>1.3</v>
      </c>
      <c r="K135" s="5">
        <f>LEFT(PasteHashtag!I135,FIND("(",PasteHashtag!I135)-1)*1</f>
        <v>0.861</v>
      </c>
      <c r="L135" s="5">
        <f>PasteHashtag!J135</f>
        <v>1.7</v>
      </c>
      <c r="M135" s="5">
        <f>PasteHashtag!K135</f>
        <v>10.1</v>
      </c>
      <c r="N135" s="5">
        <f>PasteHashtag!L135</f>
        <v>2.5</v>
      </c>
      <c r="O135" s="5">
        <f>PasteHashtag!M135</f>
        <v>2.3</v>
      </c>
      <c r="P135" s="5">
        <f>PasteHashtag!N135</f>
        <v>1.3</v>
      </c>
      <c r="Q135" s="5">
        <f>PasteHashtag!O135</f>
        <v>0.5</v>
      </c>
      <c r="R135" s="5">
        <f>PasteHashtag!P135</f>
        <v>1</v>
      </c>
      <c r="S135" s="5">
        <f>Mid(PasteHashtag!H135,FIND("/",PasteHashtag!H135)+1,LEN(PasteHashtag!H135)-FIND("/",PasteHashtag!H135)-1)*1</f>
        <v>7.8</v>
      </c>
      <c r="T135" s="178">
        <f>Mid(PasteHashtag!I135,FIND("/",PasteHashtag!I135)+1,LEN(PasteHashtag!I135)-FIND("/",PasteHashtag!I135)-1)*1</f>
        <v>1.5</v>
      </c>
      <c r="U135" s="18"/>
      <c r="V135" s="18"/>
      <c r="W135" s="18"/>
    </row>
    <row r="136">
      <c r="A136" s="5">
        <v>135.0</v>
      </c>
      <c r="B136" s="5">
        <f>PasteHashtag!B136</f>
        <v>133.4</v>
      </c>
      <c r="C136" s="177" t="str">
        <f>PasteHashtag!C136</f>
        <v>Alexandre Sarr</v>
      </c>
      <c r="D136" s="5" t="str">
        <f>PasteHashtag!D136</f>
        <v>PF</v>
      </c>
      <c r="E136" s="5" t="str">
        <f>PasteHashtag!E136</f>
        <v>WAS</v>
      </c>
      <c r="F136" s="5">
        <f>PasteHashtag!F136</f>
        <v>69</v>
      </c>
      <c r="G136" s="5">
        <f>PasteHashtag!G136</f>
        <v>29.9</v>
      </c>
      <c r="H136" s="5">
        <f>MID(PasteHashtag!H136,1+FIND("(",PasteHashtag!H136),FIND("/",PasteHashtag!H136)-FIND("(",PasteHashtag!H136)-1)*1</f>
        <v>4.5</v>
      </c>
      <c r="I136" s="5">
        <f>LEFT(PasteHashtag!H136,FIND("(",PasteHashtag!H136)-1)*1</f>
        <v>0.448</v>
      </c>
      <c r="J136" s="5">
        <f>MID(PasteHashtag!I136,1+FIND("(",PasteHashtag!I136),FIND("/",PasteHashtag!I136)-FIND("(",PasteHashtag!I136)-1)*1</f>
        <v>2.4</v>
      </c>
      <c r="K136" s="5">
        <f>LEFT(PasteHashtag!I136,FIND("(",PasteHashtag!I136)-1)*1</f>
        <v>0.711</v>
      </c>
      <c r="L136" s="5">
        <f>PasteHashtag!J136</f>
        <v>0.9</v>
      </c>
      <c r="M136" s="5">
        <f>PasteHashtag!K136</f>
        <v>12.2</v>
      </c>
      <c r="N136" s="5">
        <f>PasteHashtag!L136</f>
        <v>6.4</v>
      </c>
      <c r="O136" s="5">
        <f>PasteHashtag!M136</f>
        <v>1.3</v>
      </c>
      <c r="P136" s="5">
        <f>PasteHashtag!N136</f>
        <v>0.8</v>
      </c>
      <c r="Q136" s="5">
        <f>PasteHashtag!O136</f>
        <v>1.9</v>
      </c>
      <c r="R136" s="5">
        <f>PasteHashtag!P136</f>
        <v>1.3</v>
      </c>
      <c r="S136" s="5">
        <f>Mid(PasteHashtag!H136,FIND("/",PasteHashtag!H136)+1,LEN(PasteHashtag!H136)-FIND("/",PasteHashtag!H136)-1)*1</f>
        <v>10</v>
      </c>
      <c r="T136" s="178">
        <f>Mid(PasteHashtag!I136,FIND("/",PasteHashtag!I136)+1,LEN(PasteHashtag!I136)-FIND("/",PasteHashtag!I136)-1)*1</f>
        <v>3.4</v>
      </c>
      <c r="U136" s="18"/>
      <c r="V136" s="18"/>
      <c r="W136" s="18"/>
    </row>
    <row r="137">
      <c r="A137" s="5">
        <v>136.0</v>
      </c>
      <c r="B137" s="5">
        <f>PasteHashtag!B137</f>
        <v>132.1</v>
      </c>
      <c r="C137" s="177" t="str">
        <f>PasteHashtag!C137</f>
        <v>Jaden Ivey</v>
      </c>
      <c r="D137" s="5" t="str">
        <f>PasteHashtag!D137</f>
        <v>PG,SG</v>
      </c>
      <c r="E137" s="5" t="str">
        <f>PasteHashtag!E137</f>
        <v>DET</v>
      </c>
      <c r="F137" s="5">
        <f>PasteHashtag!F137</f>
        <v>76</v>
      </c>
      <c r="G137" s="5">
        <f>PasteHashtag!G137</f>
        <v>30</v>
      </c>
      <c r="H137" s="5">
        <f>MID(PasteHashtag!H137,1+FIND("(",PasteHashtag!H137),FIND("/",PasteHashtag!H137)-FIND("(",PasteHashtag!H137)-1)*1</f>
        <v>6.4</v>
      </c>
      <c r="I137" s="5">
        <f>LEFT(PasteHashtag!H137,FIND("(",PasteHashtag!H137)-1)*1</f>
        <v>0.435</v>
      </c>
      <c r="J137" s="5">
        <f>MID(PasteHashtag!I137,1+FIND("(",PasteHashtag!I137),FIND("/",PasteHashtag!I137)-FIND("(",PasteHashtag!I137)-1)*1</f>
        <v>3.3</v>
      </c>
      <c r="K137" s="5">
        <f>LEFT(PasteHashtag!I137,FIND("(",PasteHashtag!I137)-1)*1</f>
        <v>0.759</v>
      </c>
      <c r="L137" s="5">
        <f>PasteHashtag!J137</f>
        <v>2.2</v>
      </c>
      <c r="M137" s="5">
        <f>PasteHashtag!K137</f>
        <v>18.4</v>
      </c>
      <c r="N137" s="5">
        <f>PasteHashtag!L137</f>
        <v>3.7</v>
      </c>
      <c r="O137" s="5">
        <f>PasteHashtag!M137</f>
        <v>4.6</v>
      </c>
      <c r="P137" s="5">
        <f>PasteHashtag!N137</f>
        <v>0.8</v>
      </c>
      <c r="Q137" s="5">
        <f>PasteHashtag!O137</f>
        <v>0.6</v>
      </c>
      <c r="R137" s="5">
        <f>PasteHashtag!P137</f>
        <v>2.7</v>
      </c>
      <c r="S137" s="5">
        <f>Mid(PasteHashtag!H137,FIND("/",PasteHashtag!H137)+1,LEN(PasteHashtag!H137)-FIND("/",PasteHashtag!H137)-1)*1</f>
        <v>14.8</v>
      </c>
      <c r="T137" s="178">
        <f>Mid(PasteHashtag!I137,FIND("/",PasteHashtag!I137)+1,LEN(PasteHashtag!I137)-FIND("/",PasteHashtag!I137)-1)*1</f>
        <v>4.4</v>
      </c>
      <c r="U137" s="18"/>
      <c r="V137" s="18"/>
      <c r="W137" s="18"/>
    </row>
    <row r="138">
      <c r="A138" s="5">
        <v>137.0</v>
      </c>
      <c r="B138" s="5">
        <f>PasteHashtag!B138</f>
        <v>107.7</v>
      </c>
      <c r="C138" s="177" t="str">
        <f>PasteHashtag!C138</f>
        <v>RJ Barrett</v>
      </c>
      <c r="D138" s="5" t="str">
        <f>PasteHashtag!D138</f>
        <v>SF,PF</v>
      </c>
      <c r="E138" s="5" t="str">
        <f>PasteHashtag!E138</f>
        <v>TOR</v>
      </c>
      <c r="F138" s="5">
        <f>PasteHashtag!F138</f>
        <v>72</v>
      </c>
      <c r="G138" s="5">
        <f>PasteHashtag!G138</f>
        <v>33.5</v>
      </c>
      <c r="H138" s="5">
        <f>MID(PasteHashtag!H138,1+FIND("(",PasteHashtag!H138),FIND("/",PasteHashtag!H138)-FIND("(",PasteHashtag!H138)-1)*1</f>
        <v>7.9</v>
      </c>
      <c r="I138" s="5">
        <f>LEFT(PasteHashtag!H138,FIND("(",PasteHashtag!H138)-1)*1</f>
        <v>0.482</v>
      </c>
      <c r="J138" s="5">
        <f>MID(PasteHashtag!I138,1+FIND("(",PasteHashtag!I138),FIND("/",PasteHashtag!I138)-FIND("(",PasteHashtag!I138)-1)*1</f>
        <v>3.9</v>
      </c>
      <c r="K138" s="5">
        <f>LEFT(PasteHashtag!I138,FIND("(",PasteHashtag!I138)-1)*1</f>
        <v>0.726</v>
      </c>
      <c r="L138" s="5">
        <f>PasteHashtag!J138</f>
        <v>1.6</v>
      </c>
      <c r="M138" s="5">
        <f>PasteHashtag!K138</f>
        <v>21.2</v>
      </c>
      <c r="N138" s="5">
        <f>PasteHashtag!L138</f>
        <v>6.4</v>
      </c>
      <c r="O138" s="5">
        <f>PasteHashtag!M138</f>
        <v>3.8</v>
      </c>
      <c r="P138" s="5">
        <f>PasteHashtag!N138</f>
        <v>0.6</v>
      </c>
      <c r="Q138" s="5">
        <f>PasteHashtag!O138</f>
        <v>0.4</v>
      </c>
      <c r="R138" s="5">
        <f>PasteHashtag!P138</f>
        <v>2.3</v>
      </c>
      <c r="S138" s="5">
        <f>Mid(PasteHashtag!H138,FIND("/",PasteHashtag!H138)+1,LEN(PasteHashtag!H138)-FIND("/",PasteHashtag!H138)-1)*1</f>
        <v>16.3</v>
      </c>
      <c r="T138" s="178">
        <f>Mid(PasteHashtag!I138,FIND("/",PasteHashtag!I138)+1,LEN(PasteHashtag!I138)-FIND("/",PasteHashtag!I138)-1)*1</f>
        <v>5.4</v>
      </c>
      <c r="U138" s="18"/>
      <c r="V138" s="18"/>
      <c r="W138" s="18"/>
    </row>
    <row r="139">
      <c r="A139" s="5">
        <v>138.0</v>
      </c>
      <c r="B139" s="5">
        <f>PasteHashtag!B139</f>
        <v>134.2</v>
      </c>
      <c r="C139" s="177" t="str">
        <f>PasteHashtag!C139</f>
        <v>P.J. Washington</v>
      </c>
      <c r="D139" s="5" t="str">
        <f>PasteHashtag!D139</f>
        <v>PF</v>
      </c>
      <c r="E139" s="5" t="str">
        <f>PasteHashtag!E139</f>
        <v>DAL</v>
      </c>
      <c r="F139" s="5">
        <f>PasteHashtag!F139</f>
        <v>73</v>
      </c>
      <c r="G139" s="5">
        <f>PasteHashtag!G139</f>
        <v>31.2</v>
      </c>
      <c r="H139" s="5">
        <f>MID(PasteHashtag!H139,1+FIND("(",PasteHashtag!H139),FIND("/",PasteHashtag!H139)-FIND("(",PasteHashtag!H139)-1)*1</f>
        <v>4.5</v>
      </c>
      <c r="I139" s="5">
        <f>LEFT(PasteHashtag!H139,FIND("(",PasteHashtag!H139)-1)*1</f>
        <v>0.431</v>
      </c>
      <c r="J139" s="5">
        <f>MID(PasteHashtag!I139,1+FIND("(",PasteHashtag!I139),FIND("/",PasteHashtag!I139)-FIND("(",PasteHashtag!I139)-1)*1</f>
        <v>1.5</v>
      </c>
      <c r="K139" s="5">
        <f>LEFT(PasteHashtag!I139,FIND("(",PasteHashtag!I139)-1)*1</f>
        <v>0.706</v>
      </c>
      <c r="L139" s="5">
        <f>PasteHashtag!J139</f>
        <v>1.9</v>
      </c>
      <c r="M139" s="5">
        <f>PasteHashtag!K139</f>
        <v>12.4</v>
      </c>
      <c r="N139" s="5">
        <f>PasteHashtag!L139</f>
        <v>5.5</v>
      </c>
      <c r="O139" s="5">
        <f>PasteHashtag!M139</f>
        <v>2.1</v>
      </c>
      <c r="P139" s="5">
        <f>PasteHashtag!N139</f>
        <v>1.1</v>
      </c>
      <c r="Q139" s="5">
        <f>PasteHashtag!O139</f>
        <v>0.9</v>
      </c>
      <c r="R139" s="5">
        <f>PasteHashtag!P139</f>
        <v>1.4</v>
      </c>
      <c r="S139" s="5">
        <f>Mid(PasteHashtag!H139,FIND("/",PasteHashtag!H139)+1,LEN(PasteHashtag!H139)-FIND("/",PasteHashtag!H139)-1)*1</f>
        <v>10.5</v>
      </c>
      <c r="T139" s="178">
        <f>Mid(PasteHashtag!I139,FIND("/",PasteHashtag!I139)+1,LEN(PasteHashtag!I139)-FIND("/",PasteHashtag!I139)-1)*1</f>
        <v>2.1</v>
      </c>
      <c r="U139" s="18"/>
      <c r="V139" s="18"/>
      <c r="W139" s="18"/>
    </row>
    <row r="140">
      <c r="A140" s="5">
        <v>139.0</v>
      </c>
      <c r="B140" s="5">
        <f>PasteHashtag!B140</f>
        <v>129.5</v>
      </c>
      <c r="C140" s="177" t="str">
        <f>PasteHashtag!C140</f>
        <v>Malik Monk</v>
      </c>
      <c r="D140" s="5" t="str">
        <f>PasteHashtag!D140</f>
        <v>SG,SF</v>
      </c>
      <c r="E140" s="5" t="str">
        <f>PasteHashtag!E140</f>
        <v>SAC</v>
      </c>
      <c r="F140" s="5">
        <f>PasteHashtag!F140</f>
        <v>74</v>
      </c>
      <c r="G140" s="5">
        <f>PasteHashtag!G140</f>
        <v>25.8</v>
      </c>
      <c r="H140" s="5">
        <f>MID(PasteHashtag!H140,1+FIND("(",PasteHashtag!H140),FIND("/",PasteHashtag!H140)-FIND("(",PasteHashtag!H140)-1)*1</f>
        <v>5.1</v>
      </c>
      <c r="I140" s="5">
        <f>LEFT(PasteHashtag!H140,FIND("(",PasteHashtag!H140)-1)*1</f>
        <v>0.446</v>
      </c>
      <c r="J140" s="5">
        <f>MID(PasteHashtag!I140,1+FIND("(",PasteHashtag!I140),FIND("/",PasteHashtag!I140)-FIND("(",PasteHashtag!I140)-1)*1</f>
        <v>2.4</v>
      </c>
      <c r="K140" s="5">
        <f>LEFT(PasteHashtag!I140,FIND("(",PasteHashtag!I140)-1)*1</f>
        <v>0.86</v>
      </c>
      <c r="L140" s="5">
        <f>PasteHashtag!J140</f>
        <v>2</v>
      </c>
      <c r="M140" s="5">
        <f>PasteHashtag!K140</f>
        <v>14.5</v>
      </c>
      <c r="N140" s="5">
        <f>PasteHashtag!L140</f>
        <v>2.8</v>
      </c>
      <c r="O140" s="5">
        <f>PasteHashtag!M140</f>
        <v>4.5</v>
      </c>
      <c r="P140" s="5">
        <f>PasteHashtag!N140</f>
        <v>0.6</v>
      </c>
      <c r="Q140" s="5">
        <f>PasteHashtag!O140</f>
        <v>0.4</v>
      </c>
      <c r="R140" s="5">
        <f>PasteHashtag!P140</f>
        <v>2</v>
      </c>
      <c r="S140" s="5">
        <f>Mid(PasteHashtag!H140,FIND("/",PasteHashtag!H140)+1,LEN(PasteHashtag!H140)-FIND("/",PasteHashtag!H140)-1)*1</f>
        <v>11.4</v>
      </c>
      <c r="T140" s="178">
        <f>Mid(PasteHashtag!I140,FIND("/",PasteHashtag!I140)+1,LEN(PasteHashtag!I140)-FIND("/",PasteHashtag!I140)-1)*1</f>
        <v>2.8</v>
      </c>
      <c r="U140" s="18"/>
      <c r="V140" s="18"/>
      <c r="W140" s="18"/>
    </row>
    <row r="141">
      <c r="A141" s="5">
        <v>140.0</v>
      </c>
      <c r="B141" s="5">
        <f>PasteHashtag!B141</f>
        <v>139.5</v>
      </c>
      <c r="C141" s="177" t="str">
        <f>PasteHashtag!C141</f>
        <v>Luguentz Dort</v>
      </c>
      <c r="D141" s="5" t="str">
        <f>PasteHashtag!D141</f>
        <v>SG,SF</v>
      </c>
      <c r="E141" s="5" t="str">
        <f>PasteHashtag!E141</f>
        <v>OKC</v>
      </c>
      <c r="F141" s="5">
        <f>PasteHashtag!F141</f>
        <v>76</v>
      </c>
      <c r="G141" s="5">
        <f>PasteHashtag!G141</f>
        <v>30</v>
      </c>
      <c r="H141" s="5">
        <f>MID(PasteHashtag!H141,1+FIND("(",PasteHashtag!H141),FIND("/",PasteHashtag!H141)-FIND("(",PasteHashtag!H141)-1)*1</f>
        <v>4.2</v>
      </c>
      <c r="I141" s="5">
        <f>LEFT(PasteHashtag!H141,FIND("(",PasteHashtag!H141)-1)*1</f>
        <v>0.433</v>
      </c>
      <c r="J141" s="5">
        <f>MID(PasteHashtag!I141,1+FIND("(",PasteHashtag!I141),FIND("/",PasteHashtag!I141)-FIND("(",PasteHashtag!I141)-1)*1</f>
        <v>1.7</v>
      </c>
      <c r="K141" s="5">
        <f>LEFT(PasteHashtag!I141,FIND("(",PasteHashtag!I141)-1)*1</f>
        <v>0.824</v>
      </c>
      <c r="L141" s="5">
        <f>PasteHashtag!J141</f>
        <v>2</v>
      </c>
      <c r="M141" s="5">
        <f>PasteHashtag!K141</f>
        <v>12</v>
      </c>
      <c r="N141" s="5">
        <f>PasteHashtag!L141</f>
        <v>4.2</v>
      </c>
      <c r="O141" s="5">
        <f>PasteHashtag!M141</f>
        <v>1.8</v>
      </c>
      <c r="P141" s="5">
        <f>PasteHashtag!N141</f>
        <v>1</v>
      </c>
      <c r="Q141" s="5">
        <f>PasteHashtag!O141</f>
        <v>0.7</v>
      </c>
      <c r="R141" s="5">
        <f>PasteHashtag!P141</f>
        <v>1.1</v>
      </c>
      <c r="S141" s="5">
        <f>Mid(PasteHashtag!H141,FIND("/",PasteHashtag!H141)+1,LEN(PasteHashtag!H141)-FIND("/",PasteHashtag!H141)-1)*1</f>
        <v>9.7</v>
      </c>
      <c r="T141" s="178">
        <f>Mid(PasteHashtag!I141,FIND("/",PasteHashtag!I141)+1,LEN(PasteHashtag!I141)-FIND("/",PasteHashtag!I141)-1)*1</f>
        <v>2.1</v>
      </c>
      <c r="U141" s="18"/>
      <c r="V141" s="18"/>
      <c r="W141" s="18"/>
    </row>
    <row r="142">
      <c r="A142" s="5">
        <v>141.0</v>
      </c>
      <c r="B142" s="5">
        <f>PasteHashtag!B142</f>
        <v>138.1</v>
      </c>
      <c r="C142" s="177" t="str">
        <f>PasteHashtag!C142</f>
        <v>Ausar Thompson</v>
      </c>
      <c r="D142" s="5" t="str">
        <f>PasteHashtag!D142</f>
        <v>SF,PF</v>
      </c>
      <c r="E142" s="5" t="str">
        <f>PasteHashtag!E142</f>
        <v>DET</v>
      </c>
      <c r="F142" s="5">
        <f>PasteHashtag!F142</f>
        <v>69</v>
      </c>
      <c r="G142" s="5">
        <f>PasteHashtag!G142</f>
        <v>28.1</v>
      </c>
      <c r="H142" s="5">
        <f>MID(PasteHashtag!H142,1+FIND("(",PasteHashtag!H142),FIND("/",PasteHashtag!H142)-FIND("(",PasteHashtag!H142)-1)*1</f>
        <v>4.4</v>
      </c>
      <c r="I142" s="5">
        <f>LEFT(PasteHashtag!H142,FIND("(",PasteHashtag!H142)-1)*1</f>
        <v>0.493</v>
      </c>
      <c r="J142" s="5">
        <f>MID(PasteHashtag!I142,1+FIND("(",PasteHashtag!I142),FIND("/",PasteHashtag!I142)-FIND("(",PasteHashtag!I142)-1)*1</f>
        <v>1.3</v>
      </c>
      <c r="K142" s="5">
        <f>LEFT(PasteHashtag!I142,FIND("(",PasteHashtag!I142)-1)*1</f>
        <v>0.624</v>
      </c>
      <c r="L142" s="5">
        <f>PasteHashtag!J142</f>
        <v>0.4</v>
      </c>
      <c r="M142" s="5">
        <f>PasteHashtag!K142</f>
        <v>10.6</v>
      </c>
      <c r="N142" s="5">
        <f>PasteHashtag!L142</f>
        <v>7.2</v>
      </c>
      <c r="O142" s="5">
        <f>PasteHashtag!M142</f>
        <v>2.2</v>
      </c>
      <c r="P142" s="5">
        <f>PasteHashtag!N142</f>
        <v>1.2</v>
      </c>
      <c r="Q142" s="5">
        <f>PasteHashtag!O142</f>
        <v>1.1</v>
      </c>
      <c r="R142" s="5">
        <f>PasteHashtag!P142</f>
        <v>1.5</v>
      </c>
      <c r="S142" s="5">
        <f>Mid(PasteHashtag!H142,FIND("/",PasteHashtag!H142)+1,LEN(PasteHashtag!H142)-FIND("/",PasteHashtag!H142)-1)*1</f>
        <v>9</v>
      </c>
      <c r="T142" s="178">
        <f>Mid(PasteHashtag!I142,FIND("/",PasteHashtag!I142)+1,LEN(PasteHashtag!I142)-FIND("/",PasteHashtag!I142)-1)*1</f>
        <v>2.1</v>
      </c>
      <c r="U142" s="18"/>
      <c r="V142" s="18"/>
      <c r="W142" s="18"/>
    </row>
    <row r="143">
      <c r="A143" s="5">
        <v>142.0</v>
      </c>
      <c r="B143" s="5">
        <f>PasteHashtag!B143</f>
        <v>136.5</v>
      </c>
      <c r="C143" s="177" t="str">
        <f>PasteHashtag!C143</f>
        <v>Rui Hachimura</v>
      </c>
      <c r="D143" s="5" t="str">
        <f>PasteHashtag!D143</f>
        <v>SF,PF</v>
      </c>
      <c r="E143" s="5" t="str">
        <f>PasteHashtag!E143</f>
        <v>LAL</v>
      </c>
      <c r="F143" s="5">
        <f>PasteHashtag!F143</f>
        <v>66</v>
      </c>
      <c r="G143" s="5">
        <f>PasteHashtag!G143</f>
        <v>29.2</v>
      </c>
      <c r="H143" s="5">
        <f>MID(PasteHashtag!H143,1+FIND("(",PasteHashtag!H143),FIND("/",PasteHashtag!H143)-FIND("(",PasteHashtag!H143)-1)*1</f>
        <v>5.8</v>
      </c>
      <c r="I143" s="5">
        <f>LEFT(PasteHashtag!H143,FIND("(",PasteHashtag!H143)-1)*1</f>
        <v>0.514</v>
      </c>
      <c r="J143" s="5">
        <f>MID(PasteHashtag!I143,1+FIND("(",PasteHashtag!I143),FIND("/",PasteHashtag!I143)-FIND("(",PasteHashtag!I143)-1)*1</f>
        <v>1.7</v>
      </c>
      <c r="K143" s="5">
        <f>LEFT(PasteHashtag!I143,FIND("(",PasteHashtag!I143)-1)*1</f>
        <v>0.74</v>
      </c>
      <c r="L143" s="5">
        <f>PasteHashtag!J143</f>
        <v>1.5</v>
      </c>
      <c r="M143" s="5">
        <f>PasteHashtag!K143</f>
        <v>14.8</v>
      </c>
      <c r="N143" s="5">
        <f>PasteHashtag!L143</f>
        <v>5.2</v>
      </c>
      <c r="O143" s="5">
        <f>PasteHashtag!M143</f>
        <v>1.3</v>
      </c>
      <c r="P143" s="5">
        <f>PasteHashtag!N143</f>
        <v>0.7</v>
      </c>
      <c r="Q143" s="5">
        <f>PasteHashtag!O143</f>
        <v>0.5</v>
      </c>
      <c r="R143" s="5">
        <f>PasteHashtag!P143</f>
        <v>0.9</v>
      </c>
      <c r="S143" s="5">
        <f>Mid(PasteHashtag!H143,FIND("/",PasteHashtag!H143)+1,LEN(PasteHashtag!H143)-FIND("/",PasteHashtag!H143)-1)*1</f>
        <v>11.3</v>
      </c>
      <c r="T143" s="178">
        <f>Mid(PasteHashtag!I143,FIND("/",PasteHashtag!I143)+1,LEN(PasteHashtag!I143)-FIND("/",PasteHashtag!I143)-1)*1</f>
        <v>2.3</v>
      </c>
      <c r="U143" s="18"/>
      <c r="V143" s="18"/>
      <c r="W143" s="18"/>
    </row>
    <row r="144">
      <c r="A144" s="5">
        <v>143.0</v>
      </c>
      <c r="B144" s="5">
        <f>PasteHashtag!B144</f>
        <v>116.3</v>
      </c>
      <c r="C144" s="177" t="str">
        <f>PasteHashtag!C144</f>
        <v>Josh Hart</v>
      </c>
      <c r="D144" s="5" t="str">
        <f>PasteHashtag!D144</f>
        <v>SF,PF</v>
      </c>
      <c r="E144" s="5" t="str">
        <f>PasteHashtag!E144</f>
        <v>NY</v>
      </c>
      <c r="F144" s="5">
        <f>PasteHashtag!F144</f>
        <v>76</v>
      </c>
      <c r="G144" s="5">
        <f>PasteHashtag!G144</f>
        <v>32.2</v>
      </c>
      <c r="H144" s="5">
        <f>MID(PasteHashtag!H144,1+FIND("(",PasteHashtag!H144),FIND("/",PasteHashtag!H144)-FIND("(",PasteHashtag!H144)-1)*1</f>
        <v>3.4</v>
      </c>
      <c r="I144" s="5">
        <f>LEFT(PasteHashtag!H144,FIND("(",PasteHashtag!H144)-1)*1</f>
        <v>0.457</v>
      </c>
      <c r="J144" s="5">
        <f>MID(PasteHashtag!I144,1+FIND("(",PasteHashtag!I144),FIND("/",PasteHashtag!I144)-FIND("(",PasteHashtag!I144)-1)*1</f>
        <v>1.4</v>
      </c>
      <c r="K144" s="5">
        <f>LEFT(PasteHashtag!I144,FIND("(",PasteHashtag!I144)-1)*1</f>
        <v>0.765</v>
      </c>
      <c r="L144" s="5">
        <f>PasteHashtag!J144</f>
        <v>0.9</v>
      </c>
      <c r="M144" s="5">
        <f>PasteHashtag!K144</f>
        <v>9.1</v>
      </c>
      <c r="N144" s="5">
        <f>PasteHashtag!L144</f>
        <v>7.9</v>
      </c>
      <c r="O144" s="5">
        <f>PasteHashtag!M144</f>
        <v>3.9</v>
      </c>
      <c r="P144" s="5">
        <f>PasteHashtag!N144</f>
        <v>1</v>
      </c>
      <c r="Q144" s="5">
        <f>PasteHashtag!O144</f>
        <v>0.3</v>
      </c>
      <c r="R144" s="5">
        <f>PasteHashtag!P144</f>
        <v>1.7</v>
      </c>
      <c r="S144" s="5">
        <f>Mid(PasteHashtag!H144,FIND("/",PasteHashtag!H144)+1,LEN(PasteHashtag!H144)-FIND("/",PasteHashtag!H144)-1)*1</f>
        <v>7.5</v>
      </c>
      <c r="T144" s="178">
        <f>Mid(PasteHashtag!I144,FIND("/",PasteHashtag!I144)+1,LEN(PasteHashtag!I144)-FIND("/",PasteHashtag!I144)-1)*1</f>
        <v>1.8</v>
      </c>
      <c r="U144" s="18"/>
      <c r="V144" s="18"/>
      <c r="W144" s="18"/>
    </row>
    <row r="145">
      <c r="A145" s="5">
        <v>144.0</v>
      </c>
      <c r="B145" s="5">
        <f>PasteHashtag!B145</f>
        <v>142.1</v>
      </c>
      <c r="C145" s="177" t="str">
        <f>PasteHashtag!C145</f>
        <v>Wendell Carter Jr.</v>
      </c>
      <c r="D145" s="5" t="str">
        <f>PasteHashtag!D145</f>
        <v>C</v>
      </c>
      <c r="E145" s="5" t="str">
        <f>PasteHashtag!E145</f>
        <v>ORL</v>
      </c>
      <c r="F145" s="5">
        <f>PasteHashtag!F145</f>
        <v>58</v>
      </c>
      <c r="G145" s="5">
        <f>PasteHashtag!G145</f>
        <v>27.1</v>
      </c>
      <c r="H145" s="5">
        <f>MID(PasteHashtag!H145,1+FIND("(",PasteHashtag!H145),FIND("/",PasteHashtag!H145)-FIND("(",PasteHashtag!H145)-1)*1</f>
        <v>4.8</v>
      </c>
      <c r="I145" s="5">
        <f>LEFT(PasteHashtag!H145,FIND("(",PasteHashtag!H145)-1)*1</f>
        <v>0.525</v>
      </c>
      <c r="J145" s="5">
        <f>MID(PasteHashtag!I145,1+FIND("(",PasteHashtag!I145),FIND("/",PasteHashtag!I145)-FIND("(",PasteHashtag!I145)-1)*1</f>
        <v>2.1</v>
      </c>
      <c r="K145" s="5">
        <f>LEFT(PasteHashtag!I145,FIND("(",PasteHashtag!I145)-1)*1</f>
        <v>0.722</v>
      </c>
      <c r="L145" s="5">
        <f>PasteHashtag!J145</f>
        <v>1.3</v>
      </c>
      <c r="M145" s="5">
        <f>PasteHashtag!K145</f>
        <v>13</v>
      </c>
      <c r="N145" s="5">
        <f>PasteHashtag!L145</f>
        <v>7.7</v>
      </c>
      <c r="O145" s="5">
        <f>PasteHashtag!M145</f>
        <v>2</v>
      </c>
      <c r="P145" s="5">
        <f>PasteHashtag!N145</f>
        <v>0.6</v>
      </c>
      <c r="Q145" s="5">
        <f>PasteHashtag!O145</f>
        <v>0.5</v>
      </c>
      <c r="R145" s="5">
        <f>PasteHashtag!P145</f>
        <v>1.5</v>
      </c>
      <c r="S145" s="5">
        <f>Mid(PasteHashtag!H145,FIND("/",PasteHashtag!H145)+1,LEN(PasteHashtag!H145)-FIND("/",PasteHashtag!H145)-1)*1</f>
        <v>9.2</v>
      </c>
      <c r="T145" s="178">
        <f>Mid(PasteHashtag!I145,FIND("/",PasteHashtag!I145)+1,LEN(PasteHashtag!I145)-FIND("/",PasteHashtag!I145)-1)*1</f>
        <v>2.9</v>
      </c>
      <c r="U145" s="18"/>
      <c r="V145" s="18"/>
      <c r="W145" s="18"/>
    </row>
    <row r="146">
      <c r="A146" s="5">
        <v>145.0</v>
      </c>
      <c r="B146" s="5">
        <f>PasteHashtag!B146</f>
        <v>141.7</v>
      </c>
      <c r="C146" s="177" t="str">
        <f>PasteHashtag!C146</f>
        <v>Jeremy Sochan</v>
      </c>
      <c r="D146" s="5" t="str">
        <f>PasteHashtag!D146</f>
        <v>SF,PF</v>
      </c>
      <c r="E146" s="5" t="str">
        <f>PasteHashtag!E146</f>
        <v>SA</v>
      </c>
      <c r="F146" s="5">
        <f>PasteHashtag!F146</f>
        <v>72</v>
      </c>
      <c r="G146" s="5">
        <f>PasteHashtag!G146</f>
        <v>31.2</v>
      </c>
      <c r="H146" s="5">
        <f>MID(PasteHashtag!H146,1+FIND("(",PasteHashtag!H146),FIND("/",PasteHashtag!H146)-FIND("(",PasteHashtag!H146)-1)*1</f>
        <v>4.9</v>
      </c>
      <c r="I146" s="5">
        <f>LEFT(PasteHashtag!H146,FIND("(",PasteHashtag!H146)-1)*1</f>
        <v>0.444</v>
      </c>
      <c r="J146" s="5">
        <f>MID(PasteHashtag!I146,1+FIND("(",PasteHashtag!I146),FIND("/",PasteHashtag!I146)-FIND("(",PasteHashtag!I146)-1)*1</f>
        <v>1.7</v>
      </c>
      <c r="K146" s="5">
        <f>LEFT(PasteHashtag!I146,FIND("(",PasteHashtag!I146)-1)*1</f>
        <v>0.77</v>
      </c>
      <c r="L146" s="5">
        <f>PasteHashtag!J146</f>
        <v>1</v>
      </c>
      <c r="M146" s="5">
        <f>PasteHashtag!K146</f>
        <v>12.4</v>
      </c>
      <c r="N146" s="5">
        <f>PasteHashtag!L146</f>
        <v>6.8</v>
      </c>
      <c r="O146" s="5">
        <f>PasteHashtag!M146</f>
        <v>3.2</v>
      </c>
      <c r="P146" s="5">
        <f>PasteHashtag!N146</f>
        <v>1</v>
      </c>
      <c r="Q146" s="5">
        <f>PasteHashtag!O146</f>
        <v>0.6</v>
      </c>
      <c r="R146" s="5">
        <f>PasteHashtag!P146</f>
        <v>2</v>
      </c>
      <c r="S146" s="5">
        <f>Mid(PasteHashtag!H146,FIND("/",PasteHashtag!H146)+1,LEN(PasteHashtag!H146)-FIND("/",PasteHashtag!H146)-1)*1</f>
        <v>11</v>
      </c>
      <c r="T146" s="178">
        <f>Mid(PasteHashtag!I146,FIND("/",PasteHashtag!I146)+1,LEN(PasteHashtag!I146)-FIND("/",PasteHashtag!I146)-1)*1</f>
        <v>2.2</v>
      </c>
      <c r="U146" s="18"/>
      <c r="V146" s="18"/>
      <c r="W146" s="18"/>
    </row>
    <row r="147">
      <c r="A147" s="5">
        <v>146.0</v>
      </c>
      <c r="B147" s="5">
        <f>PasteHashtag!B147</f>
        <v>137.4</v>
      </c>
      <c r="C147" s="177" t="str">
        <f>PasteHashtag!C147</f>
        <v>Aaron Nesmith</v>
      </c>
      <c r="D147" s="5" t="str">
        <f>PasteHashtag!D147</f>
        <v>SF,PF</v>
      </c>
      <c r="E147" s="5" t="str">
        <f>PasteHashtag!E147</f>
        <v>IND</v>
      </c>
      <c r="F147" s="5">
        <f>PasteHashtag!F147</f>
        <v>72</v>
      </c>
      <c r="G147" s="5">
        <f>PasteHashtag!G147</f>
        <v>28.7</v>
      </c>
      <c r="H147" s="5">
        <f>MID(PasteHashtag!H147,1+FIND("(",PasteHashtag!H147),FIND("/",PasteHashtag!H147)-FIND("(",PasteHashtag!H147)-1)*1</f>
        <v>4.2</v>
      </c>
      <c r="I147" s="5">
        <f>LEFT(PasteHashtag!H147,FIND("(",PasteHashtag!H147)-1)*1</f>
        <v>0.477</v>
      </c>
      <c r="J147" s="5">
        <f>MID(PasteHashtag!I147,1+FIND("(",PasteHashtag!I147),FIND("/",PasteHashtag!I147)-FIND("(",PasteHashtag!I147)-1)*1</f>
        <v>1.6</v>
      </c>
      <c r="K147" s="5">
        <f>LEFT(PasteHashtag!I147,FIND("(",PasteHashtag!I147)-1)*1</f>
        <v>0.796</v>
      </c>
      <c r="L147" s="5">
        <f>PasteHashtag!J147</f>
        <v>1.9</v>
      </c>
      <c r="M147" s="5">
        <f>PasteHashtag!K147</f>
        <v>11.9</v>
      </c>
      <c r="N147" s="5">
        <f>PasteHashtag!L147</f>
        <v>4.1</v>
      </c>
      <c r="O147" s="5">
        <f>PasteHashtag!M147</f>
        <v>1.5</v>
      </c>
      <c r="P147" s="5">
        <f>PasteHashtag!N147</f>
        <v>0.9</v>
      </c>
      <c r="Q147" s="5">
        <f>PasteHashtag!O147</f>
        <v>0.6</v>
      </c>
      <c r="R147" s="5">
        <f>PasteHashtag!P147</f>
        <v>1</v>
      </c>
      <c r="S147" s="5">
        <f>Mid(PasteHashtag!H147,FIND("/",PasteHashtag!H147)+1,LEN(PasteHashtag!H147)-FIND("/",PasteHashtag!H147)-1)*1</f>
        <v>8.8</v>
      </c>
      <c r="T147" s="178">
        <f>Mid(PasteHashtag!I147,FIND("/",PasteHashtag!I147)+1,LEN(PasteHashtag!I147)-FIND("/",PasteHashtag!I147)-1)*1</f>
        <v>2</v>
      </c>
      <c r="U147" s="18"/>
      <c r="V147" s="18"/>
      <c r="W147" s="18"/>
    </row>
    <row r="148">
      <c r="A148" s="5">
        <v>147.0</v>
      </c>
      <c r="B148" s="5">
        <f>PasteHashtag!B148</f>
        <v>138</v>
      </c>
      <c r="C148" s="177" t="str">
        <f>PasteHashtag!C148</f>
        <v>Brandon Clarke</v>
      </c>
      <c r="D148" s="5" t="str">
        <f>PasteHashtag!D148</f>
        <v>PF,C</v>
      </c>
      <c r="E148" s="5" t="str">
        <f>PasteHashtag!E148</f>
        <v>MEM</v>
      </c>
      <c r="F148" s="5">
        <f>PasteHashtag!F148</f>
        <v>60</v>
      </c>
      <c r="G148" s="5">
        <f>PasteHashtag!G148</f>
        <v>22.5</v>
      </c>
      <c r="H148" s="5">
        <f>MID(PasteHashtag!H148,1+FIND("(",PasteHashtag!H148),FIND("/",PasteHashtag!H148)-FIND("(",PasteHashtag!H148)-1)*1</f>
        <v>4.8</v>
      </c>
      <c r="I148" s="5">
        <f>LEFT(PasteHashtag!H148,FIND("(",PasteHashtag!H148)-1)*1</f>
        <v>0.642</v>
      </c>
      <c r="J148" s="5">
        <f>MID(PasteHashtag!I148,1+FIND("(",PasteHashtag!I148),FIND("/",PasteHashtag!I148)-FIND("(",PasteHashtag!I148)-1)*1</f>
        <v>1.8</v>
      </c>
      <c r="K148" s="5">
        <f>LEFT(PasteHashtag!I148,FIND("(",PasteHashtag!I148)-1)*1</f>
        <v>0.695</v>
      </c>
      <c r="L148" s="5">
        <f>PasteHashtag!J148</f>
        <v>0</v>
      </c>
      <c r="M148" s="5">
        <f>PasteHashtag!K148</f>
        <v>11.4</v>
      </c>
      <c r="N148" s="5">
        <f>PasteHashtag!L148</f>
        <v>6.2</v>
      </c>
      <c r="O148" s="5">
        <f>PasteHashtag!M148</f>
        <v>1.5</v>
      </c>
      <c r="P148" s="5">
        <f>PasteHashtag!N148</f>
        <v>0.7</v>
      </c>
      <c r="Q148" s="5">
        <f>PasteHashtag!O148</f>
        <v>0.8</v>
      </c>
      <c r="R148" s="5">
        <f>PasteHashtag!P148</f>
        <v>1.1</v>
      </c>
      <c r="S148" s="5">
        <f>Mid(PasteHashtag!H148,FIND("/",PasteHashtag!H148)+1,LEN(PasteHashtag!H148)-FIND("/",PasteHashtag!H148)-1)*1</f>
        <v>7.4</v>
      </c>
      <c r="T148" s="178">
        <f>Mid(PasteHashtag!I148,FIND("/",PasteHashtag!I148)+1,LEN(PasteHashtag!I148)-FIND("/",PasteHashtag!I148)-1)*1</f>
        <v>2.6</v>
      </c>
      <c r="U148" s="18"/>
      <c r="V148" s="18"/>
      <c r="W148" s="18"/>
    </row>
    <row r="149">
      <c r="A149" s="5">
        <v>148.0</v>
      </c>
      <c r="B149" s="5">
        <f>PasteHashtag!B149</f>
        <v>143.1</v>
      </c>
      <c r="C149" s="177" t="str">
        <f>PasteHashtag!C149</f>
        <v>Marvin Bagley III</v>
      </c>
      <c r="D149" s="5" t="str">
        <f>PasteHashtag!D149</f>
        <v>PF,C</v>
      </c>
      <c r="E149" s="5" t="str">
        <f>PasteHashtag!E149</f>
        <v>WAS</v>
      </c>
      <c r="F149" s="5">
        <f>PasteHashtag!F149</f>
        <v>55</v>
      </c>
      <c r="G149" s="5">
        <f>PasteHashtag!G149</f>
        <v>25.4</v>
      </c>
      <c r="H149" s="5">
        <f>MID(PasteHashtag!H149,1+FIND("(",PasteHashtag!H149),FIND("/",PasteHashtag!H149)-FIND("(",PasteHashtag!H149)-1)*1</f>
        <v>5.5</v>
      </c>
      <c r="I149" s="5">
        <f>LEFT(PasteHashtag!H149,FIND("(",PasteHashtag!H149)-1)*1</f>
        <v>0.558</v>
      </c>
      <c r="J149" s="5">
        <f>MID(PasteHashtag!I149,1+FIND("(",PasteHashtag!I149),FIND("/",PasteHashtag!I149)-FIND("(",PasteHashtag!I149)-1)*1</f>
        <v>2.2</v>
      </c>
      <c r="K149" s="5">
        <f>LEFT(PasteHashtag!I149,FIND("(",PasteHashtag!I149)-1)*1</f>
        <v>0.755</v>
      </c>
      <c r="L149" s="5">
        <f>PasteHashtag!J149</f>
        <v>0.3</v>
      </c>
      <c r="M149" s="5">
        <f>PasteHashtag!K149</f>
        <v>13.4</v>
      </c>
      <c r="N149" s="5">
        <f>PasteHashtag!L149</f>
        <v>7.2</v>
      </c>
      <c r="O149" s="5">
        <f>PasteHashtag!M149</f>
        <v>1.1</v>
      </c>
      <c r="P149" s="5">
        <f>PasteHashtag!N149</f>
        <v>0.5</v>
      </c>
      <c r="Q149" s="5">
        <f>PasteHashtag!O149</f>
        <v>0.8</v>
      </c>
      <c r="R149" s="5">
        <f>PasteHashtag!P149</f>
        <v>1.3</v>
      </c>
      <c r="S149" s="5">
        <f>Mid(PasteHashtag!H149,FIND("/",PasteHashtag!H149)+1,LEN(PasteHashtag!H149)-FIND("/",PasteHashtag!H149)-1)*1</f>
        <v>9.8</v>
      </c>
      <c r="T149" s="178">
        <f>Mid(PasteHashtag!I149,FIND("/",PasteHashtag!I149)+1,LEN(PasteHashtag!I149)-FIND("/",PasteHashtag!I149)-1)*1</f>
        <v>2.9</v>
      </c>
      <c r="U149" s="18"/>
      <c r="V149" s="18"/>
      <c r="W149" s="18"/>
    </row>
    <row r="150">
      <c r="A150" s="5">
        <v>149.0</v>
      </c>
      <c r="B150" s="5">
        <f>PasteHashtag!B150</f>
        <v>140.3</v>
      </c>
      <c r="C150" s="177" t="str">
        <f>PasteHashtag!C150</f>
        <v>Kelly Olynyk</v>
      </c>
      <c r="D150" s="5" t="str">
        <f>PasteHashtag!D150</f>
        <v>C</v>
      </c>
      <c r="E150" s="5" t="str">
        <f>PasteHashtag!E150</f>
        <v>TOR</v>
      </c>
      <c r="F150" s="5">
        <f>PasteHashtag!F150</f>
        <v>69</v>
      </c>
      <c r="G150" s="5">
        <f>PasteHashtag!G150</f>
        <v>22.4</v>
      </c>
      <c r="H150" s="5">
        <f>MID(PasteHashtag!H150,1+FIND("(",PasteHashtag!H150),FIND("/",PasteHashtag!H150)-FIND("(",PasteHashtag!H150)-1)*1</f>
        <v>3.3</v>
      </c>
      <c r="I150" s="5">
        <f>LEFT(PasteHashtag!H150,FIND("(",PasteHashtag!H150)-1)*1</f>
        <v>0.526</v>
      </c>
      <c r="J150" s="5">
        <f>MID(PasteHashtag!I150,1+FIND("(",PasteHashtag!I150),FIND("/",PasteHashtag!I150)-FIND("(",PasteHashtag!I150)-1)*1</f>
        <v>2</v>
      </c>
      <c r="K150" s="5">
        <f>LEFT(PasteHashtag!I150,FIND("(",PasteHashtag!I150)-1)*1</f>
        <v>0.834</v>
      </c>
      <c r="L150" s="5">
        <f>PasteHashtag!J150</f>
        <v>0.9</v>
      </c>
      <c r="M150" s="5">
        <f>PasteHashtag!K150</f>
        <v>9.6</v>
      </c>
      <c r="N150" s="5">
        <f>PasteHashtag!L150</f>
        <v>5</v>
      </c>
      <c r="O150" s="5">
        <f>PasteHashtag!M150</f>
        <v>3.4</v>
      </c>
      <c r="P150" s="5">
        <f>PasteHashtag!N150</f>
        <v>0.8</v>
      </c>
      <c r="Q150" s="5">
        <f>PasteHashtag!O150</f>
        <v>0.4</v>
      </c>
      <c r="R150" s="5">
        <f>PasteHashtag!P150</f>
        <v>1.9</v>
      </c>
      <c r="S150" s="5">
        <f>Mid(PasteHashtag!H150,FIND("/",PasteHashtag!H150)+1,LEN(PasteHashtag!H150)-FIND("/",PasteHashtag!H150)-1)*1</f>
        <v>6.3</v>
      </c>
      <c r="T150" s="178">
        <f>Mid(PasteHashtag!I150,FIND("/",PasteHashtag!I150)+1,LEN(PasteHashtag!I150)-FIND("/",PasteHashtag!I150)-1)*1</f>
        <v>2.4</v>
      </c>
      <c r="U150" s="18"/>
      <c r="V150" s="18"/>
      <c r="W150" s="18"/>
    </row>
    <row r="151">
      <c r="A151" s="5">
        <v>150.0</v>
      </c>
      <c r="B151" s="5">
        <f>PasteHashtag!B151</f>
        <v>144.6</v>
      </c>
      <c r="C151" s="177" t="str">
        <f>PasteHashtag!C151</f>
        <v>Bilal Coulibaly</v>
      </c>
      <c r="D151" s="5" t="str">
        <f>PasteHashtag!D151</f>
        <v>SG,SF</v>
      </c>
      <c r="E151" s="5" t="str">
        <f>PasteHashtag!E151</f>
        <v>WAS</v>
      </c>
      <c r="F151" s="5">
        <f>PasteHashtag!F151</f>
        <v>68</v>
      </c>
      <c r="G151" s="5">
        <f>PasteHashtag!G151</f>
        <v>30.2</v>
      </c>
      <c r="H151" s="5">
        <f>MID(PasteHashtag!H151,1+FIND("(",PasteHashtag!H151),FIND("/",PasteHashtag!H151)-FIND("(",PasteHashtag!H151)-1)*1</f>
        <v>4</v>
      </c>
      <c r="I151" s="5">
        <f>LEFT(PasteHashtag!H151,FIND("(",PasteHashtag!H151)-1)*1</f>
        <v>0.441</v>
      </c>
      <c r="J151" s="5">
        <f>MID(PasteHashtag!I151,1+FIND("(",PasteHashtag!I151),FIND("/",PasteHashtag!I151)-FIND("(",PasteHashtag!I151)-1)*1</f>
        <v>1.9</v>
      </c>
      <c r="K151" s="5">
        <f>LEFT(PasteHashtag!I151,FIND("(",PasteHashtag!I151)-1)*1</f>
        <v>0.706</v>
      </c>
      <c r="L151" s="5">
        <f>PasteHashtag!J151</f>
        <v>1.3</v>
      </c>
      <c r="M151" s="5">
        <f>PasteHashtag!K151</f>
        <v>11.2</v>
      </c>
      <c r="N151" s="5">
        <f>PasteHashtag!L151</f>
        <v>5.3</v>
      </c>
      <c r="O151" s="5">
        <f>PasteHashtag!M151</f>
        <v>2.3</v>
      </c>
      <c r="P151" s="5">
        <f>PasteHashtag!N151</f>
        <v>1.2</v>
      </c>
      <c r="Q151" s="5">
        <f>PasteHashtag!O151</f>
        <v>1</v>
      </c>
      <c r="R151" s="5">
        <f>PasteHashtag!P151</f>
        <v>1.8</v>
      </c>
      <c r="S151" s="5">
        <f>Mid(PasteHashtag!H151,FIND("/",PasteHashtag!H151)+1,LEN(PasteHashtag!H151)-FIND("/",PasteHashtag!H151)-1)*1</f>
        <v>9</v>
      </c>
      <c r="T151" s="178">
        <f>Mid(PasteHashtag!I151,FIND("/",PasteHashtag!I151)+1,LEN(PasteHashtag!I151)-FIND("/",PasteHashtag!I151)-1)*1</f>
        <v>2.7</v>
      </c>
      <c r="U151" s="18"/>
      <c r="V151" s="18"/>
      <c r="W151" s="18"/>
    </row>
    <row r="152">
      <c r="A152" s="5">
        <v>151.0</v>
      </c>
      <c r="B152" s="5">
        <f>PasteHashtag!B152</f>
        <v>144.2</v>
      </c>
      <c r="C152" s="177" t="str">
        <f>PasteHashtag!C152</f>
        <v>Kevin Porter Jr.</v>
      </c>
      <c r="D152" s="5" t="str">
        <f>PasteHashtag!D152</f>
        <v>PG</v>
      </c>
      <c r="E152" s="5" t="str">
        <f>PasteHashtag!E152</f>
        <v>LAC</v>
      </c>
      <c r="F152" s="5">
        <f>PasteHashtag!F152</f>
        <v>65</v>
      </c>
      <c r="G152" s="5">
        <f>PasteHashtag!G152</f>
        <v>26.2</v>
      </c>
      <c r="H152" s="5">
        <f>MID(PasteHashtag!H152,1+FIND("(",PasteHashtag!H152),FIND("/",PasteHashtag!H152)-FIND("(",PasteHashtag!H152)-1)*1</f>
        <v>4.9</v>
      </c>
      <c r="I152" s="5">
        <f>LEFT(PasteHashtag!H152,FIND("(",PasteHashtag!H152)-1)*1</f>
        <v>0.442</v>
      </c>
      <c r="J152" s="5">
        <f>MID(PasteHashtag!I152,1+FIND("(",PasteHashtag!I152),FIND("/",PasteHashtag!I152)-FIND("(",PasteHashtag!I152)-1)*1</f>
        <v>2.6</v>
      </c>
      <c r="K152" s="5">
        <f>LEFT(PasteHashtag!I152,FIND("(",PasteHashtag!I152)-1)*1</f>
        <v>0.785</v>
      </c>
      <c r="L152" s="5">
        <f>PasteHashtag!J152</f>
        <v>1.8</v>
      </c>
      <c r="M152" s="5">
        <f>PasteHashtag!K152</f>
        <v>14.2</v>
      </c>
      <c r="N152" s="5">
        <f>PasteHashtag!L152</f>
        <v>3.9</v>
      </c>
      <c r="O152" s="5">
        <f>PasteHashtag!M152</f>
        <v>4.3</v>
      </c>
      <c r="P152" s="5">
        <f>PasteHashtag!N152</f>
        <v>1</v>
      </c>
      <c r="Q152" s="5">
        <f>PasteHashtag!O152</f>
        <v>0.2</v>
      </c>
      <c r="R152" s="5">
        <f>PasteHashtag!P152</f>
        <v>2.4</v>
      </c>
      <c r="S152" s="5">
        <f>Mid(PasteHashtag!H152,FIND("/",PasteHashtag!H152)+1,LEN(PasteHashtag!H152)-FIND("/",PasteHashtag!H152)-1)*1</f>
        <v>11.1</v>
      </c>
      <c r="T152" s="178">
        <f>Mid(PasteHashtag!I152,FIND("/",PasteHashtag!I152)+1,LEN(PasteHashtag!I152)-FIND("/",PasteHashtag!I152)-1)*1</f>
        <v>3.3</v>
      </c>
      <c r="U152" s="18"/>
      <c r="V152" s="18"/>
      <c r="W152" s="18"/>
    </row>
    <row r="153">
      <c r="A153" s="5">
        <v>152.0</v>
      </c>
      <c r="B153" s="5">
        <f>PasteHashtag!B153</f>
        <v>149.5</v>
      </c>
      <c r="C153" s="177" t="str">
        <f>PasteHashtag!C153</f>
        <v>Bruce Brown</v>
      </c>
      <c r="D153" s="5" t="str">
        <f>PasteHashtag!D153</f>
        <v>SG,SF</v>
      </c>
      <c r="E153" s="5" t="str">
        <f>PasteHashtag!E153</f>
        <v>TOR</v>
      </c>
      <c r="F153" s="5">
        <f>PasteHashtag!F153</f>
        <v>72</v>
      </c>
      <c r="G153" s="5">
        <f>PasteHashtag!G153</f>
        <v>28.5</v>
      </c>
      <c r="H153" s="5">
        <f>MID(PasteHashtag!H153,1+FIND("(",PasteHashtag!H153),FIND("/",PasteHashtag!H153)-FIND("(",PasteHashtag!H153)-1)*1</f>
        <v>4.4</v>
      </c>
      <c r="I153" s="5">
        <f>LEFT(PasteHashtag!H153,FIND("(",PasteHashtag!H153)-1)*1</f>
        <v>0.481</v>
      </c>
      <c r="J153" s="5">
        <f>MID(PasteHashtag!I153,1+FIND("(",PasteHashtag!I153),FIND("/",PasteHashtag!I153)-FIND("(",PasteHashtag!I153)-1)*1</f>
        <v>1.6</v>
      </c>
      <c r="K153" s="5">
        <f>LEFT(PasteHashtag!I153,FIND("(",PasteHashtag!I153)-1)*1</f>
        <v>0.79</v>
      </c>
      <c r="L153" s="5">
        <f>PasteHashtag!J153</f>
        <v>1</v>
      </c>
      <c r="M153" s="5">
        <f>PasteHashtag!K153</f>
        <v>11.5</v>
      </c>
      <c r="N153" s="5">
        <f>PasteHashtag!L153</f>
        <v>4.3</v>
      </c>
      <c r="O153" s="5">
        <f>PasteHashtag!M153</f>
        <v>3.2</v>
      </c>
      <c r="P153" s="5">
        <f>PasteHashtag!N153</f>
        <v>1</v>
      </c>
      <c r="Q153" s="5">
        <f>PasteHashtag!O153</f>
        <v>0.5</v>
      </c>
      <c r="R153" s="5">
        <f>PasteHashtag!P153</f>
        <v>1.5</v>
      </c>
      <c r="S153" s="5">
        <f>Mid(PasteHashtag!H153,FIND("/",PasteHashtag!H153)+1,LEN(PasteHashtag!H153)-FIND("/",PasteHashtag!H153)-1)*1</f>
        <v>9.2</v>
      </c>
      <c r="T153" s="178">
        <f>Mid(PasteHashtag!I153,FIND("/",PasteHashtag!I153)+1,LEN(PasteHashtag!I153)-FIND("/",PasteHashtag!I153)-1)*1</f>
        <v>2.1</v>
      </c>
      <c r="U153" s="18"/>
      <c r="V153" s="18"/>
      <c r="W153" s="18"/>
    </row>
    <row r="154">
      <c r="A154" s="5">
        <v>153.0</v>
      </c>
      <c r="B154" s="5">
        <f>PasteHashtag!B154</f>
        <v>142.5</v>
      </c>
      <c r="C154" s="177" t="str">
        <f>PasteHashtag!C154</f>
        <v>Kelly Oubre Jr.</v>
      </c>
      <c r="D154" s="5" t="str">
        <f>PasteHashtag!D154</f>
        <v>SG,SF</v>
      </c>
      <c r="E154" s="5" t="str">
        <f>PasteHashtag!E154</f>
        <v>PHI</v>
      </c>
      <c r="F154" s="5">
        <f>PasteHashtag!F154</f>
        <v>65</v>
      </c>
      <c r="G154" s="5">
        <f>PasteHashtag!G154</f>
        <v>30</v>
      </c>
      <c r="H154" s="5">
        <f>MID(PasteHashtag!H154,1+FIND("(",PasteHashtag!H154),FIND("/",PasteHashtag!H154)-FIND("(",PasteHashtag!H154)-1)*1</f>
        <v>6.1</v>
      </c>
      <c r="I154" s="5">
        <f>LEFT(PasteHashtag!H154,FIND("(",PasteHashtag!H154)-1)*1</f>
        <v>0.435</v>
      </c>
      <c r="J154" s="5">
        <f>MID(PasteHashtag!I154,1+FIND("(",PasteHashtag!I154),FIND("/",PasteHashtag!I154)-FIND("(",PasteHashtag!I154)-1)*1</f>
        <v>2.6</v>
      </c>
      <c r="K154" s="5">
        <f>LEFT(PasteHashtag!I154,FIND("(",PasteHashtag!I154)-1)*1</f>
        <v>0.76</v>
      </c>
      <c r="L154" s="5">
        <f>PasteHashtag!J154</f>
        <v>1.8</v>
      </c>
      <c r="M154" s="5">
        <f>PasteHashtag!K154</f>
        <v>16.6</v>
      </c>
      <c r="N154" s="5">
        <f>PasteHashtag!L154</f>
        <v>5</v>
      </c>
      <c r="O154" s="5">
        <f>PasteHashtag!M154</f>
        <v>1.3</v>
      </c>
      <c r="P154" s="5">
        <f>PasteHashtag!N154</f>
        <v>1.2</v>
      </c>
      <c r="Q154" s="5">
        <f>PasteHashtag!O154</f>
        <v>0.6</v>
      </c>
      <c r="R154" s="5">
        <f>PasteHashtag!P154</f>
        <v>1.3</v>
      </c>
      <c r="S154" s="5">
        <f>Mid(PasteHashtag!H154,FIND("/",PasteHashtag!H154)+1,LEN(PasteHashtag!H154)-FIND("/",PasteHashtag!H154)-1)*1</f>
        <v>14.1</v>
      </c>
      <c r="T154" s="178">
        <f>Mid(PasteHashtag!I154,FIND("/",PasteHashtag!I154)+1,LEN(PasteHashtag!I154)-FIND("/",PasteHashtag!I154)-1)*1</f>
        <v>3.4</v>
      </c>
      <c r="U154" s="18"/>
      <c r="V154" s="18"/>
      <c r="W154" s="18"/>
    </row>
    <row r="155">
      <c r="A155" s="5">
        <v>154.0</v>
      </c>
      <c r="B155" s="5">
        <f>PasteHashtag!B155</f>
        <v>145.5</v>
      </c>
      <c r="C155" s="177" t="str">
        <f>PasteHashtag!C155</f>
        <v>Nick Richards</v>
      </c>
      <c r="D155" s="5" t="str">
        <f>PasteHashtag!D155</f>
        <v>C</v>
      </c>
      <c r="E155" s="5" t="str">
        <f>PasteHashtag!E155</f>
        <v>CHA</v>
      </c>
      <c r="F155" s="5">
        <f>PasteHashtag!F155</f>
        <v>67</v>
      </c>
      <c r="G155" s="5">
        <f>PasteHashtag!G155</f>
        <v>25.2</v>
      </c>
      <c r="H155" s="5">
        <f>MID(PasteHashtag!H155,1+FIND("(",PasteHashtag!H155),FIND("/",PasteHashtag!H155)-FIND("(",PasteHashtag!H155)-1)*1</f>
        <v>3.8</v>
      </c>
      <c r="I155" s="5">
        <f>LEFT(PasteHashtag!H155,FIND("(",PasteHashtag!H155)-1)*1</f>
        <v>0.656</v>
      </c>
      <c r="J155" s="5">
        <f>MID(PasteHashtag!I155,1+FIND("(",PasteHashtag!I155),FIND("/",PasteHashtag!I155)-FIND("(",PasteHashtag!I155)-1)*1</f>
        <v>2.3</v>
      </c>
      <c r="K155" s="5">
        <f>LEFT(PasteHashtag!I155,FIND("(",PasteHashtag!I155)-1)*1</f>
        <v>0.743</v>
      </c>
      <c r="L155" s="5">
        <f>PasteHashtag!J155</f>
        <v>0</v>
      </c>
      <c r="M155" s="5">
        <f>PasteHashtag!K155</f>
        <v>9.8</v>
      </c>
      <c r="N155" s="5">
        <f>PasteHashtag!L155</f>
        <v>8</v>
      </c>
      <c r="O155" s="5">
        <f>PasteHashtag!M155</f>
        <v>0.8</v>
      </c>
      <c r="P155" s="5">
        <f>PasteHashtag!N155</f>
        <v>0.3</v>
      </c>
      <c r="Q155" s="5">
        <f>PasteHashtag!O155</f>
        <v>1.1</v>
      </c>
      <c r="R155" s="5">
        <f>PasteHashtag!P155</f>
        <v>1.1</v>
      </c>
      <c r="S155" s="5">
        <f>Mid(PasteHashtag!H155,FIND("/",PasteHashtag!H155)+1,LEN(PasteHashtag!H155)-FIND("/",PasteHashtag!H155)-1)*1</f>
        <v>5.8</v>
      </c>
      <c r="T155" s="178">
        <f>Mid(PasteHashtag!I155,FIND("/",PasteHashtag!I155)+1,LEN(PasteHashtag!I155)-FIND("/",PasteHashtag!I155)-1)*1</f>
        <v>3</v>
      </c>
      <c r="U155" s="18"/>
      <c r="V155" s="18"/>
      <c r="W155" s="18"/>
    </row>
    <row r="156">
      <c r="A156" s="5">
        <v>155.0</v>
      </c>
      <c r="B156" s="5">
        <f>PasteHashtag!B156</f>
        <v>144.2</v>
      </c>
      <c r="C156" s="177" t="str">
        <f>PasteHashtag!C156</f>
        <v>Noah Clowney</v>
      </c>
      <c r="D156" s="5" t="str">
        <f>PasteHashtag!D156</f>
        <v>SF,PF,C</v>
      </c>
      <c r="E156" s="5" t="str">
        <f>PasteHashtag!E156</f>
        <v>BKN</v>
      </c>
      <c r="F156" s="5">
        <f>PasteHashtag!F156</f>
        <v>67</v>
      </c>
      <c r="G156" s="5">
        <f>PasteHashtag!G156</f>
        <v>24.2</v>
      </c>
      <c r="H156" s="5">
        <f>MID(PasteHashtag!H156,1+FIND("(",PasteHashtag!H156),FIND("/",PasteHashtag!H156)-FIND("(",PasteHashtag!H156)-1)*1</f>
        <v>3.7</v>
      </c>
      <c r="I156" s="5">
        <f>LEFT(PasteHashtag!H156,FIND("(",PasteHashtag!H156)-1)*1</f>
        <v>0.552</v>
      </c>
      <c r="J156" s="5">
        <f>MID(PasteHashtag!I156,1+FIND("(",PasteHashtag!I156),FIND("/",PasteHashtag!I156)-FIND("(",PasteHashtag!I156)-1)*1</f>
        <v>1.6</v>
      </c>
      <c r="K156" s="5">
        <f>LEFT(PasteHashtag!I156,FIND("(",PasteHashtag!I156)-1)*1</f>
        <v>0.728</v>
      </c>
      <c r="L156" s="5">
        <f>PasteHashtag!J156</f>
        <v>0.9</v>
      </c>
      <c r="M156" s="5">
        <f>PasteHashtag!K156</f>
        <v>9.7</v>
      </c>
      <c r="N156" s="5">
        <f>PasteHashtag!L156</f>
        <v>5.8</v>
      </c>
      <c r="O156" s="5">
        <f>PasteHashtag!M156</f>
        <v>1.3</v>
      </c>
      <c r="P156" s="5">
        <f>PasteHashtag!N156</f>
        <v>0.6</v>
      </c>
      <c r="Q156" s="5">
        <f>PasteHashtag!O156</f>
        <v>1.1</v>
      </c>
      <c r="R156" s="5">
        <f>PasteHashtag!P156</f>
        <v>1.1</v>
      </c>
      <c r="S156" s="5">
        <f>Mid(PasteHashtag!H156,FIND("/",PasteHashtag!H156)+1,LEN(PasteHashtag!H156)-FIND("/",PasteHashtag!H156)-1)*1</f>
        <v>6.6</v>
      </c>
      <c r="T156" s="178">
        <f>Mid(PasteHashtag!I156,FIND("/",PasteHashtag!I156)+1,LEN(PasteHashtag!I156)-FIND("/",PasteHashtag!I156)-1)*1</f>
        <v>2.1</v>
      </c>
      <c r="U156" s="18"/>
      <c r="V156" s="18"/>
      <c r="W156" s="18"/>
    </row>
    <row r="157">
      <c r="A157" s="5">
        <v>156.0</v>
      </c>
      <c r="B157" s="5">
        <f>PasteHashtag!B157</f>
        <v>140.1</v>
      </c>
      <c r="C157" s="177" t="str">
        <f>PasteHashtag!C157</f>
        <v>Mitchell Robinson</v>
      </c>
      <c r="D157" s="5" t="str">
        <f>PasteHashtag!D157</f>
        <v>C</v>
      </c>
      <c r="E157" s="5" t="str">
        <f>PasteHashtag!E157</f>
        <v>NY</v>
      </c>
      <c r="F157" s="5">
        <f>PasteHashtag!F157</f>
        <v>48</v>
      </c>
      <c r="G157" s="5">
        <f>PasteHashtag!G157</f>
        <v>26</v>
      </c>
      <c r="H157" s="5">
        <f>MID(PasteHashtag!H157,1+FIND("(",PasteHashtag!H157),FIND("/",PasteHashtag!H157)-FIND("(",PasteHashtag!H157)-1)*1</f>
        <v>2.9</v>
      </c>
      <c r="I157" s="5">
        <f>LEFT(PasteHashtag!H157,FIND("(",PasteHashtag!H157)-1)*1</f>
        <v>0.64</v>
      </c>
      <c r="J157" s="5">
        <f>MID(PasteHashtag!I157,1+FIND("(",PasteHashtag!I157),FIND("/",PasteHashtag!I157)-FIND("(",PasteHashtag!I157)-1)*1</f>
        <v>1</v>
      </c>
      <c r="K157" s="5">
        <f>LEFT(PasteHashtag!I157,FIND("(",PasteHashtag!I157)-1)*1</f>
        <v>0.459</v>
      </c>
      <c r="L157" s="5">
        <f>PasteHashtag!J157</f>
        <v>0</v>
      </c>
      <c r="M157" s="5">
        <f>PasteHashtag!K157</f>
        <v>6.8</v>
      </c>
      <c r="N157" s="5">
        <f>PasteHashtag!L157</f>
        <v>9.1</v>
      </c>
      <c r="O157" s="5">
        <f>PasteHashtag!M157</f>
        <v>0.8</v>
      </c>
      <c r="P157" s="5">
        <f>PasteHashtag!N157</f>
        <v>1</v>
      </c>
      <c r="Q157" s="5">
        <f>PasteHashtag!O157</f>
        <v>1.6</v>
      </c>
      <c r="R157" s="5">
        <f>PasteHashtag!P157</f>
        <v>0.7</v>
      </c>
      <c r="S157" s="5">
        <f>Mid(PasteHashtag!H157,FIND("/",PasteHashtag!H157)+1,LEN(PasteHashtag!H157)-FIND("/",PasteHashtag!H157)-1)*1</f>
        <v>4.5</v>
      </c>
      <c r="T157" s="178">
        <f>Mid(PasteHashtag!I157,FIND("/",PasteHashtag!I157)+1,LEN(PasteHashtag!I157)-FIND("/",PasteHashtag!I157)-1)*1</f>
        <v>2.1</v>
      </c>
      <c r="U157" s="18"/>
      <c r="V157" s="18"/>
      <c r="W157" s="18"/>
    </row>
    <row r="158">
      <c r="A158" s="5">
        <v>157.0</v>
      </c>
      <c r="B158" s="5">
        <f>PasteHashtag!B158</f>
        <v>143.3</v>
      </c>
      <c r="C158" s="177" t="str">
        <f>PasteHashtag!C158</f>
        <v>Donovan Clingan</v>
      </c>
      <c r="D158" s="5" t="str">
        <f>PasteHashtag!D158</f>
        <v>C</v>
      </c>
      <c r="E158" s="5" t="str">
        <f>PasteHashtag!E158</f>
        <v>POR</v>
      </c>
      <c r="F158" s="5">
        <f>PasteHashtag!F158</f>
        <v>67</v>
      </c>
      <c r="G158" s="5">
        <f>PasteHashtag!G158</f>
        <v>22.8</v>
      </c>
      <c r="H158" s="5">
        <f>MID(PasteHashtag!H158,1+FIND("(",PasteHashtag!H158),FIND("/",PasteHashtag!H158)-FIND("(",PasteHashtag!H158)-1)*1</f>
        <v>4.1</v>
      </c>
      <c r="I158" s="5">
        <f>LEFT(PasteHashtag!H158,FIND("(",PasteHashtag!H158)-1)*1</f>
        <v>0.639</v>
      </c>
      <c r="J158" s="5">
        <f>MID(PasteHashtag!I158,1+FIND("(",PasteHashtag!I158),FIND("/",PasteHashtag!I158)-FIND("(",PasteHashtag!I158)-1)*1</f>
        <v>1.8</v>
      </c>
      <c r="K158" s="5">
        <f>LEFT(PasteHashtag!I158,FIND("(",PasteHashtag!I158)-1)*1</f>
        <v>0.608</v>
      </c>
      <c r="L158" s="5">
        <f>PasteHashtag!J158</f>
        <v>0.3</v>
      </c>
      <c r="M158" s="5">
        <f>PasteHashtag!K158</f>
        <v>10.2</v>
      </c>
      <c r="N158" s="5">
        <f>PasteHashtag!L158</f>
        <v>5.6</v>
      </c>
      <c r="O158" s="5">
        <f>PasteHashtag!M158</f>
        <v>1.2</v>
      </c>
      <c r="P158" s="5">
        <f>PasteHashtag!N158</f>
        <v>0.4</v>
      </c>
      <c r="Q158" s="5">
        <f>PasteHashtag!O158</f>
        <v>1.9</v>
      </c>
      <c r="R158" s="5">
        <f>PasteHashtag!P158</f>
        <v>0.6</v>
      </c>
      <c r="S158" s="5">
        <f>Mid(PasteHashtag!H158,FIND("/",PasteHashtag!H158)+1,LEN(PasteHashtag!H158)-FIND("/",PasteHashtag!H158)-1)*1</f>
        <v>6.4</v>
      </c>
      <c r="T158" s="178">
        <f>Mid(PasteHashtag!I158,FIND("/",PasteHashtag!I158)+1,LEN(PasteHashtag!I158)-FIND("/",PasteHashtag!I158)-1)*1</f>
        <v>2.9</v>
      </c>
      <c r="U158" s="18"/>
      <c r="V158" s="18"/>
      <c r="W158" s="18"/>
    </row>
    <row r="159">
      <c r="A159" s="5">
        <v>158.0</v>
      </c>
      <c r="B159" s="5">
        <f>PasteHashtag!B159</f>
        <v>144</v>
      </c>
      <c r="C159" s="177" t="str">
        <f>PasteHashtag!C159</f>
        <v>Tari Eason</v>
      </c>
      <c r="D159" s="5" t="str">
        <f>PasteHashtag!D159</f>
        <v>SF,PF</v>
      </c>
      <c r="E159" s="5" t="str">
        <f>PasteHashtag!E159</f>
        <v>HOU</v>
      </c>
      <c r="F159" s="5">
        <f>PasteHashtag!F159</f>
        <v>67</v>
      </c>
      <c r="G159" s="5">
        <f>PasteHashtag!G159</f>
        <v>22.4</v>
      </c>
      <c r="H159" s="5">
        <f>MID(PasteHashtag!H159,1+FIND("(",PasteHashtag!H159),FIND("/",PasteHashtag!H159)-FIND("(",PasteHashtag!H159)-1)*1</f>
        <v>3.9</v>
      </c>
      <c r="I159" s="5">
        <f>LEFT(PasteHashtag!H159,FIND("(",PasteHashtag!H159)-1)*1</f>
        <v>0.457</v>
      </c>
      <c r="J159" s="5">
        <f>MID(PasteHashtag!I159,1+FIND("(",PasteHashtag!I159),FIND("/",PasteHashtag!I159)-FIND("(",PasteHashtag!I159)-1)*1</f>
        <v>1.3</v>
      </c>
      <c r="K159" s="5">
        <f>LEFT(PasteHashtag!I159,FIND("(",PasteHashtag!I159)-1)*1</f>
        <v>0.732</v>
      </c>
      <c r="L159" s="5">
        <f>PasteHashtag!J159</f>
        <v>0.8</v>
      </c>
      <c r="M159" s="5">
        <f>PasteHashtag!K159</f>
        <v>9.8</v>
      </c>
      <c r="N159" s="5">
        <f>PasteHashtag!L159</f>
        <v>7.1</v>
      </c>
      <c r="O159" s="5">
        <f>PasteHashtag!M159</f>
        <v>1.2</v>
      </c>
      <c r="P159" s="5">
        <f>PasteHashtag!N159</f>
        <v>1.3</v>
      </c>
      <c r="Q159" s="5">
        <f>PasteHashtag!O159</f>
        <v>0.7</v>
      </c>
      <c r="R159" s="5">
        <f>PasteHashtag!P159</f>
        <v>1.2</v>
      </c>
      <c r="S159" s="5">
        <f>Mid(PasteHashtag!H159,FIND("/",PasteHashtag!H159)+1,LEN(PasteHashtag!H159)-FIND("/",PasteHashtag!H159)-1)*1</f>
        <v>8.5</v>
      </c>
      <c r="T159" s="178">
        <f>Mid(PasteHashtag!I159,FIND("/",PasteHashtag!I159)+1,LEN(PasteHashtag!I159)-FIND("/",PasteHashtag!I159)-1)*1</f>
        <v>1.8</v>
      </c>
      <c r="U159" s="18"/>
      <c r="V159" s="18"/>
      <c r="W159" s="18"/>
    </row>
    <row r="160">
      <c r="A160" s="5">
        <v>159.0</v>
      </c>
      <c r="B160" s="5">
        <f>PasteHashtag!B160</f>
        <v>116.7</v>
      </c>
      <c r="C160" s="177" t="str">
        <f>PasteHashtag!C160</f>
        <v>Aaron Gordon</v>
      </c>
      <c r="D160" s="5" t="str">
        <f>PasteHashtag!D160</f>
        <v>PF,C</v>
      </c>
      <c r="E160" s="5" t="str">
        <f>PasteHashtag!E160</f>
        <v>DEN</v>
      </c>
      <c r="F160" s="5">
        <f>PasteHashtag!F160</f>
        <v>72</v>
      </c>
      <c r="G160" s="5">
        <f>PasteHashtag!G160</f>
        <v>31</v>
      </c>
      <c r="H160" s="5">
        <f>MID(PasteHashtag!H160,1+FIND("(",PasteHashtag!H160),FIND("/",PasteHashtag!H160)-FIND("(",PasteHashtag!H160)-1)*1</f>
        <v>6</v>
      </c>
      <c r="I160" s="5">
        <f>LEFT(PasteHashtag!H160,FIND("(",PasteHashtag!H160)-1)*1</f>
        <v>0.56</v>
      </c>
      <c r="J160" s="5">
        <f>MID(PasteHashtag!I160,1+FIND("(",PasteHashtag!I160),FIND("/",PasteHashtag!I160)-FIND("(",PasteHashtag!I160)-1)*1</f>
        <v>2.7</v>
      </c>
      <c r="K160" s="5">
        <f>LEFT(PasteHashtag!I160,FIND("(",PasteHashtag!I160)-1)*1</f>
        <v>0.632</v>
      </c>
      <c r="L160" s="5">
        <f>PasteHashtag!J160</f>
        <v>0.7</v>
      </c>
      <c r="M160" s="5">
        <f>PasteHashtag!K160</f>
        <v>15.3</v>
      </c>
      <c r="N160" s="5">
        <f>PasteHashtag!L160</f>
        <v>6.6</v>
      </c>
      <c r="O160" s="5">
        <f>PasteHashtag!M160</f>
        <v>3.3</v>
      </c>
      <c r="P160" s="5">
        <f>PasteHashtag!N160</f>
        <v>0.8</v>
      </c>
      <c r="Q160" s="5">
        <f>PasteHashtag!O160</f>
        <v>0.7</v>
      </c>
      <c r="R160" s="5">
        <f>PasteHashtag!P160</f>
        <v>1.5</v>
      </c>
      <c r="S160" s="5">
        <f>Mid(PasteHashtag!H160,FIND("/",PasteHashtag!H160)+1,LEN(PasteHashtag!H160)-FIND("/",PasteHashtag!H160)-1)*1</f>
        <v>10.6</v>
      </c>
      <c r="T160" s="178">
        <f>Mid(PasteHashtag!I160,FIND("/",PasteHashtag!I160)+1,LEN(PasteHashtag!I160)-FIND("/",PasteHashtag!I160)-1)*1</f>
        <v>4.2</v>
      </c>
      <c r="U160" s="18"/>
      <c r="V160" s="18"/>
      <c r="W160" s="18"/>
    </row>
    <row r="161">
      <c r="A161" s="5">
        <v>160.0</v>
      </c>
      <c r="B161" s="5">
        <f>PasteHashtag!B161</f>
        <v>141.5</v>
      </c>
      <c r="C161" s="177" t="str">
        <f>PasteHashtag!C161</f>
        <v>Tre Jones</v>
      </c>
      <c r="D161" s="5" t="str">
        <f>PasteHashtag!D161</f>
        <v>PG</v>
      </c>
      <c r="E161" s="5" t="str">
        <f>PasteHashtag!E161</f>
        <v>SA</v>
      </c>
      <c r="F161" s="5">
        <f>PasteHashtag!F161</f>
        <v>74</v>
      </c>
      <c r="G161" s="5">
        <f>PasteHashtag!G161</f>
        <v>24.4</v>
      </c>
      <c r="H161" s="5">
        <f>MID(PasteHashtag!H161,1+FIND("(",PasteHashtag!H161),FIND("/",PasteHashtag!H161)-FIND("(",PasteHashtag!H161)-1)*1</f>
        <v>3.9</v>
      </c>
      <c r="I161" s="5">
        <f>LEFT(PasteHashtag!H161,FIND("(",PasteHashtag!H161)-1)*1</f>
        <v>0.479</v>
      </c>
      <c r="J161" s="5">
        <f>MID(PasteHashtag!I161,1+FIND("(",PasteHashtag!I161),FIND("/",PasteHashtag!I161)-FIND("(",PasteHashtag!I161)-1)*1</f>
        <v>1.5</v>
      </c>
      <c r="K161" s="5">
        <f>LEFT(PasteHashtag!I161,FIND("(",PasteHashtag!I161)-1)*1</f>
        <v>0.861</v>
      </c>
      <c r="L161" s="5">
        <f>PasteHashtag!J161</f>
        <v>0.7</v>
      </c>
      <c r="M161" s="5">
        <f>PasteHashtag!K161</f>
        <v>9.8</v>
      </c>
      <c r="N161" s="5">
        <f>PasteHashtag!L161</f>
        <v>3.2</v>
      </c>
      <c r="O161" s="5">
        <f>PasteHashtag!M161</f>
        <v>5.5</v>
      </c>
      <c r="P161" s="5">
        <f>PasteHashtag!N161</f>
        <v>1</v>
      </c>
      <c r="Q161" s="5">
        <f>PasteHashtag!O161</f>
        <v>0.1</v>
      </c>
      <c r="R161" s="5">
        <f>PasteHashtag!P161</f>
        <v>1.4</v>
      </c>
      <c r="S161" s="5">
        <f>Mid(PasteHashtag!H161,FIND("/",PasteHashtag!H161)+1,LEN(PasteHashtag!H161)-FIND("/",PasteHashtag!H161)-1)*1</f>
        <v>8</v>
      </c>
      <c r="T161" s="178">
        <f>Mid(PasteHashtag!I161,FIND("/",PasteHashtag!I161)+1,LEN(PasteHashtag!I161)-FIND("/",PasteHashtag!I161)-1)*1</f>
        <v>1.7</v>
      </c>
      <c r="U161" s="18"/>
      <c r="V161" s="18"/>
      <c r="W161" s="18"/>
    </row>
    <row r="162">
      <c r="A162" s="5">
        <v>161.0</v>
      </c>
      <c r="B162" s="5">
        <f>PasteHashtag!B162</f>
        <v>103.5</v>
      </c>
      <c r="C162" s="177" t="str">
        <f>PasteHashtag!C162</f>
        <v>Zach Edey</v>
      </c>
      <c r="D162" s="5" t="str">
        <f>PasteHashtag!D162</f>
        <v>C</v>
      </c>
      <c r="E162" s="5" t="str">
        <f>PasteHashtag!E162</f>
        <v>MEM</v>
      </c>
      <c r="F162" s="5">
        <f>PasteHashtag!F162</f>
        <v>68</v>
      </c>
      <c r="G162" s="5">
        <f>PasteHashtag!G162</f>
        <v>26.2</v>
      </c>
      <c r="H162" s="5">
        <f>MID(PasteHashtag!H162,1+FIND("(",PasteHashtag!H162),FIND("/",PasteHashtag!H162)-FIND("(",PasteHashtag!H162)-1)*1</f>
        <v>4.2</v>
      </c>
      <c r="I162" s="5">
        <f>LEFT(PasteHashtag!H162,FIND("(",PasteHashtag!H162)-1)*1</f>
        <v>0.575</v>
      </c>
      <c r="J162" s="5">
        <f>MID(PasteHashtag!I162,1+FIND("(",PasteHashtag!I162),FIND("/",PasteHashtag!I162)-FIND("(",PasteHashtag!I162)-1)*1</f>
        <v>1.8</v>
      </c>
      <c r="K162" s="5">
        <f>LEFT(PasteHashtag!I162,FIND("(",PasteHashtag!I162)-1)*1</f>
        <v>0.729</v>
      </c>
      <c r="L162" s="5">
        <f>PasteHashtag!J162</f>
        <v>0</v>
      </c>
      <c r="M162" s="5">
        <f>PasteHashtag!K162</f>
        <v>10.2</v>
      </c>
      <c r="N162" s="5">
        <f>PasteHashtag!L162</f>
        <v>7.2</v>
      </c>
      <c r="O162" s="5">
        <f>PasteHashtag!M162</f>
        <v>1.3</v>
      </c>
      <c r="P162" s="5">
        <f>PasteHashtag!N162</f>
        <v>0.3</v>
      </c>
      <c r="Q162" s="5">
        <f>PasteHashtag!O162</f>
        <v>1.3</v>
      </c>
      <c r="R162" s="5">
        <f>PasteHashtag!P162</f>
        <v>1</v>
      </c>
      <c r="S162" s="5">
        <f>Mid(PasteHashtag!H162,FIND("/",PasteHashtag!H162)+1,LEN(PasteHashtag!H162)-FIND("/",PasteHashtag!H162)-1)*1</f>
        <v>7.3</v>
      </c>
      <c r="T162" s="178">
        <f>Mid(PasteHashtag!I162,FIND("/",PasteHashtag!I162)+1,LEN(PasteHashtag!I162)-FIND("/",PasteHashtag!I162)-1)*1</f>
        <v>2.5</v>
      </c>
      <c r="U162" s="18"/>
      <c r="V162" s="18"/>
      <c r="W162" s="18"/>
    </row>
    <row r="163">
      <c r="A163" s="5">
        <v>162.0</v>
      </c>
      <c r="B163" s="5">
        <f>PasteHashtag!B163</f>
        <v>130.8</v>
      </c>
      <c r="C163" s="177" t="str">
        <f>PasteHashtag!C163</f>
        <v>Scoot Henderson</v>
      </c>
      <c r="D163" s="5" t="str">
        <f>PasteHashtag!D163</f>
        <v>PG</v>
      </c>
      <c r="E163" s="5" t="str">
        <f>PasteHashtag!E163</f>
        <v>POR</v>
      </c>
      <c r="F163" s="5">
        <f>PasteHashtag!F163</f>
        <v>67</v>
      </c>
      <c r="G163" s="5">
        <f>PasteHashtag!G163</f>
        <v>30.1</v>
      </c>
      <c r="H163" s="5">
        <f>MID(PasteHashtag!H163,1+FIND("(",PasteHashtag!H163),FIND("/",PasteHashtag!H163)-FIND("(",PasteHashtag!H163)-1)*1</f>
        <v>5.6</v>
      </c>
      <c r="I163" s="5">
        <f>LEFT(PasteHashtag!H163,FIND("(",PasteHashtag!H163)-1)*1</f>
        <v>0.409</v>
      </c>
      <c r="J163" s="5">
        <f>MID(PasteHashtag!I163,1+FIND("(",PasteHashtag!I163),FIND("/",PasteHashtag!I163)-FIND("(",PasteHashtag!I163)-1)*1</f>
        <v>2.9</v>
      </c>
      <c r="K163" s="5">
        <f>LEFT(PasteHashtag!I163,FIND("(",PasteHashtag!I163)-1)*1</f>
        <v>0.821</v>
      </c>
      <c r="L163" s="5">
        <f>PasteHashtag!J163</f>
        <v>1.5</v>
      </c>
      <c r="M163" s="5">
        <f>PasteHashtag!K163</f>
        <v>15.7</v>
      </c>
      <c r="N163" s="5">
        <f>PasteHashtag!L163</f>
        <v>3.3</v>
      </c>
      <c r="O163" s="5">
        <f>PasteHashtag!M163</f>
        <v>5.8</v>
      </c>
      <c r="P163" s="5">
        <f>PasteHashtag!N163</f>
        <v>1</v>
      </c>
      <c r="Q163" s="5">
        <f>PasteHashtag!O163</f>
        <v>0.3</v>
      </c>
      <c r="R163" s="5">
        <f>PasteHashtag!P163</f>
        <v>3.3</v>
      </c>
      <c r="S163" s="5">
        <f>Mid(PasteHashtag!H163,FIND("/",PasteHashtag!H163)+1,LEN(PasteHashtag!H163)-FIND("/",PasteHashtag!H163)-1)*1</f>
        <v>13.8</v>
      </c>
      <c r="T163" s="178">
        <f>Mid(PasteHashtag!I163,FIND("/",PasteHashtag!I163)+1,LEN(PasteHashtag!I163)-FIND("/",PasteHashtag!I163)-1)*1</f>
        <v>3.5</v>
      </c>
      <c r="U163" s="18"/>
      <c r="V163" s="18"/>
      <c r="W163" s="18"/>
    </row>
    <row r="164">
      <c r="A164" s="5">
        <v>163.0</v>
      </c>
      <c r="B164" s="5">
        <f>PasteHashtag!B164</f>
        <v>140.2</v>
      </c>
      <c r="C164" s="177" t="str">
        <f>PasteHashtag!C164</f>
        <v>Kyle Lowry</v>
      </c>
      <c r="D164" s="5" t="str">
        <f>PasteHashtag!D164</f>
        <v>PG</v>
      </c>
      <c r="E164" s="5" t="str">
        <f>PasteHashtag!E164</f>
        <v>PHI</v>
      </c>
      <c r="F164" s="5">
        <f>PasteHashtag!F164</f>
        <v>58</v>
      </c>
      <c r="G164" s="5">
        <f>PasteHashtag!G164</f>
        <v>27.7</v>
      </c>
      <c r="H164" s="5">
        <f>MID(PasteHashtag!H164,1+FIND("(",PasteHashtag!H164),FIND("/",PasteHashtag!H164)-FIND("(",PasteHashtag!H164)-1)*1</f>
        <v>3</v>
      </c>
      <c r="I164" s="5">
        <f>LEFT(PasteHashtag!H164,FIND("(",PasteHashtag!H164)-1)*1</f>
        <v>0.417</v>
      </c>
      <c r="J164" s="5">
        <f>MID(PasteHashtag!I164,1+FIND("(",PasteHashtag!I164),FIND("/",PasteHashtag!I164)-FIND("(",PasteHashtag!I164)-1)*1</f>
        <v>1.5</v>
      </c>
      <c r="K164" s="5">
        <f>LEFT(PasteHashtag!I164,FIND("(",PasteHashtag!I164)-1)*1</f>
        <v>0.855</v>
      </c>
      <c r="L164" s="5">
        <f>PasteHashtag!J164</f>
        <v>1.7</v>
      </c>
      <c r="M164" s="5">
        <f>PasteHashtag!K164</f>
        <v>9.1</v>
      </c>
      <c r="N164" s="5">
        <f>PasteHashtag!L164</f>
        <v>3.4</v>
      </c>
      <c r="O164" s="5">
        <f>PasteHashtag!M164</f>
        <v>4.4</v>
      </c>
      <c r="P164" s="5">
        <f>PasteHashtag!N164</f>
        <v>1</v>
      </c>
      <c r="Q164" s="5">
        <f>PasteHashtag!O164</f>
        <v>0.3</v>
      </c>
      <c r="R164" s="5">
        <f>PasteHashtag!P164</f>
        <v>1.5</v>
      </c>
      <c r="S164" s="5">
        <f>Mid(PasteHashtag!H164,FIND("/",PasteHashtag!H164)+1,LEN(PasteHashtag!H164)-FIND("/",PasteHashtag!H164)-1)*1</f>
        <v>7.1</v>
      </c>
      <c r="T164" s="178">
        <f>Mid(PasteHashtag!I164,FIND("/",PasteHashtag!I164)+1,LEN(PasteHashtag!I164)-FIND("/",PasteHashtag!I164)-1)*1</f>
        <v>1.7</v>
      </c>
      <c r="U164" s="18"/>
      <c r="V164" s="18"/>
      <c r="W164" s="18"/>
    </row>
    <row r="165">
      <c r="A165" s="5">
        <v>164.0</v>
      </c>
      <c r="B165" s="5">
        <f>PasteHashtag!B165</f>
        <v>144.4</v>
      </c>
      <c r="C165" s="177" t="str">
        <f>PasteHashtag!C165</f>
        <v>Dyson Daniels</v>
      </c>
      <c r="D165" s="5" t="str">
        <f>PasteHashtag!D165</f>
        <v>PG,SG</v>
      </c>
      <c r="E165" s="5" t="str">
        <f>PasteHashtag!E165</f>
        <v>ATL</v>
      </c>
      <c r="F165" s="5">
        <f>PasteHashtag!F165</f>
        <v>68</v>
      </c>
      <c r="G165" s="5">
        <f>PasteHashtag!G165</f>
        <v>27.4</v>
      </c>
      <c r="H165" s="5">
        <f>MID(PasteHashtag!H165,1+FIND("(",PasteHashtag!H165),FIND("/",PasteHashtag!H165)-FIND("(",PasteHashtag!H165)-1)*1</f>
        <v>2.8</v>
      </c>
      <c r="I165" s="5">
        <f>LEFT(PasteHashtag!H165,FIND("(",PasteHashtag!H165)-1)*1</f>
        <v>0.453</v>
      </c>
      <c r="J165" s="5">
        <f>MID(PasteHashtag!I165,1+FIND("(",PasteHashtag!I165),FIND("/",PasteHashtag!I165)-FIND("(",PasteHashtag!I165)-1)*1</f>
        <v>0.7</v>
      </c>
      <c r="K165" s="5">
        <f>LEFT(PasteHashtag!I165,FIND("(",PasteHashtag!I165)-1)*1</f>
        <v>0.651</v>
      </c>
      <c r="L165" s="5">
        <f>PasteHashtag!J165</f>
        <v>0.8</v>
      </c>
      <c r="M165" s="5">
        <f>PasteHashtag!K165</f>
        <v>7.1</v>
      </c>
      <c r="N165" s="5">
        <f>PasteHashtag!L165</f>
        <v>5</v>
      </c>
      <c r="O165" s="5">
        <f>PasteHashtag!M165</f>
        <v>3.5</v>
      </c>
      <c r="P165" s="5">
        <f>PasteHashtag!N165</f>
        <v>1.5</v>
      </c>
      <c r="Q165" s="5">
        <f>PasteHashtag!O165</f>
        <v>0.4</v>
      </c>
      <c r="R165" s="5">
        <f>PasteHashtag!P165</f>
        <v>1.4</v>
      </c>
      <c r="S165" s="5">
        <f>Mid(PasteHashtag!H165,FIND("/",PasteHashtag!H165)+1,LEN(PasteHashtag!H165)-FIND("/",PasteHashtag!H165)-1)*1</f>
        <v>6.1</v>
      </c>
      <c r="T165" s="178">
        <f>Mid(PasteHashtag!I165,FIND("/",PasteHashtag!I165)+1,LEN(PasteHashtag!I165)-FIND("/",PasteHashtag!I165)-1)*1</f>
        <v>1.1</v>
      </c>
      <c r="U165" s="18"/>
      <c r="V165" s="18"/>
      <c r="W165" s="18"/>
    </row>
    <row r="166">
      <c r="A166" s="5">
        <v>165.0</v>
      </c>
      <c r="B166" s="5">
        <f>PasteHashtag!B166</f>
        <v>140.6</v>
      </c>
      <c r="C166" s="177" t="str">
        <f>PasteHashtag!C166</f>
        <v>Andrew Nembhard</v>
      </c>
      <c r="D166" s="5" t="str">
        <f>PasteHashtag!D166</f>
        <v>PG,SG</v>
      </c>
      <c r="E166" s="5" t="str">
        <f>PasteHashtag!E166</f>
        <v>IND</v>
      </c>
      <c r="F166" s="5">
        <f>PasteHashtag!F166</f>
        <v>72</v>
      </c>
      <c r="G166" s="5">
        <f>PasteHashtag!G166</f>
        <v>30.2</v>
      </c>
      <c r="H166" s="5">
        <f>MID(PasteHashtag!H166,1+FIND("(",PasteHashtag!H166),FIND("/",PasteHashtag!H166)-FIND("(",PasteHashtag!H166)-1)*1</f>
        <v>4.4</v>
      </c>
      <c r="I166" s="5">
        <f>LEFT(PasteHashtag!H166,FIND("(",PasteHashtag!H166)-1)*1</f>
        <v>0.477</v>
      </c>
      <c r="J166" s="5">
        <f>MID(PasteHashtag!I166,1+FIND("(",PasteHashtag!I166),FIND("/",PasteHashtag!I166)-FIND("(",PasteHashtag!I166)-1)*1</f>
        <v>0.8</v>
      </c>
      <c r="K166" s="5">
        <f>LEFT(PasteHashtag!I166,FIND("(",PasteHashtag!I166)-1)*1</f>
        <v>0.8</v>
      </c>
      <c r="L166" s="5">
        <f>PasteHashtag!J166</f>
        <v>1.2</v>
      </c>
      <c r="M166" s="5">
        <f>PasteHashtag!K166</f>
        <v>10.7</v>
      </c>
      <c r="N166" s="5">
        <f>PasteHashtag!L166</f>
        <v>2.7</v>
      </c>
      <c r="O166" s="5">
        <f>PasteHashtag!M166</f>
        <v>5</v>
      </c>
      <c r="P166" s="5">
        <f>PasteHashtag!N166</f>
        <v>1.1</v>
      </c>
      <c r="Q166" s="5">
        <f>PasteHashtag!O166</f>
        <v>0.2</v>
      </c>
      <c r="R166" s="5">
        <f>PasteHashtag!P166</f>
        <v>1.8</v>
      </c>
      <c r="S166" s="5">
        <f>Mid(PasteHashtag!H166,FIND("/",PasteHashtag!H166)+1,LEN(PasteHashtag!H166)-FIND("/",PasteHashtag!H166)-1)*1</f>
        <v>9.2</v>
      </c>
      <c r="T166" s="178">
        <f>Mid(PasteHashtag!I166,FIND("/",PasteHashtag!I166)+1,LEN(PasteHashtag!I166)-FIND("/",PasteHashtag!I166)-1)*1</f>
        <v>1</v>
      </c>
      <c r="U166" s="18"/>
      <c r="V166" s="18"/>
      <c r="W166" s="18"/>
    </row>
    <row r="167">
      <c r="A167" s="5">
        <v>166.0</v>
      </c>
      <c r="B167" s="5">
        <f>PasteHashtag!B167</f>
        <v>141.2</v>
      </c>
      <c r="C167" s="177" t="str">
        <f>PasteHashtag!C167</f>
        <v>Jaden McDaniels</v>
      </c>
      <c r="D167" s="5" t="str">
        <f>PasteHashtag!D167</f>
        <v>SF,PF</v>
      </c>
      <c r="E167" s="5" t="str">
        <f>PasteHashtag!E167</f>
        <v>MIN</v>
      </c>
      <c r="F167" s="5">
        <f>PasteHashtag!F167</f>
        <v>74</v>
      </c>
      <c r="G167" s="5">
        <f>PasteHashtag!G167</f>
        <v>29.8</v>
      </c>
      <c r="H167" s="5">
        <f>MID(PasteHashtag!H167,1+FIND("(",PasteHashtag!H167),FIND("/",PasteHashtag!H167)-FIND("(",PasteHashtag!H167)-1)*1</f>
        <v>4.5</v>
      </c>
      <c r="I167" s="5">
        <f>LEFT(PasteHashtag!H167,FIND("(",PasteHashtag!H167)-1)*1</f>
        <v>0.504</v>
      </c>
      <c r="J167" s="5">
        <f>MID(PasteHashtag!I167,1+FIND("(",PasteHashtag!I167),FIND("/",PasteHashtag!I167)-FIND("(",PasteHashtag!I167)-1)*1</f>
        <v>1.1</v>
      </c>
      <c r="K167" s="5">
        <f>LEFT(PasteHashtag!I167,FIND("(",PasteHashtag!I167)-1)*1</f>
        <v>0.732</v>
      </c>
      <c r="L167" s="5">
        <f>PasteHashtag!J167</f>
        <v>1.3</v>
      </c>
      <c r="M167" s="5">
        <f>PasteHashtag!K167</f>
        <v>11.4</v>
      </c>
      <c r="N167" s="5">
        <f>PasteHashtag!L167</f>
        <v>3.5</v>
      </c>
      <c r="O167" s="5">
        <f>PasteHashtag!M167</f>
        <v>1.7</v>
      </c>
      <c r="P167" s="5">
        <f>PasteHashtag!N167</f>
        <v>0.9</v>
      </c>
      <c r="Q167" s="5">
        <f>PasteHashtag!O167</f>
        <v>0.8</v>
      </c>
      <c r="R167" s="5">
        <f>PasteHashtag!P167</f>
        <v>1.3</v>
      </c>
      <c r="S167" s="5">
        <f>Mid(PasteHashtag!H167,FIND("/",PasteHashtag!H167)+1,LEN(PasteHashtag!H167)-FIND("/",PasteHashtag!H167)-1)*1</f>
        <v>9</v>
      </c>
      <c r="T167" s="178">
        <f>Mid(PasteHashtag!I167,FIND("/",PasteHashtag!I167)+1,LEN(PasteHashtag!I167)-FIND("/",PasteHashtag!I167)-1)*1</f>
        <v>1.5</v>
      </c>
      <c r="U167" s="18"/>
      <c r="V167" s="18"/>
      <c r="W167" s="18"/>
    </row>
    <row r="168">
      <c r="A168" s="5">
        <v>167.0</v>
      </c>
      <c r="B168" s="5">
        <f>PasteHashtag!B168</f>
        <v>147</v>
      </c>
      <c r="C168" s="177" t="str">
        <f>PasteHashtag!C168</f>
        <v>Patrick Williams</v>
      </c>
      <c r="D168" s="5" t="str">
        <f>PasteHashtag!D168</f>
        <v>PF</v>
      </c>
      <c r="E168" s="5" t="str">
        <f>PasteHashtag!E168</f>
        <v>CHI</v>
      </c>
      <c r="F168" s="5">
        <f>PasteHashtag!F168</f>
        <v>68</v>
      </c>
      <c r="G168" s="5">
        <f>PasteHashtag!G168</f>
        <v>28.3</v>
      </c>
      <c r="H168" s="5">
        <f>MID(PasteHashtag!H168,1+FIND("(",PasteHashtag!H168),FIND("/",PasteHashtag!H168)-FIND("(",PasteHashtag!H168)-1)*1</f>
        <v>3.9</v>
      </c>
      <c r="I168" s="5">
        <f>LEFT(PasteHashtag!H168,FIND("(",PasteHashtag!H168)-1)*1</f>
        <v>0.457</v>
      </c>
      <c r="J168" s="5">
        <f>MID(PasteHashtag!I168,1+FIND("(",PasteHashtag!I168),FIND("/",PasteHashtag!I168)-FIND("(",PasteHashtag!I168)-1)*1</f>
        <v>1.2</v>
      </c>
      <c r="K168" s="5">
        <f>LEFT(PasteHashtag!I168,FIND("(",PasteHashtag!I168)-1)*1</f>
        <v>0.829</v>
      </c>
      <c r="L168" s="5">
        <f>PasteHashtag!J168</f>
        <v>1.4</v>
      </c>
      <c r="M168" s="5">
        <f>PasteHashtag!K168</f>
        <v>10.3</v>
      </c>
      <c r="N168" s="5">
        <f>PasteHashtag!L168</f>
        <v>4</v>
      </c>
      <c r="O168" s="5">
        <f>PasteHashtag!M168</f>
        <v>1.4</v>
      </c>
      <c r="P168" s="5">
        <f>PasteHashtag!N168</f>
        <v>0.9</v>
      </c>
      <c r="Q168" s="5">
        <f>PasteHashtag!O168</f>
        <v>0.8</v>
      </c>
      <c r="R168" s="5">
        <f>PasteHashtag!P168</f>
        <v>1.3</v>
      </c>
      <c r="S168" s="5">
        <f>Mid(PasteHashtag!H168,FIND("/",PasteHashtag!H168)+1,LEN(PasteHashtag!H168)-FIND("/",PasteHashtag!H168)-1)*1</f>
        <v>8.5</v>
      </c>
      <c r="T168" s="178">
        <f>Mid(PasteHashtag!I168,FIND("/",PasteHashtag!I168)+1,LEN(PasteHashtag!I168)-FIND("/",PasteHashtag!I168)-1)*1</f>
        <v>1.4</v>
      </c>
      <c r="U168" s="18"/>
      <c r="V168" s="18"/>
      <c r="W168" s="18"/>
    </row>
    <row r="169">
      <c r="A169" s="5">
        <v>168.0</v>
      </c>
      <c r="B169" s="5">
        <f>PasteHashtag!B169</f>
        <v>146.9</v>
      </c>
      <c r="C169" s="177" t="str">
        <f>PasteHashtag!C169</f>
        <v>Karlo Matkovic</v>
      </c>
      <c r="D169" s="5" t="str">
        <f>PasteHashtag!D169</f>
        <v>PF</v>
      </c>
      <c r="E169" s="5" t="str">
        <f>PasteHashtag!E169</f>
        <v>NO</v>
      </c>
      <c r="F169" s="5">
        <f>PasteHashtag!F169</f>
        <v>50</v>
      </c>
      <c r="G169" s="5">
        <f>PasteHashtag!G169</f>
        <v>19.2</v>
      </c>
      <c r="H169" s="5">
        <f>MID(PasteHashtag!H169,1+FIND("(",PasteHashtag!H169),FIND("/",PasteHashtag!H169)-FIND("(",PasteHashtag!H169)-1)*1</f>
        <v>3.6</v>
      </c>
      <c r="I169" s="5">
        <f>LEFT(PasteHashtag!H169,FIND("(",PasteHashtag!H169)-1)*1</f>
        <v>0.488</v>
      </c>
      <c r="J169" s="5">
        <f>MID(PasteHashtag!I169,1+FIND("(",PasteHashtag!I169),FIND("/",PasteHashtag!I169)-FIND("(",PasteHashtag!I169)-1)*1</f>
        <v>1.4</v>
      </c>
      <c r="K169" s="5">
        <f>LEFT(PasteHashtag!I169,FIND("(",PasteHashtag!I169)-1)*1</f>
        <v>0.751</v>
      </c>
      <c r="L169" s="5">
        <f>PasteHashtag!J169</f>
        <v>1.1</v>
      </c>
      <c r="M169" s="5">
        <f>PasteHashtag!K169</f>
        <v>9.7</v>
      </c>
      <c r="N169" s="5">
        <f>PasteHashtag!L169</f>
        <v>4.6</v>
      </c>
      <c r="O169" s="5">
        <f>PasteHashtag!M169</f>
        <v>1.5</v>
      </c>
      <c r="P169" s="5">
        <f>PasteHashtag!N169</f>
        <v>0.7</v>
      </c>
      <c r="Q169" s="5">
        <f>PasteHashtag!O169</f>
        <v>1.2</v>
      </c>
      <c r="R169" s="5">
        <f>PasteHashtag!P169</f>
        <v>1.4</v>
      </c>
      <c r="S169" s="5">
        <f>Mid(PasteHashtag!H169,FIND("/",PasteHashtag!H169)+1,LEN(PasteHashtag!H169)-FIND("/",PasteHashtag!H169)-1)*1</f>
        <v>7.4</v>
      </c>
      <c r="T169" s="178">
        <f>Mid(PasteHashtag!I169,FIND("/",PasteHashtag!I169)+1,LEN(PasteHashtag!I169)-FIND("/",PasteHashtag!I169)-1)*1</f>
        <v>1.9</v>
      </c>
      <c r="U169" s="18"/>
      <c r="V169" s="18"/>
      <c r="W169" s="18"/>
    </row>
    <row r="170">
      <c r="A170" s="5">
        <v>169.0</v>
      </c>
      <c r="B170" s="5">
        <f>PasteHashtag!B170</f>
        <v>144.8</v>
      </c>
      <c r="C170" s="177" t="str">
        <f>PasteHashtag!C170</f>
        <v>Max Strus</v>
      </c>
      <c r="D170" s="5" t="str">
        <f>PasteHashtag!D170</f>
        <v>SG,SF</v>
      </c>
      <c r="E170" s="5" t="str">
        <f>PasteHashtag!E170</f>
        <v>CLE</v>
      </c>
      <c r="F170" s="5">
        <f>PasteHashtag!F170</f>
        <v>72</v>
      </c>
      <c r="G170" s="5">
        <f>PasteHashtag!G170</f>
        <v>29.4</v>
      </c>
      <c r="H170" s="5">
        <f>MID(PasteHashtag!H170,1+FIND("(",PasteHashtag!H170),FIND("/",PasteHashtag!H170)-FIND("(",PasteHashtag!H170)-1)*1</f>
        <v>4.2</v>
      </c>
      <c r="I170" s="5">
        <f>LEFT(PasteHashtag!H170,FIND("(",PasteHashtag!H170)-1)*1</f>
        <v>0.414</v>
      </c>
      <c r="J170" s="5">
        <f>MID(PasteHashtag!I170,1+FIND("(",PasteHashtag!I170),FIND("/",PasteHashtag!I170)-FIND("(",PasteHashtag!I170)-1)*1</f>
        <v>1</v>
      </c>
      <c r="K170" s="5">
        <f>LEFT(PasteHashtag!I170,FIND("(",PasteHashtag!I170)-1)*1</f>
        <v>0.829</v>
      </c>
      <c r="L170" s="5">
        <f>PasteHashtag!J170</f>
        <v>2.4</v>
      </c>
      <c r="M170" s="5">
        <f>PasteHashtag!K170</f>
        <v>11.7</v>
      </c>
      <c r="N170" s="5">
        <f>PasteHashtag!L170</f>
        <v>3.9</v>
      </c>
      <c r="O170" s="5">
        <f>PasteHashtag!M170</f>
        <v>3.4</v>
      </c>
      <c r="P170" s="5">
        <f>PasteHashtag!N170</f>
        <v>0.8</v>
      </c>
      <c r="Q170" s="5">
        <f>PasteHashtag!O170</f>
        <v>0.3</v>
      </c>
      <c r="R170" s="5">
        <f>PasteHashtag!P170</f>
        <v>1.2</v>
      </c>
      <c r="S170" s="5">
        <f>Mid(PasteHashtag!H170,FIND("/",PasteHashtag!H170)+1,LEN(PasteHashtag!H170)-FIND("/",PasteHashtag!H170)-1)*1</f>
        <v>10</v>
      </c>
      <c r="T170" s="178">
        <f>Mid(PasteHashtag!I170,FIND("/",PasteHashtag!I170)+1,LEN(PasteHashtag!I170)-FIND("/",PasteHashtag!I170)-1)*1</f>
        <v>1.2</v>
      </c>
      <c r="U170" s="18"/>
      <c r="V170" s="18"/>
      <c r="W170" s="18"/>
    </row>
    <row r="171">
      <c r="A171" s="5">
        <v>170.0</v>
      </c>
      <c r="B171" s="5">
        <f>PasteHashtag!B171</f>
        <v>143.4</v>
      </c>
      <c r="C171" s="177" t="str">
        <f>PasteHashtag!C171</f>
        <v>T.J. McConnell</v>
      </c>
      <c r="D171" s="5" t="str">
        <f>PasteHashtag!D171</f>
        <v>PG</v>
      </c>
      <c r="E171" s="5" t="str">
        <f>PasteHashtag!E171</f>
        <v>IND</v>
      </c>
      <c r="F171" s="5">
        <f>PasteHashtag!F171</f>
        <v>70</v>
      </c>
      <c r="G171" s="5">
        <f>PasteHashtag!G171</f>
        <v>18.6</v>
      </c>
      <c r="H171" s="5">
        <f>MID(PasteHashtag!H171,1+FIND("(",PasteHashtag!H171),FIND("/",PasteHashtag!H171)-FIND("(",PasteHashtag!H171)-1)*1</f>
        <v>4.1</v>
      </c>
      <c r="I171" s="5">
        <f>LEFT(PasteHashtag!H171,FIND("(",PasteHashtag!H171)-1)*1</f>
        <v>0.55</v>
      </c>
      <c r="J171" s="5">
        <f>MID(PasteHashtag!I171,1+FIND("(",PasteHashtag!I171),FIND("/",PasteHashtag!I171)-FIND("(",PasteHashtag!I171)-1)*1</f>
        <v>0.7</v>
      </c>
      <c r="K171" s="5">
        <f>LEFT(PasteHashtag!I171,FIND("(",PasteHashtag!I171)-1)*1</f>
        <v>0.816</v>
      </c>
      <c r="L171" s="5">
        <f>PasteHashtag!J171</f>
        <v>0.3</v>
      </c>
      <c r="M171" s="5">
        <f>PasteHashtag!K171</f>
        <v>9.2</v>
      </c>
      <c r="N171" s="5">
        <f>PasteHashtag!L171</f>
        <v>2.8</v>
      </c>
      <c r="O171" s="5">
        <f>PasteHashtag!M171</f>
        <v>5.3</v>
      </c>
      <c r="P171" s="5">
        <f>PasteHashtag!N171</f>
        <v>1</v>
      </c>
      <c r="Q171" s="5">
        <f>PasteHashtag!O171</f>
        <v>0.1</v>
      </c>
      <c r="R171" s="5">
        <f>PasteHashtag!P171</f>
        <v>1.7</v>
      </c>
      <c r="S171" s="5">
        <f>Mid(PasteHashtag!H171,FIND("/",PasteHashtag!H171)+1,LEN(PasteHashtag!H171)-FIND("/",PasteHashtag!H171)-1)*1</f>
        <v>7.4</v>
      </c>
      <c r="T171" s="178">
        <f>Mid(PasteHashtag!I171,FIND("/",PasteHashtag!I171)+1,LEN(PasteHashtag!I171)-FIND("/",PasteHashtag!I171)-1)*1</f>
        <v>0.9</v>
      </c>
      <c r="U171" s="18"/>
      <c r="V171" s="18"/>
      <c r="W171" s="18"/>
    </row>
    <row r="172">
      <c r="A172" s="5">
        <v>171.0</v>
      </c>
      <c r="B172" s="5" t="str">
        <f>PasteHashtag!B172</f>
        <v/>
      </c>
      <c r="C172" s="177" t="str">
        <f>PasteHashtag!C172</f>
        <v>Miles McBride</v>
      </c>
      <c r="D172" s="5" t="str">
        <f>PasteHashtag!D172</f>
        <v>PG,SG</v>
      </c>
      <c r="E172" s="5" t="str">
        <f>PasteHashtag!E172</f>
        <v>NY</v>
      </c>
      <c r="F172" s="5">
        <f>PasteHashtag!F172</f>
        <v>68</v>
      </c>
      <c r="G172" s="5">
        <f>PasteHashtag!G172</f>
        <v>24.5</v>
      </c>
      <c r="H172" s="5">
        <f>MID(PasteHashtag!H172,1+FIND("(",PasteHashtag!H172),FIND("/",PasteHashtag!H172)-FIND("(",PasteHashtag!H172)-1)*1</f>
        <v>3.9</v>
      </c>
      <c r="I172" s="5">
        <f>LEFT(PasteHashtag!H172,FIND("(",PasteHashtag!H172)-1)*1</f>
        <v>0.446</v>
      </c>
      <c r="J172" s="5">
        <f>MID(PasteHashtag!I172,1+FIND("(",PasteHashtag!I172),FIND("/",PasteHashtag!I172)-FIND("(",PasteHashtag!I172)-1)*1</f>
        <v>1</v>
      </c>
      <c r="K172" s="5">
        <f>LEFT(PasteHashtag!I172,FIND("(",PasteHashtag!I172)-1)*1</f>
        <v>0.845</v>
      </c>
      <c r="L172" s="5">
        <f>PasteHashtag!J172</f>
        <v>2.1</v>
      </c>
      <c r="M172" s="5">
        <f>PasteHashtag!K172</f>
        <v>10.8</v>
      </c>
      <c r="N172" s="5">
        <f>PasteHashtag!L172</f>
        <v>2.1</v>
      </c>
      <c r="O172" s="5">
        <f>PasteHashtag!M172</f>
        <v>2.6</v>
      </c>
      <c r="P172" s="5">
        <f>PasteHashtag!N172</f>
        <v>1.2</v>
      </c>
      <c r="Q172" s="5">
        <f>PasteHashtag!O172</f>
        <v>0.2</v>
      </c>
      <c r="R172" s="5">
        <f>PasteHashtag!P172</f>
        <v>0.8</v>
      </c>
      <c r="S172" s="5">
        <f>Mid(PasteHashtag!H172,FIND("/",PasteHashtag!H172)+1,LEN(PasteHashtag!H172)-FIND("/",PasteHashtag!H172)-1)*1</f>
        <v>8.7</v>
      </c>
      <c r="T172" s="178">
        <f>Mid(PasteHashtag!I172,FIND("/",PasteHashtag!I172)+1,LEN(PasteHashtag!I172)-FIND("/",PasteHashtag!I172)-1)*1</f>
        <v>1.2</v>
      </c>
      <c r="U172" s="18"/>
      <c r="V172" s="18"/>
      <c r="W172" s="18"/>
    </row>
    <row r="173">
      <c r="A173" s="5">
        <v>172.0</v>
      </c>
      <c r="B173" s="5">
        <f>PasteHashtag!B173</f>
        <v>123.8</v>
      </c>
      <c r="C173" s="177" t="str">
        <f>PasteHashtag!C173</f>
        <v>Deni Avdija</v>
      </c>
      <c r="D173" s="5" t="str">
        <f>PasteHashtag!D173</f>
        <v>SF,PF</v>
      </c>
      <c r="E173" s="5" t="str">
        <f>PasteHashtag!E173</f>
        <v>POR</v>
      </c>
      <c r="F173" s="5">
        <f>PasteHashtag!F173</f>
        <v>73</v>
      </c>
      <c r="G173" s="5">
        <f>PasteHashtag!G173</f>
        <v>27.4</v>
      </c>
      <c r="H173" s="5">
        <f>MID(PasteHashtag!H173,1+FIND("(",PasteHashtag!H173),FIND("/",PasteHashtag!H173)-FIND("(",PasteHashtag!H173)-1)*1</f>
        <v>4.4</v>
      </c>
      <c r="I173" s="5">
        <f>LEFT(PasteHashtag!H173,FIND("(",PasteHashtag!H173)-1)*1</f>
        <v>0.477</v>
      </c>
      <c r="J173" s="5">
        <f>MID(PasteHashtag!I173,1+FIND("(",PasteHashtag!I173),FIND("/",PasteHashtag!I173)-FIND("(",PasteHashtag!I173)-1)*1</f>
        <v>2.1</v>
      </c>
      <c r="K173" s="5">
        <f>LEFT(PasteHashtag!I173,FIND("(",PasteHashtag!I173)-1)*1</f>
        <v>0.738</v>
      </c>
      <c r="L173" s="5">
        <f>PasteHashtag!J173</f>
        <v>1</v>
      </c>
      <c r="M173" s="5">
        <f>PasteHashtag!K173</f>
        <v>11.9</v>
      </c>
      <c r="N173" s="5">
        <f>PasteHashtag!L173</f>
        <v>6.5</v>
      </c>
      <c r="O173" s="5">
        <f>PasteHashtag!M173</f>
        <v>3.3</v>
      </c>
      <c r="P173" s="5">
        <f>PasteHashtag!N173</f>
        <v>0.8</v>
      </c>
      <c r="Q173" s="5">
        <f>PasteHashtag!O173</f>
        <v>0.4</v>
      </c>
      <c r="R173" s="5">
        <f>PasteHashtag!P173</f>
        <v>1.9</v>
      </c>
      <c r="S173" s="5">
        <f>Mid(PasteHashtag!H173,FIND("/",PasteHashtag!H173)+1,LEN(PasteHashtag!H173)-FIND("/",PasteHashtag!H173)-1)*1</f>
        <v>9.1</v>
      </c>
      <c r="T173" s="178">
        <f>Mid(PasteHashtag!I173,FIND("/",PasteHashtag!I173)+1,LEN(PasteHashtag!I173)-FIND("/",PasteHashtag!I173)-1)*1</f>
        <v>2.9</v>
      </c>
      <c r="U173" s="18"/>
      <c r="V173" s="18"/>
      <c r="W173" s="18"/>
    </row>
    <row r="174">
      <c r="A174" s="5">
        <v>173.0</v>
      </c>
      <c r="B174" s="5">
        <f>PasteHashtag!B174</f>
        <v>140.6</v>
      </c>
      <c r="C174" s="177" t="str">
        <f>PasteHashtag!C174</f>
        <v>Shaedon Sharpe</v>
      </c>
      <c r="D174" s="5" t="str">
        <f>PasteHashtag!D174</f>
        <v>SG,SF</v>
      </c>
      <c r="E174" s="5" t="str">
        <f>PasteHashtag!E174</f>
        <v>POR</v>
      </c>
      <c r="F174" s="5">
        <f>PasteHashtag!F174</f>
        <v>60</v>
      </c>
      <c r="G174" s="5">
        <f>PasteHashtag!G174</f>
        <v>31.6</v>
      </c>
      <c r="H174" s="5">
        <f>MID(PasteHashtag!H174,1+FIND("(",PasteHashtag!H174),FIND("/",PasteHashtag!H174)-FIND("(",PasteHashtag!H174)-1)*1</f>
        <v>5.6</v>
      </c>
      <c r="I174" s="5">
        <f>LEFT(PasteHashtag!H174,FIND("(",PasteHashtag!H174)-1)*1</f>
        <v>0.434</v>
      </c>
      <c r="J174" s="5">
        <f>MID(PasteHashtag!I174,1+FIND("(",PasteHashtag!I174),FIND("/",PasteHashtag!I174)-FIND("(",PasteHashtag!I174)-1)*1</f>
        <v>2.8</v>
      </c>
      <c r="K174" s="5">
        <f>LEFT(PasteHashtag!I174,FIND("(",PasteHashtag!I174)-1)*1</f>
        <v>0.812</v>
      </c>
      <c r="L174" s="5">
        <f>PasteHashtag!J174</f>
        <v>1.9</v>
      </c>
      <c r="M174" s="5">
        <f>PasteHashtag!K174</f>
        <v>15.9</v>
      </c>
      <c r="N174" s="5">
        <f>PasteHashtag!L174</f>
        <v>4.6</v>
      </c>
      <c r="O174" s="5">
        <f>PasteHashtag!M174</f>
        <v>2.2</v>
      </c>
      <c r="P174" s="5">
        <f>PasteHashtag!N174</f>
        <v>0.8</v>
      </c>
      <c r="Q174" s="5">
        <f>PasteHashtag!O174</f>
        <v>0.4</v>
      </c>
      <c r="R174" s="5">
        <f>PasteHashtag!P174</f>
        <v>1.8</v>
      </c>
      <c r="S174" s="5">
        <f>Mid(PasteHashtag!H174,FIND("/",PasteHashtag!H174)+1,LEN(PasteHashtag!H174)-FIND("/",PasteHashtag!H174)-1)*1</f>
        <v>12.9</v>
      </c>
      <c r="T174" s="178">
        <f>Mid(PasteHashtag!I174,FIND("/",PasteHashtag!I174)+1,LEN(PasteHashtag!I174)-FIND("/",PasteHashtag!I174)-1)*1</f>
        <v>3.5</v>
      </c>
      <c r="U174" s="18"/>
      <c r="V174" s="18"/>
      <c r="W174" s="18"/>
    </row>
    <row r="175">
      <c r="A175" s="5">
        <v>174.0</v>
      </c>
      <c r="B175" s="5">
        <f>PasteHashtag!B175</f>
        <v>138.5</v>
      </c>
      <c r="C175" s="177" t="str">
        <f>PasteHashtag!C175</f>
        <v>Ben Simmons</v>
      </c>
      <c r="D175" s="5" t="str">
        <f>PasteHashtag!D175</f>
        <v>PG</v>
      </c>
      <c r="E175" s="5" t="str">
        <f>PasteHashtag!E175</f>
        <v>BKN</v>
      </c>
      <c r="F175" s="5">
        <f>PasteHashtag!F175</f>
        <v>28</v>
      </c>
      <c r="G175" s="5">
        <f>PasteHashtag!G175</f>
        <v>24.9</v>
      </c>
      <c r="H175" s="5">
        <f>MID(PasteHashtag!H175,1+FIND("(",PasteHashtag!H175),FIND("/",PasteHashtag!H175)-FIND("(",PasteHashtag!H175)-1)*1</f>
        <v>3</v>
      </c>
      <c r="I175" s="5">
        <f>LEFT(PasteHashtag!H175,FIND("(",PasteHashtag!H175)-1)*1</f>
        <v>0.569</v>
      </c>
      <c r="J175" s="5">
        <f>MID(PasteHashtag!I175,1+FIND("(",PasteHashtag!I175),FIND("/",PasteHashtag!I175)-FIND("(",PasteHashtag!I175)-1)*1</f>
        <v>0.5</v>
      </c>
      <c r="K175" s="5">
        <f>LEFT(PasteHashtag!I175,FIND("(",PasteHashtag!I175)-1)*1</f>
        <v>0.427</v>
      </c>
      <c r="L175" s="5">
        <f>PasteHashtag!J175</f>
        <v>0</v>
      </c>
      <c r="M175" s="5">
        <f>PasteHashtag!K175</f>
        <v>6.6</v>
      </c>
      <c r="N175" s="5">
        <f>PasteHashtag!L175</f>
        <v>6.6</v>
      </c>
      <c r="O175" s="5">
        <f>PasteHashtag!M175</f>
        <v>5.9</v>
      </c>
      <c r="P175" s="5">
        <f>PasteHashtag!N175</f>
        <v>1.1</v>
      </c>
      <c r="Q175" s="5">
        <f>PasteHashtag!O175</f>
        <v>0.6</v>
      </c>
      <c r="R175" s="5">
        <f>PasteHashtag!P175</f>
        <v>2.1</v>
      </c>
      <c r="S175" s="5">
        <f>Mid(PasteHashtag!H175,FIND("/",PasteHashtag!H175)+1,LEN(PasteHashtag!H175)-FIND("/",PasteHashtag!H175)-1)*1</f>
        <v>5.3</v>
      </c>
      <c r="T175" s="178">
        <f>Mid(PasteHashtag!I175,FIND("/",PasteHashtag!I175)+1,LEN(PasteHashtag!I175)-FIND("/",PasteHashtag!I175)-1)*1</f>
        <v>1.2</v>
      </c>
    </row>
    <row r="176">
      <c r="A176" s="5">
        <v>175.0</v>
      </c>
      <c r="B176" s="5">
        <f>PasteHashtag!B176</f>
        <v>143.7</v>
      </c>
      <c r="C176" s="177" t="str">
        <f>PasteHashtag!C176</f>
        <v>Jonathan Isaac</v>
      </c>
      <c r="D176" s="5" t="str">
        <f>PasteHashtag!D176</f>
        <v>SF,PF</v>
      </c>
      <c r="E176" s="5" t="str">
        <f>PasteHashtag!E176</f>
        <v>ORL</v>
      </c>
      <c r="F176" s="5">
        <f>PasteHashtag!F176</f>
        <v>55</v>
      </c>
      <c r="G176" s="5">
        <f>PasteHashtag!G176</f>
        <v>17.2</v>
      </c>
      <c r="H176" s="5">
        <f>MID(PasteHashtag!H176,1+FIND("(",PasteHashtag!H176),FIND("/",PasteHashtag!H176)-FIND("(",PasteHashtag!H176)-1)*1</f>
        <v>2.8</v>
      </c>
      <c r="I176" s="5">
        <f>LEFT(PasteHashtag!H176,FIND("(",PasteHashtag!H176)-1)*1</f>
        <v>0.496</v>
      </c>
      <c r="J176" s="5">
        <f>MID(PasteHashtag!I176,1+FIND("(",PasteHashtag!I176),FIND("/",PasteHashtag!I176)-FIND("(",PasteHashtag!I176)-1)*1</f>
        <v>1.1</v>
      </c>
      <c r="K176" s="5">
        <f>LEFT(PasteHashtag!I176,FIND("(",PasteHashtag!I176)-1)*1</f>
        <v>0.704</v>
      </c>
      <c r="L176" s="5">
        <f>PasteHashtag!J176</f>
        <v>0.8</v>
      </c>
      <c r="M176" s="5">
        <f>PasteHashtag!K176</f>
        <v>7.5</v>
      </c>
      <c r="N176" s="5">
        <f>PasteHashtag!L176</f>
        <v>5.1</v>
      </c>
      <c r="O176" s="5">
        <f>PasteHashtag!M176</f>
        <v>0.6</v>
      </c>
      <c r="P176" s="5">
        <f>PasteHashtag!N176</f>
        <v>1</v>
      </c>
      <c r="Q176" s="5">
        <f>PasteHashtag!O176</f>
        <v>1.2</v>
      </c>
      <c r="R176" s="5">
        <f>PasteHashtag!P176</f>
        <v>0.5</v>
      </c>
      <c r="S176" s="5">
        <f>Mid(PasteHashtag!H176,FIND("/",PasteHashtag!H176)+1,LEN(PasteHashtag!H176)-FIND("/",PasteHashtag!H176)-1)*1</f>
        <v>5.7</v>
      </c>
      <c r="T176" s="178">
        <f>Mid(PasteHashtag!I176,FIND("/",PasteHashtag!I176)+1,LEN(PasteHashtag!I176)-FIND("/",PasteHashtag!I176)-1)*1</f>
        <v>1.5</v>
      </c>
    </row>
    <row r="177">
      <c r="A177" s="5">
        <v>176.0</v>
      </c>
      <c r="B177" s="5">
        <f>PasteHashtag!B177</f>
        <v>133.6</v>
      </c>
      <c r="C177" s="177" t="str">
        <f>PasteHashtag!C177</f>
        <v>Jaime Jaquez Jr.</v>
      </c>
      <c r="D177" s="5" t="str">
        <f>PasteHashtag!D177</f>
        <v>SF</v>
      </c>
      <c r="E177" s="5" t="str">
        <f>PasteHashtag!E177</f>
        <v>MIA</v>
      </c>
      <c r="F177" s="5">
        <f>PasteHashtag!F177</f>
        <v>73</v>
      </c>
      <c r="G177" s="5">
        <f>PasteHashtag!G177</f>
        <v>28</v>
      </c>
      <c r="H177" s="5">
        <f>MID(PasteHashtag!H177,1+FIND("(",PasteHashtag!H177),FIND("/",PasteHashtag!H177)-FIND("(",PasteHashtag!H177)-1)*1</f>
        <v>4.6</v>
      </c>
      <c r="I177" s="5">
        <f>LEFT(PasteHashtag!H177,FIND("(",PasteHashtag!H177)-1)*1</f>
        <v>0.489</v>
      </c>
      <c r="J177" s="5">
        <f>MID(PasteHashtag!I177,1+FIND("(",PasteHashtag!I177),FIND("/",PasteHashtag!I177)-FIND("(",PasteHashtag!I177)-1)*1</f>
        <v>1.9</v>
      </c>
      <c r="K177" s="5">
        <f>LEFT(PasteHashtag!I177,FIND("(",PasteHashtag!I177)-1)*1</f>
        <v>0.812</v>
      </c>
      <c r="L177" s="5">
        <f>PasteHashtag!J177</f>
        <v>0.9</v>
      </c>
      <c r="M177" s="5">
        <f>PasteHashtag!K177</f>
        <v>11.9</v>
      </c>
      <c r="N177" s="5">
        <f>PasteHashtag!L177</f>
        <v>3.8</v>
      </c>
      <c r="O177" s="5">
        <f>PasteHashtag!M177</f>
        <v>2.6</v>
      </c>
      <c r="P177" s="5">
        <f>PasteHashtag!N177</f>
        <v>1</v>
      </c>
      <c r="Q177" s="5">
        <f>PasteHashtag!O177</f>
        <v>0.3</v>
      </c>
      <c r="R177" s="5">
        <f>PasteHashtag!P177</f>
        <v>1.5</v>
      </c>
      <c r="S177" s="5">
        <f>Mid(PasteHashtag!H177,FIND("/",PasteHashtag!H177)+1,LEN(PasteHashtag!H177)-FIND("/",PasteHashtag!H177)-1)*1</f>
        <v>9.3</v>
      </c>
      <c r="T177" s="178">
        <f>Mid(PasteHashtag!I177,FIND("/",PasteHashtag!I177)+1,LEN(PasteHashtag!I177)-FIND("/",PasteHashtag!I177)-1)*1</f>
        <v>2.3</v>
      </c>
    </row>
    <row r="178">
      <c r="A178" s="5">
        <v>177.0</v>
      </c>
      <c r="B178" s="5" t="str">
        <f>PasteHashtag!B178</f>
        <v/>
      </c>
      <c r="C178" s="177" t="str">
        <f>PasteHashtag!C178</f>
        <v>Kevin Huerter</v>
      </c>
      <c r="D178" s="5" t="str">
        <f>PasteHashtag!D178</f>
        <v>SG,SF</v>
      </c>
      <c r="E178" s="5" t="str">
        <f>PasteHashtag!E178</f>
        <v>SAC</v>
      </c>
      <c r="F178" s="5">
        <f>PasteHashtag!F178</f>
        <v>68</v>
      </c>
      <c r="G178" s="5">
        <f>PasteHashtag!G178</f>
        <v>24.8</v>
      </c>
      <c r="H178" s="5">
        <f>MID(PasteHashtag!H178,1+FIND("(",PasteHashtag!H178),FIND("/",PasteHashtag!H178)-FIND("(",PasteHashtag!H178)-1)*1</f>
        <v>4.5</v>
      </c>
      <c r="I178" s="5">
        <f>LEFT(PasteHashtag!H178,FIND("(",PasteHashtag!H178)-1)*1</f>
        <v>0.468</v>
      </c>
      <c r="J178" s="5">
        <f>MID(PasteHashtag!I178,1+FIND("(",PasteHashtag!I178),FIND("/",PasteHashtag!I178)-FIND("(",PasteHashtag!I178)-1)*1</f>
        <v>0.9</v>
      </c>
      <c r="K178" s="5">
        <f>LEFT(PasteHashtag!I178,FIND("(",PasteHashtag!I178)-1)*1</f>
        <v>0.75</v>
      </c>
      <c r="L178" s="5">
        <f>PasteHashtag!J178</f>
        <v>2.2</v>
      </c>
      <c r="M178" s="5">
        <f>PasteHashtag!K178</f>
        <v>12</v>
      </c>
      <c r="N178" s="5">
        <f>PasteHashtag!L178</f>
        <v>3.2</v>
      </c>
      <c r="O178" s="5">
        <f>PasteHashtag!M178</f>
        <v>2.6</v>
      </c>
      <c r="P178" s="5">
        <f>PasteHashtag!N178</f>
        <v>0.8</v>
      </c>
      <c r="Q178" s="5">
        <f>PasteHashtag!O178</f>
        <v>0.3</v>
      </c>
      <c r="R178" s="5">
        <f>PasteHashtag!P178</f>
        <v>1</v>
      </c>
      <c r="S178" s="5">
        <f>Mid(PasteHashtag!H178,FIND("/",PasteHashtag!H178)+1,LEN(PasteHashtag!H178)-FIND("/",PasteHashtag!H178)-1)*1</f>
        <v>9.5</v>
      </c>
      <c r="T178" s="178">
        <f>Mid(PasteHashtag!I178,FIND("/",PasteHashtag!I178)+1,LEN(PasteHashtag!I178)-FIND("/",PasteHashtag!I178)-1)*1</f>
        <v>1.2</v>
      </c>
    </row>
    <row r="179">
      <c r="A179" s="5">
        <v>178.0</v>
      </c>
      <c r="B179" s="5" t="str">
        <f>PasteHashtag!B179</f>
        <v/>
      </c>
      <c r="C179" s="177" t="str">
        <f>PasteHashtag!C179</f>
        <v>Lonzo Ball</v>
      </c>
      <c r="D179" s="5" t="str">
        <f>PasteHashtag!D179</f>
        <v>PG</v>
      </c>
      <c r="E179" s="5" t="str">
        <f>PasteHashtag!E179</f>
        <v>CHI</v>
      </c>
      <c r="F179" s="5">
        <f>PasteHashtag!F179</f>
        <v>44</v>
      </c>
      <c r="G179" s="5">
        <f>PasteHashtag!G179</f>
        <v>19.8</v>
      </c>
      <c r="H179" s="5">
        <f>MID(PasteHashtag!H179,1+FIND("(",PasteHashtag!H179),FIND("/",PasteHashtag!H179)-FIND("(",PasteHashtag!H179)-1)*1</f>
        <v>2.7</v>
      </c>
      <c r="I179" s="5">
        <f>LEFT(PasteHashtag!H179,FIND("(",PasteHashtag!H179)-1)*1</f>
        <v>0.423</v>
      </c>
      <c r="J179" s="5">
        <f>MID(PasteHashtag!I179,1+FIND("(",PasteHashtag!I179),FIND("/",PasteHashtag!I179)-FIND("(",PasteHashtag!I179)-1)*1</f>
        <v>0.4</v>
      </c>
      <c r="K179" s="5">
        <f>LEFT(PasteHashtag!I179,FIND("(",PasteHashtag!I179)-1)*1</f>
        <v>0.761</v>
      </c>
      <c r="L179" s="5">
        <f>PasteHashtag!J179</f>
        <v>1.8</v>
      </c>
      <c r="M179" s="5">
        <f>PasteHashtag!K179</f>
        <v>7.6</v>
      </c>
      <c r="N179" s="5">
        <f>PasteHashtag!L179</f>
        <v>3.2</v>
      </c>
      <c r="O179" s="5">
        <f>PasteHashtag!M179</f>
        <v>3.5</v>
      </c>
      <c r="P179" s="5">
        <f>PasteHashtag!N179</f>
        <v>1.1</v>
      </c>
      <c r="Q179" s="5">
        <f>PasteHashtag!O179</f>
        <v>0.5</v>
      </c>
      <c r="R179" s="5">
        <f>PasteHashtag!P179</f>
        <v>1.4</v>
      </c>
      <c r="S179" s="5">
        <f>Mid(PasteHashtag!H179,FIND("/",PasteHashtag!H179)+1,LEN(PasteHashtag!H179)-FIND("/",PasteHashtag!H179)-1)*1</f>
        <v>6.4</v>
      </c>
      <c r="T179" s="178">
        <f>Mid(PasteHashtag!I179,FIND("/",PasteHashtag!I179)+1,LEN(PasteHashtag!I179)-FIND("/",PasteHashtag!I179)-1)*1</f>
        <v>0.5</v>
      </c>
    </row>
    <row r="180">
      <c r="A180" s="5">
        <v>179.0</v>
      </c>
      <c r="B180" s="5">
        <f>PasteHashtag!B180</f>
        <v>146.7</v>
      </c>
      <c r="C180" s="177" t="str">
        <f>PasteHashtag!C180</f>
        <v>Vince Williams Jr.</v>
      </c>
      <c r="D180" s="5" t="str">
        <f>PasteHashtag!D180</f>
        <v>PG,SG,SF</v>
      </c>
      <c r="E180" s="5" t="str">
        <f>PasteHashtag!E180</f>
        <v>MEM</v>
      </c>
      <c r="F180" s="5">
        <f>PasteHashtag!F180</f>
        <v>58</v>
      </c>
      <c r="G180" s="5">
        <f>PasteHashtag!G180</f>
        <v>24</v>
      </c>
      <c r="H180" s="5">
        <f>MID(PasteHashtag!H180,1+FIND("(",PasteHashtag!H180),FIND("/",PasteHashtag!H180)-FIND("(",PasteHashtag!H180)-1)*1</f>
        <v>3</v>
      </c>
      <c r="I180" s="5">
        <f>LEFT(PasteHashtag!H180,FIND("(",PasteHashtag!H180)-1)*1</f>
        <v>0.454</v>
      </c>
      <c r="J180" s="5">
        <f>MID(PasteHashtag!I180,1+FIND("(",PasteHashtag!I180),FIND("/",PasteHashtag!I180)-FIND("(",PasteHashtag!I180)-1)*1</f>
        <v>1.7</v>
      </c>
      <c r="K180" s="5">
        <f>LEFT(PasteHashtag!I180,FIND("(",PasteHashtag!I180)-1)*1</f>
        <v>0.803</v>
      </c>
      <c r="L180" s="5">
        <f>PasteHashtag!J180</f>
        <v>1.3</v>
      </c>
      <c r="M180" s="5">
        <f>PasteHashtag!K180</f>
        <v>9</v>
      </c>
      <c r="N180" s="5">
        <f>PasteHashtag!L180</f>
        <v>4.8</v>
      </c>
      <c r="O180" s="5">
        <f>PasteHashtag!M180</f>
        <v>2.8</v>
      </c>
      <c r="P180" s="5">
        <f>PasteHashtag!N180</f>
        <v>0.8</v>
      </c>
      <c r="Q180" s="5">
        <f>PasteHashtag!O180</f>
        <v>0.6</v>
      </c>
      <c r="R180" s="5">
        <f>PasteHashtag!P180</f>
        <v>1.5</v>
      </c>
      <c r="S180" s="5">
        <f>Mid(PasteHashtag!H180,FIND("/",PasteHashtag!H180)+1,LEN(PasteHashtag!H180)-FIND("/",PasteHashtag!H180)-1)*1</f>
        <v>6.6</v>
      </c>
      <c r="T180" s="178">
        <f>Mid(PasteHashtag!I180,FIND("/",PasteHashtag!I180)+1,LEN(PasteHashtag!I180)-FIND("/",PasteHashtag!I180)-1)*1</f>
        <v>2.1</v>
      </c>
    </row>
    <row r="181">
      <c r="A181" s="5">
        <v>180.0</v>
      </c>
      <c r="B181" s="5">
        <f>PasteHashtag!B181</f>
        <v>143.9</v>
      </c>
      <c r="C181" s="177" t="str">
        <f>PasteHashtag!C181</f>
        <v>Gary Trent Jr.</v>
      </c>
      <c r="D181" s="5" t="str">
        <f>PasteHashtag!D181</f>
        <v>PG,SG</v>
      </c>
      <c r="E181" s="5" t="str">
        <f>PasteHashtag!E181</f>
        <v>MIL</v>
      </c>
      <c r="F181" s="5">
        <f>PasteHashtag!F181</f>
        <v>70</v>
      </c>
      <c r="G181" s="5">
        <f>PasteHashtag!G181</f>
        <v>30</v>
      </c>
      <c r="H181" s="5">
        <f>MID(PasteHashtag!H181,1+FIND("(",PasteHashtag!H181),FIND("/",PasteHashtag!H181)-FIND("(",PasteHashtag!H181)-1)*1</f>
        <v>5.3</v>
      </c>
      <c r="I181" s="5">
        <f>LEFT(PasteHashtag!H181,FIND("(",PasteHashtag!H181)-1)*1</f>
        <v>0.429</v>
      </c>
      <c r="J181" s="5">
        <f>MID(PasteHashtag!I181,1+FIND("(",PasteHashtag!I181),FIND("/",PasteHashtag!I181)-FIND("(",PasteHashtag!I181)-1)*1</f>
        <v>1.6</v>
      </c>
      <c r="K181" s="5">
        <f>LEFT(PasteHashtag!I181,FIND("(",PasteHashtag!I181)-1)*1</f>
        <v>0.792</v>
      </c>
      <c r="L181" s="5">
        <f>PasteHashtag!J181</f>
        <v>2.4</v>
      </c>
      <c r="M181" s="5">
        <f>PasteHashtag!K181</f>
        <v>14.5</v>
      </c>
      <c r="N181" s="5">
        <f>PasteHashtag!L181</f>
        <v>2.5</v>
      </c>
      <c r="O181" s="5">
        <f>PasteHashtag!M181</f>
        <v>1.6</v>
      </c>
      <c r="P181" s="5">
        <f>PasteHashtag!N181</f>
        <v>1.2</v>
      </c>
      <c r="Q181" s="5">
        <f>PasteHashtag!O181</f>
        <v>0.2</v>
      </c>
      <c r="R181" s="5">
        <f>PasteHashtag!P181</f>
        <v>0.7</v>
      </c>
      <c r="S181" s="5">
        <f>Mid(PasteHashtag!H181,FIND("/",PasteHashtag!H181)+1,LEN(PasteHashtag!H181)-FIND("/",PasteHashtag!H181)-1)*1</f>
        <v>12.3</v>
      </c>
      <c r="T181" s="178">
        <f>Mid(PasteHashtag!I181,FIND("/",PasteHashtag!I181)+1,LEN(PasteHashtag!I181)-FIND("/",PasteHashtag!I181)-1)*1</f>
        <v>2.1</v>
      </c>
    </row>
    <row r="182">
      <c r="A182" s="5">
        <v>181.0</v>
      </c>
      <c r="B182" s="5">
        <f>PasteHashtag!B182</f>
        <v>143.3</v>
      </c>
      <c r="C182" s="177" t="str">
        <f>PasteHashtag!C182</f>
        <v>Keldon Johnson</v>
      </c>
      <c r="D182" s="5" t="str">
        <f>PasteHashtag!D182</f>
        <v>SG,SF,PF</v>
      </c>
      <c r="E182" s="5" t="str">
        <f>PasteHashtag!E182</f>
        <v>SA</v>
      </c>
      <c r="F182" s="5">
        <f>PasteHashtag!F182</f>
        <v>67</v>
      </c>
      <c r="G182" s="5">
        <f>PasteHashtag!G182</f>
        <v>27.5</v>
      </c>
      <c r="H182" s="5">
        <f>MID(PasteHashtag!H182,1+FIND("(",PasteHashtag!H182),FIND("/",PasteHashtag!H182)-FIND("(",PasteHashtag!H182)-1)*1</f>
        <v>6.1</v>
      </c>
      <c r="I182" s="5">
        <f>LEFT(PasteHashtag!H182,FIND("(",PasteHashtag!H182)-1)*1</f>
        <v>0.453</v>
      </c>
      <c r="J182" s="5">
        <f>MID(PasteHashtag!I182,1+FIND("(",PasteHashtag!I182),FIND("/",PasteHashtag!I182)-FIND("(",PasteHashtag!I182)-1)*1</f>
        <v>2.8</v>
      </c>
      <c r="K182" s="5">
        <f>LEFT(PasteHashtag!I182,FIND("(",PasteHashtag!I182)-1)*1</f>
        <v>0.798</v>
      </c>
      <c r="L182" s="5">
        <f>PasteHashtag!J182</f>
        <v>1.8</v>
      </c>
      <c r="M182" s="5">
        <f>PasteHashtag!K182</f>
        <v>16.7</v>
      </c>
      <c r="N182" s="5">
        <f>PasteHashtag!L182</f>
        <v>4.7</v>
      </c>
      <c r="O182" s="5">
        <f>PasteHashtag!M182</f>
        <v>2.6</v>
      </c>
      <c r="P182" s="5">
        <f>PasteHashtag!N182</f>
        <v>0.7</v>
      </c>
      <c r="Q182" s="5">
        <f>PasteHashtag!O182</f>
        <v>0.2</v>
      </c>
      <c r="R182" s="5">
        <f>PasteHashtag!P182</f>
        <v>1.6</v>
      </c>
      <c r="S182" s="5">
        <f>Mid(PasteHashtag!H182,FIND("/",PasteHashtag!H182)+1,LEN(PasteHashtag!H182)-FIND("/",PasteHashtag!H182)-1)*1</f>
        <v>13.4</v>
      </c>
      <c r="T182" s="178">
        <f>Mid(PasteHashtag!I182,FIND("/",PasteHashtag!I182)+1,LEN(PasteHashtag!I182)-FIND("/",PasteHashtag!I182)-1)*1</f>
        <v>3.6</v>
      </c>
    </row>
    <row r="183">
      <c r="A183" s="5">
        <v>182.0</v>
      </c>
      <c r="B183" s="5">
        <f>PasteHashtag!B183</f>
        <v>142.5</v>
      </c>
      <c r="C183" s="177" t="str">
        <f>PasteHashtag!C183</f>
        <v>Christian Braun</v>
      </c>
      <c r="D183" s="5" t="str">
        <f>PasteHashtag!D183</f>
        <v>SG,SF</v>
      </c>
      <c r="E183" s="5" t="str">
        <f>PasteHashtag!E183</f>
        <v>DEN</v>
      </c>
      <c r="F183" s="5">
        <f>PasteHashtag!F183</f>
        <v>79</v>
      </c>
      <c r="G183" s="5">
        <f>PasteHashtag!G183</f>
        <v>30.2</v>
      </c>
      <c r="H183" s="5">
        <f>MID(PasteHashtag!H183,1+FIND("(",PasteHashtag!H183),FIND("/",PasteHashtag!H183)-FIND("(",PasteHashtag!H183)-1)*1</f>
        <v>4.1</v>
      </c>
      <c r="I183" s="5">
        <f>LEFT(PasteHashtag!H183,FIND("(",PasteHashtag!H183)-1)*1</f>
        <v>0.468</v>
      </c>
      <c r="J183" s="5">
        <f>MID(PasteHashtag!I183,1+FIND("(",PasteHashtag!I183),FIND("/",PasteHashtag!I183)-FIND("(",PasteHashtag!I183)-1)*1</f>
        <v>1.6</v>
      </c>
      <c r="K183" s="5">
        <f>LEFT(PasteHashtag!I183,FIND("(",PasteHashtag!I183)-1)*1</f>
        <v>0.731</v>
      </c>
      <c r="L183" s="5">
        <f>PasteHashtag!J183</f>
        <v>1.1</v>
      </c>
      <c r="M183" s="5">
        <f>PasteHashtag!K183</f>
        <v>11</v>
      </c>
      <c r="N183" s="5">
        <f>PasteHashtag!L183</f>
        <v>5.5</v>
      </c>
      <c r="O183" s="5">
        <f>PasteHashtag!M183</f>
        <v>2.2</v>
      </c>
      <c r="P183" s="5">
        <f>PasteHashtag!N183</f>
        <v>0.9</v>
      </c>
      <c r="Q183" s="5">
        <f>PasteHashtag!O183</f>
        <v>0.6</v>
      </c>
      <c r="R183" s="5">
        <f>PasteHashtag!P183</f>
        <v>1</v>
      </c>
      <c r="S183" s="5">
        <f>Mid(PasteHashtag!H183,FIND("/",PasteHashtag!H183)+1,LEN(PasteHashtag!H183)-FIND("/",PasteHashtag!H183)-1)*1</f>
        <v>8.8</v>
      </c>
      <c r="T183" s="178">
        <f>Mid(PasteHashtag!I183,FIND("/",PasteHashtag!I183)+1,LEN(PasteHashtag!I183)-FIND("/",PasteHashtag!I183)-1)*1</f>
        <v>2.2</v>
      </c>
    </row>
    <row r="184">
      <c r="A184" s="5">
        <v>183.0</v>
      </c>
      <c r="B184" s="5">
        <f>PasteHashtag!B184</f>
        <v>139</v>
      </c>
      <c r="C184" s="177" t="str">
        <f>PasteHashtag!C184</f>
        <v>Zaccharie Risacher</v>
      </c>
      <c r="D184" s="5" t="str">
        <f>PasteHashtag!D184</f>
        <v>SF</v>
      </c>
      <c r="E184" s="5" t="str">
        <f>PasteHashtag!E184</f>
        <v>ATL</v>
      </c>
      <c r="F184" s="5">
        <f>PasteHashtag!F184</f>
        <v>68</v>
      </c>
      <c r="G184" s="5">
        <f>PasteHashtag!G184</f>
        <v>30.4</v>
      </c>
      <c r="H184" s="5">
        <f>MID(PasteHashtag!H184,1+FIND("(",PasteHashtag!H184),FIND("/",PasteHashtag!H184)-FIND("(",PasteHashtag!H184)-1)*1</f>
        <v>5.1</v>
      </c>
      <c r="I184" s="5">
        <f>LEFT(PasteHashtag!H184,FIND("(",PasteHashtag!H184)-1)*1</f>
        <v>0.452</v>
      </c>
      <c r="J184" s="5">
        <f>MID(PasteHashtag!I184,1+FIND("(",PasteHashtag!I184),FIND("/",PasteHashtag!I184)-FIND("(",PasteHashtag!I184)-1)*1</f>
        <v>2.1</v>
      </c>
      <c r="K184" s="5">
        <f>LEFT(PasteHashtag!I184,FIND("(",PasteHashtag!I184)-1)*1</f>
        <v>0.74</v>
      </c>
      <c r="L184" s="5">
        <f>PasteHashtag!J184</f>
        <v>1.4</v>
      </c>
      <c r="M184" s="5">
        <f>PasteHashtag!K184</f>
        <v>13.6</v>
      </c>
      <c r="N184" s="5">
        <f>PasteHashtag!L184</f>
        <v>4.1</v>
      </c>
      <c r="O184" s="5">
        <f>PasteHashtag!M184</f>
        <v>1.5</v>
      </c>
      <c r="P184" s="5">
        <f>PasteHashtag!N184</f>
        <v>1.1</v>
      </c>
      <c r="Q184" s="5">
        <f>PasteHashtag!O184</f>
        <v>0.7</v>
      </c>
      <c r="R184" s="5">
        <f>PasteHashtag!P184</f>
        <v>1.6</v>
      </c>
      <c r="S184" s="5">
        <f>Mid(PasteHashtag!H184,FIND("/",PasteHashtag!H184)+1,LEN(PasteHashtag!H184)-FIND("/",PasteHashtag!H184)-1)*1</f>
        <v>11.2</v>
      </c>
      <c r="T184" s="178">
        <f>Mid(PasteHashtag!I184,FIND("/",PasteHashtag!I184)+1,LEN(PasteHashtag!I184)-FIND("/",PasteHashtag!I184)-1)*1</f>
        <v>2.8</v>
      </c>
    </row>
    <row r="185">
      <c r="A185" s="5">
        <v>184.0</v>
      </c>
      <c r="B185" s="5">
        <f>PasteHashtag!B185</f>
        <v>138.9</v>
      </c>
      <c r="C185" s="177" t="str">
        <f>PasteHashtag!C185</f>
        <v>Jordan Clarkson</v>
      </c>
      <c r="D185" s="5" t="str">
        <f>PasteHashtag!D185</f>
        <v>SG,SF</v>
      </c>
      <c r="E185" s="5" t="str">
        <f>PasteHashtag!E185</f>
        <v>UTA</v>
      </c>
      <c r="F185" s="5">
        <f>PasteHashtag!F185</f>
        <v>64</v>
      </c>
      <c r="G185" s="5">
        <f>PasteHashtag!G185</f>
        <v>28.6</v>
      </c>
      <c r="H185" s="5">
        <f>MID(PasteHashtag!H185,1+FIND("(",PasteHashtag!H185),FIND("/",PasteHashtag!H185)-FIND("(",PasteHashtag!H185)-1)*1</f>
        <v>6.3</v>
      </c>
      <c r="I185" s="5">
        <f>LEFT(PasteHashtag!H185,FIND("(",PasteHashtag!H185)-1)*1</f>
        <v>0.431</v>
      </c>
      <c r="J185" s="5">
        <f>MID(PasteHashtag!I185,1+FIND("(",PasteHashtag!I185),FIND("/",PasteHashtag!I185)-FIND("(",PasteHashtag!I185)-1)*1</f>
        <v>3</v>
      </c>
      <c r="K185" s="5">
        <f>LEFT(PasteHashtag!I185,FIND("(",PasteHashtag!I185)-1)*1</f>
        <v>0.846</v>
      </c>
      <c r="L185" s="5">
        <f>PasteHashtag!J185</f>
        <v>1.9</v>
      </c>
      <c r="M185" s="5">
        <f>PasteHashtag!K185</f>
        <v>17.4</v>
      </c>
      <c r="N185" s="5">
        <f>PasteHashtag!L185</f>
        <v>3.4</v>
      </c>
      <c r="O185" s="5">
        <f>PasteHashtag!M185</f>
        <v>4.3</v>
      </c>
      <c r="P185" s="5">
        <f>PasteHashtag!N185</f>
        <v>0.5</v>
      </c>
      <c r="Q185" s="5">
        <f>PasteHashtag!O185</f>
        <v>0.2</v>
      </c>
      <c r="R185" s="5">
        <f>PasteHashtag!P185</f>
        <v>2.6</v>
      </c>
      <c r="S185" s="5">
        <f>Mid(PasteHashtag!H185,FIND("/",PasteHashtag!H185)+1,LEN(PasteHashtag!H185)-FIND("/",PasteHashtag!H185)-1)*1</f>
        <v>14.5</v>
      </c>
      <c r="T185" s="178">
        <f>Mid(PasteHashtag!I185,FIND("/",PasteHashtag!I185)+1,LEN(PasteHashtag!I185)-FIND("/",PasteHashtag!I185)-1)*1</f>
        <v>3.5</v>
      </c>
    </row>
    <row r="186">
      <c r="A186" s="5">
        <v>185.0</v>
      </c>
      <c r="B186" s="5" t="str">
        <f>PasteHashtag!B186</f>
        <v/>
      </c>
      <c r="C186" s="177" t="str">
        <f>PasteHashtag!C186</f>
        <v>Luke Kennard</v>
      </c>
      <c r="D186" s="5" t="str">
        <f>PasteHashtag!D186</f>
        <v>SG</v>
      </c>
      <c r="E186" s="5" t="str">
        <f>PasteHashtag!E186</f>
        <v>MEM</v>
      </c>
      <c r="F186" s="5">
        <f>PasteHashtag!F186</f>
        <v>60</v>
      </c>
      <c r="G186" s="5">
        <f>PasteHashtag!G186</f>
        <v>25.4</v>
      </c>
      <c r="H186" s="5">
        <f>MID(PasteHashtag!H186,1+FIND("(",PasteHashtag!H186),FIND("/",PasteHashtag!H186)-FIND("(",PasteHashtag!H186)-1)*1</f>
        <v>3.7</v>
      </c>
      <c r="I186" s="5">
        <f>LEFT(PasteHashtag!H186,FIND("(",PasteHashtag!H186)-1)*1</f>
        <v>0.472</v>
      </c>
      <c r="J186" s="5">
        <f>MID(PasteHashtag!I186,1+FIND("(",PasteHashtag!I186),FIND("/",PasteHashtag!I186)-FIND("(",PasteHashtag!I186)-1)*1</f>
        <v>0.9</v>
      </c>
      <c r="K186" s="5">
        <f>LEFT(PasteHashtag!I186,FIND("(",PasteHashtag!I186)-1)*1</f>
        <v>0.914</v>
      </c>
      <c r="L186" s="5">
        <f>PasteHashtag!J186</f>
        <v>2.7</v>
      </c>
      <c r="M186" s="5">
        <f>PasteHashtag!K186</f>
        <v>10.8</v>
      </c>
      <c r="N186" s="5">
        <f>PasteHashtag!L186</f>
        <v>3</v>
      </c>
      <c r="O186" s="5">
        <f>PasteHashtag!M186</f>
        <v>2.5</v>
      </c>
      <c r="P186" s="5">
        <f>PasteHashtag!N186</f>
        <v>0.6</v>
      </c>
      <c r="Q186" s="5">
        <f>PasteHashtag!O186</f>
        <v>0.1</v>
      </c>
      <c r="R186" s="5">
        <f>PasteHashtag!P186</f>
        <v>1.1</v>
      </c>
      <c r="S186" s="5">
        <f>Mid(PasteHashtag!H186,FIND("/",PasteHashtag!H186)+1,LEN(PasteHashtag!H186)-FIND("/",PasteHashtag!H186)-1)*1</f>
        <v>7.7</v>
      </c>
      <c r="T186" s="178">
        <f>Mid(PasteHashtag!I186,FIND("/",PasteHashtag!I186)+1,LEN(PasteHashtag!I186)-FIND("/",PasteHashtag!I186)-1)*1</f>
        <v>0.9</v>
      </c>
    </row>
    <row r="187">
      <c r="A187" s="5">
        <v>186.0</v>
      </c>
      <c r="B187" s="5">
        <f>PasteHashtag!B187</f>
        <v>139.1</v>
      </c>
      <c r="C187" s="177" t="str">
        <f>PasteHashtag!C187</f>
        <v>Andre Drummond</v>
      </c>
      <c r="D187" s="5" t="str">
        <f>PasteHashtag!D187</f>
        <v>C</v>
      </c>
      <c r="E187" s="5" t="str">
        <f>PasteHashtag!E187</f>
        <v>PHI</v>
      </c>
      <c r="F187" s="5">
        <f>PasteHashtag!F187</f>
        <v>74</v>
      </c>
      <c r="G187" s="5">
        <f>PasteHashtag!G187</f>
        <v>20.1</v>
      </c>
      <c r="H187" s="5">
        <f>MID(PasteHashtag!H187,1+FIND("(",PasteHashtag!H187),FIND("/",PasteHashtag!H187)-FIND("(",PasteHashtag!H187)-1)*1</f>
        <v>4</v>
      </c>
      <c r="I187" s="5">
        <f>LEFT(PasteHashtag!H187,FIND("(",PasteHashtag!H187)-1)*1</f>
        <v>0.574</v>
      </c>
      <c r="J187" s="5">
        <f>MID(PasteHashtag!I187,1+FIND("(",PasteHashtag!I187),FIND("/",PasteHashtag!I187)-FIND("(",PasteHashtag!I187)-1)*1</f>
        <v>1.8</v>
      </c>
      <c r="K187" s="5">
        <f>LEFT(PasteHashtag!I187,FIND("(",PasteHashtag!I187)-1)*1</f>
        <v>0.604</v>
      </c>
      <c r="L187" s="5">
        <f>PasteHashtag!J187</f>
        <v>0</v>
      </c>
      <c r="M187" s="5">
        <f>PasteHashtag!K187</f>
        <v>9.8</v>
      </c>
      <c r="N187" s="5">
        <f>PasteHashtag!L187</f>
        <v>10.6</v>
      </c>
      <c r="O187" s="5">
        <f>PasteHashtag!M187</f>
        <v>0.6</v>
      </c>
      <c r="P187" s="5">
        <f>PasteHashtag!N187</f>
        <v>1.1</v>
      </c>
      <c r="Q187" s="5">
        <f>PasteHashtag!O187</f>
        <v>0.7</v>
      </c>
      <c r="R187" s="5">
        <f>PasteHashtag!P187</f>
        <v>1.4</v>
      </c>
      <c r="S187" s="5">
        <f>Mid(PasteHashtag!H187,FIND("/",PasteHashtag!H187)+1,LEN(PasteHashtag!H187)-FIND("/",PasteHashtag!H187)-1)*1</f>
        <v>6.9</v>
      </c>
      <c r="T187" s="178">
        <f>Mid(PasteHashtag!I187,FIND("/",PasteHashtag!I187)+1,LEN(PasteHashtag!I187)-FIND("/",PasteHashtag!I187)-1)*1</f>
        <v>3</v>
      </c>
    </row>
    <row r="188">
      <c r="A188" s="5">
        <v>187.0</v>
      </c>
      <c r="B188" s="5">
        <f>PasteHashtag!B188</f>
        <v>141.7</v>
      </c>
      <c r="C188" s="177" t="str">
        <f>PasteHashtag!C188</f>
        <v>Cole Anthony</v>
      </c>
      <c r="D188" s="5" t="str">
        <f>PasteHashtag!D188</f>
        <v>PG</v>
      </c>
      <c r="E188" s="5" t="str">
        <f>PasteHashtag!E188</f>
        <v>ORL</v>
      </c>
      <c r="F188" s="5">
        <f>PasteHashtag!F188</f>
        <v>72</v>
      </c>
      <c r="G188" s="5">
        <f>PasteHashtag!G188</f>
        <v>21.9</v>
      </c>
      <c r="H188" s="5">
        <f>MID(PasteHashtag!H188,1+FIND("(",PasteHashtag!H188),FIND("/",PasteHashtag!H188)-FIND("(",PasteHashtag!H188)-1)*1</f>
        <v>4</v>
      </c>
      <c r="I188" s="5">
        <f>LEFT(PasteHashtag!H188,FIND("(",PasteHashtag!H188)-1)*1</f>
        <v>0.444</v>
      </c>
      <c r="J188" s="5">
        <f>MID(PasteHashtag!I188,1+FIND("(",PasteHashtag!I188),FIND("/",PasteHashtag!I188)-FIND("(",PasteHashtag!I188)-1)*1</f>
        <v>2.2</v>
      </c>
      <c r="K188" s="5">
        <f>LEFT(PasteHashtag!I188,FIND("(",PasteHashtag!I188)-1)*1</f>
        <v>0.855</v>
      </c>
      <c r="L188" s="5">
        <f>PasteHashtag!J188</f>
        <v>1.3</v>
      </c>
      <c r="M188" s="5">
        <f>PasteHashtag!K188</f>
        <v>11.5</v>
      </c>
      <c r="N188" s="5">
        <f>PasteHashtag!L188</f>
        <v>3.9</v>
      </c>
      <c r="O188" s="5">
        <f>PasteHashtag!M188</f>
        <v>3.1</v>
      </c>
      <c r="P188" s="5">
        <f>PasteHashtag!N188</f>
        <v>0.7</v>
      </c>
      <c r="Q188" s="5">
        <f>PasteHashtag!O188</f>
        <v>0.5</v>
      </c>
      <c r="R188" s="5">
        <f>PasteHashtag!P188</f>
        <v>1.4</v>
      </c>
      <c r="S188" s="5">
        <f>Mid(PasteHashtag!H188,FIND("/",PasteHashtag!H188)+1,LEN(PasteHashtag!H188)-FIND("/",PasteHashtag!H188)-1)*1</f>
        <v>9</v>
      </c>
      <c r="T188" s="178">
        <f>Mid(PasteHashtag!I188,FIND("/",PasteHashtag!I188)+1,LEN(PasteHashtag!I188)-FIND("/",PasteHashtag!I188)-1)*1</f>
        <v>2.6</v>
      </c>
    </row>
    <row r="189">
      <c r="A189" s="5">
        <v>188.0</v>
      </c>
      <c r="B189" s="5">
        <f>PasteHashtag!B189</f>
        <v>140.9</v>
      </c>
      <c r="C189" s="177" t="str">
        <f>PasteHashtag!C189</f>
        <v>Reed Sheppard</v>
      </c>
      <c r="D189" s="5" t="str">
        <f>PasteHashtag!D189</f>
        <v>SG</v>
      </c>
      <c r="E189" s="5" t="str">
        <f>PasteHashtag!E189</f>
        <v>HOU</v>
      </c>
      <c r="F189" s="5">
        <f>PasteHashtag!F189</f>
        <v>67</v>
      </c>
      <c r="G189" s="5">
        <f>PasteHashtag!G189</f>
        <v>20.2</v>
      </c>
      <c r="H189" s="5">
        <f>MID(PasteHashtag!H189,1+FIND("(",PasteHashtag!H189),FIND("/",PasteHashtag!H189)-FIND("(",PasteHashtag!H189)-1)*1</f>
        <v>2.2</v>
      </c>
      <c r="I189" s="5">
        <f>LEFT(PasteHashtag!H189,FIND("(",PasteHashtag!H189)-1)*1</f>
        <v>0.472</v>
      </c>
      <c r="J189" s="5">
        <f>MID(PasteHashtag!I189,1+FIND("(",PasteHashtag!I189),FIND("/",PasteHashtag!I189)-FIND("(",PasteHashtag!I189)-1)*1</f>
        <v>0.9</v>
      </c>
      <c r="K189" s="5">
        <f>LEFT(PasteHashtag!I189,FIND("(",PasteHashtag!I189)-1)*1</f>
        <v>0.835</v>
      </c>
      <c r="L189" s="5">
        <f>PasteHashtag!J189</f>
        <v>1.3</v>
      </c>
      <c r="M189" s="5">
        <f>PasteHashtag!K189</f>
        <v>6.7</v>
      </c>
      <c r="N189" s="5">
        <f>PasteHashtag!L189</f>
        <v>2.5</v>
      </c>
      <c r="O189" s="5">
        <f>PasteHashtag!M189</f>
        <v>2.4</v>
      </c>
      <c r="P189" s="5">
        <f>PasteHashtag!N189</f>
        <v>1.3</v>
      </c>
      <c r="Q189" s="5">
        <f>PasteHashtag!O189</f>
        <v>0.4</v>
      </c>
      <c r="R189" s="5">
        <f>PasteHashtag!P189</f>
        <v>1.1</v>
      </c>
      <c r="S189" s="5">
        <f>Mid(PasteHashtag!H189,FIND("/",PasteHashtag!H189)+1,LEN(PasteHashtag!H189)-FIND("/",PasteHashtag!H189)-1)*1</f>
        <v>4.8</v>
      </c>
      <c r="T189" s="178">
        <f>Mid(PasteHashtag!I189,FIND("/",PasteHashtag!I189)+1,LEN(PasteHashtag!I189)-FIND("/",PasteHashtag!I189)-1)*1</f>
        <v>1</v>
      </c>
    </row>
    <row r="190">
      <c r="A190" s="5">
        <v>189.0</v>
      </c>
      <c r="B190" s="5">
        <f>PasteHashtag!B190</f>
        <v>139.4</v>
      </c>
      <c r="C190" s="177" t="str">
        <f>PasteHashtag!C190</f>
        <v>Andrew Wiggins</v>
      </c>
      <c r="D190" s="5" t="str">
        <f>PasteHashtag!D190</f>
        <v>SF,PF</v>
      </c>
      <c r="E190" s="5" t="str">
        <f>PasteHashtag!E190</f>
        <v>GS</v>
      </c>
      <c r="F190" s="5">
        <f>PasteHashtag!F190</f>
        <v>70</v>
      </c>
      <c r="G190" s="5">
        <f>PasteHashtag!G190</f>
        <v>28.5</v>
      </c>
      <c r="H190" s="5">
        <f>MID(PasteHashtag!H190,1+FIND("(",PasteHashtag!H190),FIND("/",PasteHashtag!H190)-FIND("(",PasteHashtag!H190)-1)*1</f>
        <v>5.6</v>
      </c>
      <c r="I190" s="5">
        <f>LEFT(PasteHashtag!H190,FIND("(",PasteHashtag!H190)-1)*1</f>
        <v>0.461</v>
      </c>
      <c r="J190" s="5">
        <f>MID(PasteHashtag!I190,1+FIND("(",PasteHashtag!I190),FIND("/",PasteHashtag!I190)-FIND("(",PasteHashtag!I190)-1)*1</f>
        <v>1.7</v>
      </c>
      <c r="K190" s="5">
        <f>LEFT(PasteHashtag!I190,FIND("(",PasteHashtag!I190)-1)*1</f>
        <v>0.711</v>
      </c>
      <c r="L190" s="5">
        <f>PasteHashtag!J190</f>
        <v>1.7</v>
      </c>
      <c r="M190" s="5">
        <f>PasteHashtag!K190</f>
        <v>14.6</v>
      </c>
      <c r="N190" s="5">
        <f>PasteHashtag!L190</f>
        <v>4.7</v>
      </c>
      <c r="O190" s="5">
        <f>PasteHashtag!M190</f>
        <v>1.9</v>
      </c>
      <c r="P190" s="5">
        <f>PasteHashtag!N190</f>
        <v>0.8</v>
      </c>
      <c r="Q190" s="5">
        <f>PasteHashtag!O190</f>
        <v>0.6</v>
      </c>
      <c r="R190" s="5">
        <f>PasteHashtag!P190</f>
        <v>1.3</v>
      </c>
      <c r="S190" s="5">
        <f>Mid(PasteHashtag!H190,FIND("/",PasteHashtag!H190)+1,LEN(PasteHashtag!H190)-FIND("/",PasteHashtag!H190)-1)*1</f>
        <v>12.1</v>
      </c>
      <c r="T190" s="178">
        <f>Mid(PasteHashtag!I190,FIND("/",PasteHashtag!I190)+1,LEN(PasteHashtag!I190)-FIND("/",PasteHashtag!I190)-1)*1</f>
        <v>2.4</v>
      </c>
    </row>
    <row r="191">
      <c r="A191" s="5">
        <v>190.0</v>
      </c>
      <c r="B191" s="5" t="str">
        <f>PasteHashtag!B191</f>
        <v/>
      </c>
      <c r="C191" s="177" t="str">
        <f>PasteHashtag!C191</f>
        <v>Jarred Vanderbilt</v>
      </c>
      <c r="D191" s="5" t="str">
        <f>PasteHashtag!D191</f>
        <v>PF</v>
      </c>
      <c r="E191" s="5" t="str">
        <f>PasteHashtag!E191</f>
        <v>LAL</v>
      </c>
      <c r="F191" s="5">
        <f>PasteHashtag!F191</f>
        <v>65</v>
      </c>
      <c r="G191" s="5">
        <f>PasteHashtag!G191</f>
        <v>24.1</v>
      </c>
      <c r="H191" s="5">
        <f>MID(PasteHashtag!H191,1+FIND("(",PasteHashtag!H191),FIND("/",PasteHashtag!H191)-FIND("(",PasteHashtag!H191)-1)*1</f>
        <v>3</v>
      </c>
      <c r="I191" s="5">
        <f>LEFT(PasteHashtag!H191,FIND("(",PasteHashtag!H191)-1)*1</f>
        <v>0.542</v>
      </c>
      <c r="J191" s="5">
        <f>MID(PasteHashtag!I191,1+FIND("(",PasteHashtag!I191),FIND("/",PasteHashtag!I191)-FIND("(",PasteHashtag!I191)-1)*1</f>
        <v>1.2</v>
      </c>
      <c r="K191" s="5">
        <f>LEFT(PasteHashtag!I191,FIND("(",PasteHashtag!I191)-1)*1</f>
        <v>0.688</v>
      </c>
      <c r="L191" s="5">
        <f>PasteHashtag!J191</f>
        <v>0.4</v>
      </c>
      <c r="M191" s="5">
        <f>PasteHashtag!K191</f>
        <v>7.6</v>
      </c>
      <c r="N191" s="5">
        <f>PasteHashtag!L191</f>
        <v>7.1</v>
      </c>
      <c r="O191" s="5">
        <f>PasteHashtag!M191</f>
        <v>2.2</v>
      </c>
      <c r="P191" s="5">
        <f>PasteHashtag!N191</f>
        <v>1.2</v>
      </c>
      <c r="Q191" s="5">
        <f>PasteHashtag!O191</f>
        <v>0.3</v>
      </c>
      <c r="R191" s="5">
        <f>PasteHashtag!P191</f>
        <v>1.2</v>
      </c>
      <c r="S191" s="5">
        <f>Mid(PasteHashtag!H191,FIND("/",PasteHashtag!H191)+1,LEN(PasteHashtag!H191)-FIND("/",PasteHashtag!H191)-1)*1</f>
        <v>5.6</v>
      </c>
      <c r="T191" s="178">
        <f>Mid(PasteHashtag!I191,FIND("/",PasteHashtag!I191)+1,LEN(PasteHashtag!I191)-FIND("/",PasteHashtag!I191)-1)*1</f>
        <v>1.7</v>
      </c>
    </row>
    <row r="192">
      <c r="A192" s="5">
        <v>191.0</v>
      </c>
      <c r="B192" s="5" t="str">
        <f>PasteHashtag!B192</f>
        <v/>
      </c>
      <c r="C192" s="177" t="str">
        <f>PasteHashtag!C192</f>
        <v>Caleb Martin</v>
      </c>
      <c r="D192" s="5" t="str">
        <f>PasteHashtag!D192</f>
        <v>SG,SF</v>
      </c>
      <c r="E192" s="5" t="str">
        <f>PasteHashtag!E192</f>
        <v>PHI</v>
      </c>
      <c r="F192" s="5">
        <f>PasteHashtag!F192</f>
        <v>68</v>
      </c>
      <c r="G192" s="5">
        <f>PasteHashtag!G192</f>
        <v>30</v>
      </c>
      <c r="H192" s="5">
        <f>MID(PasteHashtag!H192,1+FIND("(",PasteHashtag!H192),FIND("/",PasteHashtag!H192)-FIND("(",PasteHashtag!H192)-1)*1</f>
        <v>3.9</v>
      </c>
      <c r="I192" s="5">
        <f>LEFT(PasteHashtag!H192,FIND("(",PasteHashtag!H192)-1)*1</f>
        <v>0.447</v>
      </c>
      <c r="J192" s="5">
        <f>MID(PasteHashtag!I192,1+FIND("(",PasteHashtag!I192),FIND("/",PasteHashtag!I192)-FIND("(",PasteHashtag!I192)-1)*1</f>
        <v>1.3</v>
      </c>
      <c r="K192" s="5">
        <f>LEFT(PasteHashtag!I192,FIND("(",PasteHashtag!I192)-1)*1</f>
        <v>0.796</v>
      </c>
      <c r="L192" s="5">
        <f>PasteHashtag!J192</f>
        <v>1.3</v>
      </c>
      <c r="M192" s="5">
        <f>PasteHashtag!K192</f>
        <v>10.5</v>
      </c>
      <c r="N192" s="5">
        <f>PasteHashtag!L192</f>
        <v>4.9</v>
      </c>
      <c r="O192" s="5">
        <f>PasteHashtag!M192</f>
        <v>2.1</v>
      </c>
      <c r="P192" s="5">
        <f>PasteHashtag!N192</f>
        <v>0.9</v>
      </c>
      <c r="Q192" s="5">
        <f>PasteHashtag!O192</f>
        <v>0.5</v>
      </c>
      <c r="R192" s="5">
        <f>PasteHashtag!P192</f>
        <v>1.2</v>
      </c>
      <c r="S192" s="5">
        <f>Mid(PasteHashtag!H192,FIND("/",PasteHashtag!H192)+1,LEN(PasteHashtag!H192)-FIND("/",PasteHashtag!H192)-1)*1</f>
        <v>8.8</v>
      </c>
      <c r="T192" s="178">
        <f>Mid(PasteHashtag!I192,FIND("/",PasteHashtag!I192)+1,LEN(PasteHashtag!I192)-FIND("/",PasteHashtag!I192)-1)*1</f>
        <v>1.7</v>
      </c>
    </row>
    <row r="193">
      <c r="A193" s="5">
        <v>192.0</v>
      </c>
      <c r="B193" s="5">
        <f>PasteHashtag!B193</f>
        <v>139.1</v>
      </c>
      <c r="C193" s="177" t="str">
        <f>PasteHashtag!C193</f>
        <v>Russell Westbrook</v>
      </c>
      <c r="D193" s="5" t="str">
        <f>PasteHashtag!D193</f>
        <v>PG</v>
      </c>
      <c r="E193" s="5" t="str">
        <f>PasteHashtag!E193</f>
        <v>DEN</v>
      </c>
      <c r="F193" s="5">
        <f>PasteHashtag!F193</f>
        <v>72</v>
      </c>
      <c r="G193" s="5">
        <f>PasteHashtag!G193</f>
        <v>29.2</v>
      </c>
      <c r="H193" s="5">
        <f>MID(PasteHashtag!H193,1+FIND("(",PasteHashtag!H193),FIND("/",PasteHashtag!H193)-FIND("(",PasteHashtag!H193)-1)*1</f>
        <v>5.7</v>
      </c>
      <c r="I193" s="5">
        <f>LEFT(PasteHashtag!H193,FIND("(",PasteHashtag!H193)-1)*1</f>
        <v>0.444</v>
      </c>
      <c r="J193" s="5">
        <f>MID(PasteHashtag!I193,1+FIND("(",PasteHashtag!I193),FIND("/",PasteHashtag!I193)-FIND("(",PasteHashtag!I193)-1)*1</f>
        <v>2.5</v>
      </c>
      <c r="K193" s="5">
        <f>LEFT(PasteHashtag!I193,FIND("(",PasteHashtag!I193)-1)*1</f>
        <v>0.668</v>
      </c>
      <c r="L193" s="5">
        <f>PasteHashtag!J193</f>
        <v>1</v>
      </c>
      <c r="M193" s="5">
        <f>PasteHashtag!K193</f>
        <v>14.8</v>
      </c>
      <c r="N193" s="5">
        <f>PasteHashtag!L193</f>
        <v>5.9</v>
      </c>
      <c r="O193" s="5">
        <f>PasteHashtag!M193</f>
        <v>5.4</v>
      </c>
      <c r="P193" s="5">
        <f>PasteHashtag!N193</f>
        <v>1.2</v>
      </c>
      <c r="Q193" s="5">
        <f>PasteHashtag!O193</f>
        <v>0.4</v>
      </c>
      <c r="R193" s="5">
        <f>PasteHashtag!P193</f>
        <v>3.1</v>
      </c>
      <c r="S193" s="5">
        <f>Mid(PasteHashtag!H193,FIND("/",PasteHashtag!H193)+1,LEN(PasteHashtag!H193)-FIND("/",PasteHashtag!H193)-1)*1</f>
        <v>12.8</v>
      </c>
      <c r="T193" s="178">
        <f>Mid(PasteHashtag!I193,FIND("/",PasteHashtag!I193)+1,LEN(PasteHashtag!I193)-FIND("/",PasteHashtag!I193)-1)*1</f>
        <v>3.7</v>
      </c>
    </row>
    <row r="194">
      <c r="A194" s="5">
        <v>193.0</v>
      </c>
      <c r="B194" s="5">
        <f>PasteHashtag!B194</f>
        <v>138.6</v>
      </c>
      <c r="C194" s="177" t="str">
        <f>PasteHashtag!C194</f>
        <v>Malcolm Brogdon</v>
      </c>
      <c r="D194" s="5" t="str">
        <f>PasteHashtag!D194</f>
        <v>PG,SG</v>
      </c>
      <c r="E194" s="5" t="str">
        <f>PasteHashtag!E194</f>
        <v>WAS</v>
      </c>
      <c r="F194" s="5">
        <f>PasteHashtag!F194</f>
        <v>43</v>
      </c>
      <c r="G194" s="5">
        <f>PasteHashtag!G194</f>
        <v>26.7</v>
      </c>
      <c r="H194" s="5">
        <f>MID(PasteHashtag!H194,1+FIND("(",PasteHashtag!H194),FIND("/",PasteHashtag!H194)-FIND("(",PasteHashtag!H194)-1)*1</f>
        <v>4.3</v>
      </c>
      <c r="I194" s="5">
        <f>LEFT(PasteHashtag!H194,FIND("(",PasteHashtag!H194)-1)*1</f>
        <v>0.466</v>
      </c>
      <c r="J194" s="5">
        <f>MID(PasteHashtag!I194,1+FIND("(",PasteHashtag!I194),FIND("/",PasteHashtag!I194)-FIND("(",PasteHashtag!I194)-1)*1</f>
        <v>1.9</v>
      </c>
      <c r="K194" s="5">
        <f>LEFT(PasteHashtag!I194,FIND("(",PasteHashtag!I194)-1)*1</f>
        <v>0.849</v>
      </c>
      <c r="L194" s="5">
        <f>PasteHashtag!J194</f>
        <v>1.6</v>
      </c>
      <c r="M194" s="5">
        <f>PasteHashtag!K194</f>
        <v>12.1</v>
      </c>
      <c r="N194" s="5">
        <f>PasteHashtag!L194</f>
        <v>3.2</v>
      </c>
      <c r="O194" s="5">
        <f>PasteHashtag!M194</f>
        <v>3.5</v>
      </c>
      <c r="P194" s="5">
        <f>PasteHashtag!N194</f>
        <v>0.5</v>
      </c>
      <c r="Q194" s="5">
        <f>PasteHashtag!O194</f>
        <v>0.2</v>
      </c>
      <c r="R194" s="5">
        <f>PasteHashtag!P194</f>
        <v>1.2</v>
      </c>
      <c r="S194" s="5">
        <f>Mid(PasteHashtag!H194,FIND("/",PasteHashtag!H194)+1,LEN(PasteHashtag!H194)-FIND("/",PasteHashtag!H194)-1)*1</f>
        <v>9.2</v>
      </c>
      <c r="T194" s="178">
        <f>Mid(PasteHashtag!I194,FIND("/",PasteHashtag!I194)+1,LEN(PasteHashtag!I194)-FIND("/",PasteHashtag!I194)-1)*1</f>
        <v>2.3</v>
      </c>
    </row>
    <row r="195">
      <c r="A195" s="5">
        <v>194.0</v>
      </c>
      <c r="B195" s="5">
        <f>PasteHashtag!B195</f>
        <v>144.9</v>
      </c>
      <c r="C195" s="177" t="str">
        <f>PasteHashtag!C195</f>
        <v>Caris LeVert</v>
      </c>
      <c r="D195" s="5" t="str">
        <f>PasteHashtag!D195</f>
        <v>SG,SF</v>
      </c>
      <c r="E195" s="5" t="str">
        <f>PasteHashtag!E195</f>
        <v>CLE</v>
      </c>
      <c r="F195" s="5">
        <f>PasteHashtag!F195</f>
        <v>69</v>
      </c>
      <c r="G195" s="5">
        <f>PasteHashtag!G195</f>
        <v>27.5</v>
      </c>
      <c r="H195" s="5">
        <f>MID(PasteHashtag!H195,1+FIND("(",PasteHashtag!H195),FIND("/",PasteHashtag!H195)-FIND("(",PasteHashtag!H195)-1)*1</f>
        <v>4.4</v>
      </c>
      <c r="I195" s="5">
        <f>LEFT(PasteHashtag!H195,FIND("(",PasteHashtag!H195)-1)*1</f>
        <v>0.426</v>
      </c>
      <c r="J195" s="5">
        <f>MID(PasteHashtag!I195,1+FIND("(",PasteHashtag!I195),FIND("/",PasteHashtag!I195)-FIND("(",PasteHashtag!I195)-1)*1</f>
        <v>1.9</v>
      </c>
      <c r="K195" s="5">
        <f>LEFT(PasteHashtag!I195,FIND("(",PasteHashtag!I195)-1)*1</f>
        <v>0.746</v>
      </c>
      <c r="L195" s="5">
        <f>PasteHashtag!J195</f>
        <v>1.6</v>
      </c>
      <c r="M195" s="5">
        <f>PasteHashtag!K195</f>
        <v>12.2</v>
      </c>
      <c r="N195" s="5">
        <f>PasteHashtag!L195</f>
        <v>3.7</v>
      </c>
      <c r="O195" s="5">
        <f>PasteHashtag!M195</f>
        <v>4.2</v>
      </c>
      <c r="P195" s="5">
        <f>PasteHashtag!N195</f>
        <v>1</v>
      </c>
      <c r="Q195" s="5">
        <f>PasteHashtag!O195</f>
        <v>0.4</v>
      </c>
      <c r="R195" s="5">
        <f>PasteHashtag!P195</f>
        <v>1.5</v>
      </c>
      <c r="S195" s="5">
        <f>Mid(PasteHashtag!H195,FIND("/",PasteHashtag!H195)+1,LEN(PasteHashtag!H195)-FIND("/",PasteHashtag!H195)-1)*1</f>
        <v>10.3</v>
      </c>
      <c r="T195" s="178">
        <f>Mid(PasteHashtag!I195,FIND("/",PasteHashtag!I195)+1,LEN(PasteHashtag!I195)-FIND("/",PasteHashtag!I195)-1)*1</f>
        <v>2.5</v>
      </c>
    </row>
    <row r="196">
      <c r="A196" s="5">
        <v>195.0</v>
      </c>
      <c r="B196" s="5">
        <f>PasteHashtag!B196</f>
        <v>144.6</v>
      </c>
      <c r="C196" s="177" t="str">
        <f>PasteHashtag!C196</f>
        <v>Duncan Robinson</v>
      </c>
      <c r="D196" s="5" t="str">
        <f>PasteHashtag!D196</f>
        <v>SG,SF</v>
      </c>
      <c r="E196" s="5" t="str">
        <f>PasteHashtag!E196</f>
        <v>MIA</v>
      </c>
      <c r="F196" s="5">
        <f>PasteHashtag!F196</f>
        <v>67</v>
      </c>
      <c r="G196" s="5">
        <f>PasteHashtag!G196</f>
        <v>26.4</v>
      </c>
      <c r="H196" s="5">
        <f>MID(PasteHashtag!H196,1+FIND("(",PasteHashtag!H196),FIND("/",PasteHashtag!H196)-FIND("(",PasteHashtag!H196)-1)*1</f>
        <v>4.4</v>
      </c>
      <c r="I196" s="5">
        <f>LEFT(PasteHashtag!H196,FIND("(",PasteHashtag!H196)-1)*1</f>
        <v>0.447</v>
      </c>
      <c r="J196" s="5">
        <f>MID(PasteHashtag!I196,1+FIND("(",PasteHashtag!I196),FIND("/",PasteHashtag!I196)-FIND("(",PasteHashtag!I196)-1)*1</f>
        <v>1.1</v>
      </c>
      <c r="K196" s="5">
        <f>LEFT(PasteHashtag!I196,FIND("(",PasteHashtag!I196)-1)*1</f>
        <v>0.889</v>
      </c>
      <c r="L196" s="5">
        <f>PasteHashtag!J196</f>
        <v>2.6</v>
      </c>
      <c r="M196" s="5">
        <f>PasteHashtag!K196</f>
        <v>12.5</v>
      </c>
      <c r="N196" s="5">
        <f>PasteHashtag!L196</f>
        <v>2.5</v>
      </c>
      <c r="O196" s="5">
        <f>PasteHashtag!M196</f>
        <v>2.5</v>
      </c>
      <c r="P196" s="5">
        <f>PasteHashtag!N196</f>
        <v>0.6</v>
      </c>
      <c r="Q196" s="5">
        <f>PasteHashtag!O196</f>
        <v>0.2</v>
      </c>
      <c r="R196" s="5">
        <f>PasteHashtag!P196</f>
        <v>1.3</v>
      </c>
      <c r="S196" s="5">
        <f>Mid(PasteHashtag!H196,FIND("/",PasteHashtag!H196)+1,LEN(PasteHashtag!H196)-FIND("/",PasteHashtag!H196)-1)*1</f>
        <v>9.8</v>
      </c>
      <c r="T196" s="178">
        <f>Mid(PasteHashtag!I196,FIND("/",PasteHashtag!I196)+1,LEN(PasteHashtag!I196)-FIND("/",PasteHashtag!I196)-1)*1</f>
        <v>1.3</v>
      </c>
    </row>
    <row r="197">
      <c r="A197" s="5">
        <v>196.0</v>
      </c>
      <c r="B197" s="5">
        <f>PasteHashtag!B197</f>
        <v>142.6</v>
      </c>
      <c r="C197" s="177" t="str">
        <f>PasteHashtag!C197</f>
        <v>Nikola Jovic</v>
      </c>
      <c r="D197" s="5" t="str">
        <f>PasteHashtag!D197</f>
        <v>PF,C</v>
      </c>
      <c r="E197" s="5" t="str">
        <f>PasteHashtag!E197</f>
        <v>MIA</v>
      </c>
      <c r="F197" s="5">
        <f>PasteHashtag!F197</f>
        <v>52</v>
      </c>
      <c r="G197" s="5">
        <f>PasteHashtag!G197</f>
        <v>25.4</v>
      </c>
      <c r="H197" s="5">
        <f>MID(PasteHashtag!H197,1+FIND("(",PasteHashtag!H197),FIND("/",PasteHashtag!H197)-FIND("(",PasteHashtag!H197)-1)*1</f>
        <v>3.7</v>
      </c>
      <c r="I197" s="5">
        <f>LEFT(PasteHashtag!H197,FIND("(",PasteHashtag!H197)-1)*1</f>
        <v>0.443</v>
      </c>
      <c r="J197" s="5">
        <f>MID(PasteHashtag!I197,1+FIND("(",PasteHashtag!I197),FIND("/",PasteHashtag!I197)-FIND("(",PasteHashtag!I197)-1)*1</f>
        <v>1.2</v>
      </c>
      <c r="K197" s="5">
        <f>LEFT(PasteHashtag!I197,FIND("(",PasteHashtag!I197)-1)*1</f>
        <v>0.766</v>
      </c>
      <c r="L197" s="5">
        <f>PasteHashtag!J197</f>
        <v>1.8</v>
      </c>
      <c r="M197" s="5">
        <f>PasteHashtag!K197</f>
        <v>10.4</v>
      </c>
      <c r="N197" s="5">
        <f>PasteHashtag!L197</f>
        <v>5.3</v>
      </c>
      <c r="O197" s="5">
        <f>PasteHashtag!M197</f>
        <v>2.4</v>
      </c>
      <c r="P197" s="5">
        <f>PasteHashtag!N197</f>
        <v>0.8</v>
      </c>
      <c r="Q197" s="5">
        <f>PasteHashtag!O197</f>
        <v>0.4</v>
      </c>
      <c r="R197" s="5">
        <f>PasteHashtag!P197</f>
        <v>1.2</v>
      </c>
      <c r="S197" s="5">
        <f>Mid(PasteHashtag!H197,FIND("/",PasteHashtag!H197)+1,LEN(PasteHashtag!H197)-FIND("/",PasteHashtag!H197)-1)*1</f>
        <v>8.4</v>
      </c>
      <c r="T197" s="178">
        <f>Mid(PasteHashtag!I197,FIND("/",PasteHashtag!I197)+1,LEN(PasteHashtag!I197)-FIND("/",PasteHashtag!I197)-1)*1</f>
        <v>1.6</v>
      </c>
    </row>
    <row r="198">
      <c r="A198" s="5">
        <v>197.0</v>
      </c>
      <c r="B198" s="5" t="str">
        <f>PasteHashtag!B198</f>
        <v/>
      </c>
      <c r="C198" s="177" t="str">
        <f>PasteHashtag!C198</f>
        <v>Josh Richardson</v>
      </c>
      <c r="D198" s="5" t="str">
        <f>PasteHashtag!D198</f>
        <v>PG,SG</v>
      </c>
      <c r="E198" s="5" t="str">
        <f>PasteHashtag!E198</f>
        <v>MIA</v>
      </c>
      <c r="F198" s="5">
        <f>PasteHashtag!F198</f>
        <v>60</v>
      </c>
      <c r="G198" s="5">
        <f>PasteHashtag!G198</f>
        <v>25.2</v>
      </c>
      <c r="H198" s="5">
        <f>MID(PasteHashtag!H198,1+FIND("(",PasteHashtag!H198),FIND("/",PasteHashtag!H198)-FIND("(",PasteHashtag!H198)-1)*1</f>
        <v>3.8</v>
      </c>
      <c r="I198" s="5">
        <f>LEFT(PasteHashtag!H198,FIND("(",PasteHashtag!H198)-1)*1</f>
        <v>0.436</v>
      </c>
      <c r="J198" s="5">
        <f>MID(PasteHashtag!I198,1+FIND("(",PasteHashtag!I198),FIND("/",PasteHashtag!I198)-FIND("(",PasteHashtag!I198)-1)*1</f>
        <v>1.2</v>
      </c>
      <c r="K198" s="5">
        <f>LEFT(PasteHashtag!I198,FIND("(",PasteHashtag!I198)-1)*1</f>
        <v>0.885</v>
      </c>
      <c r="L198" s="5">
        <f>PasteHashtag!J198</f>
        <v>1.7</v>
      </c>
      <c r="M198" s="5">
        <f>PasteHashtag!K198</f>
        <v>10.4</v>
      </c>
      <c r="N198" s="5">
        <f>PasteHashtag!L198</f>
        <v>2.9</v>
      </c>
      <c r="O198" s="5">
        <f>PasteHashtag!M198</f>
        <v>2.7</v>
      </c>
      <c r="P198" s="5">
        <f>PasteHashtag!N198</f>
        <v>0.9</v>
      </c>
      <c r="Q198" s="5">
        <f>PasteHashtag!O198</f>
        <v>0.3</v>
      </c>
      <c r="R198" s="5">
        <f>PasteHashtag!P198</f>
        <v>1.2</v>
      </c>
      <c r="S198" s="5">
        <f>Mid(PasteHashtag!H198,FIND("/",PasteHashtag!H198)+1,LEN(PasteHashtag!H198)-FIND("/",PasteHashtag!H198)-1)*1</f>
        <v>8.7</v>
      </c>
      <c r="T198" s="178">
        <f>Mid(PasteHashtag!I198,FIND("/",PasteHashtag!I198)+1,LEN(PasteHashtag!I198)-FIND("/",PasteHashtag!I198)-1)*1</f>
        <v>1.3</v>
      </c>
    </row>
    <row r="199">
      <c r="A199" s="5">
        <v>198.0</v>
      </c>
      <c r="B199" s="5" t="str">
        <f>PasteHashtag!B199</f>
        <v/>
      </c>
      <c r="C199" s="177" t="str">
        <f>PasteHashtag!C199</f>
        <v>Kris Dunn</v>
      </c>
      <c r="D199" s="5" t="str">
        <f>PasteHashtag!D199</f>
        <v>PG,SG</v>
      </c>
      <c r="E199" s="5" t="str">
        <f>PasteHashtag!E199</f>
        <v>LAC</v>
      </c>
      <c r="F199" s="5">
        <f>PasteHashtag!F199</f>
        <v>64</v>
      </c>
      <c r="G199" s="5">
        <f>PasteHashtag!G199</f>
        <v>20.4</v>
      </c>
      <c r="H199" s="5">
        <f>MID(PasteHashtag!H199,1+FIND("(",PasteHashtag!H199),FIND("/",PasteHashtag!H199)-FIND("(",PasteHashtag!H199)-1)*1</f>
        <v>2.9</v>
      </c>
      <c r="I199" s="5">
        <f>LEFT(PasteHashtag!H199,FIND("(",PasteHashtag!H199)-1)*1</f>
        <v>0.498</v>
      </c>
      <c r="J199" s="5">
        <f>MID(PasteHashtag!I199,1+FIND("(",PasteHashtag!I199),FIND("/",PasteHashtag!I199)-FIND("(",PasteHashtag!I199)-1)*1</f>
        <v>0.7</v>
      </c>
      <c r="K199" s="5">
        <f>LEFT(PasteHashtag!I199,FIND("(",PasteHashtag!I199)-1)*1</f>
        <v>0.734</v>
      </c>
      <c r="L199" s="5">
        <f>PasteHashtag!J199</f>
        <v>0.6</v>
      </c>
      <c r="M199" s="5">
        <f>PasteHashtag!K199</f>
        <v>7.2</v>
      </c>
      <c r="N199" s="5">
        <f>PasteHashtag!L199</f>
        <v>3.2</v>
      </c>
      <c r="O199" s="5">
        <f>PasteHashtag!M199</f>
        <v>4.2</v>
      </c>
      <c r="P199" s="5">
        <f>PasteHashtag!N199</f>
        <v>1</v>
      </c>
      <c r="Q199" s="5">
        <f>PasteHashtag!O199</f>
        <v>0.4</v>
      </c>
      <c r="R199" s="5">
        <f>PasteHashtag!P199</f>
        <v>1.3</v>
      </c>
      <c r="S199" s="5">
        <f>Mid(PasteHashtag!H199,FIND("/",PasteHashtag!H199)+1,LEN(PasteHashtag!H199)-FIND("/",PasteHashtag!H199)-1)*1</f>
        <v>5.9</v>
      </c>
      <c r="T199" s="178">
        <f>Mid(PasteHashtag!I199,FIND("/",PasteHashtag!I199)+1,LEN(PasteHashtag!I199)-FIND("/",PasteHashtag!I199)-1)*1</f>
        <v>0.9</v>
      </c>
    </row>
    <row r="200">
      <c r="A200" s="5">
        <v>199.0</v>
      </c>
      <c r="B200" s="5">
        <f>PasteHashtag!B200</f>
        <v>139.1</v>
      </c>
      <c r="C200" s="177" t="str">
        <f>PasteHashtag!C200</f>
        <v>Ayo Dosunmu</v>
      </c>
      <c r="D200" s="5" t="str">
        <f>PasteHashtag!D200</f>
        <v>SG,SF</v>
      </c>
      <c r="E200" s="5" t="str">
        <f>PasteHashtag!E200</f>
        <v>CHI</v>
      </c>
      <c r="F200" s="5">
        <f>PasteHashtag!F200</f>
        <v>78</v>
      </c>
      <c r="G200" s="5">
        <f>PasteHashtag!G200</f>
        <v>27.2</v>
      </c>
      <c r="H200" s="5">
        <f>MID(PasteHashtag!H200,1+FIND("(",PasteHashtag!H200),FIND("/",PasteHashtag!H200)-FIND("(",PasteHashtag!H200)-1)*1</f>
        <v>4.1</v>
      </c>
      <c r="I200" s="5">
        <f>LEFT(PasteHashtag!H200,FIND("(",PasteHashtag!H200)-1)*1</f>
        <v>0.498</v>
      </c>
      <c r="J200" s="5">
        <f>MID(PasteHashtag!I200,1+FIND("(",PasteHashtag!I200),FIND("/",PasteHashtag!I200)-FIND("(",PasteHashtag!I200)-1)*1</f>
        <v>1</v>
      </c>
      <c r="K200" s="5">
        <f>LEFT(PasteHashtag!I200,FIND("(",PasteHashtag!I200)-1)*1</f>
        <v>0.814</v>
      </c>
      <c r="L200" s="5">
        <f>PasteHashtag!J200</f>
        <v>1.1</v>
      </c>
      <c r="M200" s="5">
        <f>PasteHashtag!K200</f>
        <v>10.2</v>
      </c>
      <c r="N200" s="5">
        <f>PasteHashtag!L200</f>
        <v>2.8</v>
      </c>
      <c r="O200" s="5">
        <f>PasteHashtag!M200</f>
        <v>2.8</v>
      </c>
      <c r="P200" s="5">
        <f>PasteHashtag!N200</f>
        <v>0.8</v>
      </c>
      <c r="Q200" s="5">
        <f>PasteHashtag!O200</f>
        <v>0.4</v>
      </c>
      <c r="R200" s="5">
        <f>PasteHashtag!P200</f>
        <v>1.3</v>
      </c>
      <c r="S200" s="5">
        <f>Mid(PasteHashtag!H200,FIND("/",PasteHashtag!H200)+1,LEN(PasteHashtag!H200)-FIND("/",PasteHashtag!H200)-1)*1</f>
        <v>8.2</v>
      </c>
      <c r="T200" s="178">
        <f>Mid(PasteHashtag!I200,FIND("/",PasteHashtag!I200)+1,LEN(PasteHashtag!I200)-FIND("/",PasteHashtag!I200)-1)*1</f>
        <v>1.2</v>
      </c>
    </row>
    <row r="201">
      <c r="A201" s="5">
        <v>200.0</v>
      </c>
      <c r="B201" s="5">
        <f>PasteHashtag!B201</f>
        <v>143</v>
      </c>
      <c r="C201" s="177" t="str">
        <f>PasteHashtag!C201</f>
        <v>Bennedict Mathurin</v>
      </c>
      <c r="D201" s="5" t="str">
        <f>PasteHashtag!D201</f>
        <v>SG,SF</v>
      </c>
      <c r="E201" s="5" t="str">
        <f>PasteHashtag!E201</f>
        <v>IND</v>
      </c>
      <c r="F201" s="5">
        <f>PasteHashtag!F201</f>
        <v>68</v>
      </c>
      <c r="G201" s="5">
        <f>PasteHashtag!G201</f>
        <v>29</v>
      </c>
      <c r="H201" s="5">
        <f>MID(PasteHashtag!H201,1+FIND("(",PasteHashtag!H201),FIND("/",PasteHashtag!H201)-FIND("(",PasteHashtag!H201)-1)*1</f>
        <v>5.5</v>
      </c>
      <c r="I201" s="5">
        <f>LEFT(PasteHashtag!H201,FIND("(",PasteHashtag!H201)-1)*1</f>
        <v>0.443</v>
      </c>
      <c r="J201" s="5">
        <f>MID(PasteHashtag!I201,1+FIND("(",PasteHashtag!I201),FIND("/",PasteHashtag!I201)-FIND("(",PasteHashtag!I201)-1)*1</f>
        <v>4.4</v>
      </c>
      <c r="K201" s="5">
        <f>LEFT(PasteHashtag!I201,FIND("(",PasteHashtag!I201)-1)*1</f>
        <v>0.826</v>
      </c>
      <c r="L201" s="5">
        <f>PasteHashtag!J201</f>
        <v>1.4</v>
      </c>
      <c r="M201" s="5">
        <f>PasteHashtag!K201</f>
        <v>16.8</v>
      </c>
      <c r="N201" s="5">
        <f>PasteHashtag!L201</f>
        <v>4.3</v>
      </c>
      <c r="O201" s="5">
        <f>PasteHashtag!M201</f>
        <v>1.8</v>
      </c>
      <c r="P201" s="5">
        <f>PasteHashtag!N201</f>
        <v>0.7</v>
      </c>
      <c r="Q201" s="5">
        <f>PasteHashtag!O201</f>
        <v>0.2</v>
      </c>
      <c r="R201" s="5">
        <f>PasteHashtag!P201</f>
        <v>1.9</v>
      </c>
      <c r="S201" s="5">
        <f>Mid(PasteHashtag!H201,FIND("/",PasteHashtag!H201)+1,LEN(PasteHashtag!H201)-FIND("/",PasteHashtag!H201)-1)*1</f>
        <v>12.5</v>
      </c>
      <c r="T201" s="178">
        <f>Mid(PasteHashtag!I201,FIND("/",PasteHashtag!I201)+1,LEN(PasteHashtag!I201)-FIND("/",PasteHashtag!I201)-1)*1</f>
        <v>5.3</v>
      </c>
    </row>
    <row r="202">
      <c r="A202" s="5">
        <v>201.0</v>
      </c>
      <c r="B202" s="5" t="str">
        <f>PasteHashtag!B202</f>
        <v/>
      </c>
      <c r="C202" s="177" t="str">
        <f>PasteHashtag!C202</f>
        <v>Josh Green</v>
      </c>
      <c r="D202" s="5" t="str">
        <f>PasteHashtag!D202</f>
        <v>SG,SF</v>
      </c>
      <c r="E202" s="5" t="str">
        <f>PasteHashtag!E202</f>
        <v>CHA</v>
      </c>
      <c r="F202" s="5">
        <f>PasteHashtag!F202</f>
        <v>64</v>
      </c>
      <c r="G202" s="5">
        <f>PasteHashtag!G202</f>
        <v>28.9</v>
      </c>
      <c r="H202" s="5">
        <f>MID(PasteHashtag!H202,1+FIND("(",PasteHashtag!H202),FIND("/",PasteHashtag!H202)-FIND("(",PasteHashtag!H202)-1)*1</f>
        <v>4.2</v>
      </c>
      <c r="I202" s="5">
        <f>LEFT(PasteHashtag!H202,FIND("(",PasteHashtag!H202)-1)*1</f>
        <v>0.472</v>
      </c>
      <c r="J202" s="5">
        <f>MID(PasteHashtag!I202,1+FIND("(",PasteHashtag!I202),FIND("/",PasteHashtag!I202)-FIND("(",PasteHashtag!I202)-1)*1</f>
        <v>1.1</v>
      </c>
      <c r="K202" s="5">
        <f>LEFT(PasteHashtag!I202,FIND("(",PasteHashtag!I202)-1)*1</f>
        <v>0.709</v>
      </c>
      <c r="L202" s="5">
        <f>PasteHashtag!J202</f>
        <v>1.6</v>
      </c>
      <c r="M202" s="5">
        <f>PasteHashtag!K202</f>
        <v>11</v>
      </c>
      <c r="N202" s="5">
        <f>PasteHashtag!L202</f>
        <v>3.6</v>
      </c>
      <c r="O202" s="5">
        <f>PasteHashtag!M202</f>
        <v>2.3</v>
      </c>
      <c r="P202" s="5">
        <f>PasteHashtag!N202</f>
        <v>1</v>
      </c>
      <c r="Q202" s="5">
        <f>PasteHashtag!O202</f>
        <v>0.3</v>
      </c>
      <c r="R202" s="5">
        <f>PasteHashtag!P202</f>
        <v>1.3</v>
      </c>
      <c r="S202" s="5">
        <f>Mid(PasteHashtag!H202,FIND("/",PasteHashtag!H202)+1,LEN(PasteHashtag!H202)-FIND("/",PasteHashtag!H202)-1)*1</f>
        <v>8.9</v>
      </c>
      <c r="T202" s="178">
        <f>Mid(PasteHashtag!I202,FIND("/",PasteHashtag!I202)+1,LEN(PasteHashtag!I202)-FIND("/",PasteHashtag!I202)-1)*1</f>
        <v>1.5</v>
      </c>
    </row>
    <row r="203">
      <c r="A203" s="5">
        <v>202.0</v>
      </c>
      <c r="B203" s="5" t="str">
        <f>PasteHashtag!B203</f>
        <v/>
      </c>
      <c r="C203" s="177" t="str">
        <f>PasteHashtag!C203</f>
        <v>Peyton Watson</v>
      </c>
      <c r="D203" s="5" t="str">
        <f>PasteHashtag!D203</f>
        <v>SF,PF</v>
      </c>
      <c r="E203" s="5" t="str">
        <f>PasteHashtag!E203</f>
        <v>DEN</v>
      </c>
      <c r="F203" s="5">
        <f>PasteHashtag!F203</f>
        <v>78</v>
      </c>
      <c r="G203" s="5">
        <f>PasteHashtag!G203</f>
        <v>24.5</v>
      </c>
      <c r="H203" s="5">
        <f>MID(PasteHashtag!H203,1+FIND("(",PasteHashtag!H203),FIND("/",PasteHashtag!H203)-FIND("(",PasteHashtag!H203)-1)*1</f>
        <v>3.7</v>
      </c>
      <c r="I203" s="5">
        <f>LEFT(PasteHashtag!H203,FIND("(",PasteHashtag!H203)-1)*1</f>
        <v>0.467</v>
      </c>
      <c r="J203" s="5">
        <f>MID(PasteHashtag!I203,1+FIND("(",PasteHashtag!I203),FIND("/",PasteHashtag!I203)-FIND("(",PasteHashtag!I203)-1)*1</f>
        <v>1.3</v>
      </c>
      <c r="K203" s="5">
        <f>LEFT(PasteHashtag!I203,FIND("(",PasteHashtag!I203)-1)*1</f>
        <v>0.65</v>
      </c>
      <c r="L203" s="5">
        <f>PasteHashtag!J203</f>
        <v>0.8</v>
      </c>
      <c r="M203" s="5">
        <f>PasteHashtag!K203</f>
        <v>9.5</v>
      </c>
      <c r="N203" s="5">
        <f>PasteHashtag!L203</f>
        <v>4.6</v>
      </c>
      <c r="O203" s="5">
        <f>PasteHashtag!M203</f>
        <v>1.5</v>
      </c>
      <c r="P203" s="5">
        <f>PasteHashtag!N203</f>
        <v>0.7</v>
      </c>
      <c r="Q203" s="5">
        <f>PasteHashtag!O203</f>
        <v>1.5</v>
      </c>
      <c r="R203" s="5">
        <f>PasteHashtag!P203</f>
        <v>1</v>
      </c>
      <c r="S203" s="5">
        <f>Mid(PasteHashtag!H203,FIND("/",PasteHashtag!H203)+1,LEN(PasteHashtag!H203)-FIND("/",PasteHashtag!H203)-1)*1</f>
        <v>7.9</v>
      </c>
      <c r="T203" s="178">
        <f>Mid(PasteHashtag!I203,FIND("/",PasteHashtag!I203)+1,LEN(PasteHashtag!I203)-FIND("/",PasteHashtag!I203)-1)*1</f>
        <v>2</v>
      </c>
    </row>
    <row r="204">
      <c r="A204" s="5">
        <v>203.0</v>
      </c>
      <c r="B204" s="5" t="str">
        <f>PasteHashtag!B204</f>
        <v/>
      </c>
      <c r="C204" s="177" t="str">
        <f>PasteHashtag!C204</f>
        <v>Daniel Theis</v>
      </c>
      <c r="D204" s="5" t="str">
        <f>PasteHashtag!D204</f>
        <v>C</v>
      </c>
      <c r="E204" s="5" t="str">
        <f>PasteHashtag!E204</f>
        <v>NO</v>
      </c>
      <c r="F204" s="5">
        <f>PasteHashtag!F204</f>
        <v>67</v>
      </c>
      <c r="G204" s="5">
        <f>PasteHashtag!G204</f>
        <v>22</v>
      </c>
      <c r="H204" s="5">
        <f>MID(PasteHashtag!H204,1+FIND("(",PasteHashtag!H204),FIND("/",PasteHashtag!H204)-FIND("(",PasteHashtag!H204)-1)*1</f>
        <v>3.5</v>
      </c>
      <c r="I204" s="5">
        <f>LEFT(PasteHashtag!H204,FIND("(",PasteHashtag!H204)-1)*1</f>
        <v>0.524</v>
      </c>
      <c r="J204" s="5">
        <f>MID(PasteHashtag!I204,1+FIND("(",PasteHashtag!I204),FIND("/",PasteHashtag!I204)-FIND("(",PasteHashtag!I204)-1)*1</f>
        <v>0.9</v>
      </c>
      <c r="K204" s="5">
        <f>LEFT(PasteHashtag!I204,FIND("(",PasteHashtag!I204)-1)*1</f>
        <v>0.762</v>
      </c>
      <c r="L204" s="5">
        <f>PasteHashtag!J204</f>
        <v>0.6</v>
      </c>
      <c r="M204" s="5">
        <f>PasteHashtag!K204</f>
        <v>8.5</v>
      </c>
      <c r="N204" s="5">
        <f>PasteHashtag!L204</f>
        <v>5.2</v>
      </c>
      <c r="O204" s="5">
        <f>PasteHashtag!M204</f>
        <v>1.4</v>
      </c>
      <c r="P204" s="5">
        <f>PasteHashtag!N204</f>
        <v>0.5</v>
      </c>
      <c r="Q204" s="5">
        <f>PasteHashtag!O204</f>
        <v>1</v>
      </c>
      <c r="R204" s="5">
        <f>PasteHashtag!P204</f>
        <v>0.9</v>
      </c>
      <c r="S204" s="5">
        <f>Mid(PasteHashtag!H204,FIND("/",PasteHashtag!H204)+1,LEN(PasteHashtag!H204)-FIND("/",PasteHashtag!H204)-1)*1</f>
        <v>6.7</v>
      </c>
      <c r="T204" s="178">
        <f>Mid(PasteHashtag!I204,FIND("/",PasteHashtag!I204)+1,LEN(PasteHashtag!I204)-FIND("/",PasteHashtag!I204)-1)*1</f>
        <v>1.2</v>
      </c>
    </row>
    <row r="205">
      <c r="A205" s="5">
        <v>204.0</v>
      </c>
      <c r="B205" s="5" t="str">
        <f>PasteHashtag!B205</f>
        <v/>
      </c>
      <c r="C205" s="177" t="str">
        <f>PasteHashtag!C205</f>
        <v>Nickeil Alexander-Walker</v>
      </c>
      <c r="D205" s="5" t="str">
        <f>PasteHashtag!D205</f>
        <v>SG,SF</v>
      </c>
      <c r="E205" s="5" t="str">
        <f>PasteHashtag!E205</f>
        <v>MIN</v>
      </c>
      <c r="F205" s="5">
        <f>PasteHashtag!F205</f>
        <v>74</v>
      </c>
      <c r="G205" s="5">
        <f>PasteHashtag!G205</f>
        <v>25.8</v>
      </c>
      <c r="H205" s="5">
        <f>MID(PasteHashtag!H205,1+FIND("(",PasteHashtag!H205),FIND("/",PasteHashtag!H205)-FIND("(",PasteHashtag!H205)-1)*1</f>
        <v>3.4</v>
      </c>
      <c r="I205" s="5">
        <f>LEFT(PasteHashtag!H205,FIND("(",PasteHashtag!H205)-1)*1</f>
        <v>0.441</v>
      </c>
      <c r="J205" s="5">
        <f>MID(PasteHashtag!I205,1+FIND("(",PasteHashtag!I205),FIND("/",PasteHashtag!I205)-FIND("(",PasteHashtag!I205)-1)*1</f>
        <v>0.9</v>
      </c>
      <c r="K205" s="5">
        <f>LEFT(PasteHashtag!I205,FIND("(",PasteHashtag!I205)-1)*1</f>
        <v>0.733</v>
      </c>
      <c r="L205" s="5">
        <f>PasteHashtag!J205</f>
        <v>1.8</v>
      </c>
      <c r="M205" s="5">
        <f>PasteHashtag!K205</f>
        <v>9.5</v>
      </c>
      <c r="N205" s="5">
        <f>PasteHashtag!L205</f>
        <v>2.5</v>
      </c>
      <c r="O205" s="5">
        <f>PasteHashtag!M205</f>
        <v>2.9</v>
      </c>
      <c r="P205" s="5">
        <f>PasteHashtag!N205</f>
        <v>0.9</v>
      </c>
      <c r="Q205" s="5">
        <f>PasteHashtag!O205</f>
        <v>0.6</v>
      </c>
      <c r="R205" s="5">
        <f>PasteHashtag!P205</f>
        <v>1.2</v>
      </c>
      <c r="S205" s="5">
        <f>Mid(PasteHashtag!H205,FIND("/",PasteHashtag!H205)+1,LEN(PasteHashtag!H205)-FIND("/",PasteHashtag!H205)-1)*1</f>
        <v>7.7</v>
      </c>
      <c r="T205" s="178">
        <f>Mid(PasteHashtag!I205,FIND("/",PasteHashtag!I205)+1,LEN(PasteHashtag!I205)-FIND("/",PasteHashtag!I205)-1)*1</f>
        <v>1.2</v>
      </c>
    </row>
    <row r="206">
      <c r="A206" s="5">
        <v>205.0</v>
      </c>
      <c r="B206" s="5" t="str">
        <f>PasteHashtag!B206</f>
        <v/>
      </c>
      <c r="C206" s="177" t="str">
        <f>PasteHashtag!C206</f>
        <v>Isaiah Jackson</v>
      </c>
      <c r="D206" s="5" t="str">
        <f>PasteHashtag!D206</f>
        <v>PF,C</v>
      </c>
      <c r="E206" s="5" t="str">
        <f>PasteHashtag!E206</f>
        <v>IND</v>
      </c>
      <c r="F206" s="5">
        <f>PasteHashtag!F206</f>
        <v>60</v>
      </c>
      <c r="G206" s="5">
        <f>PasteHashtag!G206</f>
        <v>16.5</v>
      </c>
      <c r="H206" s="5">
        <f>MID(PasteHashtag!H206,1+FIND("(",PasteHashtag!H206),FIND("/",PasteHashtag!H206)-FIND("(",PasteHashtag!H206)-1)*1</f>
        <v>3.1</v>
      </c>
      <c r="I206" s="5">
        <f>LEFT(PasteHashtag!H206,FIND("(",PasteHashtag!H206)-1)*1</f>
        <v>0.607</v>
      </c>
      <c r="J206" s="5">
        <f>MID(PasteHashtag!I206,1+FIND("(",PasteHashtag!I206),FIND("/",PasteHashtag!I206)-FIND("(",PasteHashtag!I206)-1)*1</f>
        <v>1.5</v>
      </c>
      <c r="K206" s="5">
        <f>LEFT(PasteHashtag!I206,FIND("(",PasteHashtag!I206)-1)*1</f>
        <v>0.675</v>
      </c>
      <c r="L206" s="5">
        <f>PasteHashtag!J206</f>
        <v>0</v>
      </c>
      <c r="M206" s="5">
        <f>PasteHashtag!K206</f>
        <v>7.7</v>
      </c>
      <c r="N206" s="5">
        <f>PasteHashtag!L206</f>
        <v>4.8</v>
      </c>
      <c r="O206" s="5">
        <f>PasteHashtag!M206</f>
        <v>0.9</v>
      </c>
      <c r="P206" s="5">
        <f>PasteHashtag!N206</f>
        <v>0.6</v>
      </c>
      <c r="Q206" s="5">
        <f>PasteHashtag!O206</f>
        <v>1.4</v>
      </c>
      <c r="R206" s="5">
        <f>PasteHashtag!P206</f>
        <v>0.8</v>
      </c>
      <c r="S206" s="5">
        <f>Mid(PasteHashtag!H206,FIND("/",PasteHashtag!H206)+1,LEN(PasteHashtag!H206)-FIND("/",PasteHashtag!H206)-1)*1</f>
        <v>5.1</v>
      </c>
      <c r="T206" s="178">
        <f>Mid(PasteHashtag!I206,FIND("/",PasteHashtag!I206)+1,LEN(PasteHashtag!I206)-FIND("/",PasteHashtag!I206)-1)*1</f>
        <v>2.3</v>
      </c>
    </row>
    <row r="207">
      <c r="A207" s="5">
        <v>206.0</v>
      </c>
      <c r="B207" s="5">
        <f>PasteHashtag!B207</f>
        <v>146</v>
      </c>
      <c r="C207" s="177" t="str">
        <f>PasteHashtag!C207</f>
        <v>Sam Hauser</v>
      </c>
      <c r="D207" s="5" t="str">
        <f>PasteHashtag!D207</f>
        <v>SF,PF</v>
      </c>
      <c r="E207" s="5" t="str">
        <f>PasteHashtag!E207</f>
        <v>BOS</v>
      </c>
      <c r="F207" s="5">
        <f>PasteHashtag!F207</f>
        <v>80</v>
      </c>
      <c r="G207" s="5">
        <f>PasteHashtag!G207</f>
        <v>23.5</v>
      </c>
      <c r="H207" s="5">
        <f>MID(PasteHashtag!H207,1+FIND("(",PasteHashtag!H207),FIND("/",PasteHashtag!H207)-FIND("(",PasteHashtag!H207)-1)*1</f>
        <v>3.4</v>
      </c>
      <c r="I207" s="5">
        <f>LEFT(PasteHashtag!H207,FIND("(",PasteHashtag!H207)-1)*1</f>
        <v>0.45</v>
      </c>
      <c r="J207" s="5">
        <f>MID(PasteHashtag!I207,1+FIND("(",PasteHashtag!I207),FIND("/",PasteHashtag!I207)-FIND("(",PasteHashtag!I207)-1)*1</f>
        <v>0.2</v>
      </c>
      <c r="K207" s="5">
        <f>LEFT(PasteHashtag!I207,FIND("(",PasteHashtag!I207)-1)*1</f>
        <v>0.821</v>
      </c>
      <c r="L207" s="5">
        <f>PasteHashtag!J207</f>
        <v>2.6</v>
      </c>
      <c r="M207" s="5">
        <f>PasteHashtag!K207</f>
        <v>9.6</v>
      </c>
      <c r="N207" s="5">
        <f>PasteHashtag!L207</f>
        <v>3.8</v>
      </c>
      <c r="O207" s="5">
        <f>PasteHashtag!M207</f>
        <v>1.2</v>
      </c>
      <c r="P207" s="5">
        <f>PasteHashtag!N207</f>
        <v>0.5</v>
      </c>
      <c r="Q207" s="5">
        <f>PasteHashtag!O207</f>
        <v>0.4</v>
      </c>
      <c r="R207" s="5">
        <f>PasteHashtag!P207</f>
        <v>0.5</v>
      </c>
      <c r="S207" s="5">
        <f>Mid(PasteHashtag!H207,FIND("/",PasteHashtag!H207)+1,LEN(PasteHashtag!H207)-FIND("/",PasteHashtag!H207)-1)*1</f>
        <v>7.5</v>
      </c>
      <c r="T207" s="178">
        <f>Mid(PasteHashtag!I207,FIND("/",PasteHashtag!I207)+1,LEN(PasteHashtag!I207)-FIND("/",PasteHashtag!I207)-1)*1</f>
        <v>0.3</v>
      </c>
    </row>
    <row r="208">
      <c r="A208" s="5">
        <v>207.0</v>
      </c>
      <c r="B208" s="5" t="str">
        <f>PasteHashtag!B208</f>
        <v/>
      </c>
      <c r="C208" s="177" t="str">
        <f>PasteHashtag!C208</f>
        <v>Eric Gordon</v>
      </c>
      <c r="D208" s="5" t="str">
        <f>PasteHashtag!D208</f>
        <v>SG,SF</v>
      </c>
      <c r="E208" s="5" t="str">
        <f>PasteHashtag!E208</f>
        <v>PHI</v>
      </c>
      <c r="F208" s="5">
        <f>PasteHashtag!F208</f>
        <v>68</v>
      </c>
      <c r="G208" s="5">
        <f>PasteHashtag!G208</f>
        <v>27.6</v>
      </c>
      <c r="H208" s="5">
        <f>MID(PasteHashtag!H208,1+FIND("(",PasteHashtag!H208),FIND("/",PasteHashtag!H208)-FIND("(",PasteHashtag!H208)-1)*1</f>
        <v>4.1</v>
      </c>
      <c r="I208" s="5">
        <f>LEFT(PasteHashtag!H208,FIND("(",PasteHashtag!H208)-1)*1</f>
        <v>0.444</v>
      </c>
      <c r="J208" s="5">
        <f>MID(PasteHashtag!I208,1+FIND("(",PasteHashtag!I208),FIND("/",PasteHashtag!I208)-FIND("(",PasteHashtag!I208)-1)*1</f>
        <v>1.4</v>
      </c>
      <c r="K208" s="5">
        <f>LEFT(PasteHashtag!I208,FIND("(",PasteHashtag!I208)-1)*1</f>
        <v>0.813</v>
      </c>
      <c r="L208" s="5">
        <f>PasteHashtag!J208</f>
        <v>2</v>
      </c>
      <c r="M208" s="5">
        <f>PasteHashtag!K208</f>
        <v>11.6</v>
      </c>
      <c r="N208" s="5">
        <f>PasteHashtag!L208</f>
        <v>1.9</v>
      </c>
      <c r="O208" s="5">
        <f>PasteHashtag!M208</f>
        <v>2.3</v>
      </c>
      <c r="P208" s="5">
        <f>PasteHashtag!N208</f>
        <v>0.8</v>
      </c>
      <c r="Q208" s="5">
        <f>PasteHashtag!O208</f>
        <v>0.4</v>
      </c>
      <c r="R208" s="5">
        <f>PasteHashtag!P208</f>
        <v>1.3</v>
      </c>
      <c r="S208" s="5">
        <f>Mid(PasteHashtag!H208,FIND("/",PasteHashtag!H208)+1,LEN(PasteHashtag!H208)-FIND("/",PasteHashtag!H208)-1)*1</f>
        <v>9.2</v>
      </c>
      <c r="T208" s="178">
        <f>Mid(PasteHashtag!I208,FIND("/",PasteHashtag!I208)+1,LEN(PasteHashtag!I208)-FIND("/",PasteHashtag!I208)-1)*1</f>
        <v>1.7</v>
      </c>
    </row>
    <row r="209">
      <c r="A209" s="5">
        <v>208.0</v>
      </c>
      <c r="B209" s="5">
        <f>PasteHashtag!B209</f>
        <v>146.5</v>
      </c>
      <c r="C209" s="177" t="str">
        <f>PasteHashtag!C209</f>
        <v>De'Andre Hunter</v>
      </c>
      <c r="D209" s="5" t="str">
        <f>PasteHashtag!D209</f>
        <v>SF,PF</v>
      </c>
      <c r="E209" s="5" t="str">
        <f>PasteHashtag!E209</f>
        <v>ATL</v>
      </c>
      <c r="F209" s="5">
        <f>PasteHashtag!F209</f>
        <v>60</v>
      </c>
      <c r="G209" s="5">
        <f>PasteHashtag!G209</f>
        <v>27.4</v>
      </c>
      <c r="H209" s="5">
        <f>MID(PasteHashtag!H209,1+FIND("(",PasteHashtag!H209),FIND("/",PasteHashtag!H209)-FIND("(",PasteHashtag!H209)-1)*1</f>
        <v>5.1</v>
      </c>
      <c r="I209" s="5">
        <f>LEFT(PasteHashtag!H209,FIND("(",PasteHashtag!H209)-1)*1</f>
        <v>0.46</v>
      </c>
      <c r="J209" s="5">
        <f>MID(PasteHashtag!I209,1+FIND("(",PasteHashtag!I209),FIND("/",PasteHashtag!I209)-FIND("(",PasteHashtag!I209)-1)*1</f>
        <v>2.5</v>
      </c>
      <c r="K209" s="5">
        <f>LEFT(PasteHashtag!I209,FIND("(",PasteHashtag!I209)-1)*1</f>
        <v>0.836</v>
      </c>
      <c r="L209" s="5">
        <f>PasteHashtag!J209</f>
        <v>1.6</v>
      </c>
      <c r="M209" s="5">
        <f>PasteHashtag!K209</f>
        <v>14.3</v>
      </c>
      <c r="N209" s="5">
        <f>PasteHashtag!L209</f>
        <v>3.8</v>
      </c>
      <c r="O209" s="5">
        <f>PasteHashtag!M209</f>
        <v>1.4</v>
      </c>
      <c r="P209" s="5">
        <f>PasteHashtag!N209</f>
        <v>0.6</v>
      </c>
      <c r="Q209" s="5">
        <f>PasteHashtag!O209</f>
        <v>0.3</v>
      </c>
      <c r="R209" s="5">
        <f>PasteHashtag!P209</f>
        <v>1.2</v>
      </c>
      <c r="S209" s="5">
        <f>Mid(PasteHashtag!H209,FIND("/",PasteHashtag!H209)+1,LEN(PasteHashtag!H209)-FIND("/",PasteHashtag!H209)-1)*1</f>
        <v>11</v>
      </c>
      <c r="T209" s="178">
        <f>Mid(PasteHashtag!I209,FIND("/",PasteHashtag!I209)+1,LEN(PasteHashtag!I209)-FIND("/",PasteHashtag!I209)-1)*1</f>
        <v>3</v>
      </c>
    </row>
    <row r="210">
      <c r="A210" s="5">
        <v>209.0</v>
      </c>
      <c r="B210" s="5" t="str">
        <f>PasteHashtag!B210</f>
        <v/>
      </c>
      <c r="C210" s="177" t="str">
        <f>PasteHashtag!C210</f>
        <v>Cason Wallace</v>
      </c>
      <c r="D210" s="5" t="str">
        <f>PasteHashtag!D210</f>
        <v>PG,SG</v>
      </c>
      <c r="E210" s="5" t="str">
        <f>PasteHashtag!E210</f>
        <v>OKC</v>
      </c>
      <c r="F210" s="5">
        <f>PasteHashtag!F210</f>
        <v>78</v>
      </c>
      <c r="G210" s="5">
        <f>PasteHashtag!G210</f>
        <v>22.1</v>
      </c>
      <c r="H210" s="5">
        <f>MID(PasteHashtag!H210,1+FIND("(",PasteHashtag!H210),FIND("/",PasteHashtag!H210)-FIND("(",PasteHashtag!H210)-1)*1</f>
        <v>2.9</v>
      </c>
      <c r="I210" s="5">
        <f>LEFT(PasteHashtag!H210,FIND("(",PasteHashtag!H210)-1)*1</f>
        <v>0.491</v>
      </c>
      <c r="J210" s="5">
        <f>MID(PasteHashtag!I210,1+FIND("(",PasteHashtag!I210),FIND("/",PasteHashtag!I210)-FIND("(",PasteHashtag!I210)-1)*1</f>
        <v>0.4</v>
      </c>
      <c r="K210" s="5">
        <f>LEFT(PasteHashtag!I210,FIND("(",PasteHashtag!I210)-1)*1</f>
        <v>0.776</v>
      </c>
      <c r="L210" s="5">
        <f>PasteHashtag!J210</f>
        <v>1.3</v>
      </c>
      <c r="M210" s="5">
        <f>PasteHashtag!K210</f>
        <v>7.4</v>
      </c>
      <c r="N210" s="5">
        <f>PasteHashtag!L210</f>
        <v>2.5</v>
      </c>
      <c r="O210" s="5">
        <f>PasteHashtag!M210</f>
        <v>1.6</v>
      </c>
      <c r="P210" s="5">
        <f>PasteHashtag!N210</f>
        <v>1</v>
      </c>
      <c r="Q210" s="5">
        <f>PasteHashtag!O210</f>
        <v>0.5</v>
      </c>
      <c r="R210" s="5">
        <f>PasteHashtag!P210</f>
        <v>0.6</v>
      </c>
      <c r="S210" s="5">
        <f>Mid(PasteHashtag!H210,FIND("/",PasteHashtag!H210)+1,LEN(PasteHashtag!H210)-FIND("/",PasteHashtag!H210)-1)*1</f>
        <v>5.8</v>
      </c>
      <c r="T210" s="178">
        <f>Mid(PasteHashtag!I210,FIND("/",PasteHashtag!I210)+1,LEN(PasteHashtag!I210)-FIND("/",PasteHashtag!I210)-1)*1</f>
        <v>0.5</v>
      </c>
    </row>
    <row r="211">
      <c r="A211" s="5">
        <v>210.0</v>
      </c>
      <c r="B211" s="5" t="str">
        <f>PasteHashtag!B211</f>
        <v/>
      </c>
      <c r="C211" s="177" t="str">
        <f>PasteHashtag!C211</f>
        <v>Nicolas Batum</v>
      </c>
      <c r="D211" s="5" t="str">
        <f>PasteHashtag!D211</f>
        <v>SF,PF</v>
      </c>
      <c r="E211" s="5" t="str">
        <f>PasteHashtag!E211</f>
        <v>LAC</v>
      </c>
      <c r="F211" s="5">
        <f>PasteHashtag!F211</f>
        <v>62</v>
      </c>
      <c r="G211" s="5">
        <f>PasteHashtag!G211</f>
        <v>24.8</v>
      </c>
      <c r="H211" s="5">
        <f>MID(PasteHashtag!H211,1+FIND("(",PasteHashtag!H211),FIND("/",PasteHashtag!H211)-FIND("(",PasteHashtag!H211)-1)*1</f>
        <v>2.1</v>
      </c>
      <c r="I211" s="5">
        <f>LEFT(PasteHashtag!H211,FIND("(",PasteHashtag!H211)-1)*1</f>
        <v>0.432</v>
      </c>
      <c r="J211" s="5">
        <f>MID(PasteHashtag!I211,1+FIND("(",PasteHashtag!I211),FIND("/",PasteHashtag!I211)-FIND("(",PasteHashtag!I211)-1)*1</f>
        <v>0.4</v>
      </c>
      <c r="K211" s="5">
        <f>LEFT(PasteHashtag!I211,FIND("(",PasteHashtag!I211)-1)*1</f>
        <v>0.717</v>
      </c>
      <c r="L211" s="5">
        <f>PasteHashtag!J211</f>
        <v>1.5</v>
      </c>
      <c r="M211" s="5">
        <f>PasteHashtag!K211</f>
        <v>6.2</v>
      </c>
      <c r="N211" s="5">
        <f>PasteHashtag!L211</f>
        <v>4.2</v>
      </c>
      <c r="O211" s="5">
        <f>PasteHashtag!M211</f>
        <v>1.9</v>
      </c>
      <c r="P211" s="5">
        <f>PasteHashtag!N211</f>
        <v>0.8</v>
      </c>
      <c r="Q211" s="5">
        <f>PasteHashtag!O211</f>
        <v>0.6</v>
      </c>
      <c r="R211" s="5">
        <f>PasteHashtag!P211</f>
        <v>0.7</v>
      </c>
      <c r="S211" s="5">
        <f>Mid(PasteHashtag!H211,FIND("/",PasteHashtag!H211)+1,LEN(PasteHashtag!H211)-FIND("/",PasteHashtag!H211)-1)*1</f>
        <v>4.9</v>
      </c>
      <c r="T211" s="178">
        <f>Mid(PasteHashtag!I211,FIND("/",PasteHashtag!I211)+1,LEN(PasteHashtag!I211)-FIND("/",PasteHashtag!I211)-1)*1</f>
        <v>0.5</v>
      </c>
    </row>
    <row r="212">
      <c r="A212" s="5">
        <v>211.0</v>
      </c>
      <c r="B212" s="5">
        <f>PasteHashtag!B212</f>
        <v>142.2</v>
      </c>
      <c r="C212" s="177" t="str">
        <f>PasteHashtag!C212</f>
        <v>Harrison Barnes</v>
      </c>
      <c r="D212" s="5" t="str">
        <f>PasteHashtag!D212</f>
        <v>SF,PF</v>
      </c>
      <c r="E212" s="5" t="str">
        <f>PasteHashtag!E212</f>
        <v>SA</v>
      </c>
      <c r="F212" s="5">
        <f>PasteHashtag!F212</f>
        <v>80</v>
      </c>
      <c r="G212" s="5">
        <f>PasteHashtag!G212</f>
        <v>27.3</v>
      </c>
      <c r="H212" s="5">
        <f>MID(PasteHashtag!H212,1+FIND("(",PasteHashtag!H212),FIND("/",PasteHashtag!H212)-FIND("(",PasteHashtag!H212)-1)*1</f>
        <v>4</v>
      </c>
      <c r="I212" s="5">
        <f>LEFT(PasteHashtag!H212,FIND("(",PasteHashtag!H212)-1)*1</f>
        <v>0.473</v>
      </c>
      <c r="J212" s="5">
        <f>MID(PasteHashtag!I212,1+FIND("(",PasteHashtag!I212),FIND("/",PasteHashtag!I212)-FIND("(",PasteHashtag!I212)-1)*1</f>
        <v>2.8</v>
      </c>
      <c r="K212" s="5">
        <f>LEFT(PasteHashtag!I212,FIND("(",PasteHashtag!I212)-1)*1</f>
        <v>0.832</v>
      </c>
      <c r="L212" s="5">
        <f>PasteHashtag!J212</f>
        <v>1.5</v>
      </c>
      <c r="M212" s="5">
        <f>PasteHashtag!K212</f>
        <v>12.2</v>
      </c>
      <c r="N212" s="5">
        <f>PasteHashtag!L212</f>
        <v>3.4</v>
      </c>
      <c r="O212" s="5">
        <f>PasteHashtag!M212</f>
        <v>1.2</v>
      </c>
      <c r="P212" s="5">
        <f>PasteHashtag!N212</f>
        <v>0.6</v>
      </c>
      <c r="Q212" s="5">
        <f>PasteHashtag!O212</f>
        <v>0.1</v>
      </c>
      <c r="R212" s="5">
        <f>PasteHashtag!P212</f>
        <v>0.8</v>
      </c>
      <c r="S212" s="5">
        <f>Mid(PasteHashtag!H212,FIND("/",PasteHashtag!H212)+1,LEN(PasteHashtag!H212)-FIND("/",PasteHashtag!H212)-1)*1</f>
        <v>8.4</v>
      </c>
      <c r="T212" s="178">
        <f>Mid(PasteHashtag!I212,FIND("/",PasteHashtag!I212)+1,LEN(PasteHashtag!I212)-FIND("/",PasteHashtag!I212)-1)*1</f>
        <v>3.3</v>
      </c>
    </row>
    <row r="213">
      <c r="A213" s="5">
        <v>212.0</v>
      </c>
      <c r="B213" s="5" t="str">
        <f>PasteHashtag!B213</f>
        <v/>
      </c>
      <c r="C213" s="177" t="str">
        <f>PasteHashtag!C213</f>
        <v>Larry Nance Jr.</v>
      </c>
      <c r="D213" s="5" t="str">
        <f>PasteHashtag!D213</f>
        <v>C</v>
      </c>
      <c r="E213" s="5" t="str">
        <f>PasteHashtag!E213</f>
        <v>ATL</v>
      </c>
      <c r="F213" s="5">
        <f>PasteHashtag!F213</f>
        <v>59</v>
      </c>
      <c r="G213" s="5">
        <f>PasteHashtag!G213</f>
        <v>18.6</v>
      </c>
      <c r="H213" s="5">
        <f>MID(PasteHashtag!H213,1+FIND("(",PasteHashtag!H213),FIND("/",PasteHashtag!H213)-FIND("(",PasteHashtag!H213)-1)*1</f>
        <v>2.4</v>
      </c>
      <c r="I213" s="5">
        <f>LEFT(PasteHashtag!H213,FIND("(",PasteHashtag!H213)-1)*1</f>
        <v>0.593</v>
      </c>
      <c r="J213" s="5">
        <f>MID(PasteHashtag!I213,1+FIND("(",PasteHashtag!I213),FIND("/",PasteHashtag!I213)-FIND("(",PasteHashtag!I213)-1)*1</f>
        <v>0.8</v>
      </c>
      <c r="K213" s="5">
        <f>LEFT(PasteHashtag!I213,FIND("(",PasteHashtag!I213)-1)*1</f>
        <v>0.745</v>
      </c>
      <c r="L213" s="5">
        <f>PasteHashtag!J213</f>
        <v>0.3</v>
      </c>
      <c r="M213" s="5">
        <f>PasteHashtag!K213</f>
        <v>5.9</v>
      </c>
      <c r="N213" s="5">
        <f>PasteHashtag!L213</f>
        <v>4.9</v>
      </c>
      <c r="O213" s="5">
        <f>PasteHashtag!M213</f>
        <v>1.7</v>
      </c>
      <c r="P213" s="5">
        <f>PasteHashtag!N213</f>
        <v>0.9</v>
      </c>
      <c r="Q213" s="5">
        <f>PasteHashtag!O213</f>
        <v>0.4</v>
      </c>
      <c r="R213" s="5">
        <f>PasteHashtag!P213</f>
        <v>0.7</v>
      </c>
      <c r="S213" s="5">
        <f>Mid(PasteHashtag!H213,FIND("/",PasteHashtag!H213)+1,LEN(PasteHashtag!H213)-FIND("/",PasteHashtag!H213)-1)*1</f>
        <v>4.1</v>
      </c>
      <c r="T213" s="178">
        <f>Mid(PasteHashtag!I213,FIND("/",PasteHashtag!I213)+1,LEN(PasteHashtag!I213)-FIND("/",PasteHashtag!I213)-1)*1</f>
        <v>1</v>
      </c>
    </row>
    <row r="214">
      <c r="A214" s="5">
        <v>213.0</v>
      </c>
      <c r="B214" s="5">
        <f>PasteHashtag!B214</f>
        <v>143</v>
      </c>
      <c r="C214" s="177" t="str">
        <f>PasteHashtag!C214</f>
        <v>Payton Pritchard</v>
      </c>
      <c r="D214" s="5" t="str">
        <f>PasteHashtag!D214</f>
        <v>PG</v>
      </c>
      <c r="E214" s="5" t="str">
        <f>PasteHashtag!E214</f>
        <v>BOS</v>
      </c>
      <c r="F214" s="5">
        <f>PasteHashtag!F214</f>
        <v>74</v>
      </c>
      <c r="G214" s="5">
        <f>PasteHashtag!G214</f>
        <v>24.3</v>
      </c>
      <c r="H214" s="5">
        <f>MID(PasteHashtag!H214,1+FIND("(",PasteHashtag!H214),FIND("/",PasteHashtag!H214)-FIND("(",PasteHashtag!H214)-1)*1</f>
        <v>4</v>
      </c>
      <c r="I214" s="5">
        <f>LEFT(PasteHashtag!H214,FIND("(",PasteHashtag!H214)-1)*1</f>
        <v>0.453</v>
      </c>
      <c r="J214" s="5">
        <f>MID(PasteHashtag!I214,1+FIND("(",PasteHashtag!I214),FIND("/",PasteHashtag!I214)-FIND("(",PasteHashtag!I214)-1)*1</f>
        <v>0.6</v>
      </c>
      <c r="K214" s="5">
        <f>LEFT(PasteHashtag!I214,FIND("(",PasteHashtag!I214)-1)*1</f>
        <v>0.806</v>
      </c>
      <c r="L214" s="5">
        <f>PasteHashtag!J214</f>
        <v>2</v>
      </c>
      <c r="M214" s="5">
        <f>PasteHashtag!K214</f>
        <v>10.5</v>
      </c>
      <c r="N214" s="5">
        <f>PasteHashtag!L214</f>
        <v>3.5</v>
      </c>
      <c r="O214" s="5">
        <f>PasteHashtag!M214</f>
        <v>3.4</v>
      </c>
      <c r="P214" s="5">
        <f>PasteHashtag!N214</f>
        <v>0.5</v>
      </c>
      <c r="Q214" s="5">
        <f>PasteHashtag!O214</f>
        <v>0.1</v>
      </c>
      <c r="R214" s="5">
        <f>PasteHashtag!P214</f>
        <v>1</v>
      </c>
      <c r="S214" s="5">
        <f>Mid(PasteHashtag!H214,FIND("/",PasteHashtag!H214)+1,LEN(PasteHashtag!H214)-FIND("/",PasteHashtag!H214)-1)*1</f>
        <v>8.8</v>
      </c>
      <c r="T214" s="178">
        <f>Mid(PasteHashtag!I214,FIND("/",PasteHashtag!I214)+1,LEN(PasteHashtag!I214)-FIND("/",PasteHashtag!I214)-1)*1</f>
        <v>0.7</v>
      </c>
    </row>
    <row r="215">
      <c r="A215" s="5">
        <v>214.0</v>
      </c>
      <c r="B215" s="5">
        <f>PasteHashtag!B215</f>
        <v>140.4</v>
      </c>
      <c r="C215" s="177" t="str">
        <f>PasteHashtag!C215</f>
        <v>Obi Toppin</v>
      </c>
      <c r="D215" s="5" t="str">
        <f>PasteHashtag!D215</f>
        <v>PF</v>
      </c>
      <c r="E215" s="5" t="str">
        <f>PasteHashtag!E215</f>
        <v>IND</v>
      </c>
      <c r="F215" s="5">
        <f>PasteHashtag!F215</f>
        <v>68</v>
      </c>
      <c r="G215" s="5">
        <f>PasteHashtag!G215</f>
        <v>20.6</v>
      </c>
      <c r="H215" s="5">
        <f>MID(PasteHashtag!H215,1+FIND("(",PasteHashtag!H215),FIND("/",PasteHashtag!H215)-FIND("(",PasteHashtag!H215)-1)*1</f>
        <v>3.8</v>
      </c>
      <c r="I215" s="5">
        <f>LEFT(PasteHashtag!H215,FIND("(",PasteHashtag!H215)-1)*1</f>
        <v>0.52</v>
      </c>
      <c r="J215" s="5">
        <f>MID(PasteHashtag!I215,1+FIND("(",PasteHashtag!I215),FIND("/",PasteHashtag!I215)-FIND("(",PasteHashtag!I215)-1)*1</f>
        <v>0.8</v>
      </c>
      <c r="K215" s="5">
        <f>LEFT(PasteHashtag!I215,FIND("(",PasteHashtag!I215)-1)*1</f>
        <v>0.792</v>
      </c>
      <c r="L215" s="5">
        <f>PasteHashtag!J215</f>
        <v>1.4</v>
      </c>
      <c r="M215" s="5">
        <f>PasteHashtag!K215</f>
        <v>9.7</v>
      </c>
      <c r="N215" s="5">
        <f>PasteHashtag!L215</f>
        <v>3.7</v>
      </c>
      <c r="O215" s="5">
        <f>PasteHashtag!M215</f>
        <v>1.4</v>
      </c>
      <c r="P215" s="5">
        <f>PasteHashtag!N215</f>
        <v>0.5</v>
      </c>
      <c r="Q215" s="5">
        <f>PasteHashtag!O215</f>
        <v>0.4</v>
      </c>
      <c r="R215" s="5">
        <f>PasteHashtag!P215</f>
        <v>0.8</v>
      </c>
      <c r="S215" s="5">
        <f>Mid(PasteHashtag!H215,FIND("/",PasteHashtag!H215)+1,LEN(PasteHashtag!H215)-FIND("/",PasteHashtag!H215)-1)*1</f>
        <v>7.3</v>
      </c>
      <c r="T215" s="178">
        <f>Mid(PasteHashtag!I215,FIND("/",PasteHashtag!I215)+1,LEN(PasteHashtag!I215)-FIND("/",PasteHashtag!I215)-1)*1</f>
        <v>1.1</v>
      </c>
    </row>
    <row r="216">
      <c r="A216" s="5">
        <v>215.0</v>
      </c>
      <c r="B216" s="5">
        <f>PasteHashtag!B216</f>
        <v>140</v>
      </c>
      <c r="C216" s="177" t="str">
        <f>PasteHashtag!C216</f>
        <v>Moritz Wagner</v>
      </c>
      <c r="D216" s="5" t="str">
        <f>PasteHashtag!D216</f>
        <v>C</v>
      </c>
      <c r="E216" s="5" t="str">
        <f>PasteHashtag!E216</f>
        <v>ORL</v>
      </c>
      <c r="F216" s="5">
        <f>PasteHashtag!F216</f>
        <v>67</v>
      </c>
      <c r="G216" s="5">
        <f>PasteHashtag!G216</f>
        <v>17.5</v>
      </c>
      <c r="H216" s="5">
        <f>MID(PasteHashtag!H216,1+FIND("(",PasteHashtag!H216),FIND("/",PasteHashtag!H216)-FIND("(",PasteHashtag!H216)-1)*1</f>
        <v>3.7</v>
      </c>
      <c r="I216" s="5">
        <f>LEFT(PasteHashtag!H216,FIND("(",PasteHashtag!H216)-1)*1</f>
        <v>0.56</v>
      </c>
      <c r="J216" s="5">
        <f>MID(PasteHashtag!I216,1+FIND("(",PasteHashtag!I216),FIND("/",PasteHashtag!I216)-FIND("(",PasteHashtag!I216)-1)*1</f>
        <v>2.2</v>
      </c>
      <c r="K216" s="5">
        <f>LEFT(PasteHashtag!I216,FIND("(",PasteHashtag!I216)-1)*1</f>
        <v>0.826</v>
      </c>
      <c r="L216" s="5">
        <f>PasteHashtag!J216</f>
        <v>0.6</v>
      </c>
      <c r="M216" s="5">
        <f>PasteHashtag!K216</f>
        <v>10.3</v>
      </c>
      <c r="N216" s="5">
        <f>PasteHashtag!L216</f>
        <v>4.2</v>
      </c>
      <c r="O216" s="5">
        <f>PasteHashtag!M216</f>
        <v>1.3</v>
      </c>
      <c r="P216" s="5">
        <f>PasteHashtag!N216</f>
        <v>0.5</v>
      </c>
      <c r="Q216" s="5">
        <f>PasteHashtag!O216</f>
        <v>0.2</v>
      </c>
      <c r="R216" s="5">
        <f>PasteHashtag!P216</f>
        <v>1.2</v>
      </c>
      <c r="S216" s="5">
        <f>Mid(PasteHashtag!H216,FIND("/",PasteHashtag!H216)+1,LEN(PasteHashtag!H216)-FIND("/",PasteHashtag!H216)-1)*1</f>
        <v>6.6</v>
      </c>
      <c r="T216" s="178">
        <f>Mid(PasteHashtag!I216,FIND("/",PasteHashtag!I216)+1,LEN(PasteHashtag!I216)-FIND("/",PasteHashtag!I216)-1)*1</f>
        <v>2.7</v>
      </c>
    </row>
    <row r="217">
      <c r="A217" s="5">
        <v>216.0</v>
      </c>
      <c r="B217" s="5" t="str">
        <f>PasteHashtag!B217</f>
        <v/>
      </c>
      <c r="C217" s="177" t="str">
        <f>PasteHashtag!C217</f>
        <v>Santi Aldama</v>
      </c>
      <c r="D217" s="5" t="str">
        <f>PasteHashtag!D217</f>
        <v>PF,C</v>
      </c>
      <c r="E217" s="5" t="str">
        <f>PasteHashtag!E217</f>
        <v>MEM</v>
      </c>
      <c r="F217" s="5">
        <f>PasteHashtag!F217</f>
        <v>64</v>
      </c>
      <c r="G217" s="5">
        <f>PasteHashtag!G217</f>
        <v>22.8</v>
      </c>
      <c r="H217" s="5">
        <f>MID(PasteHashtag!H217,1+FIND("(",PasteHashtag!H217),FIND("/",PasteHashtag!H217)-FIND("(",PasteHashtag!H217)-1)*1</f>
        <v>3.5</v>
      </c>
      <c r="I217" s="5">
        <f>LEFT(PasteHashtag!H217,FIND("(",PasteHashtag!H217)-1)*1</f>
        <v>0.452</v>
      </c>
      <c r="J217" s="5">
        <f>MID(PasteHashtag!I217,1+FIND("(",PasteHashtag!I217),FIND("/",PasteHashtag!I217)-FIND("(",PasteHashtag!I217)-1)*1</f>
        <v>1.1</v>
      </c>
      <c r="K217" s="5">
        <f>LEFT(PasteHashtag!I217,FIND("(",PasteHashtag!I217)-1)*1</f>
        <v>0.702</v>
      </c>
      <c r="L217" s="5">
        <f>PasteHashtag!J217</f>
        <v>1.4</v>
      </c>
      <c r="M217" s="5">
        <f>PasteHashtag!K217</f>
        <v>9.4</v>
      </c>
      <c r="N217" s="5">
        <f>PasteHashtag!L217</f>
        <v>5.1</v>
      </c>
      <c r="O217" s="5">
        <f>PasteHashtag!M217</f>
        <v>1.6</v>
      </c>
      <c r="P217" s="5">
        <f>PasteHashtag!N217</f>
        <v>0.6</v>
      </c>
      <c r="Q217" s="5">
        <f>PasteHashtag!O217</f>
        <v>0.7</v>
      </c>
      <c r="R217" s="5">
        <f>PasteHashtag!P217</f>
        <v>0.9</v>
      </c>
      <c r="S217" s="5">
        <f>Mid(PasteHashtag!H217,FIND("/",PasteHashtag!H217)+1,LEN(PasteHashtag!H217)-FIND("/",PasteHashtag!H217)-1)*1</f>
        <v>7.6</v>
      </c>
      <c r="T217" s="178">
        <f>Mid(PasteHashtag!I217,FIND("/",PasteHashtag!I217)+1,LEN(PasteHashtag!I217)-FIND("/",PasteHashtag!I217)-1)*1</f>
        <v>1.6</v>
      </c>
    </row>
    <row r="218">
      <c r="A218" s="5">
        <v>217.0</v>
      </c>
      <c r="B218" s="5" t="str">
        <f>PasteHashtag!B218</f>
        <v/>
      </c>
      <c r="C218" s="177" t="str">
        <f>PasteHashtag!C218</f>
        <v>Matisse Thybulle</v>
      </c>
      <c r="D218" s="5" t="str">
        <f>PasteHashtag!D218</f>
        <v>SG,SF</v>
      </c>
      <c r="E218" s="5" t="str">
        <f>PasteHashtag!E218</f>
        <v>POR</v>
      </c>
      <c r="F218" s="5">
        <f>PasteHashtag!F218</f>
        <v>63</v>
      </c>
      <c r="G218" s="5">
        <f>PasteHashtag!G218</f>
        <v>20</v>
      </c>
      <c r="H218" s="5">
        <f>MID(PasteHashtag!H218,1+FIND("(",PasteHashtag!H218),FIND("/",PasteHashtag!H218)-FIND("(",PasteHashtag!H218)-1)*1</f>
        <v>1.8</v>
      </c>
      <c r="I218" s="5">
        <f>LEFT(PasteHashtag!H218,FIND("(",PasteHashtag!H218)-1)*1</f>
        <v>0.414</v>
      </c>
      <c r="J218" s="5">
        <f>MID(PasteHashtag!I218,1+FIND("(",PasteHashtag!I218),FIND("/",PasteHashtag!I218)-FIND("(",PasteHashtag!I218)-1)*1</f>
        <v>0.3</v>
      </c>
      <c r="K218" s="5">
        <f>LEFT(PasteHashtag!I218,FIND("(",PasteHashtag!I218)-1)*1</f>
        <v>0.721</v>
      </c>
      <c r="L218" s="5">
        <f>PasteHashtag!J218</f>
        <v>1</v>
      </c>
      <c r="M218" s="5">
        <f>PasteHashtag!K218</f>
        <v>4.9</v>
      </c>
      <c r="N218" s="5">
        <f>PasteHashtag!L218</f>
        <v>2.1</v>
      </c>
      <c r="O218" s="5">
        <f>PasteHashtag!M218</f>
        <v>1.1</v>
      </c>
      <c r="P218" s="5">
        <f>PasteHashtag!N218</f>
        <v>1.5</v>
      </c>
      <c r="Q218" s="5">
        <f>PasteHashtag!O218</f>
        <v>0.6</v>
      </c>
      <c r="R218" s="5">
        <f>PasteHashtag!P218</f>
        <v>0.5</v>
      </c>
      <c r="S218" s="5">
        <f>Mid(PasteHashtag!H218,FIND("/",PasteHashtag!H218)+1,LEN(PasteHashtag!H218)-FIND("/",PasteHashtag!H218)-1)*1</f>
        <v>4.3</v>
      </c>
      <c r="T218" s="178">
        <f>Mid(PasteHashtag!I218,FIND("/",PasteHashtag!I218)+1,LEN(PasteHashtag!I218)-FIND("/",PasteHashtag!I218)-1)*1</f>
        <v>0.4</v>
      </c>
    </row>
    <row r="219">
      <c r="A219" s="5">
        <v>218.0</v>
      </c>
      <c r="B219" s="5" t="str">
        <f>PasteHashtag!B219</f>
        <v/>
      </c>
      <c r="C219" s="177" t="str">
        <f>PasteHashtag!C219</f>
        <v>Robert Williams III</v>
      </c>
      <c r="D219" s="5" t="str">
        <f>PasteHashtag!D219</f>
        <v>C</v>
      </c>
      <c r="E219" s="5" t="str">
        <f>PasteHashtag!E219</f>
        <v>POR</v>
      </c>
      <c r="F219" s="5">
        <f>PasteHashtag!F219</f>
        <v>38</v>
      </c>
      <c r="G219" s="5">
        <f>PasteHashtag!G219</f>
        <v>15.4</v>
      </c>
      <c r="H219" s="5">
        <f>MID(PasteHashtag!H219,1+FIND("(",PasteHashtag!H219),FIND("/",PasteHashtag!H219)-FIND("(",PasteHashtag!H219)-1)*1</f>
        <v>2.4</v>
      </c>
      <c r="I219" s="5">
        <f>LEFT(PasteHashtag!H219,FIND("(",PasteHashtag!H219)-1)*1</f>
        <v>0.737</v>
      </c>
      <c r="J219" s="5">
        <f>MID(PasteHashtag!I219,1+FIND("(",PasteHashtag!I219),FIND("/",PasteHashtag!I219)-FIND("(",PasteHashtag!I219)-1)*1</f>
        <v>0.5</v>
      </c>
      <c r="K219" s="5">
        <f>LEFT(PasteHashtag!I219,FIND("(",PasteHashtag!I219)-1)*1</f>
        <v>0.639</v>
      </c>
      <c r="L219" s="5">
        <f>PasteHashtag!J219</f>
        <v>0</v>
      </c>
      <c r="M219" s="5">
        <f>PasteHashtag!K219</f>
        <v>5.3</v>
      </c>
      <c r="N219" s="5">
        <f>PasteHashtag!L219</f>
        <v>5.5</v>
      </c>
      <c r="O219" s="5">
        <f>PasteHashtag!M219</f>
        <v>0.9</v>
      </c>
      <c r="P219" s="5">
        <f>PasteHashtag!N219</f>
        <v>0.5</v>
      </c>
      <c r="Q219" s="5">
        <f>PasteHashtag!O219</f>
        <v>0.9</v>
      </c>
      <c r="R219" s="5">
        <f>PasteHashtag!P219</f>
        <v>0.7</v>
      </c>
      <c r="S219" s="5">
        <f>Mid(PasteHashtag!H219,FIND("/",PasteHashtag!H219)+1,LEN(PasteHashtag!H219)-FIND("/",PasteHashtag!H219)-1)*1</f>
        <v>3.2</v>
      </c>
      <c r="T219" s="178">
        <f>Mid(PasteHashtag!I219,FIND("/",PasteHashtag!I219)+1,LEN(PasteHashtag!I219)-FIND("/",PasteHashtag!I219)-1)*1</f>
        <v>0.8</v>
      </c>
    </row>
    <row r="220">
      <c r="A220" s="5">
        <v>219.0</v>
      </c>
      <c r="B220" s="5" t="str">
        <f>PasteHashtag!B220</f>
        <v/>
      </c>
      <c r="C220" s="177" t="str">
        <f>PasteHashtag!C220</f>
        <v>Taurean Prince</v>
      </c>
      <c r="D220" s="5" t="str">
        <f>PasteHashtag!D220</f>
        <v>SG,SF</v>
      </c>
      <c r="E220" s="5" t="str">
        <f>PasteHashtag!E220</f>
        <v>MIL</v>
      </c>
      <c r="F220" s="5">
        <f>PasteHashtag!F220</f>
        <v>68</v>
      </c>
      <c r="G220" s="5">
        <f>PasteHashtag!G220</f>
        <v>27.1</v>
      </c>
      <c r="H220" s="5">
        <f>MID(PasteHashtag!H220,1+FIND("(",PasteHashtag!H220),FIND("/",PasteHashtag!H220)-FIND("(",PasteHashtag!H220)-1)*1</f>
        <v>3.6</v>
      </c>
      <c r="I220" s="5">
        <f>LEFT(PasteHashtag!H220,FIND("(",PasteHashtag!H220)-1)*1</f>
        <v>0.453</v>
      </c>
      <c r="J220" s="5">
        <f>MID(PasteHashtag!I220,1+FIND("(",PasteHashtag!I220),FIND("/",PasteHashtag!I220)-FIND("(",PasteHashtag!I220)-1)*1</f>
        <v>1</v>
      </c>
      <c r="K220" s="5">
        <f>LEFT(PasteHashtag!I220,FIND("(",PasteHashtag!I220)-1)*1</f>
        <v>0.792</v>
      </c>
      <c r="L220" s="5">
        <f>PasteHashtag!J220</f>
        <v>1.8</v>
      </c>
      <c r="M220" s="5">
        <f>PasteHashtag!K220</f>
        <v>9.8</v>
      </c>
      <c r="N220" s="5">
        <f>PasteHashtag!L220</f>
        <v>3</v>
      </c>
      <c r="O220" s="5">
        <f>PasteHashtag!M220</f>
        <v>1.7</v>
      </c>
      <c r="P220" s="5">
        <f>PasteHashtag!N220</f>
        <v>0.7</v>
      </c>
      <c r="Q220" s="5">
        <f>PasteHashtag!O220</f>
        <v>0.4</v>
      </c>
      <c r="R220" s="5">
        <f>PasteHashtag!P220</f>
        <v>1.2</v>
      </c>
      <c r="S220" s="5">
        <f>Mid(PasteHashtag!H220,FIND("/",PasteHashtag!H220)+1,LEN(PasteHashtag!H220)-FIND("/",PasteHashtag!H220)-1)*1</f>
        <v>7.9</v>
      </c>
      <c r="T220" s="178">
        <f>Mid(PasteHashtag!I220,FIND("/",PasteHashtag!I220)+1,LEN(PasteHashtag!I220)-FIND("/",PasteHashtag!I220)-1)*1</f>
        <v>1.2</v>
      </c>
    </row>
    <row r="221">
      <c r="A221" s="5">
        <v>220.0</v>
      </c>
      <c r="B221" s="5" t="str">
        <f>PasteHashtag!B221</f>
        <v/>
      </c>
      <c r="C221" s="177" t="str">
        <f>PasteHashtag!C221</f>
        <v>Spencer Dinwiddie</v>
      </c>
      <c r="D221" s="5" t="str">
        <f>PasteHashtag!D221</f>
        <v>PG,SG</v>
      </c>
      <c r="E221" s="5" t="str">
        <f>PasteHashtag!E221</f>
        <v>DAL</v>
      </c>
      <c r="F221" s="5">
        <f>PasteHashtag!F221</f>
        <v>74</v>
      </c>
      <c r="G221" s="5">
        <f>PasteHashtag!G221</f>
        <v>24.2</v>
      </c>
      <c r="H221" s="5">
        <f>MID(PasteHashtag!H221,1+FIND("(",PasteHashtag!H221),FIND("/",PasteHashtag!H221)-FIND("(",PasteHashtag!H221)-1)*1</f>
        <v>3.6</v>
      </c>
      <c r="I221" s="5">
        <f>LEFT(PasteHashtag!H221,FIND("(",PasteHashtag!H221)-1)*1</f>
        <v>0.421</v>
      </c>
      <c r="J221" s="5">
        <f>MID(PasteHashtag!I221,1+FIND("(",PasteHashtag!I221),FIND("/",PasteHashtag!I221)-FIND("(",PasteHashtag!I221)-1)*1</f>
        <v>2.2</v>
      </c>
      <c r="K221" s="5">
        <f>LEFT(PasteHashtag!I221,FIND("(",PasteHashtag!I221)-1)*1</f>
        <v>0.809</v>
      </c>
      <c r="L221" s="5">
        <f>PasteHashtag!J221</f>
        <v>1.5</v>
      </c>
      <c r="M221" s="5">
        <f>PasteHashtag!K221</f>
        <v>10.9</v>
      </c>
      <c r="N221" s="5">
        <f>PasteHashtag!L221</f>
        <v>2.4</v>
      </c>
      <c r="O221" s="5">
        <f>PasteHashtag!M221</f>
        <v>4.4</v>
      </c>
      <c r="P221" s="5">
        <f>PasteHashtag!N221</f>
        <v>0.6</v>
      </c>
      <c r="Q221" s="5">
        <f>PasteHashtag!O221</f>
        <v>0.2</v>
      </c>
      <c r="R221" s="5">
        <f>PasteHashtag!P221</f>
        <v>1.2</v>
      </c>
      <c r="S221" s="5">
        <f>Mid(PasteHashtag!H221,FIND("/",PasteHashtag!H221)+1,LEN(PasteHashtag!H221)-FIND("/",PasteHashtag!H221)-1)*1</f>
        <v>8.5</v>
      </c>
      <c r="T221" s="178">
        <f>Mid(PasteHashtag!I221,FIND("/",PasteHashtag!I221)+1,LEN(PasteHashtag!I221)-FIND("/",PasteHashtag!I221)-1)*1</f>
        <v>2.7</v>
      </c>
    </row>
    <row r="222">
      <c r="A222" s="5">
        <v>221.0</v>
      </c>
      <c r="B222" s="5">
        <f>PasteHashtag!B222</f>
        <v>138.6</v>
      </c>
      <c r="C222" s="177" t="str">
        <f>PasteHashtag!C222</f>
        <v>Dillon Brooks</v>
      </c>
      <c r="D222" s="5" t="str">
        <f>PasteHashtag!D222</f>
        <v>SG,SF</v>
      </c>
      <c r="E222" s="5" t="str">
        <f>PasteHashtag!E222</f>
        <v>HOU</v>
      </c>
      <c r="F222" s="5">
        <f>PasteHashtag!F222</f>
        <v>70</v>
      </c>
      <c r="G222" s="5">
        <f>PasteHashtag!G222</f>
        <v>29</v>
      </c>
      <c r="H222" s="5">
        <f>MID(PasteHashtag!H222,1+FIND("(",PasteHashtag!H222),FIND("/",PasteHashtag!H222)-FIND("(",PasteHashtag!H222)-1)*1</f>
        <v>4.8</v>
      </c>
      <c r="I222" s="5">
        <f>LEFT(PasteHashtag!H222,FIND("(",PasteHashtag!H222)-1)*1</f>
        <v>0.425</v>
      </c>
      <c r="J222" s="5">
        <f>MID(PasteHashtag!I222,1+FIND("(",PasteHashtag!I222),FIND("/",PasteHashtag!I222)-FIND("(",PasteHashtag!I222)-1)*1</f>
        <v>1.6</v>
      </c>
      <c r="K222" s="5">
        <f>LEFT(PasteHashtag!I222,FIND("(",PasteHashtag!I222)-1)*1</f>
        <v>0.809</v>
      </c>
      <c r="L222" s="5">
        <f>PasteHashtag!J222</f>
        <v>1.8</v>
      </c>
      <c r="M222" s="5">
        <f>PasteHashtag!K222</f>
        <v>13</v>
      </c>
      <c r="N222" s="5">
        <f>PasteHashtag!L222</f>
        <v>3.2</v>
      </c>
      <c r="O222" s="5">
        <f>PasteHashtag!M222</f>
        <v>2</v>
      </c>
      <c r="P222" s="5">
        <f>PasteHashtag!N222</f>
        <v>0.9</v>
      </c>
      <c r="Q222" s="5">
        <f>PasteHashtag!O222</f>
        <v>0.2</v>
      </c>
      <c r="R222" s="5">
        <f>PasteHashtag!P222</f>
        <v>1.3</v>
      </c>
      <c r="S222" s="5">
        <f>Mid(PasteHashtag!H222,FIND("/",PasteHashtag!H222)+1,LEN(PasteHashtag!H222)-FIND("/",PasteHashtag!H222)-1)*1</f>
        <v>11.2</v>
      </c>
      <c r="T222" s="178">
        <f>Mid(PasteHashtag!I222,FIND("/",PasteHashtag!I222)+1,LEN(PasteHashtag!I222)-FIND("/",PasteHashtag!I222)-1)*1</f>
        <v>2</v>
      </c>
    </row>
    <row r="223">
      <c r="A223" s="5">
        <v>222.0</v>
      </c>
      <c r="B223" s="5" t="str">
        <f>PasteHashtag!B223</f>
        <v/>
      </c>
      <c r="C223" s="177" t="str">
        <f>PasteHashtag!C223</f>
        <v>John Konchar</v>
      </c>
      <c r="D223" s="5" t="str">
        <f>PasteHashtag!D223</f>
        <v>SG,SF</v>
      </c>
      <c r="E223" s="5" t="str">
        <f>PasteHashtag!E223</f>
        <v>MEM</v>
      </c>
      <c r="F223" s="5">
        <f>PasteHashtag!F223</f>
        <v>64</v>
      </c>
      <c r="G223" s="5">
        <f>PasteHashtag!G223</f>
        <v>20.7</v>
      </c>
      <c r="H223" s="5">
        <f>MID(PasteHashtag!H223,1+FIND("(",PasteHashtag!H223),FIND("/",PasteHashtag!H223)-FIND("(",PasteHashtag!H223)-1)*1</f>
        <v>1.8</v>
      </c>
      <c r="I223" s="5">
        <f>LEFT(PasteHashtag!H223,FIND("(",PasteHashtag!H223)-1)*1</f>
        <v>0.428</v>
      </c>
      <c r="J223" s="5">
        <f>MID(PasteHashtag!I223,1+FIND("(",PasteHashtag!I223),FIND("/",PasteHashtag!I223)-FIND("(",PasteHashtag!I223)-1)*1</f>
        <v>0.4</v>
      </c>
      <c r="K223" s="5">
        <f>LEFT(PasteHashtag!I223,FIND("(",PasteHashtag!I223)-1)*1</f>
        <v>0.792</v>
      </c>
      <c r="L223" s="5">
        <f>PasteHashtag!J223</f>
        <v>0.8</v>
      </c>
      <c r="M223" s="5">
        <f>PasteHashtag!K223</f>
        <v>4.7</v>
      </c>
      <c r="N223" s="5">
        <f>PasteHashtag!L223</f>
        <v>4.4</v>
      </c>
      <c r="O223" s="5">
        <f>PasteHashtag!M223</f>
        <v>1.7</v>
      </c>
      <c r="P223" s="5">
        <f>PasteHashtag!N223</f>
        <v>1</v>
      </c>
      <c r="Q223" s="5">
        <f>PasteHashtag!O223</f>
        <v>0.6</v>
      </c>
      <c r="R223" s="5">
        <f>PasteHashtag!P223</f>
        <v>0.7</v>
      </c>
      <c r="S223" s="5">
        <f>Mid(PasteHashtag!H223,FIND("/",PasteHashtag!H223)+1,LEN(PasteHashtag!H223)-FIND("/",PasteHashtag!H223)-1)*1</f>
        <v>4.1</v>
      </c>
      <c r="T223" s="178">
        <f>Mid(PasteHashtag!I223,FIND("/",PasteHashtag!I223)+1,LEN(PasteHashtag!I223)-FIND("/",PasteHashtag!I223)-1)*1</f>
        <v>0.5</v>
      </c>
    </row>
    <row r="224">
      <c r="A224" s="5">
        <v>223.0</v>
      </c>
      <c r="B224" s="5" t="str">
        <f>PasteHashtag!B224</f>
        <v/>
      </c>
      <c r="C224" s="177" t="str">
        <f>PasteHashtag!C224</f>
        <v>Royce O'Neale</v>
      </c>
      <c r="D224" s="5" t="str">
        <f>PasteHashtag!D224</f>
        <v>SF,PF</v>
      </c>
      <c r="E224" s="5" t="str">
        <f>PasteHashtag!E224</f>
        <v>PHO</v>
      </c>
      <c r="F224" s="5">
        <f>PasteHashtag!F224</f>
        <v>76</v>
      </c>
      <c r="G224" s="5">
        <f>PasteHashtag!G224</f>
        <v>24.2</v>
      </c>
      <c r="H224" s="5">
        <f>MID(PasteHashtag!H224,1+FIND("(",PasteHashtag!H224),FIND("/",PasteHashtag!H224)-FIND("(",PasteHashtag!H224)-1)*1</f>
        <v>2.5</v>
      </c>
      <c r="I224" s="5">
        <f>LEFT(PasteHashtag!H224,FIND("(",PasteHashtag!H224)-1)*1</f>
        <v>0.391</v>
      </c>
      <c r="J224" s="5">
        <f>MID(PasteHashtag!I224,1+FIND("(",PasteHashtag!I224),FIND("/",PasteHashtag!I224)-FIND("(",PasteHashtag!I224)-1)*1</f>
        <v>0.4</v>
      </c>
      <c r="K224" s="5">
        <f>LEFT(PasteHashtag!I224,FIND("(",PasteHashtag!I224)-1)*1</f>
        <v>0.707</v>
      </c>
      <c r="L224" s="5">
        <f>PasteHashtag!J224</f>
        <v>1.8</v>
      </c>
      <c r="M224" s="5">
        <f>PasteHashtag!K224</f>
        <v>7.2</v>
      </c>
      <c r="N224" s="5">
        <f>PasteHashtag!L224</f>
        <v>4.3</v>
      </c>
      <c r="O224" s="5">
        <f>PasteHashtag!M224</f>
        <v>2.8</v>
      </c>
      <c r="P224" s="5">
        <f>PasteHashtag!N224</f>
        <v>0.7</v>
      </c>
      <c r="Q224" s="5">
        <f>PasteHashtag!O224</f>
        <v>0.5</v>
      </c>
      <c r="R224" s="5">
        <f>PasteHashtag!P224</f>
        <v>1.1</v>
      </c>
      <c r="S224" s="5">
        <f>Mid(PasteHashtag!H224,FIND("/",PasteHashtag!H224)+1,LEN(PasteHashtag!H224)-FIND("/",PasteHashtag!H224)-1)*1</f>
        <v>6.3</v>
      </c>
      <c r="T224" s="178">
        <f>Mid(PasteHashtag!I224,FIND("/",PasteHashtag!I224)+1,LEN(PasteHashtag!I224)-FIND("/",PasteHashtag!I224)-1)*1</f>
        <v>0.6</v>
      </c>
    </row>
    <row r="225">
      <c r="A225" s="5">
        <v>224.0</v>
      </c>
      <c r="B225" s="5">
        <f>PasteHashtag!B225</f>
        <v>142.2</v>
      </c>
      <c r="C225" s="177" t="str">
        <f>PasteHashtag!C225</f>
        <v>Kyle Anderson</v>
      </c>
      <c r="D225" s="5" t="str">
        <f>PasteHashtag!D225</f>
        <v>SF,PF</v>
      </c>
      <c r="E225" s="5" t="str">
        <f>PasteHashtag!E225</f>
        <v>GS</v>
      </c>
      <c r="F225" s="5">
        <f>PasteHashtag!F225</f>
        <v>69</v>
      </c>
      <c r="G225" s="5">
        <f>PasteHashtag!G225</f>
        <v>20.5</v>
      </c>
      <c r="H225" s="5">
        <f>MID(PasteHashtag!H225,1+FIND("(",PasteHashtag!H225),FIND("/",PasteHashtag!H225)-FIND("(",PasteHashtag!H225)-1)*1</f>
        <v>2.5</v>
      </c>
      <c r="I225" s="5">
        <f>LEFT(PasteHashtag!H225,FIND("(",PasteHashtag!H225)-1)*1</f>
        <v>0.486</v>
      </c>
      <c r="J225" s="5">
        <f>MID(PasteHashtag!I225,1+FIND("(",PasteHashtag!I225),FIND("/",PasteHashtag!I225)-FIND("(",PasteHashtag!I225)-1)*1</f>
        <v>1.1</v>
      </c>
      <c r="K225" s="5">
        <f>LEFT(PasteHashtag!I225,FIND("(",PasteHashtag!I225)-1)*1</f>
        <v>0.724</v>
      </c>
      <c r="L225" s="5">
        <f>PasteHashtag!J225</f>
        <v>0.3</v>
      </c>
      <c r="M225" s="5">
        <f>PasteHashtag!K225</f>
        <v>6.4</v>
      </c>
      <c r="N225" s="5">
        <f>PasteHashtag!L225</f>
        <v>3.6</v>
      </c>
      <c r="O225" s="5">
        <f>PasteHashtag!M225</f>
        <v>3.7</v>
      </c>
      <c r="P225" s="5">
        <f>PasteHashtag!N225</f>
        <v>0.8</v>
      </c>
      <c r="Q225" s="5">
        <f>PasteHashtag!O225</f>
        <v>0.6</v>
      </c>
      <c r="R225" s="5">
        <f>PasteHashtag!P225</f>
        <v>1.1</v>
      </c>
      <c r="S225" s="5">
        <f>Mid(PasteHashtag!H225,FIND("/",PasteHashtag!H225)+1,LEN(PasteHashtag!H225)-FIND("/",PasteHashtag!H225)-1)*1</f>
        <v>5.2</v>
      </c>
      <c r="T225" s="178">
        <f>Mid(PasteHashtag!I225,FIND("/",PasteHashtag!I225)+1,LEN(PasteHashtag!I225)-FIND("/",PasteHashtag!I225)-1)*1</f>
        <v>1.5</v>
      </c>
    </row>
    <row r="226">
      <c r="A226" s="5">
        <v>225.0</v>
      </c>
      <c r="B226" s="5" t="str">
        <f>PasteHashtag!B226</f>
        <v/>
      </c>
      <c r="C226" s="177" t="str">
        <f>PasteHashtag!C226</f>
        <v>Luke Kornet</v>
      </c>
      <c r="D226" s="5" t="str">
        <f>PasteHashtag!D226</f>
        <v>C</v>
      </c>
      <c r="E226" s="5" t="str">
        <f>PasteHashtag!E226</f>
        <v>BOS</v>
      </c>
      <c r="F226" s="5">
        <f>PasteHashtag!F226</f>
        <v>67</v>
      </c>
      <c r="G226" s="5">
        <f>PasteHashtag!G226</f>
        <v>15.6</v>
      </c>
      <c r="H226" s="5">
        <f>MID(PasteHashtag!H226,1+FIND("(",PasteHashtag!H226),FIND("/",PasteHashtag!H226)-FIND("(",PasteHashtag!H226)-1)*1</f>
        <v>2.3</v>
      </c>
      <c r="I226" s="5">
        <f>LEFT(PasteHashtag!H226,FIND("(",PasteHashtag!H226)-1)*1</f>
        <v>0.684</v>
      </c>
      <c r="J226" s="5">
        <f>MID(PasteHashtag!I226,1+FIND("(",PasteHashtag!I226),FIND("/",PasteHashtag!I226)-FIND("(",PasteHashtag!I226)-1)*1</f>
        <v>0.7</v>
      </c>
      <c r="K226" s="5">
        <f>LEFT(PasteHashtag!I226,FIND("(",PasteHashtag!I226)-1)*1</f>
        <v>0.866</v>
      </c>
      <c r="L226" s="5">
        <f>PasteHashtag!J226</f>
        <v>0</v>
      </c>
      <c r="M226" s="5">
        <f>PasteHashtag!K226</f>
        <v>5.3</v>
      </c>
      <c r="N226" s="5">
        <f>PasteHashtag!L226</f>
        <v>4</v>
      </c>
      <c r="O226" s="5">
        <f>PasteHashtag!M226</f>
        <v>1.1</v>
      </c>
      <c r="P226" s="5">
        <f>PasteHashtag!N226</f>
        <v>0.3</v>
      </c>
      <c r="Q226" s="5">
        <f>PasteHashtag!O226</f>
        <v>0.9</v>
      </c>
      <c r="R226" s="5">
        <f>PasteHashtag!P226</f>
        <v>0.4</v>
      </c>
      <c r="S226" s="5">
        <f>Mid(PasteHashtag!H226,FIND("/",PasteHashtag!H226)+1,LEN(PasteHashtag!H226)-FIND("/",PasteHashtag!H226)-1)*1</f>
        <v>3.3</v>
      </c>
      <c r="T226" s="178">
        <f>Mid(PasteHashtag!I226,FIND("/",PasteHashtag!I226)+1,LEN(PasteHashtag!I226)-FIND("/",PasteHashtag!I226)-1)*1</f>
        <v>0.8</v>
      </c>
    </row>
    <row r="227">
      <c r="A227" s="5">
        <v>226.0</v>
      </c>
      <c r="B227" s="5">
        <f>PasteHashtag!B227</f>
        <v>144.4</v>
      </c>
      <c r="C227" s="177" t="str">
        <f>PasteHashtag!C227</f>
        <v>Bojan Bogdanovic</v>
      </c>
      <c r="D227" s="5" t="str">
        <f>PasteHashtag!D227</f>
        <v>SF,PF</v>
      </c>
      <c r="E227" s="5" t="str">
        <f>PasteHashtag!E227</f>
        <v>BKN</v>
      </c>
      <c r="F227" s="5">
        <f>PasteHashtag!F227</f>
        <v>62</v>
      </c>
      <c r="G227" s="5">
        <f>PasteHashtag!G227</f>
        <v>26.9</v>
      </c>
      <c r="H227" s="5">
        <f>MID(PasteHashtag!H227,1+FIND("(",PasteHashtag!H227),FIND("/",PasteHashtag!H227)-FIND("(",PasteHashtag!H227)-1)*1</f>
        <v>5.8</v>
      </c>
      <c r="I227" s="5">
        <f>LEFT(PasteHashtag!H227,FIND("(",PasteHashtag!H227)-1)*1</f>
        <v>0.449</v>
      </c>
      <c r="J227" s="5">
        <f>MID(PasteHashtag!I227,1+FIND("(",PasteHashtag!I227),FIND("/",PasteHashtag!I227)-FIND("(",PasteHashtag!I227)-1)*1</f>
        <v>2.8</v>
      </c>
      <c r="K227" s="5">
        <f>LEFT(PasteHashtag!I227,FIND("(",PasteHashtag!I227)-1)*1</f>
        <v>0.793</v>
      </c>
      <c r="L227" s="5">
        <f>PasteHashtag!J227</f>
        <v>2.2</v>
      </c>
      <c r="M227" s="5">
        <f>PasteHashtag!K227</f>
        <v>16.5</v>
      </c>
      <c r="N227" s="5">
        <f>PasteHashtag!L227</f>
        <v>2.9</v>
      </c>
      <c r="O227" s="5">
        <f>PasteHashtag!M227</f>
        <v>1.9</v>
      </c>
      <c r="P227" s="5">
        <f>PasteHashtag!N227</f>
        <v>0.5</v>
      </c>
      <c r="Q227" s="5">
        <f>PasteHashtag!O227</f>
        <v>0.1</v>
      </c>
      <c r="R227" s="5">
        <f>PasteHashtag!P227</f>
        <v>1.8</v>
      </c>
      <c r="S227" s="5">
        <f>Mid(PasteHashtag!H227,FIND("/",PasteHashtag!H227)+1,LEN(PasteHashtag!H227)-FIND("/",PasteHashtag!H227)-1)*1</f>
        <v>12.8</v>
      </c>
      <c r="T227" s="178">
        <f>Mid(PasteHashtag!I227,FIND("/",PasteHashtag!I227)+1,LEN(PasteHashtag!I227)-FIND("/",PasteHashtag!I227)-1)*1</f>
        <v>3.5</v>
      </c>
    </row>
    <row r="228">
      <c r="A228" s="5">
        <v>227.0</v>
      </c>
      <c r="B228" s="5" t="str">
        <f>PasteHashtag!B228</f>
        <v/>
      </c>
      <c r="C228" s="177" t="str">
        <f>PasteHashtag!C228</f>
        <v>Day'Ron Sharpe</v>
      </c>
      <c r="D228" s="5" t="str">
        <f>PasteHashtag!D228</f>
        <v>C</v>
      </c>
      <c r="E228" s="5" t="str">
        <f>PasteHashtag!E228</f>
        <v>BKN</v>
      </c>
      <c r="F228" s="5">
        <f>PasteHashtag!F228</f>
        <v>64</v>
      </c>
      <c r="G228" s="5">
        <f>PasteHashtag!G228</f>
        <v>18</v>
      </c>
      <c r="H228" s="5">
        <f>MID(PasteHashtag!H228,1+FIND("(",PasteHashtag!H228),FIND("/",PasteHashtag!H228)-FIND("(",PasteHashtag!H228)-1)*1</f>
        <v>3.2</v>
      </c>
      <c r="I228" s="5">
        <f>LEFT(PasteHashtag!H228,FIND("(",PasteHashtag!H228)-1)*1</f>
        <v>0.561</v>
      </c>
      <c r="J228" s="5">
        <f>MID(PasteHashtag!I228,1+FIND("(",PasteHashtag!I228),FIND("/",PasteHashtag!I228)-FIND("(",PasteHashtag!I228)-1)*1</f>
        <v>1.4</v>
      </c>
      <c r="K228" s="5">
        <f>LEFT(PasteHashtag!I228,FIND("(",PasteHashtag!I228)-1)*1</f>
        <v>0.635</v>
      </c>
      <c r="L228" s="5">
        <f>PasteHashtag!J228</f>
        <v>0.1</v>
      </c>
      <c r="M228" s="5">
        <f>PasteHashtag!K228</f>
        <v>8</v>
      </c>
      <c r="N228" s="5">
        <f>PasteHashtag!L228</f>
        <v>7.3</v>
      </c>
      <c r="O228" s="5">
        <f>PasteHashtag!M228</f>
        <v>1.5</v>
      </c>
      <c r="P228" s="5">
        <f>PasteHashtag!N228</f>
        <v>0.5</v>
      </c>
      <c r="Q228" s="5">
        <f>PasteHashtag!O228</f>
        <v>0.9</v>
      </c>
      <c r="R228" s="5">
        <f>PasteHashtag!P228</f>
        <v>1.4</v>
      </c>
      <c r="S228" s="5">
        <f>Mid(PasteHashtag!H228,FIND("/",PasteHashtag!H228)+1,LEN(PasteHashtag!H228)-FIND("/",PasteHashtag!H228)-1)*1</f>
        <v>5.7</v>
      </c>
      <c r="T228" s="178">
        <f>Mid(PasteHashtag!I228,FIND("/",PasteHashtag!I228)+1,LEN(PasteHashtag!I228)-FIND("/",PasteHashtag!I228)-1)*1</f>
        <v>2.2</v>
      </c>
    </row>
    <row r="229">
      <c r="A229" s="5">
        <v>228.0</v>
      </c>
      <c r="B229" s="5" t="str">
        <f>PasteHashtag!B229</f>
        <v/>
      </c>
      <c r="C229" s="177" t="str">
        <f>PasteHashtag!C229</f>
        <v>Isaac Okoro</v>
      </c>
      <c r="D229" s="5" t="str">
        <f>PasteHashtag!D229</f>
        <v>SF,PF</v>
      </c>
      <c r="E229" s="5" t="str">
        <f>PasteHashtag!E229</f>
        <v>CLE</v>
      </c>
      <c r="F229" s="5">
        <f>PasteHashtag!F229</f>
        <v>71</v>
      </c>
      <c r="G229" s="5">
        <f>PasteHashtag!G229</f>
        <v>27</v>
      </c>
      <c r="H229" s="5">
        <f>MID(PasteHashtag!H229,1+FIND("(",PasteHashtag!H229),FIND("/",PasteHashtag!H229)-FIND("(",PasteHashtag!H229)-1)*1</f>
        <v>3.2</v>
      </c>
      <c r="I229" s="5">
        <f>LEFT(PasteHashtag!H229,FIND("(",PasteHashtag!H229)-1)*1</f>
        <v>0.491</v>
      </c>
      <c r="J229" s="5">
        <f>MID(PasteHashtag!I229,1+FIND("(",PasteHashtag!I229),FIND("/",PasteHashtag!I229)-FIND("(",PasteHashtag!I229)-1)*1</f>
        <v>1.3</v>
      </c>
      <c r="K229" s="5">
        <f>LEFT(PasteHashtag!I229,FIND("(",PasteHashtag!I229)-1)*1</f>
        <v>0.714</v>
      </c>
      <c r="L229" s="5">
        <f>PasteHashtag!J229</f>
        <v>1.1</v>
      </c>
      <c r="M229" s="5">
        <f>PasteHashtag!K229</f>
        <v>8.8</v>
      </c>
      <c r="N229" s="5">
        <f>PasteHashtag!L229</f>
        <v>3</v>
      </c>
      <c r="O229" s="5">
        <f>PasteHashtag!M229</f>
        <v>1.7</v>
      </c>
      <c r="P229" s="5">
        <f>PasteHashtag!N229</f>
        <v>0.9</v>
      </c>
      <c r="Q229" s="5">
        <f>PasteHashtag!O229</f>
        <v>0.5</v>
      </c>
      <c r="R229" s="5">
        <f>PasteHashtag!P229</f>
        <v>0.7</v>
      </c>
      <c r="S229" s="5">
        <f>Mid(PasteHashtag!H229,FIND("/",PasteHashtag!H229)+1,LEN(PasteHashtag!H229)-FIND("/",PasteHashtag!H229)-1)*1</f>
        <v>6.4</v>
      </c>
      <c r="T229" s="178">
        <f>Mid(PasteHashtag!I229,FIND("/",PasteHashtag!I229)+1,LEN(PasteHashtag!I229)-FIND("/",PasteHashtag!I229)-1)*1</f>
        <v>1.9</v>
      </c>
    </row>
    <row r="230">
      <c r="A230" s="5">
        <v>229.0</v>
      </c>
      <c r="B230" s="5" t="str">
        <f>PasteHashtag!B230</f>
        <v/>
      </c>
      <c r="C230" s="177" t="str">
        <f>PasteHashtag!C230</f>
        <v>Delon Wright</v>
      </c>
      <c r="D230" s="5" t="str">
        <f>PasteHashtag!D230</f>
        <v>PG,SG</v>
      </c>
      <c r="E230" s="5" t="str">
        <f>PasteHashtag!E230</f>
        <v>MIL</v>
      </c>
      <c r="F230" s="5">
        <f>PasteHashtag!F230</f>
        <v>62</v>
      </c>
      <c r="G230" s="5">
        <f>PasteHashtag!G230</f>
        <v>16.8</v>
      </c>
      <c r="H230" s="5">
        <f>MID(PasteHashtag!H230,1+FIND("(",PasteHashtag!H230),FIND("/",PasteHashtag!H230)-FIND("(",PasteHashtag!H230)-1)*1</f>
        <v>1.8</v>
      </c>
      <c r="I230" s="5">
        <f>LEFT(PasteHashtag!H230,FIND("(",PasteHashtag!H230)-1)*1</f>
        <v>0.442</v>
      </c>
      <c r="J230" s="5">
        <f>MID(PasteHashtag!I230,1+FIND("(",PasteHashtag!I230),FIND("/",PasteHashtag!I230)-FIND("(",PasteHashtag!I230)-1)*1</f>
        <v>0.8</v>
      </c>
      <c r="K230" s="5">
        <f>LEFT(PasteHashtag!I230,FIND("(",PasteHashtag!I230)-1)*1</f>
        <v>0.846</v>
      </c>
      <c r="L230" s="5">
        <f>PasteHashtag!J230</f>
        <v>0.6</v>
      </c>
      <c r="M230" s="5">
        <f>PasteHashtag!K230</f>
        <v>5</v>
      </c>
      <c r="N230" s="5">
        <f>PasteHashtag!L230</f>
        <v>2.3</v>
      </c>
      <c r="O230" s="5">
        <f>PasteHashtag!M230</f>
        <v>2.7</v>
      </c>
      <c r="P230" s="5">
        <f>PasteHashtag!N230</f>
        <v>1.3</v>
      </c>
      <c r="Q230" s="5">
        <f>PasteHashtag!O230</f>
        <v>0.2</v>
      </c>
      <c r="R230" s="5">
        <f>PasteHashtag!P230</f>
        <v>0.5</v>
      </c>
      <c r="S230" s="5">
        <f>Mid(PasteHashtag!H230,FIND("/",PasteHashtag!H230)+1,LEN(PasteHashtag!H230)-FIND("/",PasteHashtag!H230)-1)*1</f>
        <v>4.1</v>
      </c>
      <c r="T230" s="178">
        <f>Mid(PasteHashtag!I230,FIND("/",PasteHashtag!I230)+1,LEN(PasteHashtag!I230)-FIND("/",PasteHashtag!I230)-1)*1</f>
        <v>0.9</v>
      </c>
    </row>
    <row r="231">
      <c r="A231" s="5">
        <v>230.0</v>
      </c>
      <c r="B231" s="5">
        <f>PasteHashtag!B231</f>
        <v>143.8</v>
      </c>
      <c r="C231" s="177" t="str">
        <f>PasteHashtag!C231</f>
        <v>Malik Beasley</v>
      </c>
      <c r="D231" s="5" t="str">
        <f>PasteHashtag!D231</f>
        <v>SG</v>
      </c>
      <c r="E231" s="5" t="str">
        <f>PasteHashtag!E231</f>
        <v>DET</v>
      </c>
      <c r="F231" s="5">
        <f>PasteHashtag!F231</f>
        <v>74</v>
      </c>
      <c r="G231" s="5">
        <f>PasteHashtag!G231</f>
        <v>25.1</v>
      </c>
      <c r="H231" s="5">
        <f>MID(PasteHashtag!H231,1+FIND("(",PasteHashtag!H231),FIND("/",PasteHashtag!H231)-FIND("(",PasteHashtag!H231)-1)*1</f>
        <v>4</v>
      </c>
      <c r="I231" s="5">
        <f>LEFT(PasteHashtag!H231,FIND("(",PasteHashtag!H231)-1)*1</f>
        <v>0.425</v>
      </c>
      <c r="J231" s="5">
        <f>MID(PasteHashtag!I231,1+FIND("(",PasteHashtag!I231),FIND("/",PasteHashtag!I231)-FIND("(",PasteHashtag!I231)-1)*1</f>
        <v>0.4</v>
      </c>
      <c r="K231" s="5">
        <f>LEFT(PasteHashtag!I231,FIND("(",PasteHashtag!I231)-1)*1</f>
        <v>0.754</v>
      </c>
      <c r="L231" s="5">
        <f>PasteHashtag!J231</f>
        <v>2.6</v>
      </c>
      <c r="M231" s="5">
        <f>PasteHashtag!K231</f>
        <v>11.1</v>
      </c>
      <c r="N231" s="5">
        <f>PasteHashtag!L231</f>
        <v>3.3</v>
      </c>
      <c r="O231" s="5">
        <f>PasteHashtag!M231</f>
        <v>1.3</v>
      </c>
      <c r="P231" s="5">
        <f>PasteHashtag!N231</f>
        <v>0.7</v>
      </c>
      <c r="Q231" s="5">
        <f>PasteHashtag!O231</f>
        <v>0.1</v>
      </c>
      <c r="R231" s="5">
        <f>PasteHashtag!P231</f>
        <v>0.8</v>
      </c>
      <c r="S231" s="5">
        <f>Mid(PasteHashtag!H231,FIND("/",PasteHashtag!H231)+1,LEN(PasteHashtag!H231)-FIND("/",PasteHashtag!H231)-1)*1</f>
        <v>9.5</v>
      </c>
      <c r="T231" s="178">
        <f>Mid(PasteHashtag!I231,FIND("/",PasteHashtag!I231)+1,LEN(PasteHashtag!I231)-FIND("/",PasteHashtag!I231)-1)*1</f>
        <v>0.6</v>
      </c>
    </row>
    <row r="232">
      <c r="A232" s="5">
        <v>231.0</v>
      </c>
      <c r="B232" s="5" t="str">
        <f>PasteHashtag!B232</f>
        <v/>
      </c>
      <c r="C232" s="177" t="str">
        <f>PasteHashtag!C232</f>
        <v>Julian Strawther</v>
      </c>
      <c r="D232" s="5" t="str">
        <f>PasteHashtag!D232</f>
        <v>SG</v>
      </c>
      <c r="E232" s="5" t="str">
        <f>PasteHashtag!E232</f>
        <v>DEN</v>
      </c>
      <c r="F232" s="5">
        <f>PasteHashtag!F232</f>
        <v>64</v>
      </c>
      <c r="G232" s="5">
        <f>PasteHashtag!G232</f>
        <v>23</v>
      </c>
      <c r="H232" s="5">
        <f>MID(PasteHashtag!H232,1+FIND("(",PasteHashtag!H232),FIND("/",PasteHashtag!H232)-FIND("(",PasteHashtag!H232)-1)*1</f>
        <v>3.8</v>
      </c>
      <c r="I232" s="5">
        <f>LEFT(PasteHashtag!H232,FIND("(",PasteHashtag!H232)-1)*1</f>
        <v>0.435</v>
      </c>
      <c r="J232" s="5">
        <f>MID(PasteHashtag!I232,1+FIND("(",PasteHashtag!I232),FIND("/",PasteHashtag!I232)-FIND("(",PasteHashtag!I232)-1)*1</f>
        <v>1</v>
      </c>
      <c r="K232" s="5">
        <f>LEFT(PasteHashtag!I232,FIND("(",PasteHashtag!I232)-1)*1</f>
        <v>0.729</v>
      </c>
      <c r="L232" s="5">
        <f>PasteHashtag!J232</f>
        <v>1.9</v>
      </c>
      <c r="M232" s="5">
        <f>PasteHashtag!K232</f>
        <v>10.5</v>
      </c>
      <c r="N232" s="5">
        <f>PasteHashtag!L232</f>
        <v>2.8</v>
      </c>
      <c r="O232" s="5">
        <f>PasteHashtag!M232</f>
        <v>2.2</v>
      </c>
      <c r="P232" s="5">
        <f>PasteHashtag!N232</f>
        <v>0.8</v>
      </c>
      <c r="Q232" s="5">
        <f>PasteHashtag!O232</f>
        <v>0.3</v>
      </c>
      <c r="R232" s="5">
        <f>PasteHashtag!P232</f>
        <v>1.1</v>
      </c>
      <c r="S232" s="5">
        <f>Mid(PasteHashtag!H232,FIND("/",PasteHashtag!H232)+1,LEN(PasteHashtag!H232)-FIND("/",PasteHashtag!H232)-1)*1</f>
        <v>8.7</v>
      </c>
      <c r="T232" s="178">
        <f>Mid(PasteHashtag!I232,FIND("/",PasteHashtag!I232)+1,LEN(PasteHashtag!I232)-FIND("/",PasteHashtag!I232)-1)*1</f>
        <v>1.4</v>
      </c>
    </row>
    <row r="233">
      <c r="A233" s="5">
        <v>232.0</v>
      </c>
      <c r="B233" s="5">
        <f>PasteHashtag!B233</f>
        <v>143.2</v>
      </c>
      <c r="C233" s="177" t="str">
        <f>PasteHashtag!C233</f>
        <v>Zach Collins</v>
      </c>
      <c r="D233" s="5" t="str">
        <f>PasteHashtag!D233</f>
        <v>PF,C</v>
      </c>
      <c r="E233" s="5" t="str">
        <f>PasteHashtag!E233</f>
        <v>SA</v>
      </c>
      <c r="F233" s="5">
        <f>PasteHashtag!F233</f>
        <v>60</v>
      </c>
      <c r="G233" s="5">
        <f>PasteHashtag!G233</f>
        <v>17.7</v>
      </c>
      <c r="H233" s="5">
        <f>MID(PasteHashtag!H233,1+FIND("(",PasteHashtag!H233),FIND("/",PasteHashtag!H233)-FIND("(",PasteHashtag!H233)-1)*1</f>
        <v>3.5</v>
      </c>
      <c r="I233" s="5">
        <f>LEFT(PasteHashtag!H233,FIND("(",PasteHashtag!H233)-1)*1</f>
        <v>0.501</v>
      </c>
      <c r="J233" s="5">
        <f>MID(PasteHashtag!I233,1+FIND("(",PasteHashtag!I233),FIND("/",PasteHashtag!I233)-FIND("(",PasteHashtag!I233)-1)*1</f>
        <v>1.4</v>
      </c>
      <c r="K233" s="5">
        <f>LEFT(PasteHashtag!I233,FIND("(",PasteHashtag!I233)-1)*1</f>
        <v>0.76</v>
      </c>
      <c r="L233" s="5">
        <f>PasteHashtag!J233</f>
        <v>0.7</v>
      </c>
      <c r="M233" s="5">
        <f>PasteHashtag!K233</f>
        <v>9.1</v>
      </c>
      <c r="N233" s="5">
        <f>PasteHashtag!L233</f>
        <v>4.7</v>
      </c>
      <c r="O233" s="5">
        <f>PasteHashtag!M233</f>
        <v>2.3</v>
      </c>
      <c r="P233" s="5">
        <f>PasteHashtag!N233</f>
        <v>0.4</v>
      </c>
      <c r="Q233" s="5">
        <f>PasteHashtag!O233</f>
        <v>0.6</v>
      </c>
      <c r="R233" s="5">
        <f>PasteHashtag!P233</f>
        <v>1.6</v>
      </c>
      <c r="S233" s="5">
        <f>Mid(PasteHashtag!H233,FIND("/",PasteHashtag!H233)+1,LEN(PasteHashtag!H233)-FIND("/",PasteHashtag!H233)-1)*1</f>
        <v>7</v>
      </c>
      <c r="T233" s="178">
        <f>Mid(PasteHashtag!I233,FIND("/",PasteHashtag!I233)+1,LEN(PasteHashtag!I233)-FIND("/",PasteHashtag!I233)-1)*1</f>
        <v>1.8</v>
      </c>
    </row>
    <row r="234">
      <c r="A234" s="5">
        <v>233.0</v>
      </c>
      <c r="B234" s="5">
        <f>PasteHashtag!B234</f>
        <v>143.1</v>
      </c>
      <c r="C234" s="177" t="str">
        <f>PasteHashtag!C234</f>
        <v>Grant Williams</v>
      </c>
      <c r="D234" s="5" t="str">
        <f>PasteHashtag!D234</f>
        <v>PF,C</v>
      </c>
      <c r="E234" s="5" t="str">
        <f>PasteHashtag!E234</f>
        <v>CHA</v>
      </c>
      <c r="F234" s="5">
        <f>PasteHashtag!F234</f>
        <v>77</v>
      </c>
      <c r="G234" s="5">
        <f>PasteHashtag!G234</f>
        <v>25.9</v>
      </c>
      <c r="H234" s="5">
        <f>MID(PasteHashtag!H234,1+FIND("(",PasteHashtag!H234),FIND("/",PasteHashtag!H234)-FIND("(",PasteHashtag!H234)-1)*1</f>
        <v>3.1</v>
      </c>
      <c r="I234" s="5">
        <f>LEFT(PasteHashtag!H234,FIND("(",PasteHashtag!H234)-1)*1</f>
        <v>0.455</v>
      </c>
      <c r="J234" s="5">
        <f>MID(PasteHashtag!I234,1+FIND("(",PasteHashtag!I234),FIND("/",PasteHashtag!I234)-FIND("(",PasteHashtag!I234)-1)*1</f>
        <v>1.3</v>
      </c>
      <c r="K234" s="5">
        <f>LEFT(PasteHashtag!I234,FIND("(",PasteHashtag!I234)-1)*1</f>
        <v>0.762</v>
      </c>
      <c r="L234" s="5">
        <f>PasteHashtag!J234</f>
        <v>1.5</v>
      </c>
      <c r="M234" s="5">
        <f>PasteHashtag!K234</f>
        <v>8.9</v>
      </c>
      <c r="N234" s="5">
        <f>PasteHashtag!L234</f>
        <v>4.3</v>
      </c>
      <c r="O234" s="5">
        <f>PasteHashtag!M234</f>
        <v>1.9</v>
      </c>
      <c r="P234" s="5">
        <f>PasteHashtag!N234</f>
        <v>0.5</v>
      </c>
      <c r="Q234" s="5">
        <f>PasteHashtag!O234</f>
        <v>0.4</v>
      </c>
      <c r="R234" s="5">
        <f>PasteHashtag!P234</f>
        <v>1.2</v>
      </c>
      <c r="S234" s="5">
        <f>Mid(PasteHashtag!H234,FIND("/",PasteHashtag!H234)+1,LEN(PasteHashtag!H234)-FIND("/",PasteHashtag!H234)-1)*1</f>
        <v>6.8</v>
      </c>
      <c r="T234" s="178">
        <f>Mid(PasteHashtag!I234,FIND("/",PasteHashtag!I234)+1,LEN(PasteHashtag!I234)-FIND("/",PasteHashtag!I234)-1)*1</f>
        <v>1.6</v>
      </c>
    </row>
    <row r="235">
      <c r="A235" s="5">
        <v>234.0</v>
      </c>
      <c r="B235" s="5">
        <f>PasteHashtag!B235</f>
        <v>140.3</v>
      </c>
      <c r="C235" s="177" t="str">
        <f>PasteHashtag!C235</f>
        <v>Dorian Finney-Smith</v>
      </c>
      <c r="D235" s="5" t="str">
        <f>PasteHashtag!D235</f>
        <v>SF,PF,C</v>
      </c>
      <c r="E235" s="5" t="str">
        <f>PasteHashtag!E235</f>
        <v>BKN</v>
      </c>
      <c r="F235" s="5">
        <f>PasteHashtag!F235</f>
        <v>68</v>
      </c>
      <c r="G235" s="5">
        <f>PasteHashtag!G235</f>
        <v>27.4</v>
      </c>
      <c r="H235" s="5">
        <f>MID(PasteHashtag!H235,1+FIND("(",PasteHashtag!H235),FIND("/",PasteHashtag!H235)-FIND("(",PasteHashtag!H235)-1)*1</f>
        <v>2.8</v>
      </c>
      <c r="I235" s="5">
        <f>LEFT(PasteHashtag!H235,FIND("(",PasteHashtag!H235)-1)*1</f>
        <v>0.406</v>
      </c>
      <c r="J235" s="5">
        <f>MID(PasteHashtag!I235,1+FIND("(",PasteHashtag!I235),FIND("/",PasteHashtag!I235)-FIND("(",PasteHashtag!I235)-1)*1</f>
        <v>0.5</v>
      </c>
      <c r="K235" s="5">
        <f>LEFT(PasteHashtag!I235,FIND("(",PasteHashtag!I235)-1)*1</f>
        <v>0.75</v>
      </c>
      <c r="L235" s="5">
        <f>PasteHashtag!J235</f>
        <v>1.6</v>
      </c>
      <c r="M235" s="5">
        <f>PasteHashtag!K235</f>
        <v>7.8</v>
      </c>
      <c r="N235" s="5">
        <f>PasteHashtag!L235</f>
        <v>4.4</v>
      </c>
      <c r="O235" s="5">
        <f>PasteHashtag!M235</f>
        <v>1.4</v>
      </c>
      <c r="P235" s="5">
        <f>PasteHashtag!N235</f>
        <v>0.8</v>
      </c>
      <c r="Q235" s="5">
        <f>PasteHashtag!O235</f>
        <v>0.5</v>
      </c>
      <c r="R235" s="5">
        <f>PasteHashtag!P235</f>
        <v>0.8</v>
      </c>
      <c r="S235" s="5">
        <f>Mid(PasteHashtag!H235,FIND("/",PasteHashtag!H235)+1,LEN(PasteHashtag!H235)-FIND("/",PasteHashtag!H235)-1)*1</f>
        <v>7</v>
      </c>
      <c r="T235" s="178">
        <f>Mid(PasteHashtag!I235,FIND("/",PasteHashtag!I235)+1,LEN(PasteHashtag!I235)-FIND("/",PasteHashtag!I235)-1)*1</f>
        <v>0.7</v>
      </c>
    </row>
    <row r="236">
      <c r="A236" s="5">
        <v>235.0</v>
      </c>
      <c r="B236" s="5" t="str">
        <f>PasteHashtag!B236</f>
        <v/>
      </c>
      <c r="C236" s="177" t="str">
        <f>PasteHashtag!C236</f>
        <v>Paul Reed</v>
      </c>
      <c r="D236" s="5" t="str">
        <f>PasteHashtag!D236</f>
        <v>PF,C</v>
      </c>
      <c r="E236" s="5" t="str">
        <f>PasteHashtag!E236</f>
        <v>DET</v>
      </c>
      <c r="F236" s="5">
        <f>PasteHashtag!F236</f>
        <v>62</v>
      </c>
      <c r="G236" s="5">
        <f>PasteHashtag!G236</f>
        <v>14.2</v>
      </c>
      <c r="H236" s="5">
        <f>MID(PasteHashtag!H236,1+FIND("(",PasteHashtag!H236),FIND("/",PasteHashtag!H236)-FIND("(",PasteHashtag!H236)-1)*1</f>
        <v>2.3</v>
      </c>
      <c r="I236" s="5">
        <f>LEFT(PasteHashtag!H236,FIND("(",PasteHashtag!H236)-1)*1</f>
        <v>0.555</v>
      </c>
      <c r="J236" s="5">
        <f>MID(PasteHashtag!I236,1+FIND("(",PasteHashtag!I236),FIND("/",PasteHashtag!I236)-FIND("(",PasteHashtag!I236)-1)*1</f>
        <v>0.6</v>
      </c>
      <c r="K236" s="5">
        <f>LEFT(PasteHashtag!I236,FIND("(",PasteHashtag!I236)-1)*1</f>
        <v>0.735</v>
      </c>
      <c r="L236" s="5">
        <f>PasteHashtag!J236</f>
        <v>0.1</v>
      </c>
      <c r="M236" s="5">
        <f>PasteHashtag!K236</f>
        <v>5.4</v>
      </c>
      <c r="N236" s="5">
        <f>PasteHashtag!L236</f>
        <v>4.6</v>
      </c>
      <c r="O236" s="5">
        <f>PasteHashtag!M236</f>
        <v>0.8</v>
      </c>
      <c r="P236" s="5">
        <f>PasteHashtag!N236</f>
        <v>0.7</v>
      </c>
      <c r="Q236" s="5">
        <f>PasteHashtag!O236</f>
        <v>0.8</v>
      </c>
      <c r="R236" s="5">
        <f>PasteHashtag!P236</f>
        <v>0.7</v>
      </c>
      <c r="S236" s="5">
        <f>Mid(PasteHashtag!H236,FIND("/",PasteHashtag!H236)+1,LEN(PasteHashtag!H236)-FIND("/",PasteHashtag!H236)-1)*1</f>
        <v>4.2</v>
      </c>
      <c r="T236" s="178">
        <f>Mid(PasteHashtag!I236,FIND("/",PasteHashtag!I236)+1,LEN(PasteHashtag!I236)-FIND("/",PasteHashtag!I236)-1)*1</f>
        <v>0.8</v>
      </c>
    </row>
    <row r="237">
      <c r="A237" s="5">
        <v>236.0</v>
      </c>
      <c r="B237" s="5" t="str">
        <f>PasteHashtag!B237</f>
        <v/>
      </c>
      <c r="C237" s="177" t="str">
        <f>PasteHashtag!C237</f>
        <v>Dario Saric</v>
      </c>
      <c r="D237" s="5" t="str">
        <f>PasteHashtag!D237</f>
        <v>PF,C</v>
      </c>
      <c r="E237" s="5" t="str">
        <f>PasteHashtag!E237</f>
        <v>DEN</v>
      </c>
      <c r="F237" s="5">
        <f>PasteHashtag!F237</f>
        <v>65</v>
      </c>
      <c r="G237" s="5">
        <f>PasteHashtag!G237</f>
        <v>18.4</v>
      </c>
      <c r="H237" s="5">
        <f>MID(PasteHashtag!H237,1+FIND("(",PasteHashtag!H237),FIND("/",PasteHashtag!H237)-FIND("(",PasteHashtag!H237)-1)*1</f>
        <v>3</v>
      </c>
      <c r="I237" s="5">
        <f>LEFT(PasteHashtag!H237,FIND("(",PasteHashtag!H237)-1)*1</f>
        <v>0.464</v>
      </c>
      <c r="J237" s="5">
        <f>MID(PasteHashtag!I237,1+FIND("(",PasteHashtag!I237),FIND("/",PasteHashtag!I237)-FIND("(",PasteHashtag!I237)-1)*1</f>
        <v>1.4</v>
      </c>
      <c r="K237" s="5">
        <f>LEFT(PasteHashtag!I237,FIND("(",PasteHashtag!I237)-1)*1</f>
        <v>0.842</v>
      </c>
      <c r="L237" s="5">
        <f>PasteHashtag!J237</f>
        <v>1.2</v>
      </c>
      <c r="M237" s="5">
        <f>PasteHashtag!K237</f>
        <v>8.6</v>
      </c>
      <c r="N237" s="5">
        <f>PasteHashtag!L237</f>
        <v>4.8</v>
      </c>
      <c r="O237" s="5">
        <f>PasteHashtag!M237</f>
        <v>2.1</v>
      </c>
      <c r="P237" s="5">
        <f>PasteHashtag!N237</f>
        <v>0.5</v>
      </c>
      <c r="Q237" s="5">
        <f>PasteHashtag!O237</f>
        <v>0.2</v>
      </c>
      <c r="R237" s="5">
        <f>PasteHashtag!P237</f>
        <v>1.3</v>
      </c>
      <c r="S237" s="5">
        <f>Mid(PasteHashtag!H237,FIND("/",PasteHashtag!H237)+1,LEN(PasteHashtag!H237)-FIND("/",PasteHashtag!H237)-1)*1</f>
        <v>6.5</v>
      </c>
      <c r="T237" s="178">
        <f>Mid(PasteHashtag!I237,FIND("/",PasteHashtag!I237)+1,LEN(PasteHashtag!I237)-FIND("/",PasteHashtag!I237)-1)*1</f>
        <v>1.7</v>
      </c>
    </row>
    <row r="238">
      <c r="A238" s="5">
        <v>237.0</v>
      </c>
      <c r="B238" s="5" t="str">
        <f>PasteHashtag!B238</f>
        <v/>
      </c>
      <c r="C238" s="177" t="str">
        <f>PasteHashtag!C238</f>
        <v>Christian Wood</v>
      </c>
      <c r="D238" s="5" t="str">
        <f>PasteHashtag!D238</f>
        <v>PF,C</v>
      </c>
      <c r="E238" s="5" t="str">
        <f>PasteHashtag!E238</f>
        <v>LAL</v>
      </c>
      <c r="F238" s="5">
        <f>PasteHashtag!F238</f>
        <v>52</v>
      </c>
      <c r="G238" s="5">
        <f>PasteHashtag!G238</f>
        <v>17.2</v>
      </c>
      <c r="H238" s="5">
        <f>MID(PasteHashtag!H238,1+FIND("(",PasteHashtag!H238),FIND("/",PasteHashtag!H238)-FIND("(",PasteHashtag!H238)-1)*1</f>
        <v>3.5</v>
      </c>
      <c r="I238" s="5">
        <f>LEFT(PasteHashtag!H238,FIND("(",PasteHashtag!H238)-1)*1</f>
        <v>0.502</v>
      </c>
      <c r="J238" s="5">
        <f>MID(PasteHashtag!I238,1+FIND("(",PasteHashtag!I238),FIND("/",PasteHashtag!I238)-FIND("(",PasteHashtag!I238)-1)*1</f>
        <v>1.9</v>
      </c>
      <c r="K238" s="5">
        <f>LEFT(PasteHashtag!I238,FIND("(",PasteHashtag!I238)-1)*1</f>
        <v>0.752</v>
      </c>
      <c r="L238" s="5">
        <f>PasteHashtag!J238</f>
        <v>0.9</v>
      </c>
      <c r="M238" s="5">
        <f>PasteHashtag!K238</f>
        <v>9.7</v>
      </c>
      <c r="N238" s="5">
        <f>PasteHashtag!L238</f>
        <v>5</v>
      </c>
      <c r="O238" s="5">
        <f>PasteHashtag!M238</f>
        <v>1.1</v>
      </c>
      <c r="P238" s="5">
        <f>PasteHashtag!N238</f>
        <v>0.3</v>
      </c>
      <c r="Q238" s="5">
        <f>PasteHashtag!O238</f>
        <v>0.7</v>
      </c>
      <c r="R238" s="5">
        <f>PasteHashtag!P238</f>
        <v>1.1</v>
      </c>
      <c r="S238" s="5">
        <f>Mid(PasteHashtag!H238,FIND("/",PasteHashtag!H238)+1,LEN(PasteHashtag!H238)-FIND("/",PasteHashtag!H238)-1)*1</f>
        <v>6.9</v>
      </c>
      <c r="T238" s="178">
        <f>Mid(PasteHashtag!I238,FIND("/",PasteHashtag!I238)+1,LEN(PasteHashtag!I238)-FIND("/",PasteHashtag!I238)-1)*1</f>
        <v>2.5</v>
      </c>
    </row>
    <row r="239">
      <c r="A239" s="5">
        <v>238.0</v>
      </c>
      <c r="B239" s="5" t="str">
        <f>PasteHashtag!B239</f>
        <v/>
      </c>
      <c r="C239" s="177" t="str">
        <f>PasteHashtag!C239</f>
        <v>Rob Dillingham</v>
      </c>
      <c r="D239" s="5" t="str">
        <f>PasteHashtag!D239</f>
        <v>PG</v>
      </c>
      <c r="E239" s="5" t="str">
        <f>PasteHashtag!E239</f>
        <v>MIN</v>
      </c>
      <c r="F239" s="5">
        <f>PasteHashtag!F239</f>
        <v>68</v>
      </c>
      <c r="G239" s="5">
        <f>PasteHashtag!G239</f>
        <v>22.8</v>
      </c>
      <c r="H239" s="5">
        <f>MID(PasteHashtag!H239,1+FIND("(",PasteHashtag!H239),FIND("/",PasteHashtag!H239)-FIND("(",PasteHashtag!H239)-1)*1</f>
        <v>3.8</v>
      </c>
      <c r="I239" s="5">
        <f>LEFT(PasteHashtag!H239,FIND("(",PasteHashtag!H239)-1)*1</f>
        <v>0.454</v>
      </c>
      <c r="J239" s="5">
        <f>MID(PasteHashtag!I239,1+FIND("(",PasteHashtag!I239),FIND("/",PasteHashtag!I239)-FIND("(",PasteHashtag!I239)-1)*1</f>
        <v>1.7</v>
      </c>
      <c r="K239" s="5">
        <f>LEFT(PasteHashtag!I239,FIND("(",PasteHashtag!I239)-1)*1</f>
        <v>0.802</v>
      </c>
      <c r="L239" s="5">
        <f>PasteHashtag!J239</f>
        <v>1.6</v>
      </c>
      <c r="M239" s="5">
        <f>PasteHashtag!K239</f>
        <v>11</v>
      </c>
      <c r="N239" s="5">
        <f>PasteHashtag!L239</f>
        <v>2.1</v>
      </c>
      <c r="O239" s="5">
        <f>PasteHashtag!M239</f>
        <v>2.8</v>
      </c>
      <c r="P239" s="5">
        <f>PasteHashtag!N239</f>
        <v>0.7</v>
      </c>
      <c r="Q239" s="5">
        <f>PasteHashtag!O239</f>
        <v>0</v>
      </c>
      <c r="R239" s="5">
        <f>PasteHashtag!P239</f>
        <v>1.4</v>
      </c>
      <c r="S239" s="5">
        <f>Mid(PasteHashtag!H239,FIND("/",PasteHashtag!H239)+1,LEN(PasteHashtag!H239)-FIND("/",PasteHashtag!H239)-1)*1</f>
        <v>8.4</v>
      </c>
      <c r="T239" s="178">
        <f>Mid(PasteHashtag!I239,FIND("/",PasteHashtag!I239)+1,LEN(PasteHashtag!I239)-FIND("/",PasteHashtag!I239)-1)*1</f>
        <v>2.2</v>
      </c>
    </row>
    <row r="240">
      <c r="A240" s="5">
        <v>239.0</v>
      </c>
      <c r="B240" s="5" t="str">
        <f>PasteHashtag!B240</f>
        <v/>
      </c>
      <c r="C240" s="177" t="str">
        <f>PasteHashtag!C240</f>
        <v>Xavier Tillman Sr.</v>
      </c>
      <c r="D240" s="5" t="str">
        <f>PasteHashtag!D240</f>
        <v>PF,C</v>
      </c>
      <c r="E240" s="5" t="str">
        <f>PasteHashtag!E240</f>
        <v>BOS</v>
      </c>
      <c r="F240" s="5">
        <f>PasteHashtag!F240</f>
        <v>62</v>
      </c>
      <c r="G240" s="5">
        <f>PasteHashtag!G240</f>
        <v>20.2</v>
      </c>
      <c r="H240" s="5">
        <f>MID(PasteHashtag!H240,1+FIND("(",PasteHashtag!H240),FIND("/",PasteHashtag!H240)-FIND("(",PasteHashtag!H240)-1)*1</f>
        <v>2.9</v>
      </c>
      <c r="I240" s="5">
        <f>LEFT(PasteHashtag!H240,FIND("(",PasteHashtag!H240)-1)*1</f>
        <v>0.473</v>
      </c>
      <c r="J240" s="5">
        <f>MID(PasteHashtag!I240,1+FIND("(",PasteHashtag!I240),FIND("/",PasteHashtag!I240)-FIND("(",PasteHashtag!I240)-1)*1</f>
        <v>0.7</v>
      </c>
      <c r="K240" s="5">
        <f>LEFT(PasteHashtag!I240,FIND("(",PasteHashtag!I240)-1)*1</f>
        <v>0.515</v>
      </c>
      <c r="L240" s="5">
        <f>PasteHashtag!J240</f>
        <v>0.7</v>
      </c>
      <c r="M240" s="5">
        <f>PasteHashtag!K240</f>
        <v>7.2</v>
      </c>
      <c r="N240" s="5">
        <f>PasteHashtag!L240</f>
        <v>4.9</v>
      </c>
      <c r="O240" s="5">
        <f>PasteHashtag!M240</f>
        <v>1.6</v>
      </c>
      <c r="P240" s="5">
        <f>PasteHashtag!N240</f>
        <v>1</v>
      </c>
      <c r="Q240" s="5">
        <f>PasteHashtag!O240</f>
        <v>0.7</v>
      </c>
      <c r="R240" s="5">
        <f>PasteHashtag!P240</f>
        <v>0.7</v>
      </c>
      <c r="S240" s="5">
        <f>Mid(PasteHashtag!H240,FIND("/",PasteHashtag!H240)+1,LEN(PasteHashtag!H240)-FIND("/",PasteHashtag!H240)-1)*1</f>
        <v>6.1</v>
      </c>
      <c r="T240" s="178">
        <f>Mid(PasteHashtag!I240,FIND("/",PasteHashtag!I240)+1,LEN(PasteHashtag!I240)-FIND("/",PasteHashtag!I240)-1)*1</f>
        <v>1.3</v>
      </c>
    </row>
    <row r="241">
      <c r="A241" s="5">
        <v>240.0</v>
      </c>
      <c r="B241" s="5">
        <f>PasteHashtag!B241</f>
        <v>143.5</v>
      </c>
      <c r="C241" s="177" t="str">
        <f>PasteHashtag!C241</f>
        <v>Gradey Dick</v>
      </c>
      <c r="D241" s="5" t="str">
        <f>PasteHashtag!D241</f>
        <v>SG,SF</v>
      </c>
      <c r="E241" s="5" t="str">
        <f>PasteHashtag!E241</f>
        <v>TOR</v>
      </c>
      <c r="F241" s="5">
        <f>PasteHashtag!F241</f>
        <v>68</v>
      </c>
      <c r="G241" s="5">
        <f>PasteHashtag!G241</f>
        <v>28.2</v>
      </c>
      <c r="H241" s="5">
        <f>MID(PasteHashtag!H241,1+FIND("(",PasteHashtag!H241),FIND("/",PasteHashtag!H241)-FIND("(",PasteHashtag!H241)-1)*1</f>
        <v>4.2</v>
      </c>
      <c r="I241" s="5">
        <f>LEFT(PasteHashtag!H241,FIND("(",PasteHashtag!H241)-1)*1</f>
        <v>0.424</v>
      </c>
      <c r="J241" s="5">
        <f>MID(PasteHashtag!I241,1+FIND("(",PasteHashtag!I241),FIND("/",PasteHashtag!I241)-FIND("(",PasteHashtag!I241)-1)*1</f>
        <v>1</v>
      </c>
      <c r="K241" s="5">
        <f>LEFT(PasteHashtag!I241,FIND("(",PasteHashtag!I241)-1)*1</f>
        <v>0.86</v>
      </c>
      <c r="L241" s="5">
        <f>PasteHashtag!J241</f>
        <v>2</v>
      </c>
      <c r="M241" s="5">
        <f>PasteHashtag!K241</f>
        <v>11.4</v>
      </c>
      <c r="N241" s="5">
        <f>PasteHashtag!L241</f>
        <v>2.9</v>
      </c>
      <c r="O241" s="5">
        <f>PasteHashtag!M241</f>
        <v>1.5</v>
      </c>
      <c r="P241" s="5">
        <f>PasteHashtag!N241</f>
        <v>0.8</v>
      </c>
      <c r="Q241" s="5">
        <f>PasteHashtag!O241</f>
        <v>0</v>
      </c>
      <c r="R241" s="5">
        <f>PasteHashtag!P241</f>
        <v>1.1</v>
      </c>
      <c r="S241" s="5">
        <f>Mid(PasteHashtag!H241,FIND("/",PasteHashtag!H241)+1,LEN(PasteHashtag!H241)-FIND("/",PasteHashtag!H241)-1)*1</f>
        <v>9.9</v>
      </c>
      <c r="T241" s="178">
        <f>Mid(PasteHashtag!I241,FIND("/",PasteHashtag!I241)+1,LEN(PasteHashtag!I241)-FIND("/",PasteHashtag!I241)-1)*1</f>
        <v>1.1</v>
      </c>
    </row>
    <row r="242">
      <c r="A242" s="5">
        <v>241.0</v>
      </c>
      <c r="B242" s="5" t="str">
        <f>PasteHashtag!B242</f>
        <v/>
      </c>
      <c r="C242" s="177" t="str">
        <f>PasteHashtag!C242</f>
        <v>Ron Holland II</v>
      </c>
      <c r="D242" s="5" t="str">
        <f>PasteHashtag!D242</f>
        <v>SF</v>
      </c>
      <c r="E242" s="5" t="str">
        <f>PasteHashtag!E242</f>
        <v>DET</v>
      </c>
      <c r="F242" s="5">
        <f>PasteHashtag!F242</f>
        <v>67</v>
      </c>
      <c r="G242" s="5">
        <f>PasteHashtag!G242</f>
        <v>25.4</v>
      </c>
      <c r="H242" s="5">
        <f>MID(PasteHashtag!H242,1+FIND("(",PasteHashtag!H242),FIND("/",PasteHashtag!H242)-FIND("(",PasteHashtag!H242)-1)*1</f>
        <v>3.9</v>
      </c>
      <c r="I242" s="5">
        <f>LEFT(PasteHashtag!H242,FIND("(",PasteHashtag!H242)-1)*1</f>
        <v>0.44</v>
      </c>
      <c r="J242" s="5">
        <f>MID(PasteHashtag!I242,1+FIND("(",PasteHashtag!I242),FIND("/",PasteHashtag!I242)-FIND("(",PasteHashtag!I242)-1)*1</f>
        <v>2.1</v>
      </c>
      <c r="K242" s="5">
        <f>LEFT(PasteHashtag!I242,FIND("(",PasteHashtag!I242)-1)*1</f>
        <v>0.74</v>
      </c>
      <c r="L242" s="5">
        <f>PasteHashtag!J242</f>
        <v>0.5</v>
      </c>
      <c r="M242" s="5">
        <f>PasteHashtag!K242</f>
        <v>10.3</v>
      </c>
      <c r="N242" s="5">
        <f>PasteHashtag!L242</f>
        <v>3.7</v>
      </c>
      <c r="O242" s="5">
        <f>PasteHashtag!M242</f>
        <v>1.7</v>
      </c>
      <c r="P242" s="5">
        <f>PasteHashtag!N242</f>
        <v>1.3</v>
      </c>
      <c r="Q242" s="5">
        <f>PasteHashtag!O242</f>
        <v>0.4</v>
      </c>
      <c r="R242" s="5">
        <f>PasteHashtag!P242</f>
        <v>1.6</v>
      </c>
      <c r="S242" s="5">
        <f>Mid(PasteHashtag!H242,FIND("/",PasteHashtag!H242)+1,LEN(PasteHashtag!H242)-FIND("/",PasteHashtag!H242)-1)*1</f>
        <v>8.8</v>
      </c>
      <c r="T242" s="178">
        <f>Mid(PasteHashtag!I242,FIND("/",PasteHashtag!I242)+1,LEN(PasteHashtag!I242)-FIND("/",PasteHashtag!I242)-1)*1</f>
        <v>2.9</v>
      </c>
    </row>
    <row r="243">
      <c r="A243" s="5">
        <v>242.0</v>
      </c>
      <c r="B243" s="5" t="str">
        <f>PasteHashtag!B243</f>
        <v/>
      </c>
      <c r="C243" s="177" t="str">
        <f>PasteHashtag!C243</f>
        <v>Mo Bamba</v>
      </c>
      <c r="D243" s="5" t="str">
        <f>PasteHashtag!D243</f>
        <v>C</v>
      </c>
      <c r="E243" s="5" t="str">
        <f>PasteHashtag!E243</f>
        <v>LAC</v>
      </c>
      <c r="F243" s="5">
        <f>PasteHashtag!F243</f>
        <v>58</v>
      </c>
      <c r="G243" s="5">
        <f>PasteHashtag!G243</f>
        <v>15.8</v>
      </c>
      <c r="H243" s="5">
        <f>MID(PasteHashtag!H243,1+FIND("(",PasteHashtag!H243),FIND("/",PasteHashtag!H243)-FIND("(",PasteHashtag!H243)-1)*1</f>
        <v>2.3</v>
      </c>
      <c r="I243" s="5">
        <f>LEFT(PasteHashtag!H243,FIND("(",PasteHashtag!H243)-1)*1</f>
        <v>0.487</v>
      </c>
      <c r="J243" s="5">
        <f>MID(PasteHashtag!I243,1+FIND("(",PasteHashtag!I243),FIND("/",PasteHashtag!I243)-FIND("(",PasteHashtag!I243)-1)*1</f>
        <v>0.8</v>
      </c>
      <c r="K243" s="5">
        <f>LEFT(PasteHashtag!I243,FIND("(",PasteHashtag!I243)-1)*1</f>
        <v>0.669</v>
      </c>
      <c r="L243" s="5">
        <f>PasteHashtag!J243</f>
        <v>0.8</v>
      </c>
      <c r="M243" s="5">
        <f>PasteHashtag!K243</f>
        <v>6.1</v>
      </c>
      <c r="N243" s="5">
        <f>PasteHashtag!L243</f>
        <v>4.9</v>
      </c>
      <c r="O243" s="5">
        <f>PasteHashtag!M243</f>
        <v>0.9</v>
      </c>
      <c r="P243" s="5">
        <f>PasteHashtag!N243</f>
        <v>0.4</v>
      </c>
      <c r="Q243" s="5">
        <f>PasteHashtag!O243</f>
        <v>1.1</v>
      </c>
      <c r="R243" s="5">
        <f>PasteHashtag!P243</f>
        <v>0.7</v>
      </c>
      <c r="S243" s="5">
        <f>Mid(PasteHashtag!H243,FIND("/",PasteHashtag!H243)+1,LEN(PasteHashtag!H243)-FIND("/",PasteHashtag!H243)-1)*1</f>
        <v>4.6</v>
      </c>
      <c r="T243" s="178">
        <f>Mid(PasteHashtag!I243,FIND("/",PasteHashtag!I243)+1,LEN(PasteHashtag!I243)-FIND("/",PasteHashtag!I243)-1)*1</f>
        <v>1.2</v>
      </c>
    </row>
    <row r="244">
      <c r="A244" s="5">
        <v>243.0</v>
      </c>
      <c r="B244" s="5" t="str">
        <f>PasteHashtag!B244</f>
        <v/>
      </c>
      <c r="C244" s="177" t="str">
        <f>PasteHashtag!C244</f>
        <v>Derrick Jones Jr.</v>
      </c>
      <c r="D244" s="5" t="str">
        <f>PasteHashtag!D244</f>
        <v>SF,PF</v>
      </c>
      <c r="E244" s="5" t="str">
        <f>PasteHashtag!E244</f>
        <v>LAC</v>
      </c>
      <c r="F244" s="5">
        <f>PasteHashtag!F244</f>
        <v>64</v>
      </c>
      <c r="G244" s="5">
        <f>PasteHashtag!G244</f>
        <v>21.8</v>
      </c>
      <c r="H244" s="5">
        <f>MID(PasteHashtag!H244,1+FIND("(",PasteHashtag!H244),FIND("/",PasteHashtag!H244)-FIND("(",PasteHashtag!H244)-1)*1</f>
        <v>2.9</v>
      </c>
      <c r="I244" s="5">
        <f>LEFT(PasteHashtag!H244,FIND("(",PasteHashtag!H244)-1)*1</f>
        <v>0.488</v>
      </c>
      <c r="J244" s="5">
        <f>MID(PasteHashtag!I244,1+FIND("(",PasteHashtag!I244),FIND("/",PasteHashtag!I244)-FIND("(",PasteHashtag!I244)-1)*1</f>
        <v>1.3</v>
      </c>
      <c r="K244" s="5">
        <f>LEFT(PasteHashtag!I244,FIND("(",PasteHashtag!I244)-1)*1</f>
        <v>0.724</v>
      </c>
      <c r="L244" s="5">
        <f>PasteHashtag!J244</f>
        <v>0.9</v>
      </c>
      <c r="M244" s="5">
        <f>PasteHashtag!K244</f>
        <v>8</v>
      </c>
      <c r="N244" s="5">
        <f>PasteHashtag!L244</f>
        <v>3.3</v>
      </c>
      <c r="O244" s="5">
        <f>PasteHashtag!M244</f>
        <v>0.9</v>
      </c>
      <c r="P244" s="5">
        <f>PasteHashtag!N244</f>
        <v>0.7</v>
      </c>
      <c r="Q244" s="5">
        <f>PasteHashtag!O244</f>
        <v>0.7</v>
      </c>
      <c r="R244" s="5">
        <f>PasteHashtag!P244</f>
        <v>0.7</v>
      </c>
      <c r="S244" s="5">
        <f>Mid(PasteHashtag!H244,FIND("/",PasteHashtag!H244)+1,LEN(PasteHashtag!H244)-FIND("/",PasteHashtag!H244)-1)*1</f>
        <v>6</v>
      </c>
      <c r="T244" s="178">
        <f>Mid(PasteHashtag!I244,FIND("/",PasteHashtag!I244)+1,LEN(PasteHashtag!I244)-FIND("/",PasteHashtag!I244)-1)*1</f>
        <v>1.8</v>
      </c>
    </row>
    <row r="245">
      <c r="A245" s="5">
        <v>244.0</v>
      </c>
      <c r="B245" s="5" t="str">
        <f>PasteHashtag!B245</f>
        <v/>
      </c>
      <c r="C245" s="177" t="str">
        <f>PasteHashtag!C245</f>
        <v>Isaiah Joe</v>
      </c>
      <c r="D245" s="5" t="str">
        <f>PasteHashtag!D245</f>
        <v>PG,SG</v>
      </c>
      <c r="E245" s="5" t="str">
        <f>PasteHashtag!E245</f>
        <v>OKC</v>
      </c>
      <c r="F245" s="5">
        <f>PasteHashtag!F245</f>
        <v>75</v>
      </c>
      <c r="G245" s="5">
        <f>PasteHashtag!G245</f>
        <v>18</v>
      </c>
      <c r="H245" s="5">
        <f>MID(PasteHashtag!H245,1+FIND("(",PasteHashtag!H245),FIND("/",PasteHashtag!H245)-FIND("(",PasteHashtag!H245)-1)*1</f>
        <v>2.9</v>
      </c>
      <c r="I245" s="5">
        <f>LEFT(PasteHashtag!H245,FIND("(",PasteHashtag!H245)-1)*1</f>
        <v>0.449</v>
      </c>
      <c r="J245" s="5">
        <f>MID(PasteHashtag!I245,1+FIND("(",PasteHashtag!I245),FIND("/",PasteHashtag!I245)-FIND("(",PasteHashtag!I245)-1)*1</f>
        <v>0.8</v>
      </c>
      <c r="K245" s="5">
        <f>LEFT(PasteHashtag!I245,FIND("(",PasteHashtag!I245)-1)*1</f>
        <v>0.827</v>
      </c>
      <c r="L245" s="5">
        <f>PasteHashtag!J245</f>
        <v>2</v>
      </c>
      <c r="M245" s="5">
        <f>PasteHashtag!K245</f>
        <v>8.5</v>
      </c>
      <c r="N245" s="5">
        <f>PasteHashtag!L245</f>
        <v>2.3</v>
      </c>
      <c r="O245" s="5">
        <f>PasteHashtag!M245</f>
        <v>1.2</v>
      </c>
      <c r="P245" s="5">
        <f>PasteHashtag!N245</f>
        <v>0.6</v>
      </c>
      <c r="Q245" s="5">
        <f>PasteHashtag!O245</f>
        <v>0.2</v>
      </c>
      <c r="R245" s="5">
        <f>PasteHashtag!P245</f>
        <v>0.6</v>
      </c>
      <c r="S245" s="5">
        <f>Mid(PasteHashtag!H245,FIND("/",PasteHashtag!H245)+1,LEN(PasteHashtag!H245)-FIND("/",PasteHashtag!H245)-1)*1</f>
        <v>6.4</v>
      </c>
      <c r="T245" s="178">
        <f>Mid(PasteHashtag!I245,FIND("/",PasteHashtag!I245)+1,LEN(PasteHashtag!I245)-FIND("/",PasteHashtag!I245)-1)*1</f>
        <v>1</v>
      </c>
    </row>
    <row r="246">
      <c r="A246" s="5">
        <v>245.0</v>
      </c>
      <c r="B246" s="5" t="str">
        <f>PasteHashtag!B246</f>
        <v/>
      </c>
      <c r="C246" s="177" t="str">
        <f>PasteHashtag!C246</f>
        <v>Naji Marshall</v>
      </c>
      <c r="D246" s="5" t="str">
        <f>PasteHashtag!D246</f>
        <v>SG,SF</v>
      </c>
      <c r="E246" s="5" t="str">
        <f>PasteHashtag!E246</f>
        <v>DAL</v>
      </c>
      <c r="F246" s="5">
        <f>PasteHashtag!F246</f>
        <v>58</v>
      </c>
      <c r="G246" s="5">
        <f>PasteHashtag!G246</f>
        <v>21.4</v>
      </c>
      <c r="H246" s="5">
        <f>MID(PasteHashtag!H246,1+FIND("(",PasteHashtag!H246),FIND("/",PasteHashtag!H246)-FIND("(",PasteHashtag!H246)-1)*1</f>
        <v>3.1</v>
      </c>
      <c r="I246" s="5">
        <f>LEFT(PasteHashtag!H246,FIND("(",PasteHashtag!H246)-1)*1</f>
        <v>0.446</v>
      </c>
      <c r="J246" s="5">
        <f>MID(PasteHashtag!I246,1+FIND("(",PasteHashtag!I246),FIND("/",PasteHashtag!I246)-FIND("(",PasteHashtag!I246)-1)*1</f>
        <v>1.5</v>
      </c>
      <c r="K246" s="5">
        <f>LEFT(PasteHashtag!I246,FIND("(",PasteHashtag!I246)-1)*1</f>
        <v>0.789</v>
      </c>
      <c r="L246" s="5">
        <f>PasteHashtag!J246</f>
        <v>0.9</v>
      </c>
      <c r="M246" s="5">
        <f>PasteHashtag!K246</f>
        <v>8.5</v>
      </c>
      <c r="N246" s="5">
        <f>PasteHashtag!L246</f>
        <v>3.8</v>
      </c>
      <c r="O246" s="5">
        <f>PasteHashtag!M246</f>
        <v>2.3</v>
      </c>
      <c r="P246" s="5">
        <f>PasteHashtag!N246</f>
        <v>0.8</v>
      </c>
      <c r="Q246" s="5">
        <f>PasteHashtag!O246</f>
        <v>0.2</v>
      </c>
      <c r="R246" s="5">
        <f>PasteHashtag!P246</f>
        <v>1.2</v>
      </c>
      <c r="S246" s="5">
        <f>Mid(PasteHashtag!H246,FIND("/",PasteHashtag!H246)+1,LEN(PasteHashtag!H246)-FIND("/",PasteHashtag!H246)-1)*1</f>
        <v>6.8</v>
      </c>
      <c r="T246" s="178">
        <f>Mid(PasteHashtag!I246,FIND("/",PasteHashtag!I246)+1,LEN(PasteHashtag!I246)-FIND("/",PasteHashtag!I246)-1)*1</f>
        <v>1.9</v>
      </c>
    </row>
    <row r="247">
      <c r="A247" s="5">
        <v>246.0</v>
      </c>
      <c r="B247" s="5" t="str">
        <f>PasteHashtag!B247</f>
        <v/>
      </c>
      <c r="C247" s="177" t="str">
        <f>PasteHashtag!C247</f>
        <v>Carlton Carrington</v>
      </c>
      <c r="D247" s="5" t="str">
        <f>PasteHashtag!D247</f>
        <v>PG</v>
      </c>
      <c r="E247" s="5" t="str">
        <f>PasteHashtag!E247</f>
        <v>WAS</v>
      </c>
      <c r="F247" s="5">
        <f>PasteHashtag!F247</f>
        <v>68</v>
      </c>
      <c r="G247" s="5">
        <f>PasteHashtag!G247</f>
        <v>28.7</v>
      </c>
      <c r="H247" s="5">
        <f>MID(PasteHashtag!H247,1+FIND("(",PasteHashtag!H247),FIND("/",PasteHashtag!H247)-FIND("(",PasteHashtag!H247)-1)*1</f>
        <v>3.8</v>
      </c>
      <c r="I247" s="5">
        <f>LEFT(PasteHashtag!H247,FIND("(",PasteHashtag!H247)-1)*1</f>
        <v>0.412</v>
      </c>
      <c r="J247" s="5">
        <f>MID(PasteHashtag!I247,1+FIND("(",PasteHashtag!I247),FIND("/",PasteHashtag!I247)-FIND("(",PasteHashtag!I247)-1)*1</f>
        <v>1.8</v>
      </c>
      <c r="K247" s="5">
        <f>LEFT(PasteHashtag!I247,FIND("(",PasteHashtag!I247)-1)*1</f>
        <v>0.785</v>
      </c>
      <c r="L247" s="5">
        <f>PasteHashtag!J247</f>
        <v>1.6</v>
      </c>
      <c r="M247" s="5">
        <f>PasteHashtag!K247</f>
        <v>11</v>
      </c>
      <c r="N247" s="5">
        <f>PasteHashtag!L247</f>
        <v>4.1</v>
      </c>
      <c r="O247" s="5">
        <f>PasteHashtag!M247</f>
        <v>3.3</v>
      </c>
      <c r="P247" s="5">
        <f>PasteHashtag!N247</f>
        <v>0.5</v>
      </c>
      <c r="Q247" s="5">
        <f>PasteHashtag!O247</f>
        <v>0.2</v>
      </c>
      <c r="R247" s="5">
        <f>PasteHashtag!P247</f>
        <v>1.5</v>
      </c>
      <c r="S247" s="5">
        <f>Mid(PasteHashtag!H247,FIND("/",PasteHashtag!H247)+1,LEN(PasteHashtag!H247)-FIND("/",PasteHashtag!H247)-1)*1</f>
        <v>9.3</v>
      </c>
      <c r="T247" s="178">
        <f>Mid(PasteHashtag!I247,FIND("/",PasteHashtag!I247)+1,LEN(PasteHashtag!I247)-FIND("/",PasteHashtag!I247)-1)*1</f>
        <v>2.2</v>
      </c>
    </row>
    <row r="248">
      <c r="A248" s="5">
        <v>247.0</v>
      </c>
      <c r="B248" s="5" t="str">
        <f>PasteHashtag!B248</f>
        <v/>
      </c>
      <c r="C248" s="177" t="str">
        <f>PasteHashtag!C248</f>
        <v>Bones Hyland</v>
      </c>
      <c r="D248" s="5" t="str">
        <f>PasteHashtag!D248</f>
        <v>PG,SG</v>
      </c>
      <c r="E248" s="5" t="str">
        <f>PasteHashtag!E248</f>
        <v>LAC</v>
      </c>
      <c r="F248" s="5">
        <f>PasteHashtag!F248</f>
        <v>66</v>
      </c>
      <c r="G248" s="5">
        <f>PasteHashtag!G248</f>
        <v>18</v>
      </c>
      <c r="H248" s="5">
        <f>MID(PasteHashtag!H248,1+FIND("(",PasteHashtag!H248),FIND("/",PasteHashtag!H248)-FIND("(",PasteHashtag!H248)-1)*1</f>
        <v>3.6</v>
      </c>
      <c r="I248" s="5">
        <f>LEFT(PasteHashtag!H248,FIND("(",PasteHashtag!H248)-1)*1</f>
        <v>0.395</v>
      </c>
      <c r="J248" s="5">
        <f>MID(PasteHashtag!I248,1+FIND("(",PasteHashtag!I248),FIND("/",PasteHashtag!I248)-FIND("(",PasteHashtag!I248)-1)*1</f>
        <v>1.2</v>
      </c>
      <c r="K248" s="5">
        <f>LEFT(PasteHashtag!I248,FIND("(",PasteHashtag!I248)-1)*1</f>
        <v>0.829</v>
      </c>
      <c r="L248" s="5">
        <f>PasteHashtag!J248</f>
        <v>1.8</v>
      </c>
      <c r="M248" s="5">
        <f>PasteHashtag!K248</f>
        <v>10.2</v>
      </c>
      <c r="N248" s="5">
        <f>PasteHashtag!L248</f>
        <v>2.1</v>
      </c>
      <c r="O248" s="5">
        <f>PasteHashtag!M248</f>
        <v>3</v>
      </c>
      <c r="P248" s="5">
        <f>PasteHashtag!N248</f>
        <v>0.7</v>
      </c>
      <c r="Q248" s="5">
        <f>PasteHashtag!O248</f>
        <v>0.2</v>
      </c>
      <c r="R248" s="5">
        <f>PasteHashtag!P248</f>
        <v>1.4</v>
      </c>
      <c r="S248" s="5">
        <f>Mid(PasteHashtag!H248,FIND("/",PasteHashtag!H248)+1,LEN(PasteHashtag!H248)-FIND("/",PasteHashtag!H248)-1)*1</f>
        <v>9.2</v>
      </c>
      <c r="T248" s="178">
        <f>Mid(PasteHashtag!I248,FIND("/",PasteHashtag!I248)+1,LEN(PasteHashtag!I248)-FIND("/",PasteHashtag!I248)-1)*1</f>
        <v>1.4</v>
      </c>
    </row>
    <row r="249">
      <c r="A249" s="5">
        <v>248.0</v>
      </c>
      <c r="B249" s="5" t="str">
        <f>PasteHashtag!B249</f>
        <v/>
      </c>
      <c r="C249" s="177" t="str">
        <f>PasteHashtag!C249</f>
        <v>GG Jackson II</v>
      </c>
      <c r="D249" s="5" t="str">
        <f>PasteHashtag!D249</f>
        <v>SF,PF</v>
      </c>
      <c r="E249" s="5" t="str">
        <f>PasteHashtag!E249</f>
        <v>MEM</v>
      </c>
      <c r="F249" s="5">
        <f>PasteHashtag!F249</f>
        <v>64</v>
      </c>
      <c r="G249" s="5">
        <f>PasteHashtag!G249</f>
        <v>22.6</v>
      </c>
      <c r="H249" s="5">
        <f>MID(PasteHashtag!H249,1+FIND("(",PasteHashtag!H249),FIND("/",PasteHashtag!H249)-FIND("(",PasteHashtag!H249)-1)*1</f>
        <v>4.5</v>
      </c>
      <c r="I249" s="5">
        <f>LEFT(PasteHashtag!H249,FIND("(",PasteHashtag!H249)-1)*1</f>
        <v>0.428</v>
      </c>
      <c r="J249" s="5">
        <f>MID(PasteHashtag!I249,1+FIND("(",PasteHashtag!I249),FIND("/",PasteHashtag!I249)-FIND("(",PasteHashtag!I249)-1)*1</f>
        <v>2.1</v>
      </c>
      <c r="K249" s="5">
        <f>LEFT(PasteHashtag!I249,FIND("(",PasteHashtag!I249)-1)*1</f>
        <v>0.753</v>
      </c>
      <c r="L249" s="5">
        <f>PasteHashtag!J249</f>
        <v>1.9</v>
      </c>
      <c r="M249" s="5">
        <f>PasteHashtag!K249</f>
        <v>12.9</v>
      </c>
      <c r="N249" s="5">
        <f>PasteHashtag!L249</f>
        <v>3.6</v>
      </c>
      <c r="O249" s="5">
        <f>PasteHashtag!M249</f>
        <v>1.1</v>
      </c>
      <c r="P249" s="5">
        <f>PasteHashtag!N249</f>
        <v>0.5</v>
      </c>
      <c r="Q249" s="5">
        <f>PasteHashtag!O249</f>
        <v>0.4</v>
      </c>
      <c r="R249" s="5">
        <f>PasteHashtag!P249</f>
        <v>1.2</v>
      </c>
      <c r="S249" s="5">
        <f>Mid(PasteHashtag!H249,FIND("/",PasteHashtag!H249)+1,LEN(PasteHashtag!H249)-FIND("/",PasteHashtag!H249)-1)*1</f>
        <v>10.4</v>
      </c>
      <c r="T249" s="178">
        <f>Mid(PasteHashtag!I249,FIND("/",PasteHashtag!I249)+1,LEN(PasteHashtag!I249)-FIND("/",PasteHashtag!I249)-1)*1</f>
        <v>2.8</v>
      </c>
    </row>
    <row r="250">
      <c r="A250" s="5">
        <v>249.0</v>
      </c>
      <c r="B250" s="5" t="str">
        <f>PasteHashtag!B250</f>
        <v/>
      </c>
      <c r="C250" s="177" t="str">
        <f>PasteHashtag!C250</f>
        <v>Neemias Queta</v>
      </c>
      <c r="D250" s="5" t="str">
        <f>PasteHashtag!D250</f>
        <v>C</v>
      </c>
      <c r="E250" s="5" t="str">
        <f>PasteHashtag!E250</f>
        <v>BOS</v>
      </c>
      <c r="F250" s="5">
        <f>PasteHashtag!F250</f>
        <v>36</v>
      </c>
      <c r="G250" s="5">
        <f>PasteHashtag!G250</f>
        <v>12.1</v>
      </c>
      <c r="H250" s="5">
        <f>MID(PasteHashtag!H250,1+FIND("(",PasteHashtag!H250),FIND("/",PasteHashtag!H250)-FIND("(",PasteHashtag!H250)-1)*1</f>
        <v>2.5</v>
      </c>
      <c r="I250" s="5">
        <f>LEFT(PasteHashtag!H250,FIND("(",PasteHashtag!H250)-1)*1</f>
        <v>0.647</v>
      </c>
      <c r="J250" s="5">
        <f>MID(PasteHashtag!I250,1+FIND("(",PasteHashtag!I250),FIND("/",PasteHashtag!I250)-FIND("(",PasteHashtag!I250)-1)*1</f>
        <v>0.7</v>
      </c>
      <c r="K250" s="5">
        <f>LEFT(PasteHashtag!I250,FIND("(",PasteHashtag!I250)-1)*1</f>
        <v>0.673</v>
      </c>
      <c r="L250" s="5">
        <f>PasteHashtag!J250</f>
        <v>0</v>
      </c>
      <c r="M250" s="5">
        <f>PasteHashtag!K250</f>
        <v>5.6</v>
      </c>
      <c r="N250" s="5">
        <f>PasteHashtag!L250</f>
        <v>4.5</v>
      </c>
      <c r="O250" s="5">
        <f>PasteHashtag!M250</f>
        <v>0.7</v>
      </c>
      <c r="P250" s="5">
        <f>PasteHashtag!N250</f>
        <v>0.4</v>
      </c>
      <c r="Q250" s="5">
        <f>PasteHashtag!O250</f>
        <v>0.8</v>
      </c>
      <c r="R250" s="5">
        <f>PasteHashtag!P250</f>
        <v>0.5</v>
      </c>
      <c r="S250" s="5">
        <f>Mid(PasteHashtag!H250,FIND("/",PasteHashtag!H250)+1,LEN(PasteHashtag!H250)-FIND("/",PasteHashtag!H250)-1)*1</f>
        <v>3.8</v>
      </c>
      <c r="T250" s="178">
        <f>Mid(PasteHashtag!I250,FIND("/",PasteHashtag!I250)+1,LEN(PasteHashtag!I250)-FIND("/",PasteHashtag!I250)-1)*1</f>
        <v>1</v>
      </c>
    </row>
    <row r="251">
      <c r="A251" s="5">
        <v>250.0</v>
      </c>
      <c r="B251" s="5" t="str">
        <f>PasteHashtag!B251</f>
        <v/>
      </c>
      <c r="C251" s="177" t="str">
        <f>PasteHashtag!C251</f>
        <v>Scotty Pippen Jr.</v>
      </c>
      <c r="D251" s="5" t="str">
        <f>PasteHashtag!D251</f>
        <v>PG,SG</v>
      </c>
      <c r="E251" s="5" t="str">
        <f>PasteHashtag!E251</f>
        <v>MEM</v>
      </c>
      <c r="F251" s="5">
        <f>PasteHashtag!F251</f>
        <v>34</v>
      </c>
      <c r="G251" s="5">
        <f>PasteHashtag!G251</f>
        <v>14.5</v>
      </c>
      <c r="H251" s="5">
        <f>MID(PasteHashtag!H251,1+FIND("(",PasteHashtag!H251),FIND("/",PasteHashtag!H251)-FIND("(",PasteHashtag!H251)-1)*1</f>
        <v>2.7</v>
      </c>
      <c r="I251" s="5">
        <f>LEFT(PasteHashtag!H251,FIND("(",PasteHashtag!H251)-1)*1</f>
        <v>0.484</v>
      </c>
      <c r="J251" s="5">
        <f>MID(PasteHashtag!I251,1+FIND("(",PasteHashtag!I251),FIND("/",PasteHashtag!I251)-FIND("(",PasteHashtag!I251)-1)*1</f>
        <v>1.2</v>
      </c>
      <c r="K251" s="5">
        <f>LEFT(PasteHashtag!I251,FIND("(",PasteHashtag!I251)-1)*1</f>
        <v>0.72</v>
      </c>
      <c r="L251" s="5">
        <f>PasteHashtag!J251</f>
        <v>0.8</v>
      </c>
      <c r="M251" s="5">
        <f>PasteHashtag!K251</f>
        <v>7.5</v>
      </c>
      <c r="N251" s="5">
        <f>PasteHashtag!L251</f>
        <v>1.9</v>
      </c>
      <c r="O251" s="5">
        <f>PasteHashtag!M251</f>
        <v>2.6</v>
      </c>
      <c r="P251" s="5">
        <f>PasteHashtag!N251</f>
        <v>1</v>
      </c>
      <c r="Q251" s="5">
        <f>PasteHashtag!O251</f>
        <v>0.3</v>
      </c>
      <c r="R251" s="5">
        <f>PasteHashtag!P251</f>
        <v>1.5</v>
      </c>
      <c r="S251" s="5">
        <f>Mid(PasteHashtag!H251,FIND("/",PasteHashtag!H251)+1,LEN(PasteHashtag!H251)-FIND("/",PasteHashtag!H251)-1)*1</f>
        <v>5.6</v>
      </c>
      <c r="T251" s="178">
        <f>Mid(PasteHashtag!I251,FIND("/",PasteHashtag!I251)+1,LEN(PasteHashtag!I251)-FIND("/",PasteHashtag!I251)-1)*1</f>
        <v>1.7</v>
      </c>
    </row>
    <row r="252">
      <c r="A252" s="5">
        <v>251.0</v>
      </c>
      <c r="B252" s="5" t="str">
        <f>PasteHashtag!B252</f>
        <v/>
      </c>
      <c r="C252" s="177" t="str">
        <f>PasteHashtag!C252</f>
        <v>Brice Sensabaugh</v>
      </c>
      <c r="D252" s="5" t="str">
        <f>PasteHashtag!D252</f>
        <v>SF,PF</v>
      </c>
      <c r="E252" s="5" t="str">
        <f>PasteHashtag!E252</f>
        <v>UTA</v>
      </c>
      <c r="F252" s="5">
        <f>PasteHashtag!F252</f>
        <v>60</v>
      </c>
      <c r="G252" s="5">
        <f>PasteHashtag!G252</f>
        <v>23.4</v>
      </c>
      <c r="H252" s="5">
        <f>MID(PasteHashtag!H252,1+FIND("(",PasteHashtag!H252),FIND("/",PasteHashtag!H252)-FIND("(",PasteHashtag!H252)-1)*1</f>
        <v>3.4</v>
      </c>
      <c r="I252" s="5">
        <f>LEFT(PasteHashtag!H252,FIND("(",PasteHashtag!H252)-1)*1</f>
        <v>0.39</v>
      </c>
      <c r="J252" s="5">
        <f>MID(PasteHashtag!I252,1+FIND("(",PasteHashtag!I252),FIND("/",PasteHashtag!I252)-FIND("(",PasteHashtag!I252)-1)*1</f>
        <v>1.5</v>
      </c>
      <c r="K252" s="5">
        <f>LEFT(PasteHashtag!I252,FIND("(",PasteHashtag!I252)-1)*1</f>
        <v>0.904</v>
      </c>
      <c r="L252" s="5">
        <f>PasteHashtag!J252</f>
        <v>1.4</v>
      </c>
      <c r="M252" s="5">
        <f>PasteHashtag!K252</f>
        <v>9.8</v>
      </c>
      <c r="N252" s="5">
        <f>PasteHashtag!L252</f>
        <v>4.1</v>
      </c>
      <c r="O252" s="5">
        <f>PasteHashtag!M252</f>
        <v>2.2</v>
      </c>
      <c r="P252" s="5">
        <f>PasteHashtag!N252</f>
        <v>0.5</v>
      </c>
      <c r="Q252" s="5">
        <f>PasteHashtag!O252</f>
        <v>0.2</v>
      </c>
      <c r="R252" s="5">
        <f>PasteHashtag!P252</f>
        <v>1.9</v>
      </c>
      <c r="S252" s="5">
        <f>Mid(PasteHashtag!H252,FIND("/",PasteHashtag!H252)+1,LEN(PasteHashtag!H252)-FIND("/",PasteHashtag!H252)-1)*1</f>
        <v>8.8</v>
      </c>
      <c r="T252" s="178">
        <f>Mid(PasteHashtag!I252,FIND("/",PasteHashtag!I252)+1,LEN(PasteHashtag!I252)-FIND("/",PasteHashtag!I252)-1)*1</f>
        <v>1.7</v>
      </c>
    </row>
    <row r="253">
      <c r="A253" s="5">
        <v>252.0</v>
      </c>
      <c r="B253" s="5">
        <f>PasteHashtag!B253</f>
        <v>143.9</v>
      </c>
      <c r="C253" s="177" t="str">
        <f>PasteHashtag!C253</f>
        <v>Precious Achiuwa</v>
      </c>
      <c r="D253" s="5" t="str">
        <f>PasteHashtag!D253</f>
        <v>PF,C</v>
      </c>
      <c r="E253" s="5" t="str">
        <f>PasteHashtag!E253</f>
        <v>NY</v>
      </c>
      <c r="F253" s="5">
        <f>PasteHashtag!F253</f>
        <v>64</v>
      </c>
      <c r="G253" s="5">
        <f>PasteHashtag!G253</f>
        <v>20.4</v>
      </c>
      <c r="H253" s="5">
        <f>MID(PasteHashtag!H253,1+FIND("(",PasteHashtag!H253),FIND("/",PasteHashtag!H253)-FIND("(",PasteHashtag!H253)-1)*1</f>
        <v>3.1</v>
      </c>
      <c r="I253" s="5">
        <f>LEFT(PasteHashtag!H253,FIND("(",PasteHashtag!H253)-1)*1</f>
        <v>0.494</v>
      </c>
      <c r="J253" s="5">
        <f>MID(PasteHashtag!I253,1+FIND("(",PasteHashtag!I253),FIND("/",PasteHashtag!I253)-FIND("(",PasteHashtag!I253)-1)*1</f>
        <v>1.1</v>
      </c>
      <c r="K253" s="5">
        <f>LEFT(PasteHashtag!I253,FIND("(",PasteHashtag!I253)-1)*1</f>
        <v>0.661</v>
      </c>
      <c r="L253" s="5">
        <f>PasteHashtag!J253</f>
        <v>0.4</v>
      </c>
      <c r="M253" s="5">
        <f>PasteHashtag!K253</f>
        <v>7.7</v>
      </c>
      <c r="N253" s="5">
        <f>PasteHashtag!L253</f>
        <v>5.8</v>
      </c>
      <c r="O253" s="5">
        <f>PasteHashtag!M253</f>
        <v>1.1</v>
      </c>
      <c r="P253" s="5">
        <f>PasteHashtag!N253</f>
        <v>0.5</v>
      </c>
      <c r="Q253" s="5">
        <f>PasteHashtag!O253</f>
        <v>0.7</v>
      </c>
      <c r="R253" s="5">
        <f>PasteHashtag!P253</f>
        <v>1</v>
      </c>
      <c r="S253" s="5">
        <f>Mid(PasteHashtag!H253,FIND("/",PasteHashtag!H253)+1,LEN(PasteHashtag!H253)-FIND("/",PasteHashtag!H253)-1)*1</f>
        <v>6.2</v>
      </c>
      <c r="T253" s="178">
        <f>Mid(PasteHashtag!I253,FIND("/",PasteHashtag!I253)+1,LEN(PasteHashtag!I253)-FIND("/",PasteHashtag!I253)-1)*1</f>
        <v>1.7</v>
      </c>
    </row>
    <row r="254">
      <c r="A254" s="5">
        <v>253.0</v>
      </c>
      <c r="B254" s="5" t="str">
        <f>PasteHashtag!B254</f>
        <v/>
      </c>
      <c r="C254" s="177" t="str">
        <f>PasteHashtag!C254</f>
        <v>Marcus Sasser</v>
      </c>
      <c r="D254" s="5" t="str">
        <f>PasteHashtag!D254</f>
        <v>PG</v>
      </c>
      <c r="E254" s="5" t="str">
        <f>PasteHashtag!E254</f>
        <v>DET</v>
      </c>
      <c r="F254" s="5">
        <f>PasteHashtag!F254</f>
        <v>68</v>
      </c>
      <c r="G254" s="5">
        <f>PasteHashtag!G254</f>
        <v>19</v>
      </c>
      <c r="H254" s="5">
        <f>MID(PasteHashtag!H254,1+FIND("(",PasteHashtag!H254),FIND("/",PasteHashtag!H254)-FIND("(",PasteHashtag!H254)-1)*1</f>
        <v>3.1</v>
      </c>
      <c r="I254" s="5">
        <f>LEFT(PasteHashtag!H254,FIND("(",PasteHashtag!H254)-1)*1</f>
        <v>0.428</v>
      </c>
      <c r="J254" s="5">
        <f>MID(PasteHashtag!I254,1+FIND("(",PasteHashtag!I254),FIND("/",PasteHashtag!I254)-FIND("(",PasteHashtag!I254)-1)*1</f>
        <v>0.8</v>
      </c>
      <c r="K254" s="5">
        <f>LEFT(PasteHashtag!I254,FIND("(",PasteHashtag!I254)-1)*1</f>
        <v>0.872</v>
      </c>
      <c r="L254" s="5">
        <f>PasteHashtag!J254</f>
        <v>1.3</v>
      </c>
      <c r="M254" s="5">
        <f>PasteHashtag!K254</f>
        <v>8.3</v>
      </c>
      <c r="N254" s="5">
        <f>PasteHashtag!L254</f>
        <v>1.8</v>
      </c>
      <c r="O254" s="5">
        <f>PasteHashtag!M254</f>
        <v>3.4</v>
      </c>
      <c r="P254" s="5">
        <f>PasteHashtag!N254</f>
        <v>0.6</v>
      </c>
      <c r="Q254" s="5">
        <f>PasteHashtag!O254</f>
        <v>0.2</v>
      </c>
      <c r="R254" s="5">
        <f>PasteHashtag!P254</f>
        <v>1.3</v>
      </c>
      <c r="S254" s="5">
        <f>Mid(PasteHashtag!H254,FIND("/",PasteHashtag!H254)+1,LEN(PasteHashtag!H254)-FIND("/",PasteHashtag!H254)-1)*1</f>
        <v>7.3</v>
      </c>
      <c r="T254" s="178">
        <f>Mid(PasteHashtag!I254,FIND("/",PasteHashtag!I254)+1,LEN(PasteHashtag!I254)-FIND("/",PasteHashtag!I254)-1)*1</f>
        <v>0.9</v>
      </c>
    </row>
    <row r="255">
      <c r="A255" s="5">
        <v>254.0</v>
      </c>
      <c r="B255" s="5" t="str">
        <f>PasteHashtag!B255</f>
        <v/>
      </c>
      <c r="C255" s="177" t="str">
        <f>PasteHashtag!C255</f>
        <v>Trey Lyles</v>
      </c>
      <c r="D255" s="5" t="str">
        <f>PasteHashtag!D255</f>
        <v>PF,C</v>
      </c>
      <c r="E255" s="5" t="str">
        <f>PasteHashtag!E255</f>
        <v>SAC</v>
      </c>
      <c r="F255" s="5">
        <f>PasteHashtag!F255</f>
        <v>62</v>
      </c>
      <c r="G255" s="5">
        <f>PasteHashtag!G255</f>
        <v>19.4</v>
      </c>
      <c r="H255" s="5">
        <f>MID(PasteHashtag!H255,1+FIND("(",PasteHashtag!H255),FIND("/",PasteHashtag!H255)-FIND("(",PasteHashtag!H255)-1)*1</f>
        <v>2.7</v>
      </c>
      <c r="I255" s="5">
        <f>LEFT(PasteHashtag!H255,FIND("(",PasteHashtag!H255)-1)*1</f>
        <v>0.453</v>
      </c>
      <c r="J255" s="5">
        <f>MID(PasteHashtag!I255,1+FIND("(",PasteHashtag!I255),FIND("/",PasteHashtag!I255)-FIND("(",PasteHashtag!I255)-1)*1</f>
        <v>1.2</v>
      </c>
      <c r="K255" s="5">
        <f>LEFT(PasteHashtag!I255,FIND("(",PasteHashtag!I255)-1)*1</f>
        <v>0.772</v>
      </c>
      <c r="L255" s="5">
        <f>PasteHashtag!J255</f>
        <v>1.4</v>
      </c>
      <c r="M255" s="5">
        <f>PasteHashtag!K255</f>
        <v>8</v>
      </c>
      <c r="N255" s="5">
        <f>PasteHashtag!L255</f>
        <v>4.5</v>
      </c>
      <c r="O255" s="5">
        <f>PasteHashtag!M255</f>
        <v>1.1</v>
      </c>
      <c r="P255" s="5">
        <f>PasteHashtag!N255</f>
        <v>0.4</v>
      </c>
      <c r="Q255" s="5">
        <f>PasteHashtag!O255</f>
        <v>0.4</v>
      </c>
      <c r="R255" s="5">
        <f>PasteHashtag!P255</f>
        <v>0.8</v>
      </c>
      <c r="S255" s="5">
        <f>Mid(PasteHashtag!H255,FIND("/",PasteHashtag!H255)+1,LEN(PasteHashtag!H255)-FIND("/",PasteHashtag!H255)-1)*1</f>
        <v>5.9</v>
      </c>
      <c r="T255" s="178">
        <f>Mid(PasteHashtag!I255,FIND("/",PasteHashtag!I255)+1,LEN(PasteHashtag!I255)-FIND("/",PasteHashtag!I255)-1)*1</f>
        <v>1.6</v>
      </c>
    </row>
    <row r="256">
      <c r="A256" s="5">
        <v>255.0</v>
      </c>
      <c r="B256" s="5">
        <f>PasteHashtag!B256</f>
        <v>145.1</v>
      </c>
      <c r="C256" s="177" t="str">
        <f>PasteHashtag!C256</f>
        <v>Isaiah Stewart</v>
      </c>
      <c r="D256" s="5" t="str">
        <f>PasteHashtag!D256</f>
        <v>PF,C</v>
      </c>
      <c r="E256" s="5" t="str">
        <f>PasteHashtag!E256</f>
        <v>DET</v>
      </c>
      <c r="F256" s="5">
        <f>PasteHashtag!F256</f>
        <v>54</v>
      </c>
      <c r="G256" s="5">
        <f>PasteHashtag!G256</f>
        <v>22</v>
      </c>
      <c r="H256" s="5">
        <f>MID(PasteHashtag!H256,1+FIND("(",PasteHashtag!H256),FIND("/",PasteHashtag!H256)-FIND("(",PasteHashtag!H256)-1)*1</f>
        <v>3</v>
      </c>
      <c r="I256" s="5">
        <f>LEFT(PasteHashtag!H256,FIND("(",PasteHashtag!H256)-1)*1</f>
        <v>0.462</v>
      </c>
      <c r="J256" s="5">
        <f>MID(PasteHashtag!I256,1+FIND("(",PasteHashtag!I256),FIND("/",PasteHashtag!I256)-FIND("(",PasteHashtag!I256)-1)*1</f>
        <v>1.4</v>
      </c>
      <c r="K256" s="5">
        <f>LEFT(PasteHashtag!I256,FIND("(",PasteHashtag!I256)-1)*1</f>
        <v>0.743</v>
      </c>
      <c r="L256" s="5">
        <f>PasteHashtag!J256</f>
        <v>1.1</v>
      </c>
      <c r="M256" s="5">
        <f>PasteHashtag!K256</f>
        <v>8.4</v>
      </c>
      <c r="N256" s="5">
        <f>PasteHashtag!L256</f>
        <v>5.6</v>
      </c>
      <c r="O256" s="5">
        <f>PasteHashtag!M256</f>
        <v>1.1</v>
      </c>
      <c r="P256" s="5">
        <f>PasteHashtag!N256</f>
        <v>0.3</v>
      </c>
      <c r="Q256" s="5">
        <f>PasteHashtag!O256</f>
        <v>0.6</v>
      </c>
      <c r="R256" s="5">
        <f>PasteHashtag!P256</f>
        <v>1.1</v>
      </c>
      <c r="S256" s="5">
        <f>Mid(PasteHashtag!H256,FIND("/",PasteHashtag!H256)+1,LEN(PasteHashtag!H256)-FIND("/",PasteHashtag!H256)-1)*1</f>
        <v>6.5</v>
      </c>
      <c r="T256" s="178">
        <f>Mid(PasteHashtag!I256,FIND("/",PasteHashtag!I256)+1,LEN(PasteHashtag!I256)-FIND("/",PasteHashtag!I256)-1)*1</f>
        <v>1.8</v>
      </c>
    </row>
    <row r="257">
      <c r="A257" s="5">
        <v>256.0</v>
      </c>
      <c r="B257" s="5" t="str">
        <f>PasteHashtag!B257</f>
        <v/>
      </c>
      <c r="C257" s="177" t="str">
        <f>PasteHashtag!C257</f>
        <v>Georges Niang</v>
      </c>
      <c r="D257" s="5" t="str">
        <f>PasteHashtag!D257</f>
        <v>SF,PF</v>
      </c>
      <c r="E257" s="5" t="str">
        <f>PasteHashtag!E257</f>
        <v>CLE</v>
      </c>
      <c r="F257" s="5">
        <f>PasteHashtag!F257</f>
        <v>78</v>
      </c>
      <c r="G257" s="5">
        <f>PasteHashtag!G257</f>
        <v>21.4</v>
      </c>
      <c r="H257" s="5">
        <f>MID(PasteHashtag!H257,1+FIND("(",PasteHashtag!H257),FIND("/",PasteHashtag!H257)-FIND("(",PasteHashtag!H257)-1)*1</f>
        <v>3.3</v>
      </c>
      <c r="I257" s="5">
        <f>LEFT(PasteHashtag!H257,FIND("(",PasteHashtag!H257)-1)*1</f>
        <v>0.446</v>
      </c>
      <c r="J257" s="5">
        <f>MID(PasteHashtag!I257,1+FIND("(",PasteHashtag!I257),FIND("/",PasteHashtag!I257)-FIND("(",PasteHashtag!I257)-1)*1</f>
        <v>0.6</v>
      </c>
      <c r="K257" s="5">
        <f>LEFT(PasteHashtag!I257,FIND("(",PasteHashtag!I257)-1)*1</f>
        <v>0.853</v>
      </c>
      <c r="L257" s="5">
        <f>PasteHashtag!J257</f>
        <v>2</v>
      </c>
      <c r="M257" s="5">
        <f>PasteHashtag!K257</f>
        <v>9.1</v>
      </c>
      <c r="N257" s="5">
        <f>PasteHashtag!L257</f>
        <v>3</v>
      </c>
      <c r="O257" s="5">
        <f>PasteHashtag!M257</f>
        <v>1.1</v>
      </c>
      <c r="P257" s="5">
        <f>PasteHashtag!N257</f>
        <v>0.4</v>
      </c>
      <c r="Q257" s="5">
        <f>PasteHashtag!O257</f>
        <v>0.2</v>
      </c>
      <c r="R257" s="5">
        <f>PasteHashtag!P257</f>
        <v>0.8</v>
      </c>
      <c r="S257" s="5">
        <f>Mid(PasteHashtag!H257,FIND("/",PasteHashtag!H257)+1,LEN(PasteHashtag!H257)-FIND("/",PasteHashtag!H257)-1)*1</f>
        <v>7.3</v>
      </c>
      <c r="T257" s="178">
        <f>Mid(PasteHashtag!I257,FIND("/",PasteHashtag!I257)+1,LEN(PasteHashtag!I257)-FIND("/",PasteHashtag!I257)-1)*1</f>
        <v>0.7</v>
      </c>
    </row>
    <row r="258">
      <c r="A258" s="5">
        <v>257.0</v>
      </c>
      <c r="B258" s="5" t="str">
        <f>PasteHashtag!B258</f>
        <v/>
      </c>
      <c r="C258" s="177" t="str">
        <f>PasteHashtag!C258</f>
        <v>Jose Alvarado</v>
      </c>
      <c r="D258" s="5" t="str">
        <f>PasteHashtag!D258</f>
        <v>PG</v>
      </c>
      <c r="E258" s="5" t="str">
        <f>PasteHashtag!E258</f>
        <v>NO</v>
      </c>
      <c r="F258" s="5">
        <f>PasteHashtag!F258</f>
        <v>60</v>
      </c>
      <c r="G258" s="5">
        <f>PasteHashtag!G258</f>
        <v>18</v>
      </c>
      <c r="H258" s="5">
        <f>MID(PasteHashtag!H258,1+FIND("(",PasteHashtag!H258),FIND("/",PasteHashtag!H258)-FIND("(",PasteHashtag!H258)-1)*1</f>
        <v>2.7</v>
      </c>
      <c r="I258" s="5">
        <f>LEFT(PasteHashtag!H258,FIND("(",PasteHashtag!H258)-1)*1</f>
        <v>0.411</v>
      </c>
      <c r="J258" s="5">
        <f>MID(PasteHashtag!I258,1+FIND("(",PasteHashtag!I258),FIND("/",PasteHashtag!I258)-FIND("(",PasteHashtag!I258)-1)*1</f>
        <v>0.8</v>
      </c>
      <c r="K258" s="5">
        <f>LEFT(PasteHashtag!I258,FIND("(",PasteHashtag!I258)-1)*1</f>
        <v>0.757</v>
      </c>
      <c r="L258" s="5">
        <f>PasteHashtag!J258</f>
        <v>1.3</v>
      </c>
      <c r="M258" s="5">
        <f>PasteHashtag!K258</f>
        <v>7.4</v>
      </c>
      <c r="N258" s="5">
        <f>PasteHashtag!L258</f>
        <v>2.1</v>
      </c>
      <c r="O258" s="5">
        <f>PasteHashtag!M258</f>
        <v>2.4</v>
      </c>
      <c r="P258" s="5">
        <f>PasteHashtag!N258</f>
        <v>1</v>
      </c>
      <c r="Q258" s="5">
        <f>PasteHashtag!O258</f>
        <v>0.2</v>
      </c>
      <c r="R258" s="5">
        <f>PasteHashtag!P258</f>
        <v>0.9</v>
      </c>
      <c r="S258" s="5">
        <f>Mid(PasteHashtag!H258,FIND("/",PasteHashtag!H258)+1,LEN(PasteHashtag!H258)-FIND("/",PasteHashtag!H258)-1)*1</f>
        <v>6.5</v>
      </c>
      <c r="T258" s="178">
        <f>Mid(PasteHashtag!I258,FIND("/",PasteHashtag!I258)+1,LEN(PasteHashtag!I258)-FIND("/",PasteHashtag!I258)-1)*1</f>
        <v>1</v>
      </c>
    </row>
    <row r="259">
      <c r="A259" s="5">
        <v>258.0</v>
      </c>
      <c r="B259" s="5" t="str">
        <f>PasteHashtag!B259</f>
        <v/>
      </c>
      <c r="C259" s="177" t="str">
        <f>PasteHashtag!C259</f>
        <v>Saddiq Bey</v>
      </c>
      <c r="D259" s="5" t="str">
        <f>PasteHashtag!D259</f>
        <v>SF,PF</v>
      </c>
      <c r="E259" s="5" t="str">
        <f>PasteHashtag!E259</f>
        <v>WAS</v>
      </c>
      <c r="F259" s="5">
        <f>PasteHashtag!F259</f>
        <v>10</v>
      </c>
      <c r="G259" s="5">
        <f>PasteHashtag!G259</f>
        <v>20.6</v>
      </c>
      <c r="H259" s="5">
        <f>MID(PasteHashtag!H259,1+FIND("(",PasteHashtag!H259),FIND("/",PasteHashtag!H259)-FIND("(",PasteHashtag!H259)-1)*1</f>
        <v>3.1</v>
      </c>
      <c r="I259" s="5">
        <f>LEFT(PasteHashtag!H259,FIND("(",PasteHashtag!H259)-1)*1</f>
        <v>0.419</v>
      </c>
      <c r="J259" s="5">
        <f>MID(PasteHashtag!I259,1+FIND("(",PasteHashtag!I259),FIND("/",PasteHashtag!I259)-FIND("(",PasteHashtag!I259)-1)*1</f>
        <v>1.8</v>
      </c>
      <c r="K259" s="5">
        <f>LEFT(PasteHashtag!I259,FIND("(",PasteHashtag!I259)-1)*1</f>
        <v>0.854</v>
      </c>
      <c r="L259" s="5">
        <f>PasteHashtag!J259</f>
        <v>1.3</v>
      </c>
      <c r="M259" s="5">
        <f>PasteHashtag!K259</f>
        <v>9.3</v>
      </c>
      <c r="N259" s="5">
        <f>PasteHashtag!L259</f>
        <v>3.7</v>
      </c>
      <c r="O259" s="5">
        <f>PasteHashtag!M259</f>
        <v>1</v>
      </c>
      <c r="P259" s="5">
        <f>PasteHashtag!N259</f>
        <v>0.6</v>
      </c>
      <c r="Q259" s="5">
        <f>PasteHashtag!O259</f>
        <v>0.1</v>
      </c>
      <c r="R259" s="5">
        <f>PasteHashtag!P259</f>
        <v>0.6</v>
      </c>
      <c r="S259" s="5">
        <f>Mid(PasteHashtag!H259,FIND("/",PasteHashtag!H259)+1,LEN(PasteHashtag!H259)-FIND("/",PasteHashtag!H259)-1)*1</f>
        <v>7.4</v>
      </c>
      <c r="T259" s="178">
        <f>Mid(PasteHashtag!I259,FIND("/",PasteHashtag!I259)+1,LEN(PasteHashtag!I259)-FIND("/",PasteHashtag!I259)-1)*1</f>
        <v>2.1</v>
      </c>
    </row>
    <row r="260">
      <c r="A260" s="5">
        <v>259.0</v>
      </c>
      <c r="B260" s="5" t="str">
        <f>PasteHashtag!B260</f>
        <v/>
      </c>
      <c r="C260" s="177" t="str">
        <f>PasteHashtag!C260</f>
        <v>Reggie Jackson</v>
      </c>
      <c r="D260" s="5" t="str">
        <f>PasteHashtag!D260</f>
        <v>PG,SG</v>
      </c>
      <c r="E260" s="5" t="str">
        <f>PasteHashtag!E260</f>
        <v>PHI</v>
      </c>
      <c r="F260" s="5">
        <f>PasteHashtag!F260</f>
        <v>71</v>
      </c>
      <c r="G260" s="5">
        <f>PasteHashtag!G260</f>
        <v>22.4</v>
      </c>
      <c r="H260" s="5">
        <f>MID(PasteHashtag!H260,1+FIND("(",PasteHashtag!H260),FIND("/",PasteHashtag!H260)-FIND("(",PasteHashtag!H260)-1)*1</f>
        <v>3.8</v>
      </c>
      <c r="I260" s="5">
        <f>LEFT(PasteHashtag!H260,FIND("(",PasteHashtag!H260)-1)*1</f>
        <v>0.422</v>
      </c>
      <c r="J260" s="5">
        <f>MID(PasteHashtag!I260,1+FIND("(",PasteHashtag!I260),FIND("/",PasteHashtag!I260)-FIND("(",PasteHashtag!I260)-1)*1</f>
        <v>1</v>
      </c>
      <c r="K260" s="5">
        <f>LEFT(PasteHashtag!I260,FIND("(",PasteHashtag!I260)-1)*1</f>
        <v>0.852</v>
      </c>
      <c r="L260" s="5">
        <f>PasteHashtag!J260</f>
        <v>1.3</v>
      </c>
      <c r="M260" s="5">
        <f>PasteHashtag!K260</f>
        <v>9.9</v>
      </c>
      <c r="N260" s="5">
        <f>PasteHashtag!L260</f>
        <v>2</v>
      </c>
      <c r="O260" s="5">
        <f>PasteHashtag!M260</f>
        <v>3.5</v>
      </c>
      <c r="P260" s="5">
        <f>PasteHashtag!N260</f>
        <v>0.6</v>
      </c>
      <c r="Q260" s="5">
        <f>PasteHashtag!O260</f>
        <v>0.1</v>
      </c>
      <c r="R260" s="5">
        <f>PasteHashtag!P260</f>
        <v>1.4</v>
      </c>
      <c r="S260" s="5">
        <f>Mid(PasteHashtag!H260,FIND("/",PasteHashtag!H260)+1,LEN(PasteHashtag!H260)-FIND("/",PasteHashtag!H260)-1)*1</f>
        <v>9.1</v>
      </c>
      <c r="T260" s="178">
        <f>Mid(PasteHashtag!I260,FIND("/",PasteHashtag!I260)+1,LEN(PasteHashtag!I260)-FIND("/",PasteHashtag!I260)-1)*1</f>
        <v>1.2</v>
      </c>
    </row>
    <row r="261">
      <c r="A261" s="5">
        <v>260.0</v>
      </c>
      <c r="B261" s="5" t="str">
        <f>PasteHashtag!B261</f>
        <v/>
      </c>
      <c r="C261" s="177" t="str">
        <f>PasteHashtag!C261</f>
        <v>Goga Bitadze</v>
      </c>
      <c r="D261" s="5" t="str">
        <f>PasteHashtag!D261</f>
        <v>C</v>
      </c>
      <c r="E261" s="5" t="str">
        <f>PasteHashtag!E261</f>
        <v>ORL</v>
      </c>
      <c r="F261" s="5">
        <f>PasteHashtag!F261</f>
        <v>60</v>
      </c>
      <c r="G261" s="5">
        <f>PasteHashtag!G261</f>
        <v>14.4</v>
      </c>
      <c r="H261" s="5">
        <f>MID(PasteHashtag!H261,1+FIND("(",PasteHashtag!H261),FIND("/",PasteHashtag!H261)-FIND("(",PasteHashtag!H261)-1)*1</f>
        <v>2</v>
      </c>
      <c r="I261" s="5">
        <f>LEFT(PasteHashtag!H261,FIND("(",PasteHashtag!H261)-1)*1</f>
        <v>0.583</v>
      </c>
      <c r="J261" s="5">
        <f>MID(PasteHashtag!I261,1+FIND("(",PasteHashtag!I261),FIND("/",PasteHashtag!I261)-FIND("(",PasteHashtag!I261)-1)*1</f>
        <v>0.8</v>
      </c>
      <c r="K261" s="5">
        <f>LEFT(PasteHashtag!I261,FIND("(",PasteHashtag!I261)-1)*1</f>
        <v>0.617</v>
      </c>
      <c r="L261" s="5">
        <f>PasteHashtag!J261</f>
        <v>0.1</v>
      </c>
      <c r="M261" s="5">
        <f>PasteHashtag!K261</f>
        <v>4.9</v>
      </c>
      <c r="N261" s="5">
        <f>PasteHashtag!L261</f>
        <v>4.4</v>
      </c>
      <c r="O261" s="5">
        <f>PasteHashtag!M261</f>
        <v>1.2</v>
      </c>
      <c r="P261" s="5">
        <f>PasteHashtag!N261</f>
        <v>0.5</v>
      </c>
      <c r="Q261" s="5">
        <f>PasteHashtag!O261</f>
        <v>1</v>
      </c>
      <c r="R261" s="5">
        <f>PasteHashtag!P261</f>
        <v>0.7</v>
      </c>
      <c r="S261" s="5">
        <f>Mid(PasteHashtag!H261,FIND("/",PasteHashtag!H261)+1,LEN(PasteHashtag!H261)-FIND("/",PasteHashtag!H261)-1)*1</f>
        <v>3.4</v>
      </c>
      <c r="T261" s="178">
        <f>Mid(PasteHashtag!I261,FIND("/",PasteHashtag!I261)+1,LEN(PasteHashtag!I261)-FIND("/",PasteHashtag!I261)-1)*1</f>
        <v>1.3</v>
      </c>
    </row>
    <row r="262">
      <c r="A262" s="5">
        <v>261.0</v>
      </c>
      <c r="B262" s="5">
        <f>PasteHashtag!B262</f>
        <v>141.7</v>
      </c>
      <c r="C262" s="177" t="str">
        <f>PasteHashtag!C262</f>
        <v>Stephon Castle</v>
      </c>
      <c r="D262" s="5" t="str">
        <f>PasteHashtag!D262</f>
        <v>PG</v>
      </c>
      <c r="E262" s="5" t="str">
        <f>PasteHashtag!E262</f>
        <v>SA</v>
      </c>
      <c r="F262" s="5">
        <f>PasteHashtag!F262</f>
        <v>68</v>
      </c>
      <c r="G262" s="5">
        <f>PasteHashtag!G262</f>
        <v>24</v>
      </c>
      <c r="H262" s="5">
        <f>MID(PasteHashtag!H262,1+FIND("(",PasteHashtag!H262),FIND("/",PasteHashtag!H262)-FIND("(",PasteHashtag!H262)-1)*1</f>
        <v>2.7</v>
      </c>
      <c r="I262" s="5">
        <f>LEFT(PasteHashtag!H262,FIND("(",PasteHashtag!H262)-1)*1</f>
        <v>0.465</v>
      </c>
      <c r="J262" s="5">
        <f>MID(PasteHashtag!I262,1+FIND("(",PasteHashtag!I262),FIND("/",PasteHashtag!I262)-FIND("(",PasteHashtag!I262)-1)*1</f>
        <v>1.6</v>
      </c>
      <c r="K262" s="5">
        <f>LEFT(PasteHashtag!I262,FIND("(",PasteHashtag!I262)-1)*1</f>
        <v>0.755</v>
      </c>
      <c r="L262" s="5">
        <f>PasteHashtag!J262</f>
        <v>0.4</v>
      </c>
      <c r="M262" s="5">
        <f>PasteHashtag!K262</f>
        <v>7.5</v>
      </c>
      <c r="N262" s="5">
        <f>PasteHashtag!L262</f>
        <v>3.1</v>
      </c>
      <c r="O262" s="5">
        <f>PasteHashtag!M262</f>
        <v>2.6</v>
      </c>
      <c r="P262" s="5">
        <f>PasteHashtag!N262</f>
        <v>0.8</v>
      </c>
      <c r="Q262" s="5">
        <f>PasteHashtag!O262</f>
        <v>0.4</v>
      </c>
      <c r="R262" s="5">
        <f>PasteHashtag!P262</f>
        <v>1</v>
      </c>
      <c r="S262" s="5">
        <f>Mid(PasteHashtag!H262,FIND("/",PasteHashtag!H262)+1,LEN(PasteHashtag!H262)-FIND("/",PasteHashtag!H262)-1)*1</f>
        <v>5.8</v>
      </c>
      <c r="T262" s="178">
        <f>Mid(PasteHashtag!I262,FIND("/",PasteHashtag!I262)+1,LEN(PasteHashtag!I262)-FIND("/",PasteHashtag!I262)-1)*1</f>
        <v>2.2</v>
      </c>
    </row>
    <row r="263">
      <c r="A263" s="5">
        <v>262.0</v>
      </c>
      <c r="B263" s="5" t="str">
        <f>PasteHashtag!B263</f>
        <v/>
      </c>
      <c r="C263" s="177" t="str">
        <f>PasteHashtag!C263</f>
        <v>Gary Payton II</v>
      </c>
      <c r="D263" s="5" t="str">
        <f>PasteHashtag!D263</f>
        <v>SG,SF</v>
      </c>
      <c r="E263" s="5" t="str">
        <f>PasteHashtag!E263</f>
        <v>GS</v>
      </c>
      <c r="F263" s="5">
        <f>PasteHashtag!F263</f>
        <v>42</v>
      </c>
      <c r="G263" s="5">
        <f>PasteHashtag!G263</f>
        <v>14.8</v>
      </c>
      <c r="H263" s="5">
        <f>MID(PasteHashtag!H263,1+FIND("(",PasteHashtag!H263),FIND("/",PasteHashtag!H263)-FIND("(",PasteHashtag!H263)-1)*1</f>
        <v>2.1</v>
      </c>
      <c r="I263" s="5">
        <f>LEFT(PasteHashtag!H263,FIND("(",PasteHashtag!H263)-1)*1</f>
        <v>0.572</v>
      </c>
      <c r="J263" s="5">
        <f>MID(PasteHashtag!I263,1+FIND("(",PasteHashtag!I263),FIND("/",PasteHashtag!I263)-FIND("(",PasteHashtag!I263)-1)*1</f>
        <v>0.3</v>
      </c>
      <c r="K263" s="5">
        <f>LEFT(PasteHashtag!I263,FIND("(",PasteHashtag!I263)-1)*1</f>
        <v>0.674</v>
      </c>
      <c r="L263" s="5">
        <f>PasteHashtag!J263</f>
        <v>0.5</v>
      </c>
      <c r="M263" s="5">
        <f>PasteHashtag!K263</f>
        <v>4.9</v>
      </c>
      <c r="N263" s="5">
        <f>PasteHashtag!L263</f>
        <v>2.6</v>
      </c>
      <c r="O263" s="5">
        <f>PasteHashtag!M263</f>
        <v>1.1</v>
      </c>
      <c r="P263" s="5">
        <f>PasteHashtag!N263</f>
        <v>0.9</v>
      </c>
      <c r="Q263" s="5">
        <f>PasteHashtag!O263</f>
        <v>0.3</v>
      </c>
      <c r="R263" s="5">
        <f>PasteHashtag!P263</f>
        <v>0.6</v>
      </c>
      <c r="S263" s="5">
        <f>Mid(PasteHashtag!H263,FIND("/",PasteHashtag!H263)+1,LEN(PasteHashtag!H263)-FIND("/",PasteHashtag!H263)-1)*1</f>
        <v>3.6</v>
      </c>
      <c r="T263" s="178">
        <f>Mid(PasteHashtag!I263,FIND("/",PasteHashtag!I263)+1,LEN(PasteHashtag!I263)-FIND("/",PasteHashtag!I263)-1)*1</f>
        <v>0.4</v>
      </c>
    </row>
    <row r="264">
      <c r="A264" s="5">
        <v>263.0</v>
      </c>
      <c r="B264" s="5">
        <f>PasteHashtag!B264</f>
        <v>145.3</v>
      </c>
      <c r="C264" s="177" t="str">
        <f>PasteHashtag!C264</f>
        <v>Matas Buzelis</v>
      </c>
      <c r="D264" s="5" t="str">
        <f>PasteHashtag!D264</f>
        <v>SF</v>
      </c>
      <c r="E264" s="5" t="str">
        <f>PasteHashtag!E264</f>
        <v>CHI</v>
      </c>
      <c r="F264" s="5">
        <f>PasteHashtag!F264</f>
        <v>60</v>
      </c>
      <c r="G264" s="5">
        <f>PasteHashtag!G264</f>
        <v>23.8</v>
      </c>
      <c r="H264" s="5">
        <f>MID(PasteHashtag!H264,1+FIND("(",PasteHashtag!H264),FIND("/",PasteHashtag!H264)-FIND("(",PasteHashtag!H264)-1)*1</f>
        <v>3.1</v>
      </c>
      <c r="I264" s="5">
        <f>LEFT(PasteHashtag!H264,FIND("(",PasteHashtag!H264)-1)*1</f>
        <v>0.447</v>
      </c>
      <c r="J264" s="5">
        <f>MID(PasteHashtag!I264,1+FIND("(",PasteHashtag!I264),FIND("/",PasteHashtag!I264)-FIND("(",PasteHashtag!I264)-1)*1</f>
        <v>0.8</v>
      </c>
      <c r="K264" s="5">
        <f>LEFT(PasteHashtag!I264,FIND("(",PasteHashtag!I264)-1)*1</f>
        <v>0.678</v>
      </c>
      <c r="L264" s="5">
        <f>PasteHashtag!J264</f>
        <v>0.5</v>
      </c>
      <c r="M264" s="5">
        <f>PasteHashtag!K264</f>
        <v>7.4</v>
      </c>
      <c r="N264" s="5">
        <f>PasteHashtag!L264</f>
        <v>3.9</v>
      </c>
      <c r="O264" s="5">
        <f>PasteHashtag!M264</f>
        <v>1.1</v>
      </c>
      <c r="P264" s="5">
        <f>PasteHashtag!N264</f>
        <v>0.5</v>
      </c>
      <c r="Q264" s="5">
        <f>PasteHashtag!O264</f>
        <v>1.2</v>
      </c>
      <c r="R264" s="5">
        <f>PasteHashtag!P264</f>
        <v>1.3</v>
      </c>
      <c r="S264" s="5">
        <f>Mid(PasteHashtag!H264,FIND("/",PasteHashtag!H264)+1,LEN(PasteHashtag!H264)-FIND("/",PasteHashtag!H264)-1)*1</f>
        <v>6.8</v>
      </c>
      <c r="T264" s="178">
        <f>Mid(PasteHashtag!I264,FIND("/",PasteHashtag!I264)+1,LEN(PasteHashtag!I264)-FIND("/",PasteHashtag!I264)-1)*1</f>
        <v>1.2</v>
      </c>
    </row>
    <row r="265">
      <c r="A265" s="5">
        <v>264.0</v>
      </c>
      <c r="B265" s="5" t="str">
        <f>PasteHashtag!B265</f>
        <v/>
      </c>
      <c r="C265" s="177" t="str">
        <f>PasteHashtag!C265</f>
        <v>Jonathan Mogbo</v>
      </c>
      <c r="D265" s="5" t="str">
        <f>PasteHashtag!D265</f>
        <v>PF</v>
      </c>
      <c r="E265" s="5" t="str">
        <f>PasteHashtag!E265</f>
        <v>TOR</v>
      </c>
      <c r="F265" s="5">
        <f>PasteHashtag!F265</f>
        <v>50</v>
      </c>
      <c r="G265" s="5">
        <f>PasteHashtag!G265</f>
        <v>15.4</v>
      </c>
      <c r="H265" s="5">
        <f>MID(PasteHashtag!H265,1+FIND("(",PasteHashtag!H265),FIND("/",PasteHashtag!H265)-FIND("(",PasteHashtag!H265)-1)*1</f>
        <v>2.4</v>
      </c>
      <c r="I265" s="5">
        <f>LEFT(PasteHashtag!H265,FIND("(",PasteHashtag!H265)-1)*1</f>
        <v>0.635</v>
      </c>
      <c r="J265" s="5">
        <f>MID(PasteHashtag!I265,1+FIND("(",PasteHashtag!I265),FIND("/",PasteHashtag!I265)-FIND("(",PasteHashtag!I265)-1)*1</f>
        <v>0.9</v>
      </c>
      <c r="K265" s="5">
        <f>LEFT(PasteHashtag!I265,FIND("(",PasteHashtag!I265)-1)*1</f>
        <v>0.697</v>
      </c>
      <c r="L265" s="5">
        <f>PasteHashtag!J265</f>
        <v>0</v>
      </c>
      <c r="M265" s="5">
        <f>PasteHashtag!K265</f>
        <v>5.7</v>
      </c>
      <c r="N265" s="5">
        <f>PasteHashtag!L265</f>
        <v>4.1</v>
      </c>
      <c r="O265" s="5">
        <f>PasteHashtag!M265</f>
        <v>1.5</v>
      </c>
      <c r="P265" s="5">
        <f>PasteHashtag!N265</f>
        <v>0.6</v>
      </c>
      <c r="Q265" s="5">
        <f>PasteHashtag!O265</f>
        <v>0.3</v>
      </c>
      <c r="R265" s="5">
        <f>PasteHashtag!P265</f>
        <v>0.7</v>
      </c>
      <c r="S265" s="5">
        <f>Mid(PasteHashtag!H265,FIND("/",PasteHashtag!H265)+1,LEN(PasteHashtag!H265)-FIND("/",PasteHashtag!H265)-1)*1</f>
        <v>3.8</v>
      </c>
      <c r="T265" s="178">
        <f>Mid(PasteHashtag!I265,FIND("/",PasteHashtag!I265)+1,LEN(PasteHashtag!I265)-FIND("/",PasteHashtag!I265)-1)*1</f>
        <v>1.2</v>
      </c>
    </row>
    <row r="266">
      <c r="A266" s="5">
        <v>265.0</v>
      </c>
      <c r="B266" s="5" t="str">
        <f>PasteHashtag!B266</f>
        <v/>
      </c>
      <c r="C266" s="177" t="str">
        <f>PasteHashtag!C266</f>
        <v>Moses Moody</v>
      </c>
      <c r="D266" s="5" t="str">
        <f>PasteHashtag!D266</f>
        <v>SG,SF</v>
      </c>
      <c r="E266" s="5" t="str">
        <f>PasteHashtag!E266</f>
        <v>GS</v>
      </c>
      <c r="F266" s="5">
        <f>PasteHashtag!F266</f>
        <v>68</v>
      </c>
      <c r="G266" s="5">
        <f>PasteHashtag!G266</f>
        <v>19.8</v>
      </c>
      <c r="H266" s="5">
        <f>MID(PasteHashtag!H266,1+FIND("(",PasteHashtag!H266),FIND("/",PasteHashtag!H266)-FIND("(",PasteHashtag!H266)-1)*1</f>
        <v>3.1</v>
      </c>
      <c r="I266" s="5">
        <f>LEFT(PasteHashtag!H266,FIND("(",PasteHashtag!H266)-1)*1</f>
        <v>0.466</v>
      </c>
      <c r="J266" s="5">
        <f>MID(PasteHashtag!I266,1+FIND("(",PasteHashtag!I266),FIND("/",PasteHashtag!I266)-FIND("(",PasteHashtag!I266)-1)*1</f>
        <v>1.1</v>
      </c>
      <c r="K266" s="5">
        <f>LEFT(PasteHashtag!I266,FIND("(",PasteHashtag!I266)-1)*1</f>
        <v>0.757</v>
      </c>
      <c r="L266" s="5">
        <f>PasteHashtag!J266</f>
        <v>1.2</v>
      </c>
      <c r="M266" s="5">
        <f>PasteHashtag!K266</f>
        <v>8.5</v>
      </c>
      <c r="N266" s="5">
        <f>PasteHashtag!L266</f>
        <v>3.1</v>
      </c>
      <c r="O266" s="5">
        <f>PasteHashtag!M266</f>
        <v>1.1</v>
      </c>
      <c r="P266" s="5">
        <f>PasteHashtag!N266</f>
        <v>0.6</v>
      </c>
      <c r="Q266" s="5">
        <f>PasteHashtag!O266</f>
        <v>0.3</v>
      </c>
      <c r="R266" s="5">
        <f>PasteHashtag!P266</f>
        <v>0.8</v>
      </c>
      <c r="S266" s="5">
        <f>Mid(PasteHashtag!H266,FIND("/",PasteHashtag!H266)+1,LEN(PasteHashtag!H266)-FIND("/",PasteHashtag!H266)-1)*1</f>
        <v>6.6</v>
      </c>
      <c r="T266" s="178">
        <f>Mid(PasteHashtag!I266,FIND("/",PasteHashtag!I266)+1,LEN(PasteHashtag!I266)-FIND("/",PasteHashtag!I266)-1)*1</f>
        <v>1.5</v>
      </c>
    </row>
    <row r="267">
      <c r="A267" s="5">
        <v>266.0</v>
      </c>
      <c r="B267" s="5" t="str">
        <f>PasteHashtag!B267</f>
        <v/>
      </c>
      <c r="C267" s="177" t="str">
        <f>PasteHashtag!C267</f>
        <v>Killian Hayes</v>
      </c>
      <c r="D267" s="5" t="str">
        <f>PasteHashtag!D267</f>
        <v>PG,SG</v>
      </c>
      <c r="E267" s="5" t="str">
        <f>PasteHashtag!E267</f>
        <v>BKN</v>
      </c>
      <c r="F267" s="5">
        <f>PasteHashtag!F267</f>
        <v>40</v>
      </c>
      <c r="G267" s="5">
        <f>PasteHashtag!G267</f>
        <v>20.4</v>
      </c>
      <c r="H267" s="5">
        <f>MID(PasteHashtag!H267,1+FIND("(",PasteHashtag!H267),FIND("/",PasteHashtag!H267)-FIND("(",PasteHashtag!H267)-1)*1</f>
        <v>2.8</v>
      </c>
      <c r="I267" s="5">
        <f>LEFT(PasteHashtag!H267,FIND("(",PasteHashtag!H267)-1)*1</f>
        <v>0.385</v>
      </c>
      <c r="J267" s="5">
        <f>MID(PasteHashtag!I267,1+FIND("(",PasteHashtag!I267),FIND("/",PasteHashtag!I267)-FIND("(",PasteHashtag!I267)-1)*1</f>
        <v>0.8</v>
      </c>
      <c r="K267" s="5">
        <f>LEFT(PasteHashtag!I267,FIND("(",PasteHashtag!I267)-1)*1</f>
        <v>0.764</v>
      </c>
      <c r="L267" s="5">
        <f>PasteHashtag!J267</f>
        <v>0.7</v>
      </c>
      <c r="M267" s="5">
        <f>PasteHashtag!K267</f>
        <v>7</v>
      </c>
      <c r="N267" s="5">
        <f>PasteHashtag!L267</f>
        <v>2.2</v>
      </c>
      <c r="O267" s="5">
        <f>PasteHashtag!M267</f>
        <v>4.4</v>
      </c>
      <c r="P267" s="5">
        <f>PasteHashtag!N267</f>
        <v>0.9</v>
      </c>
      <c r="Q267" s="5">
        <f>PasteHashtag!O267</f>
        <v>0.3</v>
      </c>
      <c r="R267" s="5">
        <f>PasteHashtag!P267</f>
        <v>1.5</v>
      </c>
      <c r="S267" s="5">
        <f>Mid(PasteHashtag!H267,FIND("/",PasteHashtag!H267)+1,LEN(PasteHashtag!H267)-FIND("/",PasteHashtag!H267)-1)*1</f>
        <v>7.2</v>
      </c>
      <c r="T267" s="178">
        <f>Mid(PasteHashtag!I267,FIND("/",PasteHashtag!I267)+1,LEN(PasteHashtag!I267)-FIND("/",PasteHashtag!I267)-1)*1</f>
        <v>1.1</v>
      </c>
    </row>
    <row r="268">
      <c r="A268" s="5">
        <v>267.0</v>
      </c>
      <c r="B268" s="5" t="str">
        <f>PasteHashtag!B268</f>
        <v/>
      </c>
      <c r="C268" s="177" t="str">
        <f>PasteHashtag!C268</f>
        <v>Quentin Grimes</v>
      </c>
      <c r="D268" s="5" t="str">
        <f>PasteHashtag!D268</f>
        <v>SG,SF</v>
      </c>
      <c r="E268" s="5" t="str">
        <f>PasteHashtag!E268</f>
        <v>DAL</v>
      </c>
      <c r="F268" s="5">
        <f>PasteHashtag!F268</f>
        <v>60</v>
      </c>
      <c r="G268" s="5">
        <f>PasteHashtag!G268</f>
        <v>22.1</v>
      </c>
      <c r="H268" s="5">
        <f>MID(PasteHashtag!H268,1+FIND("(",PasteHashtag!H268),FIND("/",PasteHashtag!H268)-FIND("(",PasteHashtag!H268)-1)*1</f>
        <v>2.9</v>
      </c>
      <c r="I268" s="5">
        <f>LEFT(PasteHashtag!H268,FIND("(",PasteHashtag!H268)-1)*1</f>
        <v>0.435</v>
      </c>
      <c r="J268" s="5">
        <f>MID(PasteHashtag!I268,1+FIND("(",PasteHashtag!I268),FIND("/",PasteHashtag!I268)-FIND("(",PasteHashtag!I268)-1)*1</f>
        <v>0.8</v>
      </c>
      <c r="K268" s="5">
        <f>LEFT(PasteHashtag!I268,FIND("(",PasteHashtag!I268)-1)*1</f>
        <v>0.792</v>
      </c>
      <c r="L268" s="5">
        <f>PasteHashtag!J268</f>
        <v>1.7</v>
      </c>
      <c r="M268" s="5">
        <f>PasteHashtag!K268</f>
        <v>8.2</v>
      </c>
      <c r="N268" s="5">
        <f>PasteHashtag!L268</f>
        <v>2.3</v>
      </c>
      <c r="O268" s="5">
        <f>PasteHashtag!M268</f>
        <v>1.5</v>
      </c>
      <c r="P268" s="5">
        <f>PasteHashtag!N268</f>
        <v>0.6</v>
      </c>
      <c r="Q268" s="5">
        <f>PasteHashtag!O268</f>
        <v>0.2</v>
      </c>
      <c r="R268" s="5">
        <f>PasteHashtag!P268</f>
        <v>0.7</v>
      </c>
      <c r="S268" s="5">
        <f>Mid(PasteHashtag!H268,FIND("/",PasteHashtag!H268)+1,LEN(PasteHashtag!H268)-FIND("/",PasteHashtag!H268)-1)*1</f>
        <v>6.6</v>
      </c>
      <c r="T268" s="178">
        <f>Mid(PasteHashtag!I268,FIND("/",PasteHashtag!I268)+1,LEN(PasteHashtag!I268)-FIND("/",PasteHashtag!I268)-1)*1</f>
        <v>1</v>
      </c>
    </row>
    <row r="269">
      <c r="A269" s="5">
        <v>268.0</v>
      </c>
      <c r="B269" s="5" t="str">
        <f>PasteHashtag!B269</f>
        <v/>
      </c>
      <c r="C269" s="177" t="str">
        <f>PasteHashtag!C269</f>
        <v>Torrey Craig</v>
      </c>
      <c r="D269" s="5" t="str">
        <f>PasteHashtag!D269</f>
        <v>SF,PF</v>
      </c>
      <c r="E269" s="5" t="str">
        <f>PasteHashtag!E269</f>
        <v>CHI</v>
      </c>
      <c r="F269" s="5">
        <f>PasteHashtag!F269</f>
        <v>58</v>
      </c>
      <c r="G269" s="5">
        <f>PasteHashtag!G269</f>
        <v>18.9</v>
      </c>
      <c r="H269" s="5">
        <f>MID(PasteHashtag!H269,1+FIND("(",PasteHashtag!H269),FIND("/",PasteHashtag!H269)-FIND("(",PasteHashtag!H269)-1)*1</f>
        <v>2.1</v>
      </c>
      <c r="I269" s="5">
        <f>LEFT(PasteHashtag!H269,FIND("(",PasteHashtag!H269)-1)*1</f>
        <v>0.447</v>
      </c>
      <c r="J269" s="5">
        <f>MID(PasteHashtag!I269,1+FIND("(",PasteHashtag!I269),FIND("/",PasteHashtag!I269)-FIND("(",PasteHashtag!I269)-1)*1</f>
        <v>0.4</v>
      </c>
      <c r="K269" s="5">
        <f>LEFT(PasteHashtag!I269,FIND("(",PasteHashtag!I269)-1)*1</f>
        <v>0.731</v>
      </c>
      <c r="L269" s="5">
        <f>PasteHashtag!J269</f>
        <v>1</v>
      </c>
      <c r="M269" s="5">
        <f>PasteHashtag!K269</f>
        <v>5.7</v>
      </c>
      <c r="N269" s="5">
        <f>PasteHashtag!L269</f>
        <v>4.1</v>
      </c>
      <c r="O269" s="5">
        <f>PasteHashtag!M269</f>
        <v>1.1</v>
      </c>
      <c r="P269" s="5">
        <f>PasteHashtag!N269</f>
        <v>0.5</v>
      </c>
      <c r="Q269" s="5">
        <f>PasteHashtag!O269</f>
        <v>0.5</v>
      </c>
      <c r="R269" s="5">
        <f>PasteHashtag!P269</f>
        <v>0.7</v>
      </c>
      <c r="S269" s="5">
        <f>Mid(PasteHashtag!H269,FIND("/",PasteHashtag!H269)+1,LEN(PasteHashtag!H269)-FIND("/",PasteHashtag!H269)-1)*1</f>
        <v>4.8</v>
      </c>
      <c r="T269" s="178">
        <f>Mid(PasteHashtag!I269,FIND("/",PasteHashtag!I269)+1,LEN(PasteHashtag!I269)-FIND("/",PasteHashtag!I269)-1)*1</f>
        <v>0.5</v>
      </c>
    </row>
    <row r="270">
      <c r="A270" s="5">
        <v>269.0</v>
      </c>
      <c r="B270" s="5" t="str">
        <f>PasteHashtag!B270</f>
        <v/>
      </c>
      <c r="C270" s="177" t="str">
        <f>PasteHashtag!C270</f>
        <v>Gabe Vincent</v>
      </c>
      <c r="D270" s="5" t="str">
        <f>PasteHashtag!D270</f>
        <v>PG,SG</v>
      </c>
      <c r="E270" s="5" t="str">
        <f>PasteHashtag!E270</f>
        <v>LAL</v>
      </c>
      <c r="F270" s="5">
        <f>PasteHashtag!F270</f>
        <v>60</v>
      </c>
      <c r="G270" s="5">
        <f>PasteHashtag!G270</f>
        <v>24.4</v>
      </c>
      <c r="H270" s="5">
        <f>MID(PasteHashtag!H270,1+FIND("(",PasteHashtag!H270),FIND("/",PasteHashtag!H270)-FIND("(",PasteHashtag!H270)-1)*1</f>
        <v>3</v>
      </c>
      <c r="I270" s="5">
        <f>LEFT(PasteHashtag!H270,FIND("(",PasteHashtag!H270)-1)*1</f>
        <v>0.395</v>
      </c>
      <c r="J270" s="5">
        <f>MID(PasteHashtag!I270,1+FIND("(",PasteHashtag!I270),FIND("/",PasteHashtag!I270)-FIND("(",PasteHashtag!I270)-1)*1</f>
        <v>0.9</v>
      </c>
      <c r="K270" s="5">
        <f>LEFT(PasteHashtag!I270,FIND("(",PasteHashtag!I270)-1)*1</f>
        <v>0.86</v>
      </c>
      <c r="L270" s="5">
        <f>PasteHashtag!J270</f>
        <v>1.5</v>
      </c>
      <c r="M270" s="5">
        <f>PasteHashtag!K270</f>
        <v>8.4</v>
      </c>
      <c r="N270" s="5">
        <f>PasteHashtag!L270</f>
        <v>1.9</v>
      </c>
      <c r="O270" s="5">
        <f>PasteHashtag!M270</f>
        <v>2.3</v>
      </c>
      <c r="P270" s="5">
        <f>PasteHashtag!N270</f>
        <v>0.9</v>
      </c>
      <c r="Q270" s="5">
        <f>PasteHashtag!O270</f>
        <v>0.1</v>
      </c>
      <c r="R270" s="5">
        <f>PasteHashtag!P270</f>
        <v>1.2</v>
      </c>
      <c r="S270" s="5">
        <f>Mid(PasteHashtag!H270,FIND("/",PasteHashtag!H270)+1,LEN(PasteHashtag!H270)-FIND("/",PasteHashtag!H270)-1)*1</f>
        <v>7.7</v>
      </c>
      <c r="T270" s="178">
        <f>Mid(PasteHashtag!I270,FIND("/",PasteHashtag!I270)+1,LEN(PasteHashtag!I270)-FIND("/",PasteHashtag!I270)-1)*1</f>
        <v>1</v>
      </c>
    </row>
    <row r="271">
      <c r="A271" s="5">
        <v>270.0</v>
      </c>
      <c r="B271" s="5" t="str">
        <f>PasteHashtag!B271</f>
        <v/>
      </c>
      <c r="C271" s="177" t="str">
        <f>PasteHashtag!C271</f>
        <v>Julian Champagnie</v>
      </c>
      <c r="D271" s="5" t="str">
        <f>PasteHashtag!D271</f>
        <v>SF,PF</v>
      </c>
      <c r="E271" s="5" t="str">
        <f>PasteHashtag!E271</f>
        <v>SA</v>
      </c>
      <c r="F271" s="5">
        <f>PasteHashtag!F271</f>
        <v>60</v>
      </c>
      <c r="G271" s="5">
        <f>PasteHashtag!G271</f>
        <v>17.4</v>
      </c>
      <c r="H271" s="5">
        <f>MID(PasteHashtag!H271,1+FIND("(",PasteHashtag!H271),FIND("/",PasteHashtag!H271)-FIND("(",PasteHashtag!H271)-1)*1</f>
        <v>2.3</v>
      </c>
      <c r="I271" s="5">
        <f>LEFT(PasteHashtag!H271,FIND("(",PasteHashtag!H271)-1)*1</f>
        <v>0.42</v>
      </c>
      <c r="J271" s="5">
        <f>MID(PasteHashtag!I271,1+FIND("(",PasteHashtag!I271),FIND("/",PasteHashtag!I271)-FIND("(",PasteHashtag!I271)-1)*1</f>
        <v>0.9</v>
      </c>
      <c r="K271" s="5">
        <f>LEFT(PasteHashtag!I271,FIND("(",PasteHashtag!I271)-1)*1</f>
        <v>0.811</v>
      </c>
      <c r="L271" s="5">
        <f>PasteHashtag!J271</f>
        <v>1.4</v>
      </c>
      <c r="M271" s="5">
        <f>PasteHashtag!K271</f>
        <v>6.8</v>
      </c>
      <c r="N271" s="5">
        <f>PasteHashtag!L271</f>
        <v>2.7</v>
      </c>
      <c r="O271" s="5">
        <f>PasteHashtag!M271</f>
        <v>1.2</v>
      </c>
      <c r="P271" s="5">
        <f>PasteHashtag!N271</f>
        <v>0.6</v>
      </c>
      <c r="Q271" s="5">
        <f>PasteHashtag!O271</f>
        <v>0.5</v>
      </c>
      <c r="R271" s="5">
        <f>PasteHashtag!P271</f>
        <v>0.7</v>
      </c>
      <c r="S271" s="5">
        <f>Mid(PasteHashtag!H271,FIND("/",PasteHashtag!H271)+1,LEN(PasteHashtag!H271)-FIND("/",PasteHashtag!H271)-1)*1</f>
        <v>5.4</v>
      </c>
      <c r="T271" s="178">
        <f>Mid(PasteHashtag!I271,FIND("/",PasteHashtag!I271)+1,LEN(PasteHashtag!I271)-FIND("/",PasteHashtag!I271)-1)*1</f>
        <v>1.1</v>
      </c>
    </row>
    <row r="272">
      <c r="A272" s="5">
        <v>271.0</v>
      </c>
      <c r="B272" s="5" t="str">
        <f>PasteHashtag!B272</f>
        <v/>
      </c>
      <c r="C272" s="177" t="str">
        <f>PasteHashtag!C272</f>
        <v>Drew Eubanks</v>
      </c>
      <c r="D272" s="5" t="str">
        <f>PasteHashtag!D272</f>
        <v>C</v>
      </c>
      <c r="E272" s="5" t="str">
        <f>PasteHashtag!E272</f>
        <v>UTA</v>
      </c>
      <c r="F272" s="5">
        <f>PasteHashtag!F272</f>
        <v>70</v>
      </c>
      <c r="G272" s="5">
        <f>PasteHashtag!G272</f>
        <v>14.6</v>
      </c>
      <c r="H272" s="5">
        <f>MID(PasteHashtag!H272,1+FIND("(",PasteHashtag!H272),FIND("/",PasteHashtag!H272)-FIND("(",PasteHashtag!H272)-1)*1</f>
        <v>2</v>
      </c>
      <c r="I272" s="5">
        <f>LEFT(PasteHashtag!H272,FIND("(",PasteHashtag!H272)-1)*1</f>
        <v>0.622</v>
      </c>
      <c r="J272" s="5">
        <f>MID(PasteHashtag!I272,1+FIND("(",PasteHashtag!I272),FIND("/",PasteHashtag!I272)-FIND("(",PasteHashtag!I272)-1)*1</f>
        <v>0.8</v>
      </c>
      <c r="K272" s="5">
        <f>LEFT(PasteHashtag!I272,FIND("(",PasteHashtag!I272)-1)*1</f>
        <v>0.709</v>
      </c>
      <c r="L272" s="5">
        <f>PasteHashtag!J272</f>
        <v>0.1</v>
      </c>
      <c r="M272" s="5">
        <f>PasteHashtag!K272</f>
        <v>4.8</v>
      </c>
      <c r="N272" s="5">
        <f>PasteHashtag!L272</f>
        <v>4</v>
      </c>
      <c r="O272" s="5">
        <f>PasteHashtag!M272</f>
        <v>0.9</v>
      </c>
      <c r="P272" s="5">
        <f>PasteHashtag!N272</f>
        <v>0.4</v>
      </c>
      <c r="Q272" s="5">
        <f>PasteHashtag!O272</f>
        <v>0.9</v>
      </c>
      <c r="R272" s="5">
        <f>PasteHashtag!P272</f>
        <v>0.7</v>
      </c>
      <c r="S272" s="5">
        <f>Mid(PasteHashtag!H272,FIND("/",PasteHashtag!H272)+1,LEN(PasteHashtag!H272)-FIND("/",PasteHashtag!H272)-1)*1</f>
        <v>3.2</v>
      </c>
      <c r="T272" s="178">
        <f>Mid(PasteHashtag!I272,FIND("/",PasteHashtag!I272)+1,LEN(PasteHashtag!I272)-FIND("/",PasteHashtag!I272)-1)*1</f>
        <v>1.2</v>
      </c>
    </row>
    <row r="273">
      <c r="A273" s="5">
        <v>272.0</v>
      </c>
      <c r="B273" s="5" t="str">
        <f>PasteHashtag!B273</f>
        <v/>
      </c>
      <c r="C273" s="177" t="str">
        <f>PasteHashtag!C273</f>
        <v>Pat Connaughton</v>
      </c>
      <c r="D273" s="5" t="str">
        <f>PasteHashtag!D273</f>
        <v>SG,SF</v>
      </c>
      <c r="E273" s="5" t="str">
        <f>PasteHashtag!E273</f>
        <v>MIL</v>
      </c>
      <c r="F273" s="5">
        <f>PasteHashtag!F273</f>
        <v>70</v>
      </c>
      <c r="G273" s="5">
        <f>PasteHashtag!G273</f>
        <v>23.6</v>
      </c>
      <c r="H273" s="5">
        <f>MID(PasteHashtag!H273,1+FIND("(",PasteHashtag!H273),FIND("/",PasteHashtag!H273)-FIND("(",PasteHashtag!H273)-1)*1</f>
        <v>2.4</v>
      </c>
      <c r="I273" s="5">
        <f>LEFT(PasteHashtag!H273,FIND("(",PasteHashtag!H273)-1)*1</f>
        <v>0.417</v>
      </c>
      <c r="J273" s="5">
        <f>MID(PasteHashtag!I273,1+FIND("(",PasteHashtag!I273),FIND("/",PasteHashtag!I273)-FIND("(",PasteHashtag!I273)-1)*1</f>
        <v>0.5</v>
      </c>
      <c r="K273" s="5">
        <f>LEFT(PasteHashtag!I273,FIND("(",PasteHashtag!I273)-1)*1</f>
        <v>0.74</v>
      </c>
      <c r="L273" s="5">
        <f>PasteHashtag!J273</f>
        <v>1.3</v>
      </c>
      <c r="M273" s="5">
        <f>PasteHashtag!K273</f>
        <v>6.7</v>
      </c>
      <c r="N273" s="5">
        <f>PasteHashtag!L273</f>
        <v>4</v>
      </c>
      <c r="O273" s="5">
        <f>PasteHashtag!M273</f>
        <v>1.8</v>
      </c>
      <c r="P273" s="5">
        <f>PasteHashtag!N273</f>
        <v>0.6</v>
      </c>
      <c r="Q273" s="5">
        <f>PasteHashtag!O273</f>
        <v>0.2</v>
      </c>
      <c r="R273" s="5">
        <f>PasteHashtag!P273</f>
        <v>0.6</v>
      </c>
      <c r="S273" s="5">
        <f>Mid(PasteHashtag!H273,FIND("/",PasteHashtag!H273)+1,LEN(PasteHashtag!H273)-FIND("/",PasteHashtag!H273)-1)*1</f>
        <v>5.8</v>
      </c>
      <c r="T273" s="178">
        <f>Mid(PasteHashtag!I273,FIND("/",PasteHashtag!I273)+1,LEN(PasteHashtag!I273)-FIND("/",PasteHashtag!I273)-1)*1</f>
        <v>0.7</v>
      </c>
    </row>
    <row r="274">
      <c r="A274" s="5">
        <v>273.0</v>
      </c>
      <c r="B274" s="5" t="str">
        <f>PasteHashtag!B274</f>
        <v/>
      </c>
      <c r="C274" s="177" t="str">
        <f>PasteHashtag!C274</f>
        <v>Toumani Camara</v>
      </c>
      <c r="D274" s="5" t="str">
        <f>PasteHashtag!D274</f>
        <v>PF</v>
      </c>
      <c r="E274" s="5" t="str">
        <f>PasteHashtag!E274</f>
        <v>POR</v>
      </c>
      <c r="F274" s="5">
        <f>PasteHashtag!F274</f>
        <v>68</v>
      </c>
      <c r="G274" s="5">
        <f>PasteHashtag!G274</f>
        <v>20.2</v>
      </c>
      <c r="H274" s="5">
        <f>MID(PasteHashtag!H274,1+FIND("(",PasteHashtag!H274),FIND("/",PasteHashtag!H274)-FIND("(",PasteHashtag!H274)-1)*1</f>
        <v>2.3</v>
      </c>
      <c r="I274" s="5">
        <f>LEFT(PasteHashtag!H274,FIND("(",PasteHashtag!H274)-1)*1</f>
        <v>0.449</v>
      </c>
      <c r="J274" s="5">
        <f>MID(PasteHashtag!I274,1+FIND("(",PasteHashtag!I274),FIND("/",PasteHashtag!I274)-FIND("(",PasteHashtag!I274)-1)*1</f>
        <v>0.9</v>
      </c>
      <c r="K274" s="5">
        <f>LEFT(PasteHashtag!I274,FIND("(",PasteHashtag!I274)-1)*1</f>
        <v>0.759</v>
      </c>
      <c r="L274" s="5">
        <f>PasteHashtag!J274</f>
        <v>0.7</v>
      </c>
      <c r="M274" s="5">
        <f>PasteHashtag!K274</f>
        <v>6.2</v>
      </c>
      <c r="N274" s="5">
        <f>PasteHashtag!L274</f>
        <v>4</v>
      </c>
      <c r="O274" s="5">
        <f>PasteHashtag!M274</f>
        <v>1</v>
      </c>
      <c r="P274" s="5">
        <f>PasteHashtag!N274</f>
        <v>0.8</v>
      </c>
      <c r="Q274" s="5">
        <f>PasteHashtag!O274</f>
        <v>0.4</v>
      </c>
      <c r="R274" s="5">
        <f>PasteHashtag!P274</f>
        <v>1</v>
      </c>
      <c r="S274" s="5">
        <f>Mid(PasteHashtag!H274,FIND("/",PasteHashtag!H274)+1,LEN(PasteHashtag!H274)-FIND("/",PasteHashtag!H274)-1)*1</f>
        <v>5.1</v>
      </c>
      <c r="T274" s="178">
        <f>Mid(PasteHashtag!I274,FIND("/",PasteHashtag!I274)+1,LEN(PasteHashtag!I274)-FIND("/",PasteHashtag!I274)-1)*1</f>
        <v>1.2</v>
      </c>
    </row>
    <row r="275">
      <c r="A275" s="5">
        <v>274.0</v>
      </c>
      <c r="B275" s="5" t="str">
        <f>PasteHashtag!B275</f>
        <v/>
      </c>
      <c r="C275" s="177" t="str">
        <f>PasteHashtag!C275</f>
        <v>Cody Martin</v>
      </c>
      <c r="D275" s="5" t="str">
        <f>PasteHashtag!D275</f>
        <v>SG,SF</v>
      </c>
      <c r="E275" s="5" t="str">
        <f>PasteHashtag!E275</f>
        <v>CHA</v>
      </c>
      <c r="F275" s="5">
        <f>PasteHashtag!F275</f>
        <v>40</v>
      </c>
      <c r="G275" s="5">
        <f>PasteHashtag!G275</f>
        <v>23.4</v>
      </c>
      <c r="H275" s="5">
        <f>MID(PasteHashtag!H275,1+FIND("(",PasteHashtag!H275),FIND("/",PasteHashtag!H275)-FIND("(",PasteHashtag!H275)-1)*1</f>
        <v>2.6</v>
      </c>
      <c r="I275" s="5">
        <f>LEFT(PasteHashtag!H275,FIND("(",PasteHashtag!H275)-1)*1</f>
        <v>0.383</v>
      </c>
      <c r="J275" s="5">
        <f>MID(PasteHashtag!I275,1+FIND("(",PasteHashtag!I275),FIND("/",PasteHashtag!I275)-FIND("(",PasteHashtag!I275)-1)*1</f>
        <v>0.6</v>
      </c>
      <c r="K275" s="5">
        <f>LEFT(PasteHashtag!I275,FIND("(",PasteHashtag!I275)-1)*1</f>
        <v>0.598</v>
      </c>
      <c r="L275" s="5">
        <f>PasteHashtag!J275</f>
        <v>0.8</v>
      </c>
      <c r="M275" s="5">
        <f>PasteHashtag!K275</f>
        <v>6.6</v>
      </c>
      <c r="N275" s="5">
        <f>PasteHashtag!L275</f>
        <v>3.6</v>
      </c>
      <c r="O275" s="5">
        <f>PasteHashtag!M275</f>
        <v>3.1</v>
      </c>
      <c r="P275" s="5">
        <f>PasteHashtag!N275</f>
        <v>1</v>
      </c>
      <c r="Q275" s="5">
        <f>PasteHashtag!O275</f>
        <v>0.5</v>
      </c>
      <c r="R275" s="5">
        <f>PasteHashtag!P275</f>
        <v>1.2</v>
      </c>
      <c r="S275" s="5">
        <f>Mid(PasteHashtag!H275,FIND("/",PasteHashtag!H275)+1,LEN(PasteHashtag!H275)-FIND("/",PasteHashtag!H275)-1)*1</f>
        <v>6.7</v>
      </c>
      <c r="T275" s="178">
        <f>Mid(PasteHashtag!I275,FIND("/",PasteHashtag!I275)+1,LEN(PasteHashtag!I275)-FIND("/",PasteHashtag!I275)-1)*1</f>
        <v>1.1</v>
      </c>
    </row>
    <row r="276">
      <c r="A276" s="5">
        <v>275.0</v>
      </c>
      <c r="B276" s="5" t="str">
        <f>PasteHashtag!B276</f>
        <v/>
      </c>
      <c r="C276" s="177" t="str">
        <f>PasteHashtag!C276</f>
        <v>Alec Burks</v>
      </c>
      <c r="D276" s="5" t="str">
        <f>PasteHashtag!D276</f>
        <v>SG,SF</v>
      </c>
      <c r="E276" s="5" t="str">
        <f>PasteHashtag!E276</f>
        <v>MIA</v>
      </c>
      <c r="F276" s="5">
        <f>PasteHashtag!F276</f>
        <v>60</v>
      </c>
      <c r="G276" s="5">
        <f>PasteHashtag!G276</f>
        <v>17.2</v>
      </c>
      <c r="H276" s="5">
        <f>MID(PasteHashtag!H276,1+FIND("(",PasteHashtag!H276),FIND("/",PasteHashtag!H276)-FIND("(",PasteHashtag!H276)-1)*1</f>
        <v>3.1</v>
      </c>
      <c r="I276" s="5">
        <f>LEFT(PasteHashtag!H276,FIND("(",PasteHashtag!H276)-1)*1</f>
        <v>0.399</v>
      </c>
      <c r="J276" s="5">
        <f>MID(PasteHashtag!I276,1+FIND("(",PasteHashtag!I276),FIND("/",PasteHashtag!I276)-FIND("(",PasteHashtag!I276)-1)*1</f>
        <v>2.2</v>
      </c>
      <c r="K276" s="5">
        <f>LEFT(PasteHashtag!I276,FIND("(",PasteHashtag!I276)-1)*1</f>
        <v>0.841</v>
      </c>
      <c r="L276" s="5">
        <f>PasteHashtag!J276</f>
        <v>1.7</v>
      </c>
      <c r="M276" s="5">
        <f>PasteHashtag!K276</f>
        <v>10</v>
      </c>
      <c r="N276" s="5">
        <f>PasteHashtag!L276</f>
        <v>2.3</v>
      </c>
      <c r="O276" s="5">
        <f>PasteHashtag!M276</f>
        <v>1.5</v>
      </c>
      <c r="P276" s="5">
        <f>PasteHashtag!N276</f>
        <v>0.5</v>
      </c>
      <c r="Q276" s="5">
        <f>PasteHashtag!O276</f>
        <v>0.2</v>
      </c>
      <c r="R276" s="5">
        <f>PasteHashtag!P276</f>
        <v>0.8</v>
      </c>
      <c r="S276" s="5">
        <f>Mid(PasteHashtag!H276,FIND("/",PasteHashtag!H276)+1,LEN(PasteHashtag!H276)-FIND("/",PasteHashtag!H276)-1)*1</f>
        <v>7.7</v>
      </c>
      <c r="T276" s="178">
        <f>Mid(PasteHashtag!I276,FIND("/",PasteHashtag!I276)+1,LEN(PasteHashtag!I276)-FIND("/",PasteHashtag!I276)-1)*1</f>
        <v>2.6</v>
      </c>
    </row>
    <row r="277">
      <c r="A277" s="5">
        <v>276.0</v>
      </c>
      <c r="B277" s="5" t="str">
        <f>PasteHashtag!B277</f>
        <v/>
      </c>
      <c r="C277" s="177" t="str">
        <f>PasteHashtag!C277</f>
        <v>Dean Wade</v>
      </c>
      <c r="D277" s="5" t="str">
        <f>PasteHashtag!D277</f>
        <v>SF,PF</v>
      </c>
      <c r="E277" s="5" t="str">
        <f>PasteHashtag!E277</f>
        <v>CLE</v>
      </c>
      <c r="F277" s="5">
        <f>PasteHashtag!F277</f>
        <v>44</v>
      </c>
      <c r="G277" s="5">
        <f>PasteHashtag!G277</f>
        <v>19.3</v>
      </c>
      <c r="H277" s="5">
        <f>MID(PasteHashtag!H277,1+FIND("(",PasteHashtag!H277),FIND("/",PasteHashtag!H277)-FIND("(",PasteHashtag!H277)-1)*1</f>
        <v>1.7</v>
      </c>
      <c r="I277" s="5">
        <f>LEFT(PasteHashtag!H277,FIND("(",PasteHashtag!H277)-1)*1</f>
        <v>0.414</v>
      </c>
      <c r="J277" s="5">
        <f>MID(PasteHashtag!I277,1+FIND("(",PasteHashtag!I277),FIND("/",PasteHashtag!I277)-FIND("(",PasteHashtag!I277)-1)*1</f>
        <v>0.3</v>
      </c>
      <c r="K277" s="5">
        <f>LEFT(PasteHashtag!I277,FIND("(",PasteHashtag!I277)-1)*1</f>
        <v>0.708</v>
      </c>
      <c r="L277" s="5">
        <f>PasteHashtag!J277</f>
        <v>1.2</v>
      </c>
      <c r="M277" s="5">
        <f>PasteHashtag!K277</f>
        <v>4.9</v>
      </c>
      <c r="N277" s="5">
        <f>PasteHashtag!L277</f>
        <v>3.6</v>
      </c>
      <c r="O277" s="5">
        <f>PasteHashtag!M277</f>
        <v>0.8</v>
      </c>
      <c r="P277" s="5">
        <f>PasteHashtag!N277</f>
        <v>0.7</v>
      </c>
      <c r="Q277" s="5">
        <f>PasteHashtag!O277</f>
        <v>0.5</v>
      </c>
      <c r="R277" s="5">
        <f>PasteHashtag!P277</f>
        <v>0.4</v>
      </c>
      <c r="S277" s="5">
        <f>Mid(PasteHashtag!H277,FIND("/",PasteHashtag!H277)+1,LEN(PasteHashtag!H277)-FIND("/",PasteHashtag!H277)-1)*1</f>
        <v>4</v>
      </c>
      <c r="T277" s="178">
        <f>Mid(PasteHashtag!I277,FIND("/",PasteHashtag!I277)+1,LEN(PasteHashtag!I277)-FIND("/",PasteHashtag!I277)-1)*1</f>
        <v>0.5</v>
      </c>
    </row>
    <row r="278">
      <c r="A278" s="5">
        <v>277.0</v>
      </c>
      <c r="B278" s="5" t="str">
        <f>PasteHashtag!B278</f>
        <v/>
      </c>
      <c r="C278" s="177" t="str">
        <f>PasteHashtag!C278</f>
        <v>Aaron Wiggins</v>
      </c>
      <c r="D278" s="5" t="str">
        <f>PasteHashtag!D278</f>
        <v>SG,SF</v>
      </c>
      <c r="E278" s="5" t="str">
        <f>PasteHashtag!E278</f>
        <v>OKC</v>
      </c>
      <c r="F278" s="5">
        <f>PasteHashtag!F278</f>
        <v>74</v>
      </c>
      <c r="G278" s="5">
        <f>PasteHashtag!G278</f>
        <v>15.8</v>
      </c>
      <c r="H278" s="5">
        <f>MID(PasteHashtag!H278,1+FIND("(",PasteHashtag!H278),FIND("/",PasteHashtag!H278)-FIND("(",PasteHashtag!H278)-1)*1</f>
        <v>2.5</v>
      </c>
      <c r="I278" s="5">
        <f>LEFT(PasteHashtag!H278,FIND("(",PasteHashtag!H278)-1)*1</f>
        <v>0.538</v>
      </c>
      <c r="J278" s="5">
        <f>MID(PasteHashtag!I278,1+FIND("(",PasteHashtag!I278),FIND("/",PasteHashtag!I278)-FIND("(",PasteHashtag!I278)-1)*1</f>
        <v>0.7</v>
      </c>
      <c r="K278" s="5">
        <f>LEFT(PasteHashtag!I278,FIND("(",PasteHashtag!I278)-1)*1</f>
        <v>0.811</v>
      </c>
      <c r="L278" s="5">
        <f>PasteHashtag!J278</f>
        <v>0.7</v>
      </c>
      <c r="M278" s="5">
        <f>PasteHashtag!K278</f>
        <v>6.5</v>
      </c>
      <c r="N278" s="5">
        <f>PasteHashtag!L278</f>
        <v>2.5</v>
      </c>
      <c r="O278" s="5">
        <f>PasteHashtag!M278</f>
        <v>1.1</v>
      </c>
      <c r="P278" s="5">
        <f>PasteHashtag!N278</f>
        <v>0.6</v>
      </c>
      <c r="Q278" s="5">
        <f>PasteHashtag!O278</f>
        <v>0.2</v>
      </c>
      <c r="R278" s="5">
        <f>PasteHashtag!P278</f>
        <v>0.7</v>
      </c>
      <c r="S278" s="5">
        <f>Mid(PasteHashtag!H278,FIND("/",PasteHashtag!H278)+1,LEN(PasteHashtag!H278)-FIND("/",PasteHashtag!H278)-1)*1</f>
        <v>4.7</v>
      </c>
      <c r="T278" s="178">
        <f>Mid(PasteHashtag!I278,FIND("/",PasteHashtag!I278)+1,LEN(PasteHashtag!I278)-FIND("/",PasteHashtag!I278)-1)*1</f>
        <v>0.9</v>
      </c>
    </row>
    <row r="279">
      <c r="A279" s="5">
        <v>278.0</v>
      </c>
      <c r="B279" s="5" t="str">
        <f>PasteHashtag!B279</f>
        <v/>
      </c>
      <c r="C279" s="177" t="str">
        <f>PasteHashtag!C279</f>
        <v>Shake Milton</v>
      </c>
      <c r="D279" s="5" t="str">
        <f>PasteHashtag!D279</f>
        <v>PG,SG</v>
      </c>
      <c r="E279" s="5" t="str">
        <f>PasteHashtag!E279</f>
        <v>BKN</v>
      </c>
      <c r="F279" s="5">
        <f>PasteHashtag!F279</f>
        <v>46</v>
      </c>
      <c r="G279" s="5">
        <f>PasteHashtag!G279</f>
        <v>20.3</v>
      </c>
      <c r="H279" s="5">
        <f>MID(PasteHashtag!H279,1+FIND("(",PasteHashtag!H279),FIND("/",PasteHashtag!H279)-FIND("(",PasteHashtag!H279)-1)*1</f>
        <v>3</v>
      </c>
      <c r="I279" s="5">
        <f>LEFT(PasteHashtag!H279,FIND("(",PasteHashtag!H279)-1)*1</f>
        <v>0.457</v>
      </c>
      <c r="J279" s="5">
        <f>MID(PasteHashtag!I279,1+FIND("(",PasteHashtag!I279),FIND("/",PasteHashtag!I279)-FIND("(",PasteHashtag!I279)-1)*1</f>
        <v>1.3</v>
      </c>
      <c r="K279" s="5">
        <f>LEFT(PasteHashtag!I279,FIND("(",PasteHashtag!I279)-1)*1</f>
        <v>0.847</v>
      </c>
      <c r="L279" s="5">
        <f>PasteHashtag!J279</f>
        <v>0.7</v>
      </c>
      <c r="M279" s="5">
        <f>PasteHashtag!K279</f>
        <v>8.1</v>
      </c>
      <c r="N279" s="5">
        <f>PasteHashtag!L279</f>
        <v>2.5</v>
      </c>
      <c r="O279" s="5">
        <f>PasteHashtag!M279</f>
        <v>2.9</v>
      </c>
      <c r="P279" s="5">
        <f>PasteHashtag!N279</f>
        <v>0.4</v>
      </c>
      <c r="Q279" s="5">
        <f>PasteHashtag!O279</f>
        <v>0.2</v>
      </c>
      <c r="R279" s="5">
        <f>PasteHashtag!P279</f>
        <v>1.2</v>
      </c>
      <c r="S279" s="5">
        <f>Mid(PasteHashtag!H279,FIND("/",PasteHashtag!H279)+1,LEN(PasteHashtag!H279)-FIND("/",PasteHashtag!H279)-1)*1</f>
        <v>6.7</v>
      </c>
      <c r="T279" s="178">
        <f>Mid(PasteHashtag!I279,FIND("/",PasteHashtag!I279)+1,LEN(PasteHashtag!I279)-FIND("/",PasteHashtag!I279)-1)*1</f>
        <v>1.6</v>
      </c>
    </row>
    <row r="280">
      <c r="A280" s="5">
        <v>279.0</v>
      </c>
      <c r="B280" s="5" t="str">
        <f>PasteHashtag!B280</f>
        <v/>
      </c>
      <c r="C280" s="177" t="str">
        <f>PasteHashtag!C280</f>
        <v>Kevin Love</v>
      </c>
      <c r="D280" s="5" t="str">
        <f>PasteHashtag!D280</f>
        <v>PF,C</v>
      </c>
      <c r="E280" s="5" t="str">
        <f>PasteHashtag!E280</f>
        <v>MIA</v>
      </c>
      <c r="F280" s="5">
        <f>PasteHashtag!F280</f>
        <v>48</v>
      </c>
      <c r="G280" s="5">
        <f>PasteHashtag!G280</f>
        <v>15.5</v>
      </c>
      <c r="H280" s="5">
        <f>MID(PasteHashtag!H280,1+FIND("(",PasteHashtag!H280),FIND("/",PasteHashtag!H280)-FIND("(",PasteHashtag!H280)-1)*1</f>
        <v>2.3</v>
      </c>
      <c r="I280" s="5">
        <f>LEFT(PasteHashtag!H280,FIND("(",PasteHashtag!H280)-1)*1</f>
        <v>0.412</v>
      </c>
      <c r="J280" s="5">
        <f>MID(PasteHashtag!I280,1+FIND("(",PasteHashtag!I280),FIND("/",PasteHashtag!I280)-FIND("(",PasteHashtag!I280)-1)*1</f>
        <v>1.2</v>
      </c>
      <c r="K280" s="5">
        <f>LEFT(PasteHashtag!I280,FIND("(",PasteHashtag!I280)-1)*1</f>
        <v>0.826</v>
      </c>
      <c r="L280" s="5">
        <f>PasteHashtag!J280</f>
        <v>1.3</v>
      </c>
      <c r="M280" s="5">
        <f>PasteHashtag!K280</f>
        <v>7.2</v>
      </c>
      <c r="N280" s="5">
        <f>PasteHashtag!L280</f>
        <v>5.3</v>
      </c>
      <c r="O280" s="5">
        <f>PasteHashtag!M280</f>
        <v>1.7</v>
      </c>
      <c r="P280" s="5">
        <f>PasteHashtag!N280</f>
        <v>0.3</v>
      </c>
      <c r="Q280" s="5">
        <f>PasteHashtag!O280</f>
        <v>0.2</v>
      </c>
      <c r="R280" s="5">
        <f>PasteHashtag!P280</f>
        <v>0.9</v>
      </c>
      <c r="S280" s="5">
        <f>Mid(PasteHashtag!H280,FIND("/",PasteHashtag!H280)+1,LEN(PasteHashtag!H280)-FIND("/",PasteHashtag!H280)-1)*1</f>
        <v>5.7</v>
      </c>
      <c r="T280" s="178">
        <f>Mid(PasteHashtag!I280,FIND("/",PasteHashtag!I280)+1,LEN(PasteHashtag!I280)-FIND("/",PasteHashtag!I280)-1)*1</f>
        <v>1.4</v>
      </c>
    </row>
    <row r="281">
      <c r="A281" s="5">
        <v>280.0</v>
      </c>
      <c r="B281" s="5" t="str">
        <f>PasteHashtag!B281</f>
        <v/>
      </c>
      <c r="C281" s="177" t="str">
        <f>PasteHashtag!C281</f>
        <v>Jarace Walker</v>
      </c>
      <c r="D281" s="5" t="str">
        <f>PasteHashtag!D281</f>
        <v>PF</v>
      </c>
      <c r="E281" s="5" t="str">
        <f>PasteHashtag!E281</f>
        <v>IND</v>
      </c>
      <c r="F281" s="5">
        <f>PasteHashtag!F281</f>
        <v>42</v>
      </c>
      <c r="G281" s="5">
        <f>PasteHashtag!G281</f>
        <v>14.2</v>
      </c>
      <c r="H281" s="5">
        <f>MID(PasteHashtag!H281,1+FIND("(",PasteHashtag!H281),FIND("/",PasteHashtag!H281)-FIND("(",PasteHashtag!H281)-1)*1</f>
        <v>1.9</v>
      </c>
      <c r="I281" s="5">
        <f>LEFT(PasteHashtag!H281,FIND("(",PasteHashtag!H281)-1)*1</f>
        <v>0.409</v>
      </c>
      <c r="J281" s="5">
        <f>MID(PasteHashtag!I281,1+FIND("(",PasteHashtag!I281),FIND("/",PasteHashtag!I281)-FIND("(",PasteHashtag!I281)-1)*1</f>
        <v>0.3</v>
      </c>
      <c r="K281" s="5">
        <f>LEFT(PasteHashtag!I281,FIND("(",PasteHashtag!I281)-1)*1</f>
        <v>0.895</v>
      </c>
      <c r="L281" s="5">
        <f>PasteHashtag!J281</f>
        <v>0.9</v>
      </c>
      <c r="M281" s="5">
        <f>PasteHashtag!K281</f>
        <v>5.1</v>
      </c>
      <c r="N281" s="5">
        <f>PasteHashtag!L281</f>
        <v>2.7</v>
      </c>
      <c r="O281" s="5">
        <f>PasteHashtag!M281</f>
        <v>1.7</v>
      </c>
      <c r="P281" s="5">
        <f>PasteHashtag!N281</f>
        <v>0.6</v>
      </c>
      <c r="Q281" s="5">
        <f>PasteHashtag!O281</f>
        <v>0.5</v>
      </c>
      <c r="R281" s="5">
        <f>PasteHashtag!P281</f>
        <v>0.7</v>
      </c>
      <c r="S281" s="5">
        <f>Mid(PasteHashtag!H281,FIND("/",PasteHashtag!H281)+1,LEN(PasteHashtag!H281)-FIND("/",PasteHashtag!H281)-1)*1</f>
        <v>4.6</v>
      </c>
      <c r="T281" s="178">
        <f>Mid(PasteHashtag!I281,FIND("/",PasteHashtag!I281)+1,LEN(PasteHashtag!I281)-FIND("/",PasteHashtag!I281)-1)*1</f>
        <v>0.4</v>
      </c>
    </row>
    <row r="282">
      <c r="A282" s="5">
        <v>281.0</v>
      </c>
      <c r="B282" s="5" t="str">
        <f>PasteHashtag!B282</f>
        <v/>
      </c>
      <c r="C282" s="177" t="str">
        <f>PasteHashtag!C282</f>
        <v>Kyshawn George</v>
      </c>
      <c r="D282" s="5" t="str">
        <f>PasteHashtag!D282</f>
        <v>SF</v>
      </c>
      <c r="E282" s="5" t="str">
        <f>PasteHashtag!E282</f>
        <v>WAS</v>
      </c>
      <c r="F282" s="5">
        <f>PasteHashtag!F282</f>
        <v>60</v>
      </c>
      <c r="G282" s="5">
        <f>PasteHashtag!G282</f>
        <v>16.4</v>
      </c>
      <c r="H282" s="5">
        <f>MID(PasteHashtag!H282,1+FIND("(",PasteHashtag!H282),FIND("/",PasteHashtag!H282)-FIND("(",PasteHashtag!H282)-1)*1</f>
        <v>2.1</v>
      </c>
      <c r="I282" s="5">
        <f>LEFT(PasteHashtag!H282,FIND("(",PasteHashtag!H282)-1)*1</f>
        <v>0.425</v>
      </c>
      <c r="J282" s="5">
        <f>MID(PasteHashtag!I282,1+FIND("(",PasteHashtag!I282),FIND("/",PasteHashtag!I282)-FIND("(",PasteHashtag!I282)-1)*1</f>
        <v>0.5</v>
      </c>
      <c r="K282" s="5">
        <f>LEFT(PasteHashtag!I282,FIND("(",PasteHashtag!I282)-1)*1</f>
        <v>0.768</v>
      </c>
      <c r="L282" s="5">
        <f>PasteHashtag!J282</f>
        <v>1.3</v>
      </c>
      <c r="M282" s="5">
        <f>PasteHashtag!K282</f>
        <v>6</v>
      </c>
      <c r="N282" s="5">
        <f>PasteHashtag!L282</f>
        <v>2.4</v>
      </c>
      <c r="O282" s="5">
        <f>PasteHashtag!M282</f>
        <v>1.7</v>
      </c>
      <c r="P282" s="5">
        <f>PasteHashtag!N282</f>
        <v>0.7</v>
      </c>
      <c r="Q282" s="5">
        <f>PasteHashtag!O282</f>
        <v>0.3</v>
      </c>
      <c r="R282" s="5">
        <f>PasteHashtag!P282</f>
        <v>1.2</v>
      </c>
      <c r="S282" s="5">
        <f>Mid(PasteHashtag!H282,FIND("/",PasteHashtag!H282)+1,LEN(PasteHashtag!H282)-FIND("/",PasteHashtag!H282)-1)*1</f>
        <v>4.8</v>
      </c>
      <c r="T282" s="178">
        <f>Mid(PasteHashtag!I282,FIND("/",PasteHashtag!I282)+1,LEN(PasteHashtag!I282)-FIND("/",PasteHashtag!I282)-1)*1</f>
        <v>0.7</v>
      </c>
    </row>
    <row r="283">
      <c r="A283" s="5">
        <v>282.0</v>
      </c>
      <c r="B283" s="5" t="str">
        <f>PasteHashtag!B283</f>
        <v/>
      </c>
      <c r="C283" s="177" t="str">
        <f>PasteHashtag!C283</f>
        <v>Josh Minott</v>
      </c>
      <c r="D283" s="5" t="str">
        <f>PasteHashtag!D283</f>
        <v>SF,PF</v>
      </c>
      <c r="E283" s="5" t="str">
        <f>PasteHashtag!E283</f>
        <v>MIN</v>
      </c>
      <c r="F283" s="5">
        <f>PasteHashtag!F283</f>
        <v>54</v>
      </c>
      <c r="G283" s="5">
        <f>PasteHashtag!G283</f>
        <v>9.8</v>
      </c>
      <c r="H283" s="5">
        <f>MID(PasteHashtag!H283,1+FIND("(",PasteHashtag!H283),FIND("/",PasteHashtag!H283)-FIND("(",PasteHashtag!H283)-1)*1</f>
        <v>1.9</v>
      </c>
      <c r="I283" s="5">
        <f>LEFT(PasteHashtag!H283,FIND("(",PasteHashtag!H283)-1)*1</f>
        <v>0.487</v>
      </c>
      <c r="J283" s="5">
        <f>MID(PasteHashtag!I283,1+FIND("(",PasteHashtag!I283),FIND("/",PasteHashtag!I283)-FIND("(",PasteHashtag!I283)-1)*1</f>
        <v>1.1</v>
      </c>
      <c r="K283" s="5">
        <f>LEFT(PasteHashtag!I283,FIND("(",PasteHashtag!I283)-1)*1</f>
        <v>0.915</v>
      </c>
      <c r="L283" s="5">
        <f>PasteHashtag!J283</f>
        <v>0.3</v>
      </c>
      <c r="M283" s="5">
        <f>PasteHashtag!K283</f>
        <v>5.2</v>
      </c>
      <c r="N283" s="5">
        <f>PasteHashtag!L283</f>
        <v>2.3</v>
      </c>
      <c r="O283" s="5">
        <f>PasteHashtag!M283</f>
        <v>0.7</v>
      </c>
      <c r="P283" s="5">
        <f>PasteHashtag!N283</f>
        <v>0.5</v>
      </c>
      <c r="Q283" s="5">
        <f>PasteHashtag!O283</f>
        <v>0.6</v>
      </c>
      <c r="R283" s="5">
        <f>PasteHashtag!P283</f>
        <v>0.3</v>
      </c>
      <c r="S283" s="5">
        <f>Mid(PasteHashtag!H283,FIND("/",PasteHashtag!H283)+1,LEN(PasteHashtag!H283)-FIND("/",PasteHashtag!H283)-1)*1</f>
        <v>3.9</v>
      </c>
      <c r="T283" s="178">
        <f>Mid(PasteHashtag!I283,FIND("/",PasteHashtag!I283)+1,LEN(PasteHashtag!I283)-FIND("/",PasteHashtag!I283)-1)*1</f>
        <v>1.2</v>
      </c>
    </row>
    <row r="284">
      <c r="A284" s="5">
        <v>283.0</v>
      </c>
      <c r="B284" s="5">
        <f>PasteHashtag!B284</f>
        <v>142.6</v>
      </c>
      <c r="C284" s="177" t="str">
        <f>PasteHashtag!C284</f>
        <v>Cam Whitmore</v>
      </c>
      <c r="D284" s="5" t="str">
        <f>PasteHashtag!D284</f>
        <v>SF,PF</v>
      </c>
      <c r="E284" s="5" t="str">
        <f>PasteHashtag!E284</f>
        <v>HOU</v>
      </c>
      <c r="F284" s="5">
        <f>PasteHashtag!F284</f>
        <v>45</v>
      </c>
      <c r="G284" s="5">
        <f>PasteHashtag!G284</f>
        <v>17.1</v>
      </c>
      <c r="H284" s="5">
        <f>MID(PasteHashtag!H284,1+FIND("(",PasteHashtag!H284),FIND("/",PasteHashtag!H284)-FIND("(",PasteHashtag!H284)-1)*1</f>
        <v>4.2</v>
      </c>
      <c r="I284" s="5">
        <f>LEFT(PasteHashtag!H284,FIND("(",PasteHashtag!H284)-1)*1</f>
        <v>0.454</v>
      </c>
      <c r="J284" s="5">
        <f>MID(PasteHashtag!I284,1+FIND("(",PasteHashtag!I284),FIND("/",PasteHashtag!I284)-FIND("(",PasteHashtag!I284)-1)*1</f>
        <v>1.5</v>
      </c>
      <c r="K284" s="5">
        <f>LEFT(PasteHashtag!I284,FIND("(",PasteHashtag!I284)-1)*1</f>
        <v>0.677</v>
      </c>
      <c r="L284" s="5">
        <f>PasteHashtag!J284</f>
        <v>1.6</v>
      </c>
      <c r="M284" s="5">
        <f>PasteHashtag!K284</f>
        <v>11.4</v>
      </c>
      <c r="N284" s="5">
        <f>PasteHashtag!L284</f>
        <v>3.5</v>
      </c>
      <c r="O284" s="5">
        <f>PasteHashtag!M284</f>
        <v>0.7</v>
      </c>
      <c r="P284" s="5">
        <f>PasteHashtag!N284</f>
        <v>0.6</v>
      </c>
      <c r="Q284" s="5">
        <f>PasteHashtag!O284</f>
        <v>0.3</v>
      </c>
      <c r="R284" s="5">
        <f>PasteHashtag!P284</f>
        <v>0.9</v>
      </c>
      <c r="S284" s="5">
        <f>Mid(PasteHashtag!H284,FIND("/",PasteHashtag!H284)+1,LEN(PasteHashtag!H284)-FIND("/",PasteHashtag!H284)-1)*1</f>
        <v>9.2</v>
      </c>
      <c r="T284" s="178">
        <f>Mid(PasteHashtag!I284,FIND("/",PasteHashtag!I284)+1,LEN(PasteHashtag!I284)-FIND("/",PasteHashtag!I284)-1)*1</f>
        <v>2.2</v>
      </c>
    </row>
    <row r="285">
      <c r="A285" s="5">
        <v>284.0</v>
      </c>
      <c r="B285" s="5" t="str">
        <f>PasteHashtag!B285</f>
        <v/>
      </c>
      <c r="C285" s="177" t="str">
        <f>PasteHashtag!C285</f>
        <v>Mason Plumlee</v>
      </c>
      <c r="D285" s="5" t="str">
        <f>PasteHashtag!D285</f>
        <v>C</v>
      </c>
      <c r="E285" s="5" t="str">
        <f>PasteHashtag!E285</f>
        <v>PHO</v>
      </c>
      <c r="F285" s="5">
        <f>PasteHashtag!F285</f>
        <v>65</v>
      </c>
      <c r="G285" s="5">
        <f>PasteHashtag!G285</f>
        <v>16.4</v>
      </c>
      <c r="H285" s="5">
        <f>MID(PasteHashtag!H285,1+FIND("(",PasteHashtag!H285),FIND("/",PasteHashtag!H285)-FIND("(",PasteHashtag!H285)-1)*1</f>
        <v>2.5</v>
      </c>
      <c r="I285" s="5">
        <f>LEFT(PasteHashtag!H285,FIND("(",PasteHashtag!H285)-1)*1</f>
        <v>0.654</v>
      </c>
      <c r="J285" s="5">
        <f>MID(PasteHashtag!I285,1+FIND("(",PasteHashtag!I285),FIND("/",PasteHashtag!I285)-FIND("(",PasteHashtag!I285)-1)*1</f>
        <v>1.6</v>
      </c>
      <c r="K285" s="5">
        <f>LEFT(PasteHashtag!I285,FIND("(",PasteHashtag!I285)-1)*1</f>
        <v>0.652</v>
      </c>
      <c r="L285" s="5">
        <f>PasteHashtag!J285</f>
        <v>0</v>
      </c>
      <c r="M285" s="5">
        <f>PasteHashtag!K285</f>
        <v>6.7</v>
      </c>
      <c r="N285" s="5">
        <f>PasteHashtag!L285</f>
        <v>5.7</v>
      </c>
      <c r="O285" s="5">
        <f>PasteHashtag!M285</f>
        <v>1.8</v>
      </c>
      <c r="P285" s="5">
        <f>PasteHashtag!N285</f>
        <v>0.4</v>
      </c>
      <c r="Q285" s="5">
        <f>PasteHashtag!O285</f>
        <v>0.4</v>
      </c>
      <c r="R285" s="5">
        <f>PasteHashtag!P285</f>
        <v>0.9</v>
      </c>
      <c r="S285" s="5">
        <f>Mid(PasteHashtag!H285,FIND("/",PasteHashtag!H285)+1,LEN(PasteHashtag!H285)-FIND("/",PasteHashtag!H285)-1)*1</f>
        <v>3.9</v>
      </c>
      <c r="T285" s="178">
        <f>Mid(PasteHashtag!I285,FIND("/",PasteHashtag!I285)+1,LEN(PasteHashtag!I285)-FIND("/",PasteHashtag!I285)-1)*1</f>
        <v>2.5</v>
      </c>
    </row>
    <row r="286">
      <c r="A286" s="5">
        <v>285.0</v>
      </c>
      <c r="B286" s="5" t="str">
        <f>PasteHashtag!B286</f>
        <v/>
      </c>
      <c r="C286" s="177" t="str">
        <f>PasteHashtag!C286</f>
        <v>Ziaire Williams</v>
      </c>
      <c r="D286" s="5" t="str">
        <f>PasteHashtag!D286</f>
        <v>SG,SF</v>
      </c>
      <c r="E286" s="5" t="str">
        <f>PasteHashtag!E286</f>
        <v>BKN</v>
      </c>
      <c r="F286" s="5">
        <f>PasteHashtag!F286</f>
        <v>45</v>
      </c>
      <c r="G286" s="5">
        <f>PasteHashtag!G286</f>
        <v>21.5</v>
      </c>
      <c r="H286" s="5">
        <f>MID(PasteHashtag!H286,1+FIND("(",PasteHashtag!H286),FIND("/",PasteHashtag!H286)-FIND("(",PasteHashtag!H286)-1)*1</f>
        <v>3.2</v>
      </c>
      <c r="I286" s="5">
        <f>LEFT(PasteHashtag!H286,FIND("(",PasteHashtag!H286)-1)*1</f>
        <v>0.408</v>
      </c>
      <c r="J286" s="5">
        <f>MID(PasteHashtag!I286,1+FIND("(",PasteHashtag!I286),FIND("/",PasteHashtag!I286)-FIND("(",PasteHashtag!I286)-1)*1</f>
        <v>1.1</v>
      </c>
      <c r="K286" s="5">
        <f>LEFT(PasteHashtag!I286,FIND("(",PasteHashtag!I286)-1)*1</f>
        <v>0.811</v>
      </c>
      <c r="L286" s="5">
        <f>PasteHashtag!J286</f>
        <v>1.1</v>
      </c>
      <c r="M286" s="5">
        <f>PasteHashtag!K286</f>
        <v>8.6</v>
      </c>
      <c r="N286" s="5">
        <f>PasteHashtag!L286</f>
        <v>3.5</v>
      </c>
      <c r="O286" s="5">
        <f>PasteHashtag!M286</f>
        <v>1.5</v>
      </c>
      <c r="P286" s="5">
        <f>PasteHashtag!N286</f>
        <v>0.7</v>
      </c>
      <c r="Q286" s="5">
        <f>PasteHashtag!O286</f>
        <v>0.2</v>
      </c>
      <c r="R286" s="5">
        <f>PasteHashtag!P286</f>
        <v>1.4</v>
      </c>
      <c r="S286" s="5">
        <f>Mid(PasteHashtag!H286,FIND("/",PasteHashtag!H286)+1,LEN(PasteHashtag!H286)-FIND("/",PasteHashtag!H286)-1)*1</f>
        <v>7.8</v>
      </c>
      <c r="T286" s="178">
        <f>Mid(PasteHashtag!I286,FIND("/",PasteHashtag!I286)+1,LEN(PasteHashtag!I286)-FIND("/",PasteHashtag!I286)-1)*1</f>
        <v>1.3</v>
      </c>
    </row>
    <row r="287">
      <c r="A287" s="5">
        <v>286.0</v>
      </c>
      <c r="B287" s="5" t="str">
        <f>PasteHashtag!B287</f>
        <v/>
      </c>
      <c r="C287" s="177" t="str">
        <f>PasteHashtag!C287</f>
        <v>Jay Huff</v>
      </c>
      <c r="D287" s="5" t="str">
        <f>PasteHashtag!D287</f>
        <v>C</v>
      </c>
      <c r="E287" s="5" t="str">
        <f>PasteHashtag!E287</f>
        <v>MEM</v>
      </c>
      <c r="F287" s="5">
        <f>PasteHashtag!F287</f>
        <v>22</v>
      </c>
      <c r="G287" s="5">
        <f>PasteHashtag!G287</f>
        <v>8.8</v>
      </c>
      <c r="H287" s="5">
        <f>MID(PasteHashtag!H287,1+FIND("(",PasteHashtag!H287),FIND("/",PasteHashtag!H287)-FIND("(",PasteHashtag!H287)-1)*1</f>
        <v>1.5</v>
      </c>
      <c r="I287" s="5">
        <f>LEFT(PasteHashtag!H287,FIND("(",PasteHashtag!H287)-1)*1</f>
        <v>0.599</v>
      </c>
      <c r="J287" s="5">
        <f>MID(PasteHashtag!I287,1+FIND("(",PasteHashtag!I287),FIND("/",PasteHashtag!I287)-FIND("(",PasteHashtag!I287)-1)*1</f>
        <v>1.1</v>
      </c>
      <c r="K287" s="5">
        <f>LEFT(PasteHashtag!I287,FIND("(",PasteHashtag!I287)-1)*1</f>
        <v>0.946</v>
      </c>
      <c r="L287" s="5">
        <f>PasteHashtag!J287</f>
        <v>0.6</v>
      </c>
      <c r="M287" s="5">
        <f>PasteHashtag!K287</f>
        <v>4.6</v>
      </c>
      <c r="N287" s="5">
        <f>PasteHashtag!L287</f>
        <v>2</v>
      </c>
      <c r="O287" s="5">
        <f>PasteHashtag!M287</f>
        <v>0.7</v>
      </c>
      <c r="P287" s="5">
        <f>PasteHashtag!N287</f>
        <v>0.3</v>
      </c>
      <c r="Q287" s="5">
        <f>PasteHashtag!O287</f>
        <v>0.4</v>
      </c>
      <c r="R287" s="5">
        <f>PasteHashtag!P287</f>
        <v>0.4</v>
      </c>
      <c r="S287" s="5">
        <f>Mid(PasteHashtag!H287,FIND("/",PasteHashtag!H287)+1,LEN(PasteHashtag!H287)-FIND("/",PasteHashtag!H287)-1)*1</f>
        <v>2.5</v>
      </c>
      <c r="T287" s="178">
        <f>Mid(PasteHashtag!I287,FIND("/",PasteHashtag!I287)+1,LEN(PasteHashtag!I287)-FIND("/",PasteHashtag!I287)-1)*1</f>
        <v>1.1</v>
      </c>
    </row>
    <row r="288">
      <c r="A288" s="5">
        <v>287.0</v>
      </c>
      <c r="B288" s="5" t="str">
        <f>PasteHashtag!B288</f>
        <v/>
      </c>
      <c r="C288" s="177" t="str">
        <f>PasteHashtag!C288</f>
        <v>Max Christie</v>
      </c>
      <c r="D288" s="5" t="str">
        <f>PasteHashtag!D288</f>
        <v>SG,SF</v>
      </c>
      <c r="E288" s="5" t="str">
        <f>PasteHashtag!E288</f>
        <v>LAL</v>
      </c>
      <c r="F288" s="5">
        <f>PasteHashtag!F288</f>
        <v>67</v>
      </c>
      <c r="G288" s="5">
        <f>PasteHashtag!G288</f>
        <v>22</v>
      </c>
      <c r="H288" s="5">
        <f>MID(PasteHashtag!H288,1+FIND("(",PasteHashtag!H288),FIND("/",PasteHashtag!H288)-FIND("(",PasteHashtag!H288)-1)*1</f>
        <v>2.3</v>
      </c>
      <c r="I288" s="5">
        <f>LEFT(PasteHashtag!H288,FIND("(",PasteHashtag!H288)-1)*1</f>
        <v>0.439</v>
      </c>
      <c r="J288" s="5">
        <f>MID(PasteHashtag!I288,1+FIND("(",PasteHashtag!I288),FIND("/",PasteHashtag!I288)-FIND("(",PasteHashtag!I288)-1)*1</f>
        <v>0.8</v>
      </c>
      <c r="K288" s="5">
        <f>LEFT(PasteHashtag!I288,FIND("(",PasteHashtag!I288)-1)*1</f>
        <v>0.809</v>
      </c>
      <c r="L288" s="5">
        <f>PasteHashtag!J288</f>
        <v>1</v>
      </c>
      <c r="M288" s="5">
        <f>PasteHashtag!K288</f>
        <v>6.5</v>
      </c>
      <c r="N288" s="5">
        <f>PasteHashtag!L288</f>
        <v>3.3</v>
      </c>
      <c r="O288" s="5">
        <f>PasteHashtag!M288</f>
        <v>1.2</v>
      </c>
      <c r="P288" s="5">
        <f>PasteHashtag!N288</f>
        <v>0.4</v>
      </c>
      <c r="Q288" s="5">
        <f>PasteHashtag!O288</f>
        <v>0.4</v>
      </c>
      <c r="R288" s="5">
        <f>PasteHashtag!P288</f>
        <v>0.7</v>
      </c>
      <c r="S288" s="5">
        <f>Mid(PasteHashtag!H288,FIND("/",PasteHashtag!H288)+1,LEN(PasteHashtag!H288)-FIND("/",PasteHashtag!H288)-1)*1</f>
        <v>5.3</v>
      </c>
      <c r="T288" s="178">
        <f>Mid(PasteHashtag!I288,FIND("/",PasteHashtag!I288)+1,LEN(PasteHashtag!I288)-FIND("/",PasteHashtag!I288)-1)*1</f>
        <v>0.9</v>
      </c>
    </row>
    <row r="289">
      <c r="A289" s="5">
        <v>288.0</v>
      </c>
      <c r="B289" s="5" t="str">
        <f>PasteHashtag!B289</f>
        <v/>
      </c>
      <c r="C289" s="177" t="str">
        <f>PasteHashtag!C289</f>
        <v>Ryan Dunn</v>
      </c>
      <c r="D289" s="5" t="str">
        <f>PasteHashtag!D289</f>
        <v>SF</v>
      </c>
      <c r="E289" s="5" t="str">
        <f>PasteHashtag!E289</f>
        <v>PHO</v>
      </c>
      <c r="F289" s="5">
        <f>PasteHashtag!F289</f>
        <v>48</v>
      </c>
      <c r="G289" s="5">
        <f>PasteHashtag!G289</f>
        <v>15.1</v>
      </c>
      <c r="H289" s="5">
        <f>MID(PasteHashtag!H289,1+FIND("(",PasteHashtag!H289),FIND("/",PasteHashtag!H289)-FIND("(",PasteHashtag!H289)-1)*1</f>
        <v>1.7</v>
      </c>
      <c r="I289" s="5">
        <f>LEFT(PasteHashtag!H289,FIND("(",PasteHashtag!H289)-1)*1</f>
        <v>0.498</v>
      </c>
      <c r="J289" s="5">
        <f>MID(PasteHashtag!I289,1+FIND("(",PasteHashtag!I289),FIND("/",PasteHashtag!I289)-FIND("(",PasteHashtag!I289)-1)*1</f>
        <v>0.7</v>
      </c>
      <c r="K289" s="5">
        <f>LEFT(PasteHashtag!I289,FIND("(",PasteHashtag!I289)-1)*1</f>
        <v>0.589</v>
      </c>
      <c r="L289" s="5">
        <f>PasteHashtag!J289</f>
        <v>0.1</v>
      </c>
      <c r="M289" s="5">
        <f>PasteHashtag!K289</f>
        <v>4.1</v>
      </c>
      <c r="N289" s="5">
        <f>PasteHashtag!L289</f>
        <v>3.4</v>
      </c>
      <c r="O289" s="5">
        <f>PasteHashtag!M289</f>
        <v>0.4</v>
      </c>
      <c r="P289" s="5">
        <f>PasteHashtag!N289</f>
        <v>0.6</v>
      </c>
      <c r="Q289" s="5">
        <f>PasteHashtag!O289</f>
        <v>1.1</v>
      </c>
      <c r="R289" s="5">
        <f>PasteHashtag!P289</f>
        <v>0.4</v>
      </c>
      <c r="S289" s="5">
        <f>Mid(PasteHashtag!H289,FIND("/",PasteHashtag!H289)+1,LEN(PasteHashtag!H289)-FIND("/",PasteHashtag!H289)-1)*1</f>
        <v>3.3</v>
      </c>
      <c r="T289" s="178">
        <f>Mid(PasteHashtag!I289,FIND("/",PasteHashtag!I289)+1,LEN(PasteHashtag!I289)-FIND("/",PasteHashtag!I289)-1)*1</f>
        <v>1.1</v>
      </c>
    </row>
    <row r="290">
      <c r="A290" s="5">
        <v>289.0</v>
      </c>
      <c r="B290" s="5" t="str">
        <f>PasteHashtag!B290</f>
        <v/>
      </c>
      <c r="C290" s="177" t="str">
        <f>PasteHashtag!C290</f>
        <v>Jericho Sims</v>
      </c>
      <c r="D290" s="5" t="str">
        <f>PasteHashtag!D290</f>
        <v>C</v>
      </c>
      <c r="E290" s="5" t="str">
        <f>PasteHashtag!E290</f>
        <v>NY</v>
      </c>
      <c r="F290" s="5">
        <f>PasteHashtag!F290</f>
        <v>42</v>
      </c>
      <c r="G290" s="5">
        <f>PasteHashtag!G290</f>
        <v>16.4</v>
      </c>
      <c r="H290" s="5">
        <f>MID(PasteHashtag!H290,1+FIND("(",PasteHashtag!H290),FIND("/",PasteHashtag!H290)-FIND("(",PasteHashtag!H290)-1)*1</f>
        <v>1.5</v>
      </c>
      <c r="I290" s="5">
        <f>LEFT(PasteHashtag!H290,FIND("(",PasteHashtag!H290)-1)*1</f>
        <v>0.744</v>
      </c>
      <c r="J290" s="5">
        <f>MID(PasteHashtag!I290,1+FIND("(",PasteHashtag!I290),FIND("/",PasteHashtag!I290)-FIND("(",PasteHashtag!I290)-1)*1</f>
        <v>0.3</v>
      </c>
      <c r="K290" s="5">
        <f>LEFT(PasteHashtag!I290,FIND("(",PasteHashtag!I290)-1)*1</f>
        <v>0.694</v>
      </c>
      <c r="L290" s="5">
        <f>PasteHashtag!J290</f>
        <v>0</v>
      </c>
      <c r="M290" s="5">
        <f>PasteHashtag!K290</f>
        <v>3.3</v>
      </c>
      <c r="N290" s="5">
        <f>PasteHashtag!L290</f>
        <v>4.8</v>
      </c>
      <c r="O290" s="5">
        <f>PasteHashtag!M290</f>
        <v>0.6</v>
      </c>
      <c r="P290" s="5">
        <f>PasteHashtag!N290</f>
        <v>0.3</v>
      </c>
      <c r="Q290" s="5">
        <f>PasteHashtag!O290</f>
        <v>0.6</v>
      </c>
      <c r="R290" s="5">
        <f>PasteHashtag!P290</f>
        <v>0.5</v>
      </c>
      <c r="S290" s="5">
        <f>Mid(PasteHashtag!H290,FIND("/",PasteHashtag!H290)+1,LEN(PasteHashtag!H290)-FIND("/",PasteHashtag!H290)-1)*1</f>
        <v>2</v>
      </c>
      <c r="T290" s="178">
        <f>Mid(PasteHashtag!I290,FIND("/",PasteHashtag!I290)+1,LEN(PasteHashtag!I290)-FIND("/",PasteHashtag!I290)-1)*1</f>
        <v>0.5</v>
      </c>
    </row>
    <row r="291">
      <c r="A291" s="5">
        <v>290.0</v>
      </c>
      <c r="B291" s="5" t="str">
        <f>PasteHashtag!B291</f>
        <v/>
      </c>
      <c r="C291" s="177" t="str">
        <f>PasteHashtag!C291</f>
        <v>Dalton Knecht</v>
      </c>
      <c r="D291" s="5" t="str">
        <f>PasteHashtag!D291</f>
        <v>SG</v>
      </c>
      <c r="E291" s="5" t="str">
        <f>PasteHashtag!E291</f>
        <v>LAL</v>
      </c>
      <c r="F291" s="5">
        <f>PasteHashtag!F291</f>
        <v>64</v>
      </c>
      <c r="G291" s="5">
        <f>PasteHashtag!G291</f>
        <v>17.4</v>
      </c>
      <c r="H291" s="5">
        <f>MID(PasteHashtag!H291,1+FIND("(",PasteHashtag!H291),FIND("/",PasteHashtag!H291)-FIND("(",PasteHashtag!H291)-1)*1</f>
        <v>3</v>
      </c>
      <c r="I291" s="5">
        <f>LEFT(PasteHashtag!H291,FIND("(",PasteHashtag!H291)-1)*1</f>
        <v>0.444</v>
      </c>
      <c r="J291" s="5">
        <f>MID(PasteHashtag!I291,1+FIND("(",PasteHashtag!I291),FIND("/",PasteHashtag!I291)-FIND("(",PasteHashtag!I291)-1)*1</f>
        <v>1.9</v>
      </c>
      <c r="K291" s="5">
        <f>LEFT(PasteHashtag!I291,FIND("(",PasteHashtag!I291)-1)*1</f>
        <v>0.77</v>
      </c>
      <c r="L291" s="5">
        <f>PasteHashtag!J291</f>
        <v>1.1</v>
      </c>
      <c r="M291" s="5">
        <f>PasteHashtag!K291</f>
        <v>9</v>
      </c>
      <c r="N291" s="5">
        <f>PasteHashtag!L291</f>
        <v>3.3</v>
      </c>
      <c r="O291" s="5">
        <f>PasteHashtag!M291</f>
        <v>1.1</v>
      </c>
      <c r="P291" s="5">
        <f>PasteHashtag!N291</f>
        <v>0.3</v>
      </c>
      <c r="Q291" s="5">
        <f>PasteHashtag!O291</f>
        <v>0.4</v>
      </c>
      <c r="R291" s="5">
        <f>PasteHashtag!P291</f>
        <v>0.7</v>
      </c>
      <c r="S291" s="5">
        <f>Mid(PasteHashtag!H291,FIND("/",PasteHashtag!H291)+1,LEN(PasteHashtag!H291)-FIND("/",PasteHashtag!H291)-1)*1</f>
        <v>6.8</v>
      </c>
      <c r="T291" s="178">
        <f>Mid(PasteHashtag!I291,FIND("/",PasteHashtag!I291)+1,LEN(PasteHashtag!I291)-FIND("/",PasteHashtag!I291)-1)*1</f>
        <v>2.4</v>
      </c>
    </row>
    <row r="292">
      <c r="A292" s="5">
        <v>291.0</v>
      </c>
      <c r="B292" s="5" t="str">
        <f>PasteHashtag!B292</f>
        <v/>
      </c>
      <c r="C292" s="177" t="str">
        <f>PasteHashtag!C292</f>
        <v>Damion Lee</v>
      </c>
      <c r="D292" s="5" t="str">
        <f>PasteHashtag!D292</f>
        <v>SG,SF</v>
      </c>
      <c r="E292" s="5" t="str">
        <f>PasteHashtag!E292</f>
        <v>PHO</v>
      </c>
      <c r="F292" s="5">
        <f>PasteHashtag!F292</f>
        <v>64</v>
      </c>
      <c r="G292" s="5">
        <f>PasteHashtag!G292</f>
        <v>17.8</v>
      </c>
      <c r="H292" s="5">
        <f>MID(PasteHashtag!H292,1+FIND("(",PasteHashtag!H292),FIND("/",PasteHashtag!H292)-FIND("(",PasteHashtag!H292)-1)*1</f>
        <v>2.4</v>
      </c>
      <c r="I292" s="5">
        <f>LEFT(PasteHashtag!H292,FIND("(",PasteHashtag!H292)-1)*1</f>
        <v>0.443</v>
      </c>
      <c r="J292" s="5">
        <f>MID(PasteHashtag!I292,1+FIND("(",PasteHashtag!I292),FIND("/",PasteHashtag!I292)-FIND("(",PasteHashtag!I292)-1)*1</f>
        <v>1.1</v>
      </c>
      <c r="K292" s="5">
        <f>LEFT(PasteHashtag!I292,FIND("(",PasteHashtag!I292)-1)*1</f>
        <v>0.903</v>
      </c>
      <c r="L292" s="5">
        <f>PasteHashtag!J292</f>
        <v>1.3</v>
      </c>
      <c r="M292" s="5">
        <f>PasteHashtag!K292</f>
        <v>7.2</v>
      </c>
      <c r="N292" s="5">
        <f>PasteHashtag!L292</f>
        <v>2.7</v>
      </c>
      <c r="O292" s="5">
        <f>PasteHashtag!M292</f>
        <v>1.2</v>
      </c>
      <c r="P292" s="5">
        <f>PasteHashtag!N292</f>
        <v>0.4</v>
      </c>
      <c r="Q292" s="5">
        <f>PasteHashtag!O292</f>
        <v>0.1</v>
      </c>
      <c r="R292" s="5">
        <f>PasteHashtag!P292</f>
        <v>0.9</v>
      </c>
      <c r="S292" s="5">
        <f>Mid(PasteHashtag!H292,FIND("/",PasteHashtag!H292)+1,LEN(PasteHashtag!H292)-FIND("/",PasteHashtag!H292)-1)*1</f>
        <v>5.4</v>
      </c>
      <c r="T292" s="178">
        <f>Mid(PasteHashtag!I292,FIND("/",PasteHashtag!I292)+1,LEN(PasteHashtag!I292)-FIND("/",PasteHashtag!I292)-1)*1</f>
        <v>1.2</v>
      </c>
    </row>
    <row r="293">
      <c r="A293" s="5">
        <v>292.0</v>
      </c>
      <c r="B293" s="5" t="str">
        <f>PasteHashtag!B293</f>
        <v/>
      </c>
      <c r="C293" s="177" t="str">
        <f>PasteHashtag!C293</f>
        <v>Chris Boucher</v>
      </c>
      <c r="D293" s="5" t="str">
        <f>PasteHashtag!D293</f>
        <v>PF,C</v>
      </c>
      <c r="E293" s="5" t="str">
        <f>PasteHashtag!E293</f>
        <v>TOR</v>
      </c>
      <c r="F293" s="5">
        <f>PasteHashtag!F293</f>
        <v>65</v>
      </c>
      <c r="G293" s="5">
        <f>PasteHashtag!G293</f>
        <v>13.4</v>
      </c>
      <c r="H293" s="5">
        <f>MID(PasteHashtag!H293,1+FIND("(",PasteHashtag!H293),FIND("/",PasteHashtag!H293)-FIND("(",PasteHashtag!H293)-1)*1</f>
        <v>2.3</v>
      </c>
      <c r="I293" s="5">
        <f>LEFT(PasteHashtag!H293,FIND("(",PasteHashtag!H293)-1)*1</f>
        <v>0.497</v>
      </c>
      <c r="J293" s="5">
        <f>MID(PasteHashtag!I293,1+FIND("(",PasteHashtag!I293),FIND("/",PasteHashtag!I293)-FIND("(",PasteHashtag!I293)-1)*1</f>
        <v>1.2</v>
      </c>
      <c r="K293" s="5">
        <f>LEFT(PasteHashtag!I293,FIND("(",PasteHashtag!I293)-1)*1</f>
        <v>0.766</v>
      </c>
      <c r="L293" s="5">
        <f>PasteHashtag!J293</f>
        <v>0.6</v>
      </c>
      <c r="M293" s="5">
        <f>PasteHashtag!K293</f>
        <v>6.3</v>
      </c>
      <c r="N293" s="5">
        <f>PasteHashtag!L293</f>
        <v>3.8</v>
      </c>
      <c r="O293" s="5">
        <f>PasteHashtag!M293</f>
        <v>0.3</v>
      </c>
      <c r="P293" s="5">
        <f>PasteHashtag!N293</f>
        <v>0.4</v>
      </c>
      <c r="Q293" s="5">
        <f>PasteHashtag!O293</f>
        <v>0.5</v>
      </c>
      <c r="R293" s="5">
        <f>PasteHashtag!P293</f>
        <v>0.4</v>
      </c>
      <c r="S293" s="5">
        <f>Mid(PasteHashtag!H293,FIND("/",PasteHashtag!H293)+1,LEN(PasteHashtag!H293)-FIND("/",PasteHashtag!H293)-1)*1</f>
        <v>4.5</v>
      </c>
      <c r="T293" s="178">
        <f>Mid(PasteHashtag!I293,FIND("/",PasteHashtag!I293)+1,LEN(PasteHashtag!I293)-FIND("/",PasteHashtag!I293)-1)*1</f>
        <v>1.6</v>
      </c>
    </row>
    <row r="294">
      <c r="A294" s="5">
        <v>293.0</v>
      </c>
      <c r="B294" s="5" t="str">
        <f>PasteHashtag!B294</f>
        <v/>
      </c>
      <c r="C294" s="177" t="str">
        <f>PasteHashtag!C294</f>
        <v>Duop Reath</v>
      </c>
      <c r="D294" s="5" t="str">
        <f>PasteHashtag!D294</f>
        <v>C</v>
      </c>
      <c r="E294" s="5" t="str">
        <f>PasteHashtag!E294</f>
        <v>POR</v>
      </c>
      <c r="F294" s="5">
        <f>PasteHashtag!F294</f>
        <v>58</v>
      </c>
      <c r="G294" s="5">
        <f>PasteHashtag!G294</f>
        <v>14.3</v>
      </c>
      <c r="H294" s="5">
        <f>MID(PasteHashtag!H294,1+FIND("(",PasteHashtag!H294),FIND("/",PasteHashtag!H294)-FIND("(",PasteHashtag!H294)-1)*1</f>
        <v>2.7</v>
      </c>
      <c r="I294" s="5">
        <f>LEFT(PasteHashtag!H294,FIND("(",PasteHashtag!H294)-1)*1</f>
        <v>0.461</v>
      </c>
      <c r="J294" s="5">
        <f>MID(PasteHashtag!I294,1+FIND("(",PasteHashtag!I294),FIND("/",PasteHashtag!I294)-FIND("(",PasteHashtag!I294)-1)*1</f>
        <v>0.8</v>
      </c>
      <c r="K294" s="5">
        <f>LEFT(PasteHashtag!I294,FIND("(",PasteHashtag!I294)-1)*1</f>
        <v>0.739</v>
      </c>
      <c r="L294" s="5">
        <f>PasteHashtag!J294</f>
        <v>1.1</v>
      </c>
      <c r="M294" s="5">
        <f>PasteHashtag!K294</f>
        <v>7.3</v>
      </c>
      <c r="N294" s="5">
        <f>PasteHashtag!L294</f>
        <v>3</v>
      </c>
      <c r="O294" s="5">
        <f>PasteHashtag!M294</f>
        <v>0.8</v>
      </c>
      <c r="P294" s="5">
        <f>PasteHashtag!N294</f>
        <v>0.4</v>
      </c>
      <c r="Q294" s="5">
        <f>PasteHashtag!O294</f>
        <v>0.5</v>
      </c>
      <c r="R294" s="5">
        <f>PasteHashtag!P294</f>
        <v>0.6</v>
      </c>
      <c r="S294" s="5">
        <f>Mid(PasteHashtag!H294,FIND("/",PasteHashtag!H294)+1,LEN(PasteHashtag!H294)-FIND("/",PasteHashtag!H294)-1)*1</f>
        <v>5.9</v>
      </c>
      <c r="T294" s="178">
        <f>Mid(PasteHashtag!I294,FIND("/",PasteHashtag!I294)+1,LEN(PasteHashtag!I294)-FIND("/",PasteHashtag!I294)-1)*1</f>
        <v>1.1</v>
      </c>
    </row>
    <row r="295">
      <c r="A295" s="5">
        <v>294.0</v>
      </c>
      <c r="B295" s="5" t="str">
        <f>PasteHashtag!B295</f>
        <v/>
      </c>
      <c r="C295" s="177" t="str">
        <f>PasteHashtag!C295</f>
        <v>Gary Harris</v>
      </c>
      <c r="D295" s="5" t="str">
        <f>PasteHashtag!D295</f>
        <v>PG,SG</v>
      </c>
      <c r="E295" s="5" t="str">
        <f>PasteHashtag!E295</f>
        <v>ORL</v>
      </c>
      <c r="F295" s="5">
        <f>PasteHashtag!F295</f>
        <v>50</v>
      </c>
      <c r="G295" s="5">
        <f>PasteHashtag!G295</f>
        <v>18</v>
      </c>
      <c r="H295" s="5">
        <f>MID(PasteHashtag!H295,1+FIND("(",PasteHashtag!H295),FIND("/",PasteHashtag!H295)-FIND("(",PasteHashtag!H295)-1)*1</f>
        <v>2</v>
      </c>
      <c r="I295" s="5">
        <f>LEFT(PasteHashtag!H295,FIND("(",PasteHashtag!H295)-1)*1</f>
        <v>0.445</v>
      </c>
      <c r="J295" s="5">
        <f>MID(PasteHashtag!I295,1+FIND("(",PasteHashtag!I295),FIND("/",PasteHashtag!I295)-FIND("(",PasteHashtag!I295)-1)*1</f>
        <v>0.5</v>
      </c>
      <c r="K295" s="5">
        <f>LEFT(PasteHashtag!I295,FIND("(",PasteHashtag!I295)-1)*1</f>
        <v>0.818</v>
      </c>
      <c r="L295" s="5">
        <f>PasteHashtag!J295</f>
        <v>1.3</v>
      </c>
      <c r="M295" s="5">
        <f>PasteHashtag!K295</f>
        <v>5.6</v>
      </c>
      <c r="N295" s="5">
        <f>PasteHashtag!L295</f>
        <v>1.4</v>
      </c>
      <c r="O295" s="5">
        <f>PasteHashtag!M295</f>
        <v>1.1</v>
      </c>
      <c r="P295" s="5">
        <f>PasteHashtag!N295</f>
        <v>0.7</v>
      </c>
      <c r="Q295" s="5">
        <f>PasteHashtag!O295</f>
        <v>0.2</v>
      </c>
      <c r="R295" s="5">
        <f>PasteHashtag!P295</f>
        <v>0.4</v>
      </c>
      <c r="S295" s="5">
        <f>Mid(PasteHashtag!H295,FIND("/",PasteHashtag!H295)+1,LEN(PasteHashtag!H295)-FIND("/",PasteHashtag!H295)-1)*1</f>
        <v>4.4</v>
      </c>
      <c r="T295" s="178">
        <f>Mid(PasteHashtag!I295,FIND("/",PasteHashtag!I295)+1,LEN(PasteHashtag!I295)-FIND("/",PasteHashtag!I295)-1)*1</f>
        <v>0.6</v>
      </c>
    </row>
    <row r="296">
      <c r="A296" s="5">
        <v>295.0</v>
      </c>
      <c r="B296" s="5" t="str">
        <f>PasteHashtag!B296</f>
        <v/>
      </c>
      <c r="C296" s="177" t="str">
        <f>PasteHashtag!C296</f>
        <v>Dante Exum</v>
      </c>
      <c r="D296" s="5" t="str">
        <f>PasteHashtag!D296</f>
        <v>PG,SG</v>
      </c>
      <c r="E296" s="5" t="str">
        <f>PasteHashtag!E296</f>
        <v>DAL</v>
      </c>
      <c r="F296" s="5">
        <f>PasteHashtag!F296</f>
        <v>20</v>
      </c>
      <c r="G296" s="5">
        <f>PasteHashtag!G296</f>
        <v>16.7</v>
      </c>
      <c r="H296" s="5">
        <f>MID(PasteHashtag!H296,1+FIND("(",PasteHashtag!H296),FIND("/",PasteHashtag!H296)-FIND("(",PasteHashtag!H296)-1)*1</f>
        <v>2.4</v>
      </c>
      <c r="I296" s="5">
        <f>LEFT(PasteHashtag!H296,FIND("(",PasteHashtag!H296)-1)*1</f>
        <v>0.535</v>
      </c>
      <c r="J296" s="5">
        <f>MID(PasteHashtag!I296,1+FIND("(",PasteHashtag!I296),FIND("/",PasteHashtag!I296)-FIND("(",PasteHashtag!I296)-1)*1</f>
        <v>0.8</v>
      </c>
      <c r="K296" s="5">
        <f>LEFT(PasteHashtag!I296,FIND("(",PasteHashtag!I296)-1)*1</f>
        <v>0.782</v>
      </c>
      <c r="L296" s="5">
        <f>PasteHashtag!J296</f>
        <v>0.8</v>
      </c>
      <c r="M296" s="5">
        <f>PasteHashtag!K296</f>
        <v>6.4</v>
      </c>
      <c r="N296" s="5">
        <f>PasteHashtag!L296</f>
        <v>2.2</v>
      </c>
      <c r="O296" s="5">
        <f>PasteHashtag!M296</f>
        <v>2.3</v>
      </c>
      <c r="P296" s="5">
        <f>PasteHashtag!N296</f>
        <v>0.3</v>
      </c>
      <c r="Q296" s="5">
        <f>PasteHashtag!O296</f>
        <v>0.1</v>
      </c>
      <c r="R296" s="5">
        <f>PasteHashtag!P296</f>
        <v>0.7</v>
      </c>
      <c r="S296" s="5">
        <f>Mid(PasteHashtag!H296,FIND("/",PasteHashtag!H296)+1,LEN(PasteHashtag!H296)-FIND("/",PasteHashtag!H296)-1)*1</f>
        <v>4.5</v>
      </c>
      <c r="T296" s="178">
        <f>Mid(PasteHashtag!I296,FIND("/",PasteHashtag!I296)+1,LEN(PasteHashtag!I296)-FIND("/",PasteHashtag!I296)-1)*1</f>
        <v>1</v>
      </c>
    </row>
    <row r="297">
      <c r="A297" s="5">
        <v>296.0</v>
      </c>
      <c r="B297" s="5" t="str">
        <f>PasteHashtag!B297</f>
        <v/>
      </c>
      <c r="C297" s="177" t="str">
        <f>PasteHashtag!C297</f>
        <v>Leonard Miller</v>
      </c>
      <c r="D297" s="5" t="str">
        <f>PasteHashtag!D297</f>
        <v>PF</v>
      </c>
      <c r="E297" s="5" t="str">
        <f>PasteHashtag!E297</f>
        <v>MIN</v>
      </c>
      <c r="F297" s="5">
        <f>PasteHashtag!F297</f>
        <v>44</v>
      </c>
      <c r="G297" s="5">
        <f>PasteHashtag!G297</f>
        <v>8.8</v>
      </c>
      <c r="H297" s="5">
        <f>MID(PasteHashtag!H297,1+FIND("(",PasteHashtag!H297),FIND("/",PasteHashtag!H297)-FIND("(",PasteHashtag!H297)-1)*1</f>
        <v>2.2</v>
      </c>
      <c r="I297" s="5">
        <f>LEFT(PasteHashtag!H297,FIND("(",PasteHashtag!H297)-1)*1</f>
        <v>0.652</v>
      </c>
      <c r="J297" s="5">
        <f>MID(PasteHashtag!I297,1+FIND("(",PasteHashtag!I297),FIND("/",PasteHashtag!I297)-FIND("(",PasteHashtag!I297)-1)*1</f>
        <v>0.2</v>
      </c>
      <c r="K297" s="5">
        <f>LEFT(PasteHashtag!I297,FIND("(",PasteHashtag!I297)-1)*1</f>
        <v>0.5</v>
      </c>
      <c r="L297" s="5">
        <f>PasteHashtag!J297</f>
        <v>0.3</v>
      </c>
      <c r="M297" s="5">
        <f>PasteHashtag!K297</f>
        <v>4.9</v>
      </c>
      <c r="N297" s="5">
        <f>PasteHashtag!L297</f>
        <v>3.4</v>
      </c>
      <c r="O297" s="5">
        <f>PasteHashtag!M297</f>
        <v>1.4</v>
      </c>
      <c r="P297" s="5">
        <f>PasteHashtag!N297</f>
        <v>0.3</v>
      </c>
      <c r="Q297" s="5">
        <f>PasteHashtag!O297</f>
        <v>0.2</v>
      </c>
      <c r="R297" s="5">
        <f>PasteHashtag!P297</f>
        <v>0.2</v>
      </c>
      <c r="S297" s="5">
        <f>Mid(PasteHashtag!H297,FIND("/",PasteHashtag!H297)+1,LEN(PasteHashtag!H297)-FIND("/",PasteHashtag!H297)-1)*1</f>
        <v>3.4</v>
      </c>
      <c r="T297" s="178">
        <f>Mid(PasteHashtag!I297,FIND("/",PasteHashtag!I297)+1,LEN(PasteHashtag!I297)-FIND("/",PasteHashtag!I297)-1)*1</f>
        <v>0.3</v>
      </c>
    </row>
    <row r="298">
      <c r="A298" s="5">
        <v>297.0</v>
      </c>
      <c r="B298" s="5">
        <f>PasteHashtag!B298</f>
        <v>139.8</v>
      </c>
      <c r="C298" s="177" t="str">
        <f>PasteHashtag!C298</f>
        <v>Steven Adams</v>
      </c>
      <c r="D298" s="5" t="str">
        <f>PasteHashtag!D298</f>
        <v>C</v>
      </c>
      <c r="E298" s="5" t="str">
        <f>PasteHashtag!E298</f>
        <v>HOU</v>
      </c>
      <c r="F298" s="5">
        <f>PasteHashtag!F298</f>
        <v>60</v>
      </c>
      <c r="G298" s="5">
        <f>PasteHashtag!G298</f>
        <v>17.8</v>
      </c>
      <c r="H298" s="5">
        <f>MID(PasteHashtag!H298,1+FIND("(",PasteHashtag!H298),FIND("/",PasteHashtag!H298)-FIND("(",PasteHashtag!H298)-1)*1</f>
        <v>2.5</v>
      </c>
      <c r="I298" s="5">
        <f>LEFT(PasteHashtag!H298,FIND("(",PasteHashtag!H298)-1)*1</f>
        <v>0.597</v>
      </c>
      <c r="J298" s="5">
        <f>MID(PasteHashtag!I298,1+FIND("(",PasteHashtag!I298),FIND("/",PasteHashtag!I298)-FIND("(",PasteHashtag!I298)-1)*1</f>
        <v>0.8</v>
      </c>
      <c r="K298" s="5">
        <f>LEFT(PasteHashtag!I298,FIND("(",PasteHashtag!I298)-1)*1</f>
        <v>0.366</v>
      </c>
      <c r="L298" s="5">
        <f>PasteHashtag!J298</f>
        <v>0</v>
      </c>
      <c r="M298" s="5">
        <f>PasteHashtag!K298</f>
        <v>5.7</v>
      </c>
      <c r="N298" s="5">
        <f>PasteHashtag!L298</f>
        <v>7.7</v>
      </c>
      <c r="O298" s="5">
        <f>PasteHashtag!M298</f>
        <v>1.5</v>
      </c>
      <c r="P298" s="5">
        <f>PasteHashtag!N298</f>
        <v>0.6</v>
      </c>
      <c r="Q298" s="5">
        <f>PasteHashtag!O298</f>
        <v>0.7</v>
      </c>
      <c r="R298" s="5">
        <f>PasteHashtag!P298</f>
        <v>1.3</v>
      </c>
      <c r="S298" s="5">
        <f>Mid(PasteHashtag!H298,FIND("/",PasteHashtag!H298)+1,LEN(PasteHashtag!H298)-FIND("/",PasteHashtag!H298)-1)*1</f>
        <v>4.2</v>
      </c>
      <c r="T298" s="178">
        <f>Mid(PasteHashtag!I298,FIND("/",PasteHashtag!I298)+1,LEN(PasteHashtag!I298)-FIND("/",PasteHashtag!I298)-1)*1</f>
        <v>2.1</v>
      </c>
    </row>
    <row r="299">
      <c r="A299" s="5">
        <v>298.0</v>
      </c>
      <c r="B299" s="5" t="str">
        <f>PasteHashtag!B299</f>
        <v/>
      </c>
      <c r="C299" s="177" t="str">
        <f>PasteHashtag!C299</f>
        <v>James Wiseman</v>
      </c>
      <c r="D299" s="5" t="str">
        <f>PasteHashtag!D299</f>
        <v>C</v>
      </c>
      <c r="E299" s="5" t="str">
        <f>PasteHashtag!E299</f>
        <v>IND</v>
      </c>
      <c r="F299" s="5">
        <f>PasteHashtag!F299</f>
        <v>50</v>
      </c>
      <c r="G299" s="5">
        <f>PasteHashtag!G299</f>
        <v>15.4</v>
      </c>
      <c r="H299" s="5">
        <f>MID(PasteHashtag!H299,1+FIND("(",PasteHashtag!H299),FIND("/",PasteHashtag!H299)-FIND("(",PasteHashtag!H299)-1)*1</f>
        <v>3</v>
      </c>
      <c r="I299" s="5">
        <f>LEFT(PasteHashtag!H299,FIND("(",PasteHashtag!H299)-1)*1</f>
        <v>0.584</v>
      </c>
      <c r="J299" s="5">
        <f>MID(PasteHashtag!I299,1+FIND("(",PasteHashtag!I299),FIND("/",PasteHashtag!I299)-FIND("(",PasteHashtag!I299)-1)*1</f>
        <v>1.1</v>
      </c>
      <c r="K299" s="5">
        <f>LEFT(PasteHashtag!I299,FIND("(",PasteHashtag!I299)-1)*1</f>
        <v>0.703</v>
      </c>
      <c r="L299" s="5">
        <f>PasteHashtag!J299</f>
        <v>0</v>
      </c>
      <c r="M299" s="5">
        <f>PasteHashtag!K299</f>
        <v>7.1</v>
      </c>
      <c r="N299" s="5">
        <f>PasteHashtag!L299</f>
        <v>4.8</v>
      </c>
      <c r="O299" s="5">
        <f>PasteHashtag!M299</f>
        <v>0.7</v>
      </c>
      <c r="P299" s="5">
        <f>PasteHashtag!N299</f>
        <v>0.2</v>
      </c>
      <c r="Q299" s="5">
        <f>PasteHashtag!O299</f>
        <v>0.5</v>
      </c>
      <c r="R299" s="5">
        <f>PasteHashtag!P299</f>
        <v>0.9</v>
      </c>
      <c r="S299" s="5">
        <f>Mid(PasteHashtag!H299,FIND("/",PasteHashtag!H299)+1,LEN(PasteHashtag!H299)-FIND("/",PasteHashtag!H299)-1)*1</f>
        <v>5.1</v>
      </c>
      <c r="T299" s="178">
        <f>Mid(PasteHashtag!I299,FIND("/",PasteHashtag!I299)+1,LEN(PasteHashtag!I299)-FIND("/",PasteHashtag!I299)-1)*1</f>
        <v>1.6</v>
      </c>
    </row>
    <row r="300">
      <c r="A300" s="5">
        <v>299.0</v>
      </c>
      <c r="B300" s="5" t="str">
        <f>PasteHashtag!B300</f>
        <v/>
      </c>
      <c r="C300" s="177" t="str">
        <f>PasteHashtag!C300</f>
        <v>Seth Curry</v>
      </c>
      <c r="D300" s="5" t="str">
        <f>PasteHashtag!D300</f>
        <v>SG</v>
      </c>
      <c r="E300" s="5" t="str">
        <f>PasteHashtag!E300</f>
        <v>CHA</v>
      </c>
      <c r="F300" s="5">
        <f>PasteHashtag!F300</f>
        <v>60</v>
      </c>
      <c r="G300" s="5">
        <f>PasteHashtag!G300</f>
        <v>15.9</v>
      </c>
      <c r="H300" s="5">
        <f>MID(PasteHashtag!H300,1+FIND("(",PasteHashtag!H300),FIND("/",PasteHashtag!H300)-FIND("(",PasteHashtag!H300)-1)*1</f>
        <v>2.6</v>
      </c>
      <c r="I300" s="5">
        <f>LEFT(PasteHashtag!H300,FIND("(",PasteHashtag!H300)-1)*1</f>
        <v>0.441</v>
      </c>
      <c r="J300" s="5">
        <f>MID(PasteHashtag!I300,1+FIND("(",PasteHashtag!I300),FIND("/",PasteHashtag!I300)-FIND("(",PasteHashtag!I300)-1)*1</f>
        <v>0.7</v>
      </c>
      <c r="K300" s="5">
        <f>LEFT(PasteHashtag!I300,FIND("(",PasteHashtag!I300)-1)*1</f>
        <v>0.921</v>
      </c>
      <c r="L300" s="5">
        <f>PasteHashtag!J300</f>
        <v>1.2</v>
      </c>
      <c r="M300" s="5">
        <f>PasteHashtag!K300</f>
        <v>7</v>
      </c>
      <c r="N300" s="5">
        <f>PasteHashtag!L300</f>
        <v>1.5</v>
      </c>
      <c r="O300" s="5">
        <f>PasteHashtag!M300</f>
        <v>1.3</v>
      </c>
      <c r="P300" s="5">
        <f>PasteHashtag!N300</f>
        <v>0.5</v>
      </c>
      <c r="Q300" s="5">
        <f>PasteHashtag!O300</f>
        <v>0.1</v>
      </c>
      <c r="R300" s="5">
        <f>PasteHashtag!P300</f>
        <v>0.6</v>
      </c>
      <c r="S300" s="5">
        <f>Mid(PasteHashtag!H300,FIND("/",PasteHashtag!H300)+1,LEN(PasteHashtag!H300)-FIND("/",PasteHashtag!H300)-1)*1</f>
        <v>5.8</v>
      </c>
      <c r="T300" s="178">
        <f>Mid(PasteHashtag!I300,FIND("/",PasteHashtag!I300)+1,LEN(PasteHashtag!I300)-FIND("/",PasteHashtag!I300)-1)*1</f>
        <v>0.8</v>
      </c>
    </row>
    <row r="301">
      <c r="A301" s="5">
        <v>300.0</v>
      </c>
      <c r="B301" s="5" t="str">
        <f>PasteHashtag!B301</f>
        <v/>
      </c>
      <c r="C301" s="177" t="str">
        <f>PasteHashtag!C301</f>
        <v>Jaylin Williams</v>
      </c>
      <c r="D301" s="5" t="str">
        <f>PasteHashtag!D301</f>
        <v>PF,C</v>
      </c>
      <c r="E301" s="5" t="str">
        <f>PasteHashtag!E301</f>
        <v>OKC</v>
      </c>
      <c r="F301" s="5">
        <f>PasteHashtag!F301</f>
        <v>69</v>
      </c>
      <c r="G301" s="5">
        <f>PasteHashtag!G301</f>
        <v>14.5</v>
      </c>
      <c r="H301" s="5">
        <f>MID(PasteHashtag!H301,1+FIND("(",PasteHashtag!H301),FIND("/",PasteHashtag!H301)-FIND("(",PasteHashtag!H301)-1)*1</f>
        <v>1.6</v>
      </c>
      <c r="I301" s="5">
        <f>LEFT(PasteHashtag!H301,FIND("(",PasteHashtag!H301)-1)*1</f>
        <v>0.426</v>
      </c>
      <c r="J301" s="5">
        <f>MID(PasteHashtag!I301,1+FIND("(",PasteHashtag!I301),FIND("/",PasteHashtag!I301)-FIND("(",PasteHashtag!I301)-1)*1</f>
        <v>0.6</v>
      </c>
      <c r="K301" s="5">
        <f>LEFT(PasteHashtag!I301,FIND("(",PasteHashtag!I301)-1)*1</f>
        <v>0.74</v>
      </c>
      <c r="L301" s="5">
        <f>PasteHashtag!J301</f>
        <v>0.8</v>
      </c>
      <c r="M301" s="5">
        <f>PasteHashtag!K301</f>
        <v>4.6</v>
      </c>
      <c r="N301" s="5">
        <f>PasteHashtag!L301</f>
        <v>3.8</v>
      </c>
      <c r="O301" s="5">
        <f>PasteHashtag!M301</f>
        <v>1.5</v>
      </c>
      <c r="P301" s="5">
        <f>PasteHashtag!N301</f>
        <v>0.5</v>
      </c>
      <c r="Q301" s="5">
        <f>PasteHashtag!O301</f>
        <v>0.3</v>
      </c>
      <c r="R301" s="5">
        <f>PasteHashtag!P301</f>
        <v>0.6</v>
      </c>
      <c r="S301" s="5">
        <f>Mid(PasteHashtag!H301,FIND("/",PasteHashtag!H301)+1,LEN(PasteHashtag!H301)-FIND("/",PasteHashtag!H301)-1)*1</f>
        <v>3.7</v>
      </c>
      <c r="T301" s="178">
        <f>Mid(PasteHashtag!I301,FIND("/",PasteHashtag!I301)+1,LEN(PasteHashtag!I301)-FIND("/",PasteHashtag!I301)-1)*1</f>
        <v>0.8</v>
      </c>
    </row>
    <row r="302">
      <c r="A302" s="5">
        <v>301.0</v>
      </c>
      <c r="B302" s="5" t="str">
        <f>PasteHashtag!B302</f>
        <v/>
      </c>
      <c r="C302" s="177" t="str">
        <f>PasteHashtag!C302</f>
        <v>Trey Jemison</v>
      </c>
      <c r="D302" s="5" t="str">
        <f>PasteHashtag!D302</f>
        <v>C</v>
      </c>
      <c r="E302" s="5" t="str">
        <f>PasteHashtag!E302</f>
        <v>NO</v>
      </c>
      <c r="F302" s="5">
        <f>PasteHashtag!F302</f>
        <v>40</v>
      </c>
      <c r="G302" s="5">
        <f>PasteHashtag!G302</f>
        <v>13.3</v>
      </c>
      <c r="H302" s="5">
        <f>MID(PasteHashtag!H302,1+FIND("(",PasteHashtag!H302),FIND("/",PasteHashtag!H302)-FIND("(",PasteHashtag!H302)-1)*1</f>
        <v>1.9</v>
      </c>
      <c r="I302" s="5">
        <f>LEFT(PasteHashtag!H302,FIND("(",PasteHashtag!H302)-1)*1</f>
        <v>0.552</v>
      </c>
      <c r="J302" s="5">
        <f>MID(PasteHashtag!I302,1+FIND("(",PasteHashtag!I302),FIND("/",PasteHashtag!I302)-FIND("(",PasteHashtag!I302)-1)*1</f>
        <v>0.5</v>
      </c>
      <c r="K302" s="5">
        <f>LEFT(PasteHashtag!I302,FIND("(",PasteHashtag!I302)-1)*1</f>
        <v>0.839</v>
      </c>
      <c r="L302" s="5">
        <f>PasteHashtag!J302</f>
        <v>0</v>
      </c>
      <c r="M302" s="5">
        <f>PasteHashtag!K302</f>
        <v>4.2</v>
      </c>
      <c r="N302" s="5">
        <f>PasteHashtag!L302</f>
        <v>3.3</v>
      </c>
      <c r="O302" s="5">
        <f>PasteHashtag!M302</f>
        <v>0.7</v>
      </c>
      <c r="P302" s="5">
        <f>PasteHashtag!N302</f>
        <v>0.3</v>
      </c>
      <c r="Q302" s="5">
        <f>PasteHashtag!O302</f>
        <v>0.7</v>
      </c>
      <c r="R302" s="5">
        <f>PasteHashtag!P302</f>
        <v>0.8</v>
      </c>
      <c r="S302" s="5">
        <f>Mid(PasteHashtag!H302,FIND("/",PasteHashtag!H302)+1,LEN(PasteHashtag!H302)-FIND("/",PasteHashtag!H302)-1)*1</f>
        <v>3.4</v>
      </c>
      <c r="T302" s="178">
        <f>Mid(PasteHashtag!I302,FIND("/",PasteHashtag!I302)+1,LEN(PasteHashtag!I302)-FIND("/",PasteHashtag!I302)-1)*1</f>
        <v>0.6</v>
      </c>
    </row>
    <row r="303">
      <c r="A303" s="5">
        <v>302.0</v>
      </c>
      <c r="B303" s="5" t="str">
        <f>PasteHashtag!B303</f>
        <v/>
      </c>
      <c r="C303" s="177" t="str">
        <f>PasteHashtag!C303</f>
        <v>Thomas Bryant</v>
      </c>
      <c r="D303" s="5" t="str">
        <f>PasteHashtag!D303</f>
        <v>C</v>
      </c>
      <c r="E303" s="5" t="str">
        <f>PasteHashtag!E303</f>
        <v>MIA</v>
      </c>
      <c r="F303" s="5">
        <f>PasteHashtag!F303</f>
        <v>38</v>
      </c>
      <c r="G303" s="5">
        <f>PasteHashtag!G303</f>
        <v>11.4</v>
      </c>
      <c r="H303" s="5">
        <f>MID(PasteHashtag!H303,1+FIND("(",PasteHashtag!H303),FIND("/",PasteHashtag!H303)-FIND("(",PasteHashtag!H303)-1)*1</f>
        <v>2.4</v>
      </c>
      <c r="I303" s="5">
        <f>LEFT(PasteHashtag!H303,FIND("(",PasteHashtag!H303)-1)*1</f>
        <v>0.61</v>
      </c>
      <c r="J303" s="5">
        <f>MID(PasteHashtag!I303,1+FIND("(",PasteHashtag!I303),FIND("/",PasteHashtag!I303)-FIND("(",PasteHashtag!I303)-1)*1</f>
        <v>1</v>
      </c>
      <c r="K303" s="5">
        <f>LEFT(PasteHashtag!I303,FIND("(",PasteHashtag!I303)-1)*1</f>
        <v>0.771</v>
      </c>
      <c r="L303" s="5">
        <f>PasteHashtag!J303</f>
        <v>0.2</v>
      </c>
      <c r="M303" s="5">
        <f>PasteHashtag!K303</f>
        <v>6</v>
      </c>
      <c r="N303" s="5">
        <f>PasteHashtag!L303</f>
        <v>3.6</v>
      </c>
      <c r="O303" s="5">
        <f>PasteHashtag!M303</f>
        <v>0.4</v>
      </c>
      <c r="P303" s="5">
        <f>PasteHashtag!N303</f>
        <v>0.2</v>
      </c>
      <c r="Q303" s="5">
        <f>PasteHashtag!O303</f>
        <v>0.4</v>
      </c>
      <c r="R303" s="5">
        <f>PasteHashtag!P303</f>
        <v>0.5</v>
      </c>
      <c r="S303" s="5">
        <f>Mid(PasteHashtag!H303,FIND("/",PasteHashtag!H303)+1,LEN(PasteHashtag!H303)-FIND("/",PasteHashtag!H303)-1)*1</f>
        <v>3.9</v>
      </c>
      <c r="T303" s="178">
        <f>Mid(PasteHashtag!I303,FIND("/",PasteHashtag!I303)+1,LEN(PasteHashtag!I303)-FIND("/",PasteHashtag!I303)-1)*1</f>
        <v>1.3</v>
      </c>
    </row>
    <row r="304">
      <c r="A304" s="5">
        <v>303.0</v>
      </c>
      <c r="B304" s="5" t="str">
        <f>PasteHashtag!B304</f>
        <v/>
      </c>
      <c r="C304" s="177" t="str">
        <f>PasteHashtag!C304</f>
        <v>Devin Carter</v>
      </c>
      <c r="D304" s="5" t="str">
        <f>PasteHashtag!D304</f>
        <v>PG</v>
      </c>
      <c r="E304" s="5" t="str">
        <f>PasteHashtag!E304</f>
        <v>SAC</v>
      </c>
      <c r="F304" s="5">
        <f>PasteHashtag!F304</f>
        <v>30</v>
      </c>
      <c r="G304" s="5">
        <f>PasteHashtag!G304</f>
        <v>14.5</v>
      </c>
      <c r="H304" s="5">
        <f>MID(PasteHashtag!H304,1+FIND("(",PasteHashtag!H304),FIND("/",PasteHashtag!H304)-FIND("(",PasteHashtag!H304)-1)*1</f>
        <v>2</v>
      </c>
      <c r="I304" s="5">
        <f>LEFT(PasteHashtag!H304,FIND("(",PasteHashtag!H304)-1)*1</f>
        <v>0.472</v>
      </c>
      <c r="J304" s="5">
        <f>MID(PasteHashtag!I304,1+FIND("(",PasteHashtag!I304),FIND("/",PasteHashtag!I304)-FIND("(",PasteHashtag!I304)-1)*1</f>
        <v>1.2</v>
      </c>
      <c r="K304" s="5">
        <f>LEFT(PasteHashtag!I304,FIND("(",PasteHashtag!I304)-1)*1</f>
        <v>0.748</v>
      </c>
      <c r="L304" s="5">
        <f>PasteHashtag!J304</f>
        <v>0.8</v>
      </c>
      <c r="M304" s="5">
        <f>PasteHashtag!K304</f>
        <v>6.1</v>
      </c>
      <c r="N304" s="5">
        <f>PasteHashtag!L304</f>
        <v>2.7</v>
      </c>
      <c r="O304" s="5">
        <f>PasteHashtag!M304</f>
        <v>1.1</v>
      </c>
      <c r="P304" s="5">
        <f>PasteHashtag!N304</f>
        <v>0.5</v>
      </c>
      <c r="Q304" s="5">
        <f>PasteHashtag!O304</f>
        <v>0.3</v>
      </c>
      <c r="R304" s="5">
        <f>PasteHashtag!P304</f>
        <v>0.8</v>
      </c>
      <c r="S304" s="5">
        <f>Mid(PasteHashtag!H304,FIND("/",PasteHashtag!H304)+1,LEN(PasteHashtag!H304)-FIND("/",PasteHashtag!H304)-1)*1</f>
        <v>4.3</v>
      </c>
      <c r="T304" s="178">
        <f>Mid(PasteHashtag!I304,FIND("/",PasteHashtag!I304)+1,LEN(PasteHashtag!I304)-FIND("/",PasteHashtag!I304)-1)*1</f>
        <v>1.6</v>
      </c>
    </row>
    <row r="305">
      <c r="A305" s="5">
        <v>304.0</v>
      </c>
      <c r="B305" s="5" t="str">
        <f>PasteHashtag!B305</f>
        <v/>
      </c>
      <c r="C305" s="177" t="str">
        <f>PasteHashtag!C305</f>
        <v>Joe Ingles</v>
      </c>
      <c r="D305" s="5" t="str">
        <f>PasteHashtag!D305</f>
        <v>SG,SF</v>
      </c>
      <c r="E305" s="5" t="str">
        <f>PasteHashtag!E305</f>
        <v>MIN</v>
      </c>
      <c r="F305" s="5">
        <f>PasteHashtag!F305</f>
        <v>50</v>
      </c>
      <c r="G305" s="5">
        <f>PasteHashtag!G305</f>
        <v>15.1</v>
      </c>
      <c r="H305" s="5">
        <f>MID(PasteHashtag!H305,1+FIND("(",PasteHashtag!H305),FIND("/",PasteHashtag!H305)-FIND("(",PasteHashtag!H305)-1)*1</f>
        <v>1.4</v>
      </c>
      <c r="I305" s="5">
        <f>LEFT(PasteHashtag!H305,FIND("(",PasteHashtag!H305)-1)*1</f>
        <v>0.437</v>
      </c>
      <c r="J305" s="5">
        <f>MID(PasteHashtag!I305,1+FIND("(",PasteHashtag!I305),FIND("/",PasteHashtag!I305)-FIND("(",PasteHashtag!I305)-1)*1</f>
        <v>0.3</v>
      </c>
      <c r="K305" s="5">
        <f>LEFT(PasteHashtag!I305,FIND("(",PasteHashtag!I305)-1)*1</f>
        <v>0.842</v>
      </c>
      <c r="L305" s="5">
        <f>PasteHashtag!J305</f>
        <v>1.1</v>
      </c>
      <c r="M305" s="5">
        <f>PasteHashtag!K305</f>
        <v>4.2</v>
      </c>
      <c r="N305" s="5">
        <f>PasteHashtag!L305</f>
        <v>1.9</v>
      </c>
      <c r="O305" s="5">
        <f>PasteHashtag!M305</f>
        <v>2.4</v>
      </c>
      <c r="P305" s="5">
        <f>PasteHashtag!N305</f>
        <v>0.5</v>
      </c>
      <c r="Q305" s="5">
        <f>PasteHashtag!O305</f>
        <v>0.1</v>
      </c>
      <c r="R305" s="5">
        <f>PasteHashtag!P305</f>
        <v>0.8</v>
      </c>
      <c r="S305" s="5">
        <f>Mid(PasteHashtag!H305,FIND("/",PasteHashtag!H305)+1,LEN(PasteHashtag!H305)-FIND("/",PasteHashtag!H305)-1)*1</f>
        <v>3.3</v>
      </c>
      <c r="T305" s="178">
        <f>Mid(PasteHashtag!I305,FIND("/",PasteHashtag!I305)+1,LEN(PasteHashtag!I305)-FIND("/",PasteHashtag!I305)-1)*1</f>
        <v>0.4</v>
      </c>
    </row>
    <row r="306">
      <c r="A306" s="5">
        <v>305.0</v>
      </c>
      <c r="B306" s="5">
        <f>PasteHashtag!B306</f>
        <v>140.6</v>
      </c>
      <c r="C306" s="177" t="str">
        <f>PasteHashtag!C306</f>
        <v>Tim Hardaway Jr.</v>
      </c>
      <c r="D306" s="5" t="str">
        <f>PasteHashtag!D306</f>
        <v>SG,SF</v>
      </c>
      <c r="E306" s="5" t="str">
        <f>PasteHashtag!E306</f>
        <v>DET</v>
      </c>
      <c r="F306" s="5">
        <f>PasteHashtag!F306</f>
        <v>65</v>
      </c>
      <c r="G306" s="5">
        <f>PasteHashtag!G306</f>
        <v>18.3</v>
      </c>
      <c r="H306" s="5">
        <f>MID(PasteHashtag!H306,1+FIND("(",PasteHashtag!H306),FIND("/",PasteHashtag!H306)-FIND("(",PasteHashtag!H306)-1)*1</f>
        <v>3.2</v>
      </c>
      <c r="I306" s="5">
        <f>LEFT(PasteHashtag!H306,FIND("(",PasteHashtag!H306)-1)*1</f>
        <v>0.402</v>
      </c>
      <c r="J306" s="5">
        <f>MID(PasteHashtag!I306,1+FIND("(",PasteHashtag!I306),FIND("/",PasteHashtag!I306)-FIND("(",PasteHashtag!I306)-1)*1</f>
        <v>1.2</v>
      </c>
      <c r="K306" s="5">
        <f>LEFT(PasteHashtag!I306,FIND("(",PasteHashtag!I306)-1)*1</f>
        <v>0.813</v>
      </c>
      <c r="L306" s="5">
        <f>PasteHashtag!J306</f>
        <v>1.8</v>
      </c>
      <c r="M306" s="5">
        <f>PasteHashtag!K306</f>
        <v>9.3</v>
      </c>
      <c r="N306" s="5">
        <f>PasteHashtag!L306</f>
        <v>2.2</v>
      </c>
      <c r="O306" s="5">
        <f>PasteHashtag!M306</f>
        <v>1.2</v>
      </c>
      <c r="P306" s="5">
        <f>PasteHashtag!N306</f>
        <v>0.4</v>
      </c>
      <c r="Q306" s="5">
        <f>PasteHashtag!O306</f>
        <v>0.1</v>
      </c>
      <c r="R306" s="5">
        <f>PasteHashtag!P306</f>
        <v>0.6</v>
      </c>
      <c r="S306" s="5">
        <f>Mid(PasteHashtag!H306,FIND("/",PasteHashtag!H306)+1,LEN(PasteHashtag!H306)-FIND("/",PasteHashtag!H306)-1)*1</f>
        <v>7.9</v>
      </c>
      <c r="T306" s="178">
        <f>Mid(PasteHashtag!I306,FIND("/",PasteHashtag!I306)+1,LEN(PasteHashtag!I306)-FIND("/",PasteHashtag!I306)-1)*1</f>
        <v>1.4</v>
      </c>
    </row>
    <row r="307">
      <c r="A307" s="5">
        <v>306.0</v>
      </c>
      <c r="B307" s="5">
        <f>PasteHashtag!B307</f>
        <v>144</v>
      </c>
      <c r="C307" s="177" t="str">
        <f>PasteHashtag!C307</f>
        <v>Tre Mann</v>
      </c>
      <c r="D307" s="5" t="str">
        <f>PasteHashtag!D307</f>
        <v>PG,SG</v>
      </c>
      <c r="E307" s="5" t="str">
        <f>PasteHashtag!E307</f>
        <v>CHA</v>
      </c>
      <c r="F307" s="5">
        <f>PasteHashtag!F307</f>
        <v>62</v>
      </c>
      <c r="G307" s="5">
        <f>PasteHashtag!G307</f>
        <v>15.7</v>
      </c>
      <c r="H307" s="5">
        <f>MID(PasteHashtag!H307,1+FIND("(",PasteHashtag!H307),FIND("/",PasteHashtag!H307)-FIND("(",PasteHashtag!H307)-1)*1</f>
        <v>2.5</v>
      </c>
      <c r="I307" s="5">
        <f>LEFT(PasteHashtag!H307,FIND("(",PasteHashtag!H307)-1)*1</f>
        <v>0.419</v>
      </c>
      <c r="J307" s="5">
        <f>MID(PasteHashtag!I307,1+FIND("(",PasteHashtag!I307),FIND("/",PasteHashtag!I307)-FIND("(",PasteHashtag!I307)-1)*1</f>
        <v>0.6</v>
      </c>
      <c r="K307" s="5">
        <f>LEFT(PasteHashtag!I307,FIND("(",PasteHashtag!I307)-1)*1</f>
        <v>0.771</v>
      </c>
      <c r="L307" s="5">
        <f>PasteHashtag!J307</f>
        <v>0.9</v>
      </c>
      <c r="M307" s="5">
        <f>PasteHashtag!K307</f>
        <v>6.6</v>
      </c>
      <c r="N307" s="5">
        <f>PasteHashtag!L307</f>
        <v>2.2</v>
      </c>
      <c r="O307" s="5">
        <f>PasteHashtag!M307</f>
        <v>2.1</v>
      </c>
      <c r="P307" s="5">
        <f>PasteHashtag!N307</f>
        <v>0.7</v>
      </c>
      <c r="Q307" s="5">
        <f>PasteHashtag!O307</f>
        <v>0.1</v>
      </c>
      <c r="R307" s="5">
        <f>PasteHashtag!P307</f>
        <v>0.9</v>
      </c>
      <c r="S307" s="5">
        <f>Mid(PasteHashtag!H307,FIND("/",PasteHashtag!H307)+1,LEN(PasteHashtag!H307)-FIND("/",PasteHashtag!H307)-1)*1</f>
        <v>6</v>
      </c>
      <c r="T307" s="178">
        <f>Mid(PasteHashtag!I307,FIND("/",PasteHashtag!I307)+1,LEN(PasteHashtag!I307)-FIND("/",PasteHashtag!I307)-1)*1</f>
        <v>0.8</v>
      </c>
    </row>
    <row r="308">
      <c r="A308" s="5">
        <v>307.0</v>
      </c>
      <c r="B308" s="5" t="str">
        <f>PasteHashtag!B308</f>
        <v/>
      </c>
      <c r="C308" s="177" t="str">
        <f>PasteHashtag!C308</f>
        <v>Davion Mitchell</v>
      </c>
      <c r="D308" s="5" t="str">
        <f>PasteHashtag!D308</f>
        <v>PG,SG</v>
      </c>
      <c r="E308" s="5" t="str">
        <f>PasteHashtag!E308</f>
        <v>TOR</v>
      </c>
      <c r="F308" s="5">
        <f>PasteHashtag!F308</f>
        <v>70</v>
      </c>
      <c r="G308" s="5">
        <f>PasteHashtag!G308</f>
        <v>18.8</v>
      </c>
      <c r="H308" s="5">
        <f>MID(PasteHashtag!H308,1+FIND("(",PasteHashtag!H308),FIND("/",PasteHashtag!H308)-FIND("(",PasteHashtag!H308)-1)*1</f>
        <v>2.6</v>
      </c>
      <c r="I308" s="5">
        <f>LEFT(PasteHashtag!H308,FIND("(",PasteHashtag!H308)-1)*1</f>
        <v>0.453</v>
      </c>
      <c r="J308" s="5">
        <f>MID(PasteHashtag!I308,1+FIND("(",PasteHashtag!I308),FIND("/",PasteHashtag!I308)-FIND("(",PasteHashtag!I308)-1)*1</f>
        <v>0.4</v>
      </c>
      <c r="K308" s="5">
        <f>LEFT(PasteHashtag!I308,FIND("(",PasteHashtag!I308)-1)*1</f>
        <v>0.741</v>
      </c>
      <c r="L308" s="5">
        <f>PasteHashtag!J308</f>
        <v>1</v>
      </c>
      <c r="M308" s="5">
        <f>PasteHashtag!K308</f>
        <v>6.6</v>
      </c>
      <c r="N308" s="5">
        <f>PasteHashtag!L308</f>
        <v>1.6</v>
      </c>
      <c r="O308" s="5">
        <f>PasteHashtag!M308</f>
        <v>2.5</v>
      </c>
      <c r="P308" s="5">
        <f>PasteHashtag!N308</f>
        <v>0.5</v>
      </c>
      <c r="Q308" s="5">
        <f>PasteHashtag!O308</f>
        <v>0.1</v>
      </c>
      <c r="R308" s="5">
        <f>PasteHashtag!P308</f>
        <v>0.8</v>
      </c>
      <c r="S308" s="5">
        <f>Mid(PasteHashtag!H308,FIND("/",PasteHashtag!H308)+1,LEN(PasteHashtag!H308)-FIND("/",PasteHashtag!H308)-1)*1</f>
        <v>5.7</v>
      </c>
      <c r="T308" s="178">
        <f>Mid(PasteHashtag!I308,FIND("/",PasteHashtag!I308)+1,LEN(PasteHashtag!I308)-FIND("/",PasteHashtag!I308)-1)*1</f>
        <v>0.6</v>
      </c>
    </row>
    <row r="309">
      <c r="A309" s="5">
        <v>308.0</v>
      </c>
      <c r="B309" s="5" t="str">
        <f>PasteHashtag!B309</f>
        <v/>
      </c>
      <c r="C309" s="177" t="str">
        <f>PasteHashtag!C309</f>
        <v>Josh Okogie</v>
      </c>
      <c r="D309" s="5" t="str">
        <f>PasteHashtag!D309</f>
        <v>SG,SF</v>
      </c>
      <c r="E309" s="5" t="str">
        <f>PasteHashtag!E309</f>
        <v>PHO</v>
      </c>
      <c r="F309" s="5">
        <f>PasteHashtag!F309</f>
        <v>62</v>
      </c>
      <c r="G309" s="5">
        <f>PasteHashtag!G309</f>
        <v>16.4</v>
      </c>
      <c r="H309" s="5">
        <f>MID(PasteHashtag!H309,1+FIND("(",PasteHashtag!H309),FIND("/",PasteHashtag!H309)-FIND("(",PasteHashtag!H309)-1)*1</f>
        <v>1.8</v>
      </c>
      <c r="I309" s="5">
        <f>LEFT(PasteHashtag!H309,FIND("(",PasteHashtag!H309)-1)*1</f>
        <v>0.4</v>
      </c>
      <c r="J309" s="5">
        <f>MID(PasteHashtag!I309,1+FIND("(",PasteHashtag!I309),FIND("/",PasteHashtag!I309)-FIND("(",PasteHashtag!I309)-1)*1</f>
        <v>1.5</v>
      </c>
      <c r="K309" s="5">
        <f>LEFT(PasteHashtag!I309,FIND("(",PasteHashtag!I309)-1)*1</f>
        <v>0.73</v>
      </c>
      <c r="L309" s="5">
        <f>PasteHashtag!J309</f>
        <v>0.7</v>
      </c>
      <c r="M309" s="5">
        <f>PasteHashtag!K309</f>
        <v>5.8</v>
      </c>
      <c r="N309" s="5">
        <f>PasteHashtag!L309</f>
        <v>2.9</v>
      </c>
      <c r="O309" s="5">
        <f>PasteHashtag!M309</f>
        <v>1.2</v>
      </c>
      <c r="P309" s="5">
        <f>PasteHashtag!N309</f>
        <v>0.8</v>
      </c>
      <c r="Q309" s="5">
        <f>PasteHashtag!O309</f>
        <v>0.4</v>
      </c>
      <c r="R309" s="5">
        <f>PasteHashtag!P309</f>
        <v>0.7</v>
      </c>
      <c r="S309" s="5">
        <f>Mid(PasteHashtag!H309,FIND("/",PasteHashtag!H309)+1,LEN(PasteHashtag!H309)-FIND("/",PasteHashtag!H309)-1)*1</f>
        <v>4.5</v>
      </c>
      <c r="T309" s="178">
        <f>Mid(PasteHashtag!I309,FIND("/",PasteHashtag!I309)+1,LEN(PasteHashtag!I309)-FIND("/",PasteHashtag!I309)-1)*1</f>
        <v>2.1</v>
      </c>
    </row>
    <row r="310">
      <c r="A310" s="5">
        <v>309.0</v>
      </c>
      <c r="B310" s="5" t="str">
        <f>PasteHashtag!B310</f>
        <v/>
      </c>
      <c r="C310" s="177" t="str">
        <f>PasteHashtag!C310</f>
        <v>Jaden Springer</v>
      </c>
      <c r="D310" s="5" t="str">
        <f>PasteHashtag!D310</f>
        <v>SG</v>
      </c>
      <c r="E310" s="5" t="str">
        <f>PasteHashtag!E310</f>
        <v>BOS</v>
      </c>
      <c r="F310" s="5">
        <f>PasteHashtag!F310</f>
        <v>40</v>
      </c>
      <c r="G310" s="5">
        <f>PasteHashtag!G310</f>
        <v>12.1</v>
      </c>
      <c r="H310" s="5">
        <f>MID(PasteHashtag!H310,1+FIND("(",PasteHashtag!H310),FIND("/",PasteHashtag!H310)-FIND("(",PasteHashtag!H310)-1)*1</f>
        <v>1.6</v>
      </c>
      <c r="I310" s="5">
        <f>LEFT(PasteHashtag!H310,FIND("(",PasteHashtag!H310)-1)*1</f>
        <v>0.416</v>
      </c>
      <c r="J310" s="5">
        <f>MID(PasteHashtag!I310,1+FIND("(",PasteHashtag!I310),FIND("/",PasteHashtag!I310)-FIND("(",PasteHashtag!I310)-1)*1</f>
        <v>0.8</v>
      </c>
      <c r="K310" s="5">
        <f>LEFT(PasteHashtag!I310,FIND("(",PasteHashtag!I310)-1)*1</f>
        <v>0.824</v>
      </c>
      <c r="L310" s="5">
        <f>PasteHashtag!J310</f>
        <v>0.3</v>
      </c>
      <c r="M310" s="5">
        <f>PasteHashtag!K310</f>
        <v>4.2</v>
      </c>
      <c r="N310" s="5">
        <f>PasteHashtag!L310</f>
        <v>1.9</v>
      </c>
      <c r="O310" s="5">
        <f>PasteHashtag!M310</f>
        <v>1.1</v>
      </c>
      <c r="P310" s="5">
        <f>PasteHashtag!N310</f>
        <v>0.9</v>
      </c>
      <c r="Q310" s="5">
        <f>PasteHashtag!O310</f>
        <v>0.4</v>
      </c>
      <c r="R310" s="5">
        <f>PasteHashtag!P310</f>
        <v>0.8</v>
      </c>
      <c r="S310" s="5">
        <f>Mid(PasteHashtag!H310,FIND("/",PasteHashtag!H310)+1,LEN(PasteHashtag!H310)-FIND("/",PasteHashtag!H310)-1)*1</f>
        <v>3.8</v>
      </c>
      <c r="T310" s="178">
        <f>Mid(PasteHashtag!I310,FIND("/",PasteHashtag!I310)+1,LEN(PasteHashtag!I310)-FIND("/",PasteHashtag!I310)-1)*1</f>
        <v>1</v>
      </c>
    </row>
    <row r="311">
      <c r="A311" s="5">
        <v>310.0</v>
      </c>
      <c r="B311" s="5" t="str">
        <f>PasteHashtag!B311</f>
        <v/>
      </c>
      <c r="C311" s="177" t="str">
        <f>PasteHashtag!C311</f>
        <v>Bol Bol</v>
      </c>
      <c r="D311" s="5" t="str">
        <f>PasteHashtag!D311</f>
        <v>PF,C</v>
      </c>
      <c r="E311" s="5" t="str">
        <f>PasteHashtag!E311</f>
        <v>PHO</v>
      </c>
      <c r="F311" s="5">
        <f>PasteHashtag!F311</f>
        <v>34</v>
      </c>
      <c r="G311" s="5">
        <f>PasteHashtag!G311</f>
        <v>11.1</v>
      </c>
      <c r="H311" s="5">
        <f>MID(PasteHashtag!H311,1+FIND("(",PasteHashtag!H311),FIND("/",PasteHashtag!H311)-FIND("(",PasteHashtag!H311)-1)*1</f>
        <v>2</v>
      </c>
      <c r="I311" s="5">
        <f>LEFT(PasteHashtag!H311,FIND("(",PasteHashtag!H311)-1)*1</f>
        <v>0.563</v>
      </c>
      <c r="J311" s="5">
        <f>MID(PasteHashtag!I311,1+FIND("(",PasteHashtag!I311),FIND("/",PasteHashtag!I311)-FIND("(",PasteHashtag!I311)-1)*1</f>
        <v>0.6</v>
      </c>
      <c r="K311" s="5">
        <f>LEFT(PasteHashtag!I311,FIND("(",PasteHashtag!I311)-1)*1</f>
        <v>0.764</v>
      </c>
      <c r="L311" s="5">
        <f>PasteHashtag!J311</f>
        <v>0.3</v>
      </c>
      <c r="M311" s="5">
        <f>PasteHashtag!K311</f>
        <v>4.9</v>
      </c>
      <c r="N311" s="5">
        <f>PasteHashtag!L311</f>
        <v>3.1</v>
      </c>
      <c r="O311" s="5">
        <f>PasteHashtag!M311</f>
        <v>0.5</v>
      </c>
      <c r="P311" s="5">
        <f>PasteHashtag!N311</f>
        <v>0.2</v>
      </c>
      <c r="Q311" s="5">
        <f>PasteHashtag!O311</f>
        <v>0.6</v>
      </c>
      <c r="R311" s="5">
        <f>PasteHashtag!P311</f>
        <v>0.7</v>
      </c>
      <c r="S311" s="5">
        <f>Mid(PasteHashtag!H311,FIND("/",PasteHashtag!H311)+1,LEN(PasteHashtag!H311)-FIND("/",PasteHashtag!H311)-1)*1</f>
        <v>3.6</v>
      </c>
      <c r="T311" s="178">
        <f>Mid(PasteHashtag!I311,FIND("/",PasteHashtag!I311)+1,LEN(PasteHashtag!I311)-FIND("/",PasteHashtag!I311)-1)*1</f>
        <v>0.7</v>
      </c>
    </row>
    <row r="312">
      <c r="A312" s="5">
        <v>311.0</v>
      </c>
      <c r="B312" s="5" t="str">
        <f>PasteHashtag!B312</f>
        <v/>
      </c>
      <c r="C312" s="177" t="str">
        <f>PasteHashtag!C312</f>
        <v>Cameron Payne</v>
      </c>
      <c r="D312" s="5" t="str">
        <f>PasteHashtag!D312</f>
        <v>PG,SG</v>
      </c>
      <c r="E312" s="5" t="str">
        <f>PasteHashtag!E312</f>
        <v>NY</v>
      </c>
      <c r="F312" s="5">
        <f>PasteHashtag!F312</f>
        <v>50</v>
      </c>
      <c r="G312" s="5">
        <f>PasteHashtag!G312</f>
        <v>14.1</v>
      </c>
      <c r="H312" s="5">
        <f>MID(PasteHashtag!H312,1+FIND("(",PasteHashtag!H312),FIND("/",PasteHashtag!H312)-FIND("(",PasteHashtag!H312)-1)*1</f>
        <v>2.5</v>
      </c>
      <c r="I312" s="5">
        <f>LEFT(PasteHashtag!H312,FIND("(",PasteHashtag!H312)-1)*1</f>
        <v>0.424</v>
      </c>
      <c r="J312" s="5">
        <f>MID(PasteHashtag!I312,1+FIND("(",PasteHashtag!I312),FIND("/",PasteHashtag!I312)-FIND("(",PasteHashtag!I312)-1)*1</f>
        <v>0.7</v>
      </c>
      <c r="K312" s="5">
        <f>LEFT(PasteHashtag!I312,FIND("(",PasteHashtag!I312)-1)*1</f>
        <v>0.817</v>
      </c>
      <c r="L312" s="5">
        <f>PasteHashtag!J312</f>
        <v>1.1</v>
      </c>
      <c r="M312" s="5">
        <f>PasteHashtag!K312</f>
        <v>6.7</v>
      </c>
      <c r="N312" s="5">
        <f>PasteHashtag!L312</f>
        <v>1.4</v>
      </c>
      <c r="O312" s="5">
        <f>PasteHashtag!M312</f>
        <v>2.6</v>
      </c>
      <c r="P312" s="5">
        <f>PasteHashtag!N312</f>
        <v>0.5</v>
      </c>
      <c r="Q312" s="5">
        <f>PasteHashtag!O312</f>
        <v>0.1</v>
      </c>
      <c r="R312" s="5">
        <f>PasteHashtag!P312</f>
        <v>0.9</v>
      </c>
      <c r="S312" s="5">
        <f>Mid(PasteHashtag!H312,FIND("/",PasteHashtag!H312)+1,LEN(PasteHashtag!H312)-FIND("/",PasteHashtag!H312)-1)*1</f>
        <v>5.9</v>
      </c>
      <c r="T312" s="178">
        <f>Mid(PasteHashtag!I312,FIND("/",PasteHashtag!I312)+1,LEN(PasteHashtag!I312)-FIND("/",PasteHashtag!I312)-1)*1</f>
        <v>0.8</v>
      </c>
    </row>
    <row r="313">
      <c r="A313" s="5">
        <v>312.0</v>
      </c>
      <c r="B313" s="5" t="str">
        <f>PasteHashtag!B313</f>
        <v/>
      </c>
      <c r="C313" s="177" t="str">
        <f>PasteHashtag!C313</f>
        <v>Monte Morris</v>
      </c>
      <c r="D313" s="5" t="str">
        <f>PasteHashtag!D313</f>
        <v>PG,SG</v>
      </c>
      <c r="E313" s="5" t="str">
        <f>PasteHashtag!E313</f>
        <v>PHO</v>
      </c>
      <c r="F313" s="5">
        <f>PasteHashtag!F313</f>
        <v>60</v>
      </c>
      <c r="G313" s="5">
        <f>PasteHashtag!G313</f>
        <v>14.1</v>
      </c>
      <c r="H313" s="5">
        <f>MID(PasteHashtag!H313,1+FIND("(",PasteHashtag!H313),FIND("/",PasteHashtag!H313)-FIND("(",PasteHashtag!H313)-1)*1</f>
        <v>2</v>
      </c>
      <c r="I313" s="5">
        <f>LEFT(PasteHashtag!H313,FIND("(",PasteHashtag!H313)-1)*1</f>
        <v>0.463</v>
      </c>
      <c r="J313" s="5">
        <f>MID(PasteHashtag!I313,1+FIND("(",PasteHashtag!I313),FIND("/",PasteHashtag!I313)-FIND("(",PasteHashtag!I313)-1)*1</f>
        <v>0.5</v>
      </c>
      <c r="K313" s="5">
        <f>LEFT(PasteHashtag!I313,FIND("(",PasteHashtag!I313)-1)*1</f>
        <v>0.81</v>
      </c>
      <c r="L313" s="5">
        <f>PasteHashtag!J313</f>
        <v>0.7</v>
      </c>
      <c r="M313" s="5">
        <f>PasteHashtag!K313</f>
        <v>5.3</v>
      </c>
      <c r="N313" s="5">
        <f>PasteHashtag!L313</f>
        <v>1.8</v>
      </c>
      <c r="O313" s="5">
        <f>PasteHashtag!M313</f>
        <v>2.6</v>
      </c>
      <c r="P313" s="5">
        <f>PasteHashtag!N313</f>
        <v>0.4</v>
      </c>
      <c r="Q313" s="5">
        <f>PasteHashtag!O313</f>
        <v>0.2</v>
      </c>
      <c r="R313" s="5">
        <f>PasteHashtag!P313</f>
        <v>0.4</v>
      </c>
      <c r="S313" s="5">
        <f>Mid(PasteHashtag!H313,FIND("/",PasteHashtag!H313)+1,LEN(PasteHashtag!H313)-FIND("/",PasteHashtag!H313)-1)*1</f>
        <v>4.4</v>
      </c>
      <c r="T313" s="178">
        <f>Mid(PasteHashtag!I313,FIND("/",PasteHashtag!I313)+1,LEN(PasteHashtag!I313)-FIND("/",PasteHashtag!I313)-1)*1</f>
        <v>0.6</v>
      </c>
    </row>
    <row r="314">
      <c r="A314" s="5">
        <v>313.0</v>
      </c>
      <c r="B314" s="5" t="str">
        <f>PasteHashtag!B314</f>
        <v/>
      </c>
      <c r="C314" s="177" t="str">
        <f>PasteHashtag!C314</f>
        <v>Amir Coffey</v>
      </c>
      <c r="D314" s="5" t="str">
        <f>PasteHashtag!D314</f>
        <v>SF,PF</v>
      </c>
      <c r="E314" s="5" t="str">
        <f>PasteHashtag!E314</f>
        <v>LAC</v>
      </c>
      <c r="F314" s="5">
        <f>PasteHashtag!F314</f>
        <v>65</v>
      </c>
      <c r="G314" s="5">
        <f>PasteHashtag!G314</f>
        <v>20.8</v>
      </c>
      <c r="H314" s="5">
        <f>MID(PasteHashtag!H314,1+FIND("(",PasteHashtag!H314),FIND("/",PasteHashtag!H314)-FIND("(",PasteHashtag!H314)-1)*1</f>
        <v>2.2</v>
      </c>
      <c r="I314" s="5">
        <f>LEFT(PasteHashtag!H314,FIND("(",PasteHashtag!H314)-1)*1</f>
        <v>0.447</v>
      </c>
      <c r="J314" s="5">
        <f>MID(PasteHashtag!I314,1+FIND("(",PasteHashtag!I314),FIND("/",PasteHashtag!I314)-FIND("(",PasteHashtag!I314)-1)*1</f>
        <v>1.1</v>
      </c>
      <c r="K314" s="5">
        <f>LEFT(PasteHashtag!I314,FIND("(",PasteHashtag!I314)-1)*1</f>
        <v>0.822</v>
      </c>
      <c r="L314" s="5">
        <f>PasteHashtag!J314</f>
        <v>0.8</v>
      </c>
      <c r="M314" s="5">
        <f>PasteHashtag!K314</f>
        <v>6.4</v>
      </c>
      <c r="N314" s="5">
        <f>PasteHashtag!L314</f>
        <v>2</v>
      </c>
      <c r="O314" s="5">
        <f>PasteHashtag!M314</f>
        <v>1.3</v>
      </c>
      <c r="P314" s="5">
        <f>PasteHashtag!N314</f>
        <v>0.5</v>
      </c>
      <c r="Q314" s="5">
        <f>PasteHashtag!O314</f>
        <v>0.2</v>
      </c>
      <c r="R314" s="5">
        <f>PasteHashtag!P314</f>
        <v>0.5</v>
      </c>
      <c r="S314" s="5">
        <f>Mid(PasteHashtag!H314,FIND("/",PasteHashtag!H314)+1,LEN(PasteHashtag!H314)-FIND("/",PasteHashtag!H314)-1)*1</f>
        <v>5</v>
      </c>
      <c r="T314" s="178">
        <f>Mid(PasteHashtag!I314,FIND("/",PasteHashtag!I314)+1,LEN(PasteHashtag!I314)-FIND("/",PasteHashtag!I314)-1)*1</f>
        <v>1.4</v>
      </c>
    </row>
    <row r="315">
      <c r="A315" s="5">
        <v>314.0</v>
      </c>
      <c r="B315" s="5" t="str">
        <f>PasteHashtag!B315</f>
        <v/>
      </c>
      <c r="C315" s="177" t="str">
        <f>PasteHashtag!C315</f>
        <v>Anthony Black</v>
      </c>
      <c r="D315" s="5" t="str">
        <f>PasteHashtag!D315</f>
        <v>PG,SG</v>
      </c>
      <c r="E315" s="5" t="str">
        <f>PasteHashtag!E315</f>
        <v>ORL</v>
      </c>
      <c r="F315" s="5">
        <f>PasteHashtag!F315</f>
        <v>70</v>
      </c>
      <c r="G315" s="5">
        <f>PasteHashtag!G315</f>
        <v>20</v>
      </c>
      <c r="H315" s="5">
        <f>MID(PasteHashtag!H315,1+FIND("(",PasteHashtag!H315),FIND("/",PasteHashtag!H315)-FIND("(",PasteHashtag!H315)-1)*1</f>
        <v>2.2</v>
      </c>
      <c r="I315" s="5">
        <f>LEFT(PasteHashtag!H315,FIND("(",PasteHashtag!H315)-1)*1</f>
        <v>0.466</v>
      </c>
      <c r="J315" s="5">
        <f>MID(PasteHashtag!I315,1+FIND("(",PasteHashtag!I315),FIND("/",PasteHashtag!I315)-FIND("(",PasteHashtag!I315)-1)*1</f>
        <v>1</v>
      </c>
      <c r="K315" s="5">
        <f>LEFT(PasteHashtag!I315,FIND("(",PasteHashtag!I315)-1)*1</f>
        <v>0.634</v>
      </c>
      <c r="L315" s="5">
        <f>PasteHashtag!J315</f>
        <v>0.7</v>
      </c>
      <c r="M315" s="5">
        <f>PasteHashtag!K315</f>
        <v>6.1</v>
      </c>
      <c r="N315" s="5">
        <f>PasteHashtag!L315</f>
        <v>2.7</v>
      </c>
      <c r="O315" s="5">
        <f>PasteHashtag!M315</f>
        <v>1.7</v>
      </c>
      <c r="P315" s="5">
        <f>PasteHashtag!N315</f>
        <v>0.7</v>
      </c>
      <c r="Q315" s="5">
        <f>PasteHashtag!O315</f>
        <v>0.4</v>
      </c>
      <c r="R315" s="5">
        <f>PasteHashtag!P315</f>
        <v>1.1</v>
      </c>
      <c r="S315" s="5">
        <f>Mid(PasteHashtag!H315,FIND("/",PasteHashtag!H315)+1,LEN(PasteHashtag!H315)-FIND("/",PasteHashtag!H315)-1)*1</f>
        <v>4.7</v>
      </c>
      <c r="T315" s="178">
        <f>Mid(PasteHashtag!I315,FIND("/",PasteHashtag!I315)+1,LEN(PasteHashtag!I315)-FIND("/",PasteHashtag!I315)-1)*1</f>
        <v>1.5</v>
      </c>
    </row>
    <row r="316">
      <c r="A316" s="5">
        <v>315.0</v>
      </c>
      <c r="B316" s="5" t="str">
        <f>PasteHashtag!B316</f>
        <v/>
      </c>
      <c r="C316" s="177" t="str">
        <f>PasteHashtag!C316</f>
        <v>Cam Reddish</v>
      </c>
      <c r="D316" s="5" t="str">
        <f>PasteHashtag!D316</f>
        <v>SG,SF</v>
      </c>
      <c r="E316" s="5" t="str">
        <f>PasteHashtag!E316</f>
        <v>LAL</v>
      </c>
      <c r="F316" s="5">
        <f>PasteHashtag!F316</f>
        <v>40</v>
      </c>
      <c r="G316" s="5">
        <f>PasteHashtag!G316</f>
        <v>17.5</v>
      </c>
      <c r="H316" s="5">
        <f>MID(PasteHashtag!H316,1+FIND("(",PasteHashtag!H316),FIND("/",PasteHashtag!H316)-FIND("(",PasteHashtag!H316)-1)*1</f>
        <v>2.1</v>
      </c>
      <c r="I316" s="5">
        <f>LEFT(PasteHashtag!H316,FIND("(",PasteHashtag!H316)-1)*1</f>
        <v>0.421</v>
      </c>
      <c r="J316" s="5">
        <f>MID(PasteHashtag!I316,1+FIND("(",PasteHashtag!I316),FIND("/",PasteHashtag!I316)-FIND("(",PasteHashtag!I316)-1)*1</f>
        <v>0.9</v>
      </c>
      <c r="K316" s="5">
        <f>LEFT(PasteHashtag!I316,FIND("(",PasteHashtag!I316)-1)*1</f>
        <v>0.81</v>
      </c>
      <c r="L316" s="5">
        <f>PasteHashtag!J316</f>
        <v>0.7</v>
      </c>
      <c r="M316" s="5">
        <f>PasteHashtag!K316</f>
        <v>5.8</v>
      </c>
      <c r="N316" s="5">
        <f>PasteHashtag!L316</f>
        <v>1.7</v>
      </c>
      <c r="O316" s="5">
        <f>PasteHashtag!M316</f>
        <v>0.9</v>
      </c>
      <c r="P316" s="5">
        <f>PasteHashtag!N316</f>
        <v>0.8</v>
      </c>
      <c r="Q316" s="5">
        <f>PasteHashtag!O316</f>
        <v>0.3</v>
      </c>
      <c r="R316" s="5">
        <f>PasteHashtag!P316</f>
        <v>0.7</v>
      </c>
      <c r="S316" s="5">
        <f>Mid(PasteHashtag!H316,FIND("/",PasteHashtag!H316)+1,LEN(PasteHashtag!H316)-FIND("/",PasteHashtag!H316)-1)*1</f>
        <v>4.9</v>
      </c>
      <c r="T316" s="178">
        <f>Mid(PasteHashtag!I316,FIND("/",PasteHashtag!I316)+1,LEN(PasteHashtag!I316)-FIND("/",PasteHashtag!I316)-1)*1</f>
        <v>1.2</v>
      </c>
    </row>
    <row r="317">
      <c r="A317" s="5">
        <v>316.0</v>
      </c>
      <c r="B317" s="5" t="str">
        <f>PasteHashtag!B317</f>
        <v/>
      </c>
      <c r="C317" s="177" t="str">
        <f>PasteHashtag!C317</f>
        <v>Sam Merrill</v>
      </c>
      <c r="D317" s="5" t="str">
        <f>PasteHashtag!D317</f>
        <v>SG</v>
      </c>
      <c r="E317" s="5" t="str">
        <f>PasteHashtag!E317</f>
        <v>CLE</v>
      </c>
      <c r="F317" s="5">
        <f>PasteHashtag!F317</f>
        <v>58</v>
      </c>
      <c r="G317" s="5">
        <f>PasteHashtag!G317</f>
        <v>14.4</v>
      </c>
      <c r="H317" s="5">
        <f>MID(PasteHashtag!H317,1+FIND("(",PasteHashtag!H317),FIND("/",PasteHashtag!H317)-FIND("(",PasteHashtag!H317)-1)*1</f>
        <v>2.2</v>
      </c>
      <c r="I317" s="5">
        <f>LEFT(PasteHashtag!H317,FIND("(",PasteHashtag!H317)-1)*1</f>
        <v>0.402</v>
      </c>
      <c r="J317" s="5">
        <f>MID(PasteHashtag!I317,1+FIND("(",PasteHashtag!I317),FIND("/",PasteHashtag!I317)-FIND("(",PasteHashtag!I317)-1)*1</f>
        <v>0.4</v>
      </c>
      <c r="K317" s="5">
        <f>LEFT(PasteHashtag!I317,FIND("(",PasteHashtag!I317)-1)*1</f>
        <v>0.923</v>
      </c>
      <c r="L317" s="5">
        <f>PasteHashtag!J317</f>
        <v>1.9</v>
      </c>
      <c r="M317" s="5">
        <f>PasteHashtag!K317</f>
        <v>6.6</v>
      </c>
      <c r="N317" s="5">
        <f>PasteHashtag!L317</f>
        <v>1.7</v>
      </c>
      <c r="O317" s="5">
        <f>PasteHashtag!M317</f>
        <v>1.5</v>
      </c>
      <c r="P317" s="5">
        <f>PasteHashtag!N317</f>
        <v>0.3</v>
      </c>
      <c r="Q317" s="5">
        <f>PasteHashtag!O317</f>
        <v>0.1</v>
      </c>
      <c r="R317" s="5">
        <f>PasteHashtag!P317</f>
        <v>0.3</v>
      </c>
      <c r="S317" s="5">
        <f>Mid(PasteHashtag!H317,FIND("/",PasteHashtag!H317)+1,LEN(PasteHashtag!H317)-FIND("/",PasteHashtag!H317)-1)*1</f>
        <v>5.4</v>
      </c>
      <c r="T317" s="178">
        <f>Mid(PasteHashtag!I317,FIND("/",PasteHashtag!I317)+1,LEN(PasteHashtag!I317)-FIND("/",PasteHashtag!I317)-1)*1</f>
        <v>0.4</v>
      </c>
    </row>
    <row r="318">
      <c r="A318" s="5">
        <v>317.0</v>
      </c>
      <c r="B318" s="5" t="str">
        <f>PasteHashtag!B318</f>
        <v/>
      </c>
      <c r="C318" s="177" t="str">
        <f>PasteHashtag!C318</f>
        <v>Ochai Agbaji</v>
      </c>
      <c r="D318" s="5" t="str">
        <f>PasteHashtag!D318</f>
        <v>SG,SF</v>
      </c>
      <c r="E318" s="5" t="str">
        <f>PasteHashtag!E318</f>
        <v>TOR</v>
      </c>
      <c r="F318" s="5">
        <f>PasteHashtag!F318</f>
        <v>68</v>
      </c>
      <c r="G318" s="5">
        <f>PasteHashtag!G318</f>
        <v>20.5</v>
      </c>
      <c r="H318" s="5">
        <f>MID(PasteHashtag!H318,1+FIND("(",PasteHashtag!H318),FIND("/",PasteHashtag!H318)-FIND("(",PasteHashtag!H318)-1)*1</f>
        <v>2.5</v>
      </c>
      <c r="I318" s="5">
        <f>LEFT(PasteHashtag!H318,FIND("(",PasteHashtag!H318)-1)*1</f>
        <v>0.418</v>
      </c>
      <c r="J318" s="5">
        <f>MID(PasteHashtag!I318,1+FIND("(",PasteHashtag!I318),FIND("/",PasteHashtag!I318)-FIND("(",PasteHashtag!I318)-1)*1</f>
        <v>0.7</v>
      </c>
      <c r="K318" s="5">
        <f>LEFT(PasteHashtag!I318,FIND("(",PasteHashtag!I318)-1)*1</f>
        <v>0.747</v>
      </c>
      <c r="L318" s="5">
        <f>PasteHashtag!J318</f>
        <v>1</v>
      </c>
      <c r="M318" s="5">
        <f>PasteHashtag!K318</f>
        <v>6.7</v>
      </c>
      <c r="N318" s="5">
        <f>PasteHashtag!L318</f>
        <v>2.5</v>
      </c>
      <c r="O318" s="5">
        <f>PasteHashtag!M318</f>
        <v>1.1</v>
      </c>
      <c r="P318" s="5">
        <f>PasteHashtag!N318</f>
        <v>0.5</v>
      </c>
      <c r="Q318" s="5">
        <f>PasteHashtag!O318</f>
        <v>0.4</v>
      </c>
      <c r="R318" s="5">
        <f>PasteHashtag!P318</f>
        <v>0.8</v>
      </c>
      <c r="S318" s="5">
        <f>Mid(PasteHashtag!H318,FIND("/",PasteHashtag!H318)+1,LEN(PasteHashtag!H318)-FIND("/",PasteHashtag!H318)-1)*1</f>
        <v>6</v>
      </c>
      <c r="T318" s="178">
        <f>Mid(PasteHashtag!I318,FIND("/",PasteHashtag!I318)+1,LEN(PasteHashtag!I318)-FIND("/",PasteHashtag!I318)-1)*1</f>
        <v>0.9</v>
      </c>
    </row>
    <row r="319">
      <c r="A319" s="5">
        <v>318.0</v>
      </c>
      <c r="B319" s="5" t="str">
        <f>PasteHashtag!B319</f>
        <v/>
      </c>
      <c r="C319" s="177" t="str">
        <f>PasteHashtag!C319</f>
        <v>Haywood Highsmith</v>
      </c>
      <c r="D319" s="5" t="str">
        <f>PasteHashtag!D319</f>
        <v>SF,PF</v>
      </c>
      <c r="E319" s="5" t="str">
        <f>PasteHashtag!E319</f>
        <v>MIA</v>
      </c>
      <c r="F319" s="5">
        <f>PasteHashtag!F319</f>
        <v>60</v>
      </c>
      <c r="G319" s="5">
        <f>PasteHashtag!G319</f>
        <v>16.6</v>
      </c>
      <c r="H319" s="5">
        <f>MID(PasteHashtag!H319,1+FIND("(",PasteHashtag!H319),FIND("/",PasteHashtag!H319)-FIND("(",PasteHashtag!H319)-1)*1</f>
        <v>1.8</v>
      </c>
      <c r="I319" s="5">
        <f>LEFT(PasteHashtag!H319,FIND("(",PasteHashtag!H319)-1)*1</f>
        <v>0.453</v>
      </c>
      <c r="J319" s="5">
        <f>MID(PasteHashtag!I319,1+FIND("(",PasteHashtag!I319),FIND("/",PasteHashtag!I319)-FIND("(",PasteHashtag!I319)-1)*1</f>
        <v>0.3</v>
      </c>
      <c r="K319" s="5">
        <f>LEFT(PasteHashtag!I319,FIND("(",PasteHashtag!I319)-1)*1</f>
        <v>0.565</v>
      </c>
      <c r="L319" s="5">
        <f>PasteHashtag!J319</f>
        <v>0.8</v>
      </c>
      <c r="M319" s="5">
        <f>PasteHashtag!K319</f>
        <v>4.6</v>
      </c>
      <c r="N319" s="5">
        <f>PasteHashtag!L319</f>
        <v>2.9</v>
      </c>
      <c r="O319" s="5">
        <f>PasteHashtag!M319</f>
        <v>0.8</v>
      </c>
      <c r="P319" s="5">
        <f>PasteHashtag!N319</f>
        <v>0.6</v>
      </c>
      <c r="Q319" s="5">
        <f>PasteHashtag!O319</f>
        <v>0.3</v>
      </c>
      <c r="R319" s="5">
        <f>PasteHashtag!P319</f>
        <v>0.6</v>
      </c>
      <c r="S319" s="5">
        <f>Mid(PasteHashtag!H319,FIND("/",PasteHashtag!H319)+1,LEN(PasteHashtag!H319)-FIND("/",PasteHashtag!H319)-1)*1</f>
        <v>3.9</v>
      </c>
      <c r="T319" s="178">
        <f>Mid(PasteHashtag!I319,FIND("/",PasteHashtag!I319)+1,LEN(PasteHashtag!I319)-FIND("/",PasteHashtag!I319)-1)*1</f>
        <v>0.5</v>
      </c>
    </row>
    <row r="320">
      <c r="A320" s="5">
        <v>319.0</v>
      </c>
      <c r="B320" s="5" t="str">
        <f>PasteHashtag!B320</f>
        <v/>
      </c>
      <c r="C320" s="177" t="str">
        <f>PasteHashtag!C320</f>
        <v>Malaki Branham</v>
      </c>
      <c r="D320" s="5" t="str">
        <f>PasteHashtag!D320</f>
        <v>PG,SG</v>
      </c>
      <c r="E320" s="5" t="str">
        <f>PasteHashtag!E320</f>
        <v>SA</v>
      </c>
      <c r="F320" s="5">
        <f>PasteHashtag!F320</f>
        <v>65</v>
      </c>
      <c r="G320" s="5">
        <f>PasteHashtag!G320</f>
        <v>19.7</v>
      </c>
      <c r="H320" s="5">
        <f>MID(PasteHashtag!H320,1+FIND("(",PasteHashtag!H320),FIND("/",PasteHashtag!H320)-FIND("(",PasteHashtag!H320)-1)*1</f>
        <v>3.4</v>
      </c>
      <c r="I320" s="5">
        <f>LEFT(PasteHashtag!H320,FIND("(",PasteHashtag!H320)-1)*1</f>
        <v>0.436</v>
      </c>
      <c r="J320" s="5">
        <f>MID(PasteHashtag!I320,1+FIND("(",PasteHashtag!I320),FIND("/",PasteHashtag!I320)-FIND("(",PasteHashtag!I320)-1)*1</f>
        <v>0.7</v>
      </c>
      <c r="K320" s="5">
        <f>LEFT(PasteHashtag!I320,FIND("(",PasteHashtag!I320)-1)*1</f>
        <v>0.857</v>
      </c>
      <c r="L320" s="5">
        <f>PasteHashtag!J320</f>
        <v>1.1</v>
      </c>
      <c r="M320" s="5">
        <f>PasteHashtag!K320</f>
        <v>8.6</v>
      </c>
      <c r="N320" s="5">
        <f>PasteHashtag!L320</f>
        <v>2.1</v>
      </c>
      <c r="O320" s="5">
        <f>PasteHashtag!M320</f>
        <v>1.8</v>
      </c>
      <c r="P320" s="5">
        <f>PasteHashtag!N320</f>
        <v>0.4</v>
      </c>
      <c r="Q320" s="5">
        <f>PasteHashtag!O320</f>
        <v>0.1</v>
      </c>
      <c r="R320" s="5">
        <f>PasteHashtag!P320</f>
        <v>1.1</v>
      </c>
      <c r="S320" s="5">
        <f>Mid(PasteHashtag!H320,FIND("/",PasteHashtag!H320)+1,LEN(PasteHashtag!H320)-FIND("/",PasteHashtag!H320)-1)*1</f>
        <v>7.8</v>
      </c>
      <c r="T320" s="178">
        <f>Mid(PasteHashtag!I320,FIND("/",PasteHashtag!I320)+1,LEN(PasteHashtag!I320)-FIND("/",PasteHashtag!I320)-1)*1</f>
        <v>0.8</v>
      </c>
    </row>
    <row r="321">
      <c r="A321" s="5">
        <v>320.0</v>
      </c>
      <c r="B321" s="5" t="str">
        <f>PasteHashtag!B321</f>
        <v/>
      </c>
      <c r="C321" s="177" t="str">
        <f>PasteHashtag!C321</f>
        <v>Charles Bassey</v>
      </c>
      <c r="D321" s="5" t="str">
        <f>PasteHashtag!D321</f>
        <v>C</v>
      </c>
      <c r="E321" s="5" t="str">
        <f>PasteHashtag!E321</f>
        <v>SA</v>
      </c>
      <c r="F321" s="5">
        <f>PasteHashtag!F321</f>
        <v>20</v>
      </c>
      <c r="G321" s="5">
        <f>PasteHashtag!G321</f>
        <v>8.8</v>
      </c>
      <c r="H321" s="5">
        <f>MID(PasteHashtag!H321,1+FIND("(",PasteHashtag!H321),FIND("/",PasteHashtag!H321)-FIND("(",PasteHashtag!H321)-1)*1</f>
        <v>1.5</v>
      </c>
      <c r="I321" s="5">
        <f>LEFT(PasteHashtag!H321,FIND("(",PasteHashtag!H321)-1)*1</f>
        <v>0.665</v>
      </c>
      <c r="J321" s="5">
        <f>MID(PasteHashtag!I321,1+FIND("(",PasteHashtag!I321),FIND("/",PasteHashtag!I321)-FIND("(",PasteHashtag!I321)-1)*1</f>
        <v>0.3</v>
      </c>
      <c r="K321" s="5">
        <f>LEFT(PasteHashtag!I321,FIND("(",PasteHashtag!I321)-1)*1</f>
        <v>0.63</v>
      </c>
      <c r="L321" s="5">
        <f>PasteHashtag!J321</f>
        <v>0</v>
      </c>
      <c r="M321" s="5">
        <f>PasteHashtag!K321</f>
        <v>3.3</v>
      </c>
      <c r="N321" s="5">
        <f>PasteHashtag!L321</f>
        <v>3.4</v>
      </c>
      <c r="O321" s="5">
        <f>PasteHashtag!M321</f>
        <v>0.9</v>
      </c>
      <c r="P321" s="5">
        <f>PasteHashtag!N321</f>
        <v>0.3</v>
      </c>
      <c r="Q321" s="5">
        <f>PasteHashtag!O321</f>
        <v>0.6</v>
      </c>
      <c r="R321" s="5">
        <f>PasteHashtag!P321</f>
        <v>0.7</v>
      </c>
      <c r="S321" s="5">
        <f>Mid(PasteHashtag!H321,FIND("/",PasteHashtag!H321)+1,LEN(PasteHashtag!H321)-FIND("/",PasteHashtag!H321)-1)*1</f>
        <v>2.2</v>
      </c>
      <c r="T321" s="178">
        <f>Mid(PasteHashtag!I321,FIND("/",PasteHashtag!I321)+1,LEN(PasteHashtag!I321)-FIND("/",PasteHashtag!I321)-1)*1</f>
        <v>0.5</v>
      </c>
    </row>
    <row r="322">
      <c r="A322" s="5">
        <v>321.0</v>
      </c>
      <c r="B322" s="5" t="str">
        <f>PasteHashtag!B322</f>
        <v/>
      </c>
      <c r="C322" s="177" t="str">
        <f>PasteHashtag!C322</f>
        <v>Maxi Kleber</v>
      </c>
      <c r="D322" s="5" t="str">
        <f>PasteHashtag!D322</f>
        <v>PF,C</v>
      </c>
      <c r="E322" s="5" t="str">
        <f>PasteHashtag!E322</f>
        <v>DAL</v>
      </c>
      <c r="F322" s="5">
        <f>PasteHashtag!F322</f>
        <v>40</v>
      </c>
      <c r="G322" s="5">
        <f>PasteHashtag!G322</f>
        <v>18.5</v>
      </c>
      <c r="H322" s="5">
        <f>MID(PasteHashtag!H322,1+FIND("(",PasteHashtag!H322),FIND("/",PasteHashtag!H322)-FIND("(",PasteHashtag!H322)-1)*1</f>
        <v>1.5</v>
      </c>
      <c r="I322" s="5">
        <f>LEFT(PasteHashtag!H322,FIND("(",PasteHashtag!H322)-1)*1</f>
        <v>0.443</v>
      </c>
      <c r="J322" s="5">
        <f>MID(PasteHashtag!I322,1+FIND("(",PasteHashtag!I322),FIND("/",PasteHashtag!I322)-FIND("(",PasteHashtag!I322)-1)*1</f>
        <v>0.6</v>
      </c>
      <c r="K322" s="5">
        <f>LEFT(PasteHashtag!I322,FIND("(",PasteHashtag!I322)-1)*1</f>
        <v>0.705</v>
      </c>
      <c r="L322" s="5">
        <f>PasteHashtag!J322</f>
        <v>0.7</v>
      </c>
      <c r="M322" s="5">
        <f>PasteHashtag!K322</f>
        <v>4.3</v>
      </c>
      <c r="N322" s="5">
        <f>PasteHashtag!L322</f>
        <v>2.9</v>
      </c>
      <c r="O322" s="5">
        <f>PasteHashtag!M322</f>
        <v>1.2</v>
      </c>
      <c r="P322" s="5">
        <f>PasteHashtag!N322</f>
        <v>0.3</v>
      </c>
      <c r="Q322" s="5">
        <f>PasteHashtag!O322</f>
        <v>0.6</v>
      </c>
      <c r="R322" s="5">
        <f>PasteHashtag!P322</f>
        <v>0.6</v>
      </c>
      <c r="S322" s="5">
        <f>Mid(PasteHashtag!H322,FIND("/",PasteHashtag!H322)+1,LEN(PasteHashtag!H322)-FIND("/",PasteHashtag!H322)-1)*1</f>
        <v>3.3</v>
      </c>
      <c r="T322" s="178">
        <f>Mid(PasteHashtag!I322,FIND("/",PasteHashtag!I322)+1,LEN(PasteHashtag!I322)-FIND("/",PasteHashtag!I322)-1)*1</f>
        <v>0.9</v>
      </c>
    </row>
    <row r="323">
      <c r="A323" s="5">
        <v>322.0</v>
      </c>
      <c r="B323" s="5" t="str">
        <f>PasteHashtag!B323</f>
        <v/>
      </c>
      <c r="C323" s="177" t="str">
        <f>PasteHashtag!C323</f>
        <v>Guerschon Yabusele</v>
      </c>
      <c r="D323" s="5" t="str">
        <f>PasteHashtag!D323</f>
        <v/>
      </c>
      <c r="E323" s="5" t="str">
        <f>PasteHashtag!E323</f>
        <v>PHI</v>
      </c>
      <c r="F323" s="5">
        <f>PasteHashtag!F323</f>
        <v>60</v>
      </c>
      <c r="G323" s="5">
        <f>PasteHashtag!G323</f>
        <v>12.4</v>
      </c>
      <c r="H323" s="5">
        <f>MID(PasteHashtag!H323,1+FIND("(",PasteHashtag!H323),FIND("/",PasteHashtag!H323)-FIND("(",PasteHashtag!H323)-1)*1</f>
        <v>2</v>
      </c>
      <c r="I323" s="5">
        <f>LEFT(PasteHashtag!H323,FIND("(",PasteHashtag!H323)-1)*1</f>
        <v>0.466</v>
      </c>
      <c r="J323" s="5">
        <f>MID(PasteHashtag!I323,1+FIND("(",PasteHashtag!I323),FIND("/",PasteHashtag!I323)-FIND("(",PasteHashtag!I323)-1)*1</f>
        <v>0.9</v>
      </c>
      <c r="K323" s="5">
        <f>LEFT(PasteHashtag!I323,FIND("(",PasteHashtag!I323)-1)*1</f>
        <v>0.77</v>
      </c>
      <c r="L323" s="5">
        <f>PasteHashtag!J323</f>
        <v>0.9</v>
      </c>
      <c r="M323" s="5">
        <f>PasteHashtag!K323</f>
        <v>5.7</v>
      </c>
      <c r="N323" s="5">
        <f>PasteHashtag!L323</f>
        <v>2.7</v>
      </c>
      <c r="O323" s="5">
        <f>PasteHashtag!M323</f>
        <v>0.8</v>
      </c>
      <c r="P323" s="5">
        <f>PasteHashtag!N323</f>
        <v>0.4</v>
      </c>
      <c r="Q323" s="5">
        <f>PasteHashtag!O323</f>
        <v>0.4</v>
      </c>
      <c r="R323" s="5">
        <f>PasteHashtag!P323</f>
        <v>0.8</v>
      </c>
      <c r="S323" s="5">
        <f>Mid(PasteHashtag!H323,FIND("/",PasteHashtag!H323)+1,LEN(PasteHashtag!H323)-FIND("/",PasteHashtag!H323)-1)*1</f>
        <v>4.3</v>
      </c>
      <c r="T323" s="178">
        <f>Mid(PasteHashtag!I323,FIND("/",PasteHashtag!I323)+1,LEN(PasteHashtag!I323)-FIND("/",PasteHashtag!I323)-1)*1</f>
        <v>1.1</v>
      </c>
    </row>
    <row r="324">
      <c r="A324" s="5">
        <v>323.0</v>
      </c>
      <c r="B324" s="5" t="str">
        <f>PasteHashtag!B324</f>
        <v/>
      </c>
      <c r="C324" s="177" t="str">
        <f>PasteHashtag!C324</f>
        <v>Kyle Filipowski</v>
      </c>
      <c r="D324" s="5" t="str">
        <f>PasteHashtag!D324</f>
        <v>PF</v>
      </c>
      <c r="E324" s="5" t="str">
        <f>PasteHashtag!E324</f>
        <v>UTA</v>
      </c>
      <c r="F324" s="5">
        <f>PasteHashtag!F324</f>
        <v>54</v>
      </c>
      <c r="G324" s="5">
        <f>PasteHashtag!G324</f>
        <v>15.2</v>
      </c>
      <c r="H324" s="5">
        <f>MID(PasteHashtag!H324,1+FIND("(",PasteHashtag!H324),FIND("/",PasteHashtag!H324)-FIND("(",PasteHashtag!H324)-1)*1</f>
        <v>2.3</v>
      </c>
      <c r="I324" s="5">
        <f>LEFT(PasteHashtag!H324,FIND("(",PasteHashtag!H324)-1)*1</f>
        <v>0.506</v>
      </c>
      <c r="J324" s="5">
        <f>MID(PasteHashtag!I324,1+FIND("(",PasteHashtag!I324),FIND("/",PasteHashtag!I324)-FIND("(",PasteHashtag!I324)-1)*1</f>
        <v>1.2</v>
      </c>
      <c r="K324" s="5">
        <f>LEFT(PasteHashtag!I324,FIND("(",PasteHashtag!I324)-1)*1</f>
        <v>0.672</v>
      </c>
      <c r="L324" s="5">
        <f>PasteHashtag!J324</f>
        <v>0.4</v>
      </c>
      <c r="M324" s="5">
        <f>PasteHashtag!K324</f>
        <v>6.2</v>
      </c>
      <c r="N324" s="5">
        <f>PasteHashtag!L324</f>
        <v>3.1</v>
      </c>
      <c r="O324" s="5">
        <f>PasteHashtag!M324</f>
        <v>1</v>
      </c>
      <c r="P324" s="5">
        <f>PasteHashtag!N324</f>
        <v>0.4</v>
      </c>
      <c r="Q324" s="5">
        <f>PasteHashtag!O324</f>
        <v>0.6</v>
      </c>
      <c r="R324" s="5">
        <f>PasteHashtag!P324</f>
        <v>0.8</v>
      </c>
      <c r="S324" s="5">
        <f>Mid(PasteHashtag!H324,FIND("/",PasteHashtag!H324)+1,LEN(PasteHashtag!H324)-FIND("/",PasteHashtag!H324)-1)*1</f>
        <v>4.5</v>
      </c>
      <c r="T324" s="178">
        <f>Mid(PasteHashtag!I324,FIND("/",PasteHashtag!I324)+1,LEN(PasteHashtag!I324)-FIND("/",PasteHashtag!I324)-1)*1</f>
        <v>1.7</v>
      </c>
    </row>
    <row r="325">
      <c r="A325" s="5">
        <v>324.0</v>
      </c>
      <c r="B325" s="5" t="str">
        <f>PasteHashtag!B325</f>
        <v/>
      </c>
      <c r="C325" s="177" t="str">
        <f>PasteHashtag!C325</f>
        <v>Jaxson Hayes</v>
      </c>
      <c r="D325" s="5" t="str">
        <f>PasteHashtag!D325</f>
        <v>PF,C</v>
      </c>
      <c r="E325" s="5" t="str">
        <f>PasteHashtag!E325</f>
        <v>LAL</v>
      </c>
      <c r="F325" s="5">
        <f>PasteHashtag!F325</f>
        <v>70</v>
      </c>
      <c r="G325" s="5">
        <f>PasteHashtag!G325</f>
        <v>13.6</v>
      </c>
      <c r="H325" s="5">
        <f>MID(PasteHashtag!H325,1+FIND("(",PasteHashtag!H325),FIND("/",PasteHashtag!H325)-FIND("(",PasteHashtag!H325)-1)*1</f>
        <v>2</v>
      </c>
      <c r="I325" s="5">
        <f>LEFT(PasteHashtag!H325,FIND("(",PasteHashtag!H325)-1)*1</f>
        <v>0.641</v>
      </c>
      <c r="J325" s="5">
        <f>MID(PasteHashtag!I325,1+FIND("(",PasteHashtag!I325),FIND("/",PasteHashtag!I325)-FIND("(",PasteHashtag!I325)-1)*1</f>
        <v>1</v>
      </c>
      <c r="K325" s="5">
        <f>LEFT(PasteHashtag!I325,FIND("(",PasteHashtag!I325)-1)*1</f>
        <v>0.664</v>
      </c>
      <c r="L325" s="5">
        <f>PasteHashtag!J325</f>
        <v>0</v>
      </c>
      <c r="M325" s="5">
        <f>PasteHashtag!K325</f>
        <v>5</v>
      </c>
      <c r="N325" s="5">
        <f>PasteHashtag!L325</f>
        <v>3.2</v>
      </c>
      <c r="O325" s="5">
        <f>PasteHashtag!M325</f>
        <v>0.6</v>
      </c>
      <c r="P325" s="5">
        <f>PasteHashtag!N325</f>
        <v>0.5</v>
      </c>
      <c r="Q325" s="5">
        <f>PasteHashtag!O325</f>
        <v>0.4</v>
      </c>
      <c r="R325" s="5">
        <f>PasteHashtag!P325</f>
        <v>0.7</v>
      </c>
      <c r="S325" s="5">
        <f>Mid(PasteHashtag!H325,FIND("/",PasteHashtag!H325)+1,LEN(PasteHashtag!H325)-FIND("/",PasteHashtag!H325)-1)*1</f>
        <v>3.1</v>
      </c>
      <c r="T325" s="178">
        <f>Mid(PasteHashtag!I325,FIND("/",PasteHashtag!I325)+1,LEN(PasteHashtag!I325)-FIND("/",PasteHashtag!I325)-1)*1</f>
        <v>1.5</v>
      </c>
    </row>
    <row r="326">
      <c r="A326" s="5">
        <v>325.0</v>
      </c>
      <c r="B326" s="5" t="str">
        <f>PasteHashtag!B326</f>
        <v/>
      </c>
      <c r="C326" s="177" t="str">
        <f>PasteHashtag!C326</f>
        <v>Richaun Holmes</v>
      </c>
      <c r="D326" s="5" t="str">
        <f>PasteHashtag!D326</f>
        <v>C</v>
      </c>
      <c r="E326" s="5" t="str">
        <f>PasteHashtag!E326</f>
        <v>WAS</v>
      </c>
      <c r="F326" s="5">
        <f>PasteHashtag!F326</f>
        <v>54</v>
      </c>
      <c r="G326" s="5">
        <f>PasteHashtag!G326</f>
        <v>13.4</v>
      </c>
      <c r="H326" s="5">
        <f>MID(PasteHashtag!H326,1+FIND("(",PasteHashtag!H326),FIND("/",PasteHashtag!H326)-FIND("(",PasteHashtag!H326)-1)*1</f>
        <v>2.1</v>
      </c>
      <c r="I326" s="5">
        <f>LEFT(PasteHashtag!H326,FIND("(",PasteHashtag!H326)-1)*1</f>
        <v>0.582</v>
      </c>
      <c r="J326" s="5">
        <f>MID(PasteHashtag!I326,1+FIND("(",PasteHashtag!I326),FIND("/",PasteHashtag!I326)-FIND("(",PasteHashtag!I326)-1)*1</f>
        <v>0.7</v>
      </c>
      <c r="K326" s="5">
        <f>LEFT(PasteHashtag!I326,FIND("(",PasteHashtag!I326)-1)*1</f>
        <v>0.747</v>
      </c>
      <c r="L326" s="5">
        <f>PasteHashtag!J326</f>
        <v>0.1</v>
      </c>
      <c r="M326" s="5">
        <f>PasteHashtag!K326</f>
        <v>4.9</v>
      </c>
      <c r="N326" s="5">
        <f>PasteHashtag!L326</f>
        <v>3.9</v>
      </c>
      <c r="O326" s="5">
        <f>PasteHashtag!M326</f>
        <v>0.5</v>
      </c>
      <c r="P326" s="5">
        <f>PasteHashtag!N326</f>
        <v>0.2</v>
      </c>
      <c r="Q326" s="5">
        <f>PasteHashtag!O326</f>
        <v>0.5</v>
      </c>
      <c r="R326" s="5">
        <f>PasteHashtag!P326</f>
        <v>0.6</v>
      </c>
      <c r="S326" s="5">
        <f>Mid(PasteHashtag!H326,FIND("/",PasteHashtag!H326)+1,LEN(PasteHashtag!H326)-FIND("/",PasteHashtag!H326)-1)*1</f>
        <v>3.5</v>
      </c>
      <c r="T326" s="178">
        <f>Mid(PasteHashtag!I326,FIND("/",PasteHashtag!I326)+1,LEN(PasteHashtag!I326)-FIND("/",PasteHashtag!I326)-1)*1</f>
        <v>1</v>
      </c>
    </row>
    <row r="327">
      <c r="A327" s="5">
        <v>326.0</v>
      </c>
      <c r="B327" s="5" t="str">
        <f>PasteHashtag!B327</f>
        <v/>
      </c>
      <c r="C327" s="177" t="str">
        <f>PasteHashtag!C327</f>
        <v>Jock Landale</v>
      </c>
      <c r="D327" s="5" t="str">
        <f>PasteHashtag!D327</f>
        <v>C</v>
      </c>
      <c r="E327" s="5" t="str">
        <f>PasteHashtag!E327</f>
        <v>HOU</v>
      </c>
      <c r="F327" s="5">
        <f>PasteHashtag!F327</f>
        <v>44</v>
      </c>
      <c r="G327" s="5">
        <f>PasteHashtag!G327</f>
        <v>12.4</v>
      </c>
      <c r="H327" s="5">
        <f>MID(PasteHashtag!H327,1+FIND("(",PasteHashtag!H327),FIND("/",PasteHashtag!H327)-FIND("(",PasteHashtag!H327)-1)*1</f>
        <v>2</v>
      </c>
      <c r="I327" s="5">
        <f>LEFT(PasteHashtag!H327,FIND("(",PasteHashtag!H327)-1)*1</f>
        <v>0.523</v>
      </c>
      <c r="J327" s="5">
        <f>MID(PasteHashtag!I327,1+FIND("(",PasteHashtag!I327),FIND("/",PasteHashtag!I327)-FIND("(",PasteHashtag!I327)-1)*1</f>
        <v>0.9</v>
      </c>
      <c r="K327" s="5">
        <f>LEFT(PasteHashtag!I327,FIND("(",PasteHashtag!I327)-1)*1</f>
        <v>0.77</v>
      </c>
      <c r="L327" s="5">
        <f>PasteHashtag!J327</f>
        <v>0.2</v>
      </c>
      <c r="M327" s="5">
        <f>PasteHashtag!K327</f>
        <v>5.3</v>
      </c>
      <c r="N327" s="5">
        <f>PasteHashtag!L327</f>
        <v>3.3</v>
      </c>
      <c r="O327" s="5">
        <f>PasteHashtag!M327</f>
        <v>1</v>
      </c>
      <c r="P327" s="5">
        <f>PasteHashtag!N327</f>
        <v>0.3</v>
      </c>
      <c r="Q327" s="5">
        <f>PasteHashtag!O327</f>
        <v>0.5</v>
      </c>
      <c r="R327" s="5">
        <f>PasteHashtag!P327</f>
        <v>0.7</v>
      </c>
      <c r="S327" s="5">
        <f>Mid(PasteHashtag!H327,FIND("/",PasteHashtag!H327)+1,LEN(PasteHashtag!H327)-FIND("/",PasteHashtag!H327)-1)*1</f>
        <v>3.9</v>
      </c>
      <c r="T327" s="178">
        <f>Mid(PasteHashtag!I327,FIND("/",PasteHashtag!I327)+1,LEN(PasteHashtag!I327)-FIND("/",PasteHashtag!I327)-1)*1</f>
        <v>1.2</v>
      </c>
    </row>
    <row r="328">
      <c r="A328" s="5">
        <v>327.0</v>
      </c>
      <c r="B328" s="5" t="str">
        <f>PasteHashtag!B328</f>
        <v/>
      </c>
      <c r="C328" s="177" t="str">
        <f>PasteHashtag!C328</f>
        <v>Craig Porter Jr.</v>
      </c>
      <c r="D328" s="5" t="str">
        <f>PasteHashtag!D328</f>
        <v>PG,SG</v>
      </c>
      <c r="E328" s="5" t="str">
        <f>PasteHashtag!E328</f>
        <v>CLE</v>
      </c>
      <c r="F328" s="5">
        <f>PasteHashtag!F328</f>
        <v>55</v>
      </c>
      <c r="G328" s="5">
        <f>PasteHashtag!G328</f>
        <v>12.4</v>
      </c>
      <c r="H328" s="5">
        <f>MID(PasteHashtag!H328,1+FIND("(",PasteHashtag!H328),FIND("/",PasteHashtag!H328)-FIND("(",PasteHashtag!H328)-1)*1</f>
        <v>2.2</v>
      </c>
      <c r="I328" s="5">
        <f>LEFT(PasteHashtag!H328,FIND("(",PasteHashtag!H328)-1)*1</f>
        <v>0.509</v>
      </c>
      <c r="J328" s="5">
        <f>MID(PasteHashtag!I328,1+FIND("(",PasteHashtag!I328),FIND("/",PasteHashtag!I328)-FIND("(",PasteHashtag!I328)-1)*1</f>
        <v>0.8</v>
      </c>
      <c r="K328" s="5">
        <f>LEFT(PasteHashtag!I328,FIND("(",PasteHashtag!I328)-1)*1</f>
        <v>0.731</v>
      </c>
      <c r="L328" s="5">
        <f>PasteHashtag!J328</f>
        <v>0.2</v>
      </c>
      <c r="M328" s="5">
        <f>PasteHashtag!K328</f>
        <v>5.5</v>
      </c>
      <c r="N328" s="5">
        <f>PasteHashtag!L328</f>
        <v>2.1</v>
      </c>
      <c r="O328" s="5">
        <f>PasteHashtag!M328</f>
        <v>2.3</v>
      </c>
      <c r="P328" s="5">
        <f>PasteHashtag!N328</f>
        <v>0.4</v>
      </c>
      <c r="Q328" s="5">
        <f>PasteHashtag!O328</f>
        <v>0.3</v>
      </c>
      <c r="R328" s="5">
        <f>PasteHashtag!P328</f>
        <v>0.9</v>
      </c>
      <c r="S328" s="5">
        <f>Mid(PasteHashtag!H328,FIND("/",PasteHashtag!H328)+1,LEN(PasteHashtag!H328)-FIND("/",PasteHashtag!H328)-1)*1</f>
        <v>4.4</v>
      </c>
      <c r="T328" s="178">
        <f>Mid(PasteHashtag!I328,FIND("/",PasteHashtag!I328)+1,LEN(PasteHashtag!I328)-FIND("/",PasteHashtag!I328)-1)*1</f>
        <v>1.1</v>
      </c>
    </row>
    <row r="329">
      <c r="A329" s="5">
        <v>328.0</v>
      </c>
      <c r="B329" s="5" t="str">
        <f>PasteHashtag!B329</f>
        <v/>
      </c>
      <c r="C329" s="177" t="str">
        <f>PasteHashtag!C329</f>
        <v>Jordan Hawkins</v>
      </c>
      <c r="D329" s="5" t="str">
        <f>PasteHashtag!D329</f>
        <v>SG</v>
      </c>
      <c r="E329" s="5" t="str">
        <f>PasteHashtag!E329</f>
        <v>NO</v>
      </c>
      <c r="F329" s="5">
        <f>PasteHashtag!F329</f>
        <v>64</v>
      </c>
      <c r="G329" s="5">
        <f>PasteHashtag!G329</f>
        <v>18.8</v>
      </c>
      <c r="H329" s="5">
        <f>MID(PasteHashtag!H329,1+FIND("(",PasteHashtag!H329),FIND("/",PasteHashtag!H329)-FIND("(",PasteHashtag!H329)-1)*1</f>
        <v>2.9</v>
      </c>
      <c r="I329" s="5">
        <f>LEFT(PasteHashtag!H329,FIND("(",PasteHashtag!H329)-1)*1</f>
        <v>0.382</v>
      </c>
      <c r="J329" s="5">
        <f>MID(PasteHashtag!I329,1+FIND("(",PasteHashtag!I329),FIND("/",PasteHashtag!I329)-FIND("(",PasteHashtag!I329)-1)*1</f>
        <v>1.1</v>
      </c>
      <c r="K329" s="5">
        <f>LEFT(PasteHashtag!I329,FIND("(",PasteHashtag!I329)-1)*1</f>
        <v>0.84</v>
      </c>
      <c r="L329" s="5">
        <f>PasteHashtag!J329</f>
        <v>1.8</v>
      </c>
      <c r="M329" s="5">
        <f>PasteHashtag!K329</f>
        <v>8.6</v>
      </c>
      <c r="N329" s="5">
        <f>PasteHashtag!L329</f>
        <v>2.4</v>
      </c>
      <c r="O329" s="5">
        <f>PasteHashtag!M329</f>
        <v>1.2</v>
      </c>
      <c r="P329" s="5">
        <f>PasteHashtag!N329</f>
        <v>0.3</v>
      </c>
      <c r="Q329" s="5">
        <f>PasteHashtag!O329</f>
        <v>0.1</v>
      </c>
      <c r="R329" s="5">
        <f>PasteHashtag!P329</f>
        <v>0.7</v>
      </c>
      <c r="S329" s="5">
        <f>Mid(PasteHashtag!H329,FIND("/",PasteHashtag!H329)+1,LEN(PasteHashtag!H329)-FIND("/",PasteHashtag!H329)-1)*1</f>
        <v>7.5</v>
      </c>
      <c r="T329" s="178">
        <f>Mid(PasteHashtag!I329,FIND("/",PasteHashtag!I329)+1,LEN(PasteHashtag!I329)-FIND("/",PasteHashtag!I329)-1)*1</f>
        <v>1.3</v>
      </c>
    </row>
    <row r="330">
      <c r="A330" s="5">
        <v>329.0</v>
      </c>
      <c r="B330" s="5" t="str">
        <f>PasteHashtag!B330</f>
        <v/>
      </c>
      <c r="C330" s="177" t="str">
        <f>PasteHashtag!C330</f>
        <v>Jabari Walker</v>
      </c>
      <c r="D330" s="5" t="str">
        <f>PasteHashtag!D330</f>
        <v>SF,PF</v>
      </c>
      <c r="E330" s="5" t="str">
        <f>PasteHashtag!E330</f>
        <v>POR</v>
      </c>
      <c r="F330" s="5">
        <f>PasteHashtag!F330</f>
        <v>65</v>
      </c>
      <c r="G330" s="5">
        <f>PasteHashtag!G330</f>
        <v>17.1</v>
      </c>
      <c r="H330" s="5">
        <f>MID(PasteHashtag!H330,1+FIND("(",PasteHashtag!H330),FIND("/",PasteHashtag!H330)-FIND("(",PasteHashtag!H330)-1)*1</f>
        <v>2.4</v>
      </c>
      <c r="I330" s="5">
        <f>LEFT(PasteHashtag!H330,FIND("(",PasteHashtag!H330)-1)*1</f>
        <v>0.449</v>
      </c>
      <c r="J330" s="5">
        <f>MID(PasteHashtag!I330,1+FIND("(",PasteHashtag!I330),FIND("/",PasteHashtag!I330)-FIND("(",PasteHashtag!I330)-1)*1</f>
        <v>1.2</v>
      </c>
      <c r="K330" s="5">
        <f>LEFT(PasteHashtag!I330,FIND("(",PasteHashtag!I330)-1)*1</f>
        <v>0.752</v>
      </c>
      <c r="L330" s="5">
        <f>PasteHashtag!J330</f>
        <v>0.4</v>
      </c>
      <c r="M330" s="5">
        <f>PasteHashtag!K330</f>
        <v>6.4</v>
      </c>
      <c r="N330" s="5">
        <f>PasteHashtag!L330</f>
        <v>4.8</v>
      </c>
      <c r="O330" s="5">
        <f>PasteHashtag!M330</f>
        <v>0.8</v>
      </c>
      <c r="P330" s="5">
        <f>PasteHashtag!N330</f>
        <v>0.4</v>
      </c>
      <c r="Q330" s="5">
        <f>PasteHashtag!O330</f>
        <v>0.3</v>
      </c>
      <c r="R330" s="5">
        <f>PasteHashtag!P330</f>
        <v>0.7</v>
      </c>
      <c r="S330" s="5">
        <f>Mid(PasteHashtag!H330,FIND("/",PasteHashtag!H330)+1,LEN(PasteHashtag!H330)-FIND("/",PasteHashtag!H330)-1)*1</f>
        <v>5.3</v>
      </c>
      <c r="T330" s="178">
        <f>Mid(PasteHashtag!I330,FIND("/",PasteHashtag!I330)+1,LEN(PasteHashtag!I330)-FIND("/",PasteHashtag!I330)-1)*1</f>
        <v>1.6</v>
      </c>
    </row>
    <row r="331">
      <c r="A331" s="5">
        <v>330.0</v>
      </c>
      <c r="B331" s="5" t="str">
        <f>PasteHashtag!B331</f>
        <v/>
      </c>
      <c r="C331" s="177" t="str">
        <f>PasteHashtag!C331</f>
        <v>Vasilije Micic</v>
      </c>
      <c r="D331" s="5" t="str">
        <f>PasteHashtag!D331</f>
        <v>PG,SG</v>
      </c>
      <c r="E331" s="5" t="str">
        <f>PasteHashtag!E331</f>
        <v>CHA</v>
      </c>
      <c r="F331" s="5">
        <f>PasteHashtag!F331</f>
        <v>58</v>
      </c>
      <c r="G331" s="5">
        <f>PasteHashtag!G331</f>
        <v>16.5</v>
      </c>
      <c r="H331" s="5">
        <f>MID(PasteHashtag!H331,1+FIND("(",PasteHashtag!H331),FIND("/",PasteHashtag!H331)-FIND("(",PasteHashtag!H331)-1)*1</f>
        <v>2.3</v>
      </c>
      <c r="I331" s="5">
        <f>LEFT(PasteHashtag!H331,FIND("(",PasteHashtag!H331)-1)*1</f>
        <v>0.429</v>
      </c>
      <c r="J331" s="5">
        <f>MID(PasteHashtag!I331,1+FIND("(",PasteHashtag!I331),FIND("/",PasteHashtag!I331)-FIND("(",PasteHashtag!I331)-1)*1</f>
        <v>0.9</v>
      </c>
      <c r="K331" s="5">
        <f>LEFT(PasteHashtag!I331,FIND("(",PasteHashtag!I331)-1)*1</f>
        <v>0.811</v>
      </c>
      <c r="L331" s="5">
        <f>PasteHashtag!J331</f>
        <v>0.6</v>
      </c>
      <c r="M331" s="5">
        <f>PasteHashtag!K331</f>
        <v>6</v>
      </c>
      <c r="N331" s="5">
        <f>PasteHashtag!L331</f>
        <v>1.3</v>
      </c>
      <c r="O331" s="5">
        <f>PasteHashtag!M331</f>
        <v>3.7</v>
      </c>
      <c r="P331" s="5">
        <f>PasteHashtag!N331</f>
        <v>0.4</v>
      </c>
      <c r="Q331" s="5">
        <f>PasteHashtag!O331</f>
        <v>0.1</v>
      </c>
      <c r="R331" s="5">
        <f>PasteHashtag!P331</f>
        <v>1.4</v>
      </c>
      <c r="S331" s="5">
        <f>Mid(PasteHashtag!H331,FIND("/",PasteHashtag!H331)+1,LEN(PasteHashtag!H331)-FIND("/",PasteHashtag!H331)-1)*1</f>
        <v>5.2</v>
      </c>
      <c r="T331" s="178">
        <f>Mid(PasteHashtag!I331,FIND("/",PasteHashtag!I331)+1,LEN(PasteHashtag!I331)-FIND("/",PasteHashtag!I331)-1)*1</f>
        <v>1.1</v>
      </c>
    </row>
    <row r="332">
      <c r="A332" s="5">
        <v>331.0</v>
      </c>
      <c r="B332" s="5" t="str">
        <f>PasteHashtag!B332</f>
        <v/>
      </c>
      <c r="C332" s="177" t="str">
        <f>PasteHashtag!C332</f>
        <v>Kenrich Williams</v>
      </c>
      <c r="D332" s="5" t="str">
        <f>PasteHashtag!D332</f>
        <v>PF</v>
      </c>
      <c r="E332" s="5" t="str">
        <f>PasteHashtag!E332</f>
        <v>OKC</v>
      </c>
      <c r="F332" s="5">
        <f>PasteHashtag!F332</f>
        <v>58</v>
      </c>
      <c r="G332" s="5">
        <f>PasteHashtag!G332</f>
        <v>14.2</v>
      </c>
      <c r="H332" s="5">
        <f>MID(PasteHashtag!H332,1+FIND("(",PasteHashtag!H332),FIND("/",PasteHashtag!H332)-FIND("(",PasteHashtag!H332)-1)*1</f>
        <v>2</v>
      </c>
      <c r="I332" s="5">
        <f>LEFT(PasteHashtag!H332,FIND("(",PasteHashtag!H332)-1)*1</f>
        <v>0.495</v>
      </c>
      <c r="J332" s="5">
        <f>MID(PasteHashtag!I332,1+FIND("(",PasteHashtag!I332),FIND("/",PasteHashtag!I332)-FIND("(",PasteHashtag!I332)-1)*1</f>
        <v>0.2</v>
      </c>
      <c r="K332" s="5">
        <f>LEFT(PasteHashtag!I332,FIND("(",PasteHashtag!I332)-1)*1</f>
        <v>0.441</v>
      </c>
      <c r="L332" s="5">
        <f>PasteHashtag!J332</f>
        <v>0.7</v>
      </c>
      <c r="M332" s="5">
        <f>PasteHashtag!K332</f>
        <v>4.8</v>
      </c>
      <c r="N332" s="5">
        <f>PasteHashtag!L332</f>
        <v>3</v>
      </c>
      <c r="O332" s="5">
        <f>PasteHashtag!M332</f>
        <v>1.3</v>
      </c>
      <c r="P332" s="5">
        <f>PasteHashtag!N332</f>
        <v>0.5</v>
      </c>
      <c r="Q332" s="5">
        <f>PasteHashtag!O332</f>
        <v>0.2</v>
      </c>
      <c r="R332" s="5">
        <f>PasteHashtag!P332</f>
        <v>0.4</v>
      </c>
      <c r="S332" s="5">
        <f>Mid(PasteHashtag!H332,FIND("/",PasteHashtag!H332)+1,LEN(PasteHashtag!H332)-FIND("/",PasteHashtag!H332)-1)*1</f>
        <v>4</v>
      </c>
      <c r="T332" s="178">
        <f>Mid(PasteHashtag!I332,FIND("/",PasteHashtag!I332)+1,LEN(PasteHashtag!I332)-FIND("/",PasteHashtag!I332)-1)*1</f>
        <v>0.3</v>
      </c>
    </row>
    <row r="333">
      <c r="A333" s="5">
        <v>332.0</v>
      </c>
      <c r="B333" s="5" t="str">
        <f>PasteHashtag!B333</f>
        <v/>
      </c>
      <c r="C333" s="177" t="str">
        <f>PasteHashtag!C333</f>
        <v>Jordan McLaughlin</v>
      </c>
      <c r="D333" s="5" t="str">
        <f>PasteHashtag!D333</f>
        <v>PG,SG</v>
      </c>
      <c r="E333" s="5" t="str">
        <f>PasteHashtag!E333</f>
        <v>SAC</v>
      </c>
      <c r="F333" s="5">
        <f>PasteHashtag!F333</f>
        <v>50</v>
      </c>
      <c r="G333" s="5">
        <f>PasteHashtag!G333</f>
        <v>12.2</v>
      </c>
      <c r="H333" s="5">
        <f>MID(PasteHashtag!H333,1+FIND("(",PasteHashtag!H333),FIND("/",PasteHashtag!H333)-FIND("(",PasteHashtag!H333)-1)*1</f>
        <v>1.2</v>
      </c>
      <c r="I333" s="5">
        <f>LEFT(PasteHashtag!H333,FIND("(",PasteHashtag!H333)-1)*1</f>
        <v>0.453</v>
      </c>
      <c r="J333" s="5">
        <f>MID(PasteHashtag!I333,1+FIND("(",PasteHashtag!I333),FIND("/",PasteHashtag!I333)-FIND("(",PasteHashtag!I333)-1)*1</f>
        <v>0.3</v>
      </c>
      <c r="K333" s="5">
        <f>LEFT(PasteHashtag!I333,FIND("(",PasteHashtag!I333)-1)*1</f>
        <v>0.765</v>
      </c>
      <c r="L333" s="5">
        <f>PasteHashtag!J333</f>
        <v>0.6</v>
      </c>
      <c r="M333" s="5">
        <f>PasteHashtag!K333</f>
        <v>3.4</v>
      </c>
      <c r="N333" s="5">
        <f>PasteHashtag!L333</f>
        <v>1.3</v>
      </c>
      <c r="O333" s="5">
        <f>PasteHashtag!M333</f>
        <v>2.4</v>
      </c>
      <c r="P333" s="5">
        <f>PasteHashtag!N333</f>
        <v>0.6</v>
      </c>
      <c r="Q333" s="5">
        <f>PasteHashtag!O333</f>
        <v>0.1</v>
      </c>
      <c r="R333" s="5">
        <f>PasteHashtag!P333</f>
        <v>0.5</v>
      </c>
      <c r="S333" s="5">
        <f>Mid(PasteHashtag!H333,FIND("/",PasteHashtag!H333)+1,LEN(PasteHashtag!H333)-FIND("/",PasteHashtag!H333)-1)*1</f>
        <v>2.7</v>
      </c>
      <c r="T333" s="178">
        <f>Mid(PasteHashtag!I333,FIND("/",PasteHashtag!I333)+1,LEN(PasteHashtag!I333)-FIND("/",PasteHashtag!I333)-1)*1</f>
        <v>0.3</v>
      </c>
    </row>
    <row r="334">
      <c r="A334" s="5">
        <v>333.0</v>
      </c>
      <c r="B334" s="5" t="str">
        <f>PasteHashtag!B334</f>
        <v/>
      </c>
      <c r="C334" s="177" t="str">
        <f>PasteHashtag!C334</f>
        <v>Johnny Furphy</v>
      </c>
      <c r="D334" s="5" t="str">
        <f>PasteHashtag!D334</f>
        <v>SG</v>
      </c>
      <c r="E334" s="5" t="str">
        <f>PasteHashtag!E334</f>
        <v>IND</v>
      </c>
      <c r="F334" s="5">
        <f>PasteHashtag!F334</f>
        <v>60</v>
      </c>
      <c r="G334" s="5">
        <f>PasteHashtag!G334</f>
        <v>18.6</v>
      </c>
      <c r="H334" s="5">
        <f>MID(PasteHashtag!H334,1+FIND("(",PasteHashtag!H334),FIND("/",PasteHashtag!H334)-FIND("(",PasteHashtag!H334)-1)*1</f>
        <v>1.7</v>
      </c>
      <c r="I334" s="5">
        <f>LEFT(PasteHashtag!H334,FIND("(",PasteHashtag!H334)-1)*1</f>
        <v>0.457</v>
      </c>
      <c r="J334" s="5">
        <f>MID(PasteHashtag!I334,1+FIND("(",PasteHashtag!I334),FIND("/",PasteHashtag!I334)-FIND("(",PasteHashtag!I334)-1)*1</f>
        <v>1.1</v>
      </c>
      <c r="K334" s="5">
        <f>LEFT(PasteHashtag!I334,FIND("(",PasteHashtag!I334)-1)*1</f>
        <v>0.761</v>
      </c>
      <c r="L334" s="5">
        <f>PasteHashtag!J334</f>
        <v>0.8</v>
      </c>
      <c r="M334" s="5">
        <f>PasteHashtag!K334</f>
        <v>5.1</v>
      </c>
      <c r="N334" s="5">
        <f>PasteHashtag!L334</f>
        <v>2.8</v>
      </c>
      <c r="O334" s="5">
        <f>PasteHashtag!M334</f>
        <v>0.6</v>
      </c>
      <c r="P334" s="5">
        <f>PasteHashtag!N334</f>
        <v>0.5</v>
      </c>
      <c r="Q334" s="5">
        <f>PasteHashtag!O334</f>
        <v>0.2</v>
      </c>
      <c r="R334" s="5">
        <f>PasteHashtag!P334</f>
        <v>0.5</v>
      </c>
      <c r="S334" s="5">
        <f>Mid(PasteHashtag!H334,FIND("/",PasteHashtag!H334)+1,LEN(PasteHashtag!H334)-FIND("/",PasteHashtag!H334)-1)*1</f>
        <v>3.6</v>
      </c>
      <c r="T334" s="178">
        <f>Mid(PasteHashtag!I334,FIND("/",PasteHashtag!I334)+1,LEN(PasteHashtag!I334)-FIND("/",PasteHashtag!I334)-1)*1</f>
        <v>1.4</v>
      </c>
    </row>
    <row r="335">
      <c r="A335" s="5">
        <v>334.0</v>
      </c>
      <c r="B335" s="5" t="str">
        <f>PasteHashtag!B335</f>
        <v/>
      </c>
      <c r="C335" s="177" t="str">
        <f>PasteHashtag!C335</f>
        <v>Ben Sheppard</v>
      </c>
      <c r="D335" s="5" t="str">
        <f>PasteHashtag!D335</f>
        <v>SG,SF</v>
      </c>
      <c r="E335" s="5" t="str">
        <f>PasteHashtag!E335</f>
        <v>IND</v>
      </c>
      <c r="F335" s="5">
        <f>PasteHashtag!F335</f>
        <v>56</v>
      </c>
      <c r="G335" s="5">
        <f>PasteHashtag!G335</f>
        <v>16.4</v>
      </c>
      <c r="H335" s="5">
        <f>MID(PasteHashtag!H335,1+FIND("(",PasteHashtag!H335),FIND("/",PasteHashtag!H335)-FIND("(",PasteHashtag!H335)-1)*1</f>
        <v>1.8</v>
      </c>
      <c r="I335" s="5">
        <f>LEFT(PasteHashtag!H335,FIND("(",PasteHashtag!H335)-1)*1</f>
        <v>0.393</v>
      </c>
      <c r="J335" s="5">
        <f>MID(PasteHashtag!I335,1+FIND("(",PasteHashtag!I335),FIND("/",PasteHashtag!I335)-FIND("(",PasteHashtag!I335)-1)*1</f>
        <v>0.5</v>
      </c>
      <c r="K335" s="5">
        <f>LEFT(PasteHashtag!I335,FIND("(",PasteHashtag!I335)-1)*1</f>
        <v>0.887</v>
      </c>
      <c r="L335" s="5">
        <f>PasteHashtag!J335</f>
        <v>1</v>
      </c>
      <c r="M335" s="5">
        <f>PasteHashtag!K335</f>
        <v>5.1</v>
      </c>
      <c r="N335" s="5">
        <f>PasteHashtag!L335</f>
        <v>1.8</v>
      </c>
      <c r="O335" s="5">
        <f>PasteHashtag!M335</f>
        <v>1.1</v>
      </c>
      <c r="P335" s="5">
        <f>PasteHashtag!N335</f>
        <v>0.7</v>
      </c>
      <c r="Q335" s="5">
        <f>PasteHashtag!O335</f>
        <v>0</v>
      </c>
      <c r="R335" s="5">
        <f>PasteHashtag!P335</f>
        <v>0.3</v>
      </c>
      <c r="S335" s="5">
        <f>Mid(PasteHashtag!H335,FIND("/",PasteHashtag!H335)+1,LEN(PasteHashtag!H335)-FIND("/",PasteHashtag!H335)-1)*1</f>
        <v>4.7</v>
      </c>
      <c r="T335" s="178">
        <f>Mid(PasteHashtag!I335,FIND("/",PasteHashtag!I335)+1,LEN(PasteHashtag!I335)-FIND("/",PasteHashtag!I335)-1)*1</f>
        <v>0.5</v>
      </c>
    </row>
    <row r="336">
      <c r="A336" s="5">
        <v>335.0</v>
      </c>
      <c r="B336" s="5" t="str">
        <f>PasteHashtag!B336</f>
        <v/>
      </c>
      <c r="C336" s="177" t="str">
        <f>PasteHashtag!C336</f>
        <v>Kenyon Martin Jr.</v>
      </c>
      <c r="D336" s="5" t="str">
        <f>PasteHashtag!D336</f>
        <v>SF,PF</v>
      </c>
      <c r="E336" s="5" t="str">
        <f>PasteHashtag!E336</f>
        <v>PHI</v>
      </c>
      <c r="F336" s="5">
        <f>PasteHashtag!F336</f>
        <v>44</v>
      </c>
      <c r="G336" s="5">
        <f>PasteHashtag!G336</f>
        <v>15.1</v>
      </c>
      <c r="H336" s="5">
        <f>MID(PasteHashtag!H336,1+FIND("(",PasteHashtag!H336),FIND("/",PasteHashtag!H336)-FIND("(",PasteHashtag!H336)-1)*1</f>
        <v>2.7</v>
      </c>
      <c r="I336" s="5">
        <f>LEFT(PasteHashtag!H336,FIND("(",PasteHashtag!H336)-1)*1</f>
        <v>0.562</v>
      </c>
      <c r="J336" s="5">
        <f>MID(PasteHashtag!I336,1+FIND("(",PasteHashtag!I336),FIND("/",PasteHashtag!I336)-FIND("(",PasteHashtag!I336)-1)*1</f>
        <v>0.9</v>
      </c>
      <c r="K336" s="5">
        <f>LEFT(PasteHashtag!I336,FIND("(",PasteHashtag!I336)-1)*1</f>
        <v>0.657</v>
      </c>
      <c r="L336" s="5">
        <f>PasteHashtag!J336</f>
        <v>0.4</v>
      </c>
      <c r="M336" s="5">
        <f>PasteHashtag!K336</f>
        <v>6.7</v>
      </c>
      <c r="N336" s="5">
        <f>PasteHashtag!L336</f>
        <v>3.1</v>
      </c>
      <c r="O336" s="5">
        <f>PasteHashtag!M336</f>
        <v>0.9</v>
      </c>
      <c r="P336" s="5">
        <f>PasteHashtag!N336</f>
        <v>0.3</v>
      </c>
      <c r="Q336" s="5">
        <f>PasteHashtag!O336</f>
        <v>0.2</v>
      </c>
      <c r="R336" s="5">
        <f>PasteHashtag!P336</f>
        <v>0.7</v>
      </c>
      <c r="S336" s="5">
        <f>Mid(PasteHashtag!H336,FIND("/",PasteHashtag!H336)+1,LEN(PasteHashtag!H336)-FIND("/",PasteHashtag!H336)-1)*1</f>
        <v>4.8</v>
      </c>
      <c r="T336" s="178">
        <f>Mid(PasteHashtag!I336,FIND("/",PasteHashtag!I336)+1,LEN(PasteHashtag!I336)-FIND("/",PasteHashtag!I336)-1)*1</f>
        <v>1.4</v>
      </c>
    </row>
    <row r="337">
      <c r="A337" s="5">
        <v>336.0</v>
      </c>
      <c r="B337" s="5" t="str">
        <f>PasteHashtag!B337</f>
        <v/>
      </c>
      <c r="C337" s="177" t="str">
        <f>PasteHashtag!C337</f>
        <v>Dwight Powell</v>
      </c>
      <c r="D337" s="5" t="str">
        <f>PasteHashtag!D337</f>
        <v>C</v>
      </c>
      <c r="E337" s="5" t="str">
        <f>PasteHashtag!E337</f>
        <v>DAL</v>
      </c>
      <c r="F337" s="5">
        <f>PasteHashtag!F337</f>
        <v>64</v>
      </c>
      <c r="G337" s="5">
        <f>PasteHashtag!G337</f>
        <v>13.4</v>
      </c>
      <c r="H337" s="5">
        <f>MID(PasteHashtag!H337,1+FIND("(",PasteHashtag!H337),FIND("/",PasteHashtag!H337)-FIND("(",PasteHashtag!H337)-1)*1</f>
        <v>1.6</v>
      </c>
      <c r="I337" s="5">
        <f>LEFT(PasteHashtag!H337,FIND("(",PasteHashtag!H337)-1)*1</f>
        <v>0.719</v>
      </c>
      <c r="J337" s="5">
        <f>MID(PasteHashtag!I337,1+FIND("(",PasteHashtag!I337),FIND("/",PasteHashtag!I337)-FIND("(",PasteHashtag!I337)-1)*1</f>
        <v>1</v>
      </c>
      <c r="K337" s="5">
        <f>LEFT(PasteHashtag!I337,FIND("(",PasteHashtag!I337)-1)*1</f>
        <v>0.678</v>
      </c>
      <c r="L337" s="5">
        <f>PasteHashtag!J337</f>
        <v>0</v>
      </c>
      <c r="M337" s="5">
        <f>PasteHashtag!K337</f>
        <v>4.2</v>
      </c>
      <c r="N337" s="5">
        <f>PasteHashtag!L337</f>
        <v>3.1</v>
      </c>
      <c r="O337" s="5">
        <f>PasteHashtag!M337</f>
        <v>0.9</v>
      </c>
      <c r="P337" s="5">
        <f>PasteHashtag!N337</f>
        <v>0.4</v>
      </c>
      <c r="Q337" s="5">
        <f>PasteHashtag!O337</f>
        <v>0.3</v>
      </c>
      <c r="R337" s="5">
        <f>PasteHashtag!P337</f>
        <v>0.6</v>
      </c>
      <c r="S337" s="5">
        <f>Mid(PasteHashtag!H337,FIND("/",PasteHashtag!H337)+1,LEN(PasteHashtag!H337)-FIND("/",PasteHashtag!H337)-1)*1</f>
        <v>2.2</v>
      </c>
      <c r="T337" s="178">
        <f>Mid(PasteHashtag!I337,FIND("/",PasteHashtag!I337)+1,LEN(PasteHashtag!I337)-FIND("/",PasteHashtag!I337)-1)*1</f>
        <v>1.5</v>
      </c>
    </row>
    <row r="338">
      <c r="A338" s="5">
        <v>337.0</v>
      </c>
      <c r="B338" s="5" t="str">
        <f>PasteHashtag!B338</f>
        <v/>
      </c>
      <c r="C338" s="177" t="str">
        <f>PasteHashtag!C338</f>
        <v>Yves Missi</v>
      </c>
      <c r="D338" s="5" t="str">
        <f>PasteHashtag!D338</f>
        <v>C</v>
      </c>
      <c r="E338" s="5" t="str">
        <f>PasteHashtag!E338</f>
        <v>NO</v>
      </c>
      <c r="F338" s="5">
        <f>PasteHashtag!F338</f>
        <v>60</v>
      </c>
      <c r="G338" s="5">
        <f>PasteHashtag!G338</f>
        <v>15.9</v>
      </c>
      <c r="H338" s="5">
        <f>MID(PasteHashtag!H338,1+FIND("(",PasteHashtag!H338),FIND("/",PasteHashtag!H338)-FIND("(",PasteHashtag!H338)-1)*1</f>
        <v>2.4</v>
      </c>
      <c r="I338" s="5">
        <f>LEFT(PasteHashtag!H338,FIND("(",PasteHashtag!H338)-1)*1</f>
        <v>0.614</v>
      </c>
      <c r="J338" s="5">
        <f>MID(PasteHashtag!I338,1+FIND("(",PasteHashtag!I338),FIND("/",PasteHashtag!I338)-FIND("(",PasteHashtag!I338)-1)*1</f>
        <v>1.5</v>
      </c>
      <c r="K338" s="5">
        <f>LEFT(PasteHashtag!I338,FIND("(",PasteHashtag!I338)-1)*1</f>
        <v>0.615</v>
      </c>
      <c r="L338" s="5">
        <f>PasteHashtag!J338</f>
        <v>0</v>
      </c>
      <c r="M338" s="5">
        <f>PasteHashtag!K338</f>
        <v>6.3</v>
      </c>
      <c r="N338" s="5">
        <f>PasteHashtag!L338</f>
        <v>3.3</v>
      </c>
      <c r="O338" s="5">
        <f>PasteHashtag!M338</f>
        <v>0.2</v>
      </c>
      <c r="P338" s="5">
        <f>PasteHashtag!N338</f>
        <v>0.4</v>
      </c>
      <c r="Q338" s="5">
        <f>PasteHashtag!O338</f>
        <v>0.9</v>
      </c>
      <c r="R338" s="5">
        <f>PasteHashtag!P338</f>
        <v>0.7</v>
      </c>
      <c r="S338" s="5">
        <f>Mid(PasteHashtag!H338,FIND("/",PasteHashtag!H338)+1,LEN(PasteHashtag!H338)-FIND("/",PasteHashtag!H338)-1)*1</f>
        <v>3.9</v>
      </c>
      <c r="T338" s="178">
        <f>Mid(PasteHashtag!I338,FIND("/",PasteHashtag!I338)+1,LEN(PasteHashtag!I338)-FIND("/",PasteHashtag!I338)-1)*1</f>
        <v>2.4</v>
      </c>
    </row>
    <row r="339">
      <c r="A339" s="5">
        <v>338.0</v>
      </c>
      <c r="B339" s="5" t="str">
        <f>PasteHashtag!B339</f>
        <v/>
      </c>
      <c r="C339" s="177" t="str">
        <f>PasteHashtag!C339</f>
        <v>Jake LaRavia</v>
      </c>
      <c r="D339" s="5" t="str">
        <f>PasteHashtag!D339</f>
        <v>SF,PF</v>
      </c>
      <c r="E339" s="5" t="str">
        <f>PasteHashtag!E339</f>
        <v>MEM</v>
      </c>
      <c r="F339" s="5">
        <f>PasteHashtag!F339</f>
        <v>35</v>
      </c>
      <c r="G339" s="5">
        <f>PasteHashtag!G339</f>
        <v>14.8</v>
      </c>
      <c r="H339" s="5">
        <f>MID(PasteHashtag!H339,1+FIND("(",PasteHashtag!H339),FIND("/",PasteHashtag!H339)-FIND("(",PasteHashtag!H339)-1)*1</f>
        <v>1.9</v>
      </c>
      <c r="I339" s="5">
        <f>LEFT(PasteHashtag!H339,FIND("(",PasteHashtag!H339)-1)*1</f>
        <v>0.389</v>
      </c>
      <c r="J339" s="5">
        <f>MID(PasteHashtag!I339,1+FIND("(",PasteHashtag!I339),FIND("/",PasteHashtag!I339)-FIND("(",PasteHashtag!I339)-1)*1</f>
        <v>1.2</v>
      </c>
      <c r="K339" s="5">
        <f>LEFT(PasteHashtag!I339,FIND("(",PasteHashtag!I339)-1)*1</f>
        <v>0.821</v>
      </c>
      <c r="L339" s="5">
        <f>PasteHashtag!J339</f>
        <v>0.9</v>
      </c>
      <c r="M339" s="5">
        <f>PasteHashtag!K339</f>
        <v>5.9</v>
      </c>
      <c r="N339" s="5">
        <f>PasteHashtag!L339</f>
        <v>2.3</v>
      </c>
      <c r="O339" s="5">
        <f>PasteHashtag!M339</f>
        <v>1</v>
      </c>
      <c r="P339" s="5">
        <f>PasteHashtag!N339</f>
        <v>0.5</v>
      </c>
      <c r="Q339" s="5">
        <f>PasteHashtag!O339</f>
        <v>0.2</v>
      </c>
      <c r="R339" s="5">
        <f>PasteHashtag!P339</f>
        <v>0.8</v>
      </c>
      <c r="S339" s="5">
        <f>Mid(PasteHashtag!H339,FIND("/",PasteHashtag!H339)+1,LEN(PasteHashtag!H339)-FIND("/",PasteHashtag!H339)-1)*1</f>
        <v>4.9</v>
      </c>
      <c r="T339" s="178">
        <f>Mid(PasteHashtag!I339,FIND("/",PasteHashtag!I339)+1,LEN(PasteHashtag!I339)-FIND("/",PasteHashtag!I339)-1)*1</f>
        <v>1.5</v>
      </c>
    </row>
    <row r="340">
      <c r="A340" s="5">
        <v>339.0</v>
      </c>
      <c r="B340" s="5">
        <f>PasteHashtag!B340</f>
        <v>142.7</v>
      </c>
      <c r="C340" s="177" t="str">
        <f>PasteHashtag!C340</f>
        <v>Kel'el Ware</v>
      </c>
      <c r="D340" s="5" t="str">
        <f>PasteHashtag!D340</f>
        <v>C</v>
      </c>
      <c r="E340" s="5" t="str">
        <f>PasteHashtag!E340</f>
        <v>MIA</v>
      </c>
      <c r="F340" s="5">
        <f>PasteHashtag!F340</f>
        <v>50</v>
      </c>
      <c r="G340" s="5">
        <f>PasteHashtag!G340</f>
        <v>16.1</v>
      </c>
      <c r="H340" s="5">
        <f>MID(PasteHashtag!H340,1+FIND("(",PasteHashtag!H340),FIND("/",PasteHashtag!H340)-FIND("(",PasteHashtag!H340)-1)*1</f>
        <v>2.5</v>
      </c>
      <c r="I340" s="5">
        <f>LEFT(PasteHashtag!H340,FIND("(",PasteHashtag!H340)-1)*1</f>
        <v>0.512</v>
      </c>
      <c r="J340" s="5">
        <f>MID(PasteHashtag!I340,1+FIND("(",PasteHashtag!I340),FIND("/",PasteHashtag!I340)-FIND("(",PasteHashtag!I340)-1)*1</f>
        <v>1.1</v>
      </c>
      <c r="K340" s="5">
        <f>LEFT(PasteHashtag!I340,FIND("(",PasteHashtag!I340)-1)*1</f>
        <v>0.633</v>
      </c>
      <c r="L340" s="5">
        <f>PasteHashtag!J340</f>
        <v>0.2</v>
      </c>
      <c r="M340" s="5">
        <f>PasteHashtag!K340</f>
        <v>6.3</v>
      </c>
      <c r="N340" s="5">
        <f>PasteHashtag!L340</f>
        <v>3.9</v>
      </c>
      <c r="O340" s="5">
        <f>PasteHashtag!M340</f>
        <v>0.6</v>
      </c>
      <c r="P340" s="5">
        <f>PasteHashtag!N340</f>
        <v>0.2</v>
      </c>
      <c r="Q340" s="5">
        <f>PasteHashtag!O340</f>
        <v>0.7</v>
      </c>
      <c r="R340" s="5">
        <f>PasteHashtag!P340</f>
        <v>0.6</v>
      </c>
      <c r="S340" s="5">
        <f>Mid(PasteHashtag!H340,FIND("/",PasteHashtag!H340)+1,LEN(PasteHashtag!H340)-FIND("/",PasteHashtag!H340)-1)*1</f>
        <v>4.8</v>
      </c>
      <c r="T340" s="178">
        <f>Mid(PasteHashtag!I340,FIND("/",PasteHashtag!I340)+1,LEN(PasteHashtag!I340)-FIND("/",PasteHashtag!I340)-1)*1</f>
        <v>1.8</v>
      </c>
    </row>
    <row r="341">
      <c r="A341" s="5">
        <v>340.0</v>
      </c>
      <c r="B341" s="5" t="str">
        <f>PasteHashtag!B341</f>
        <v/>
      </c>
      <c r="C341" s="177" t="str">
        <f>PasteHashtag!C341</f>
        <v>Tristan Da Silva</v>
      </c>
      <c r="D341" s="5" t="str">
        <f>PasteHashtag!D341</f>
        <v>SF</v>
      </c>
      <c r="E341" s="5" t="str">
        <f>PasteHashtag!E341</f>
        <v>ORL</v>
      </c>
      <c r="F341" s="5">
        <f>PasteHashtag!F341</f>
        <v>52</v>
      </c>
      <c r="G341" s="5">
        <f>PasteHashtag!G341</f>
        <v>15.2</v>
      </c>
      <c r="H341" s="5">
        <f>MID(PasteHashtag!H341,1+FIND("(",PasteHashtag!H341),FIND("/",PasteHashtag!H341)-FIND("(",PasteHashtag!H341)-1)*1</f>
        <v>1.9</v>
      </c>
      <c r="I341" s="5">
        <f>LEFT(PasteHashtag!H341,FIND("(",PasteHashtag!H341)-1)*1</f>
        <v>0.492</v>
      </c>
      <c r="J341" s="5">
        <f>MID(PasteHashtag!I341,1+FIND("(",PasteHashtag!I341),FIND("/",PasteHashtag!I341)-FIND("(",PasteHashtag!I341)-1)*1</f>
        <v>0.9</v>
      </c>
      <c r="K341" s="5">
        <f>LEFT(PasteHashtag!I341,FIND("(",PasteHashtag!I341)-1)*1</f>
        <v>0.833</v>
      </c>
      <c r="L341" s="5">
        <f>PasteHashtag!J341</f>
        <v>0.6</v>
      </c>
      <c r="M341" s="5">
        <f>PasteHashtag!K341</f>
        <v>5.4</v>
      </c>
      <c r="N341" s="5">
        <f>PasteHashtag!L341</f>
        <v>1.7</v>
      </c>
      <c r="O341" s="5">
        <f>PasteHashtag!M341</f>
        <v>0.8</v>
      </c>
      <c r="P341" s="5">
        <f>PasteHashtag!N341</f>
        <v>0.4</v>
      </c>
      <c r="Q341" s="5">
        <f>PasteHashtag!O341</f>
        <v>0.2</v>
      </c>
      <c r="R341" s="5">
        <f>PasteHashtag!P341</f>
        <v>0.6</v>
      </c>
      <c r="S341" s="5">
        <f>Mid(PasteHashtag!H341,FIND("/",PasteHashtag!H341)+1,LEN(PasteHashtag!H341)-FIND("/",PasteHashtag!H341)-1)*1</f>
        <v>3.9</v>
      </c>
      <c r="T341" s="178">
        <f>Mid(PasteHashtag!I341,FIND("/",PasteHashtag!I341)+1,LEN(PasteHashtag!I341)-FIND("/",PasteHashtag!I341)-1)*1</f>
        <v>1</v>
      </c>
    </row>
    <row r="342">
      <c r="A342" s="5">
        <v>341.0</v>
      </c>
      <c r="B342" s="5">
        <f>PasteHashtag!B342</f>
        <v>142.3</v>
      </c>
      <c r="C342" s="177" t="str">
        <f>PasteHashtag!C342</f>
        <v>Simone Fontecchio</v>
      </c>
      <c r="D342" s="5" t="str">
        <f>PasteHashtag!D342</f>
        <v>SF,PF</v>
      </c>
      <c r="E342" s="5" t="str">
        <f>PasteHashtag!E342</f>
        <v>DET</v>
      </c>
      <c r="F342" s="5">
        <f>PasteHashtag!F342</f>
        <v>40</v>
      </c>
      <c r="G342" s="5">
        <f>PasteHashtag!G342</f>
        <v>14.4</v>
      </c>
      <c r="H342" s="5">
        <f>MID(PasteHashtag!H342,1+FIND("(",PasteHashtag!H342),FIND("/",PasteHashtag!H342)-FIND("(",PasteHashtag!H342)-1)*1</f>
        <v>2.2</v>
      </c>
      <c r="I342" s="5">
        <f>LEFT(PasteHashtag!H342,FIND("(",PasteHashtag!H342)-1)*1</f>
        <v>0.426</v>
      </c>
      <c r="J342" s="5">
        <f>MID(PasteHashtag!I342,1+FIND("(",PasteHashtag!I342),FIND("/",PasteHashtag!I342)-FIND("(",PasteHashtag!I342)-1)*1</f>
        <v>0.5</v>
      </c>
      <c r="K342" s="5">
        <f>LEFT(PasteHashtag!I342,FIND("(",PasteHashtag!I342)-1)*1</f>
        <v>0.818</v>
      </c>
      <c r="L342" s="5">
        <f>PasteHashtag!J342</f>
        <v>1.2</v>
      </c>
      <c r="M342" s="5">
        <f>PasteHashtag!K342</f>
        <v>6.2</v>
      </c>
      <c r="N342" s="5">
        <f>PasteHashtag!L342</f>
        <v>2</v>
      </c>
      <c r="O342" s="5">
        <f>PasteHashtag!M342</f>
        <v>0.9</v>
      </c>
      <c r="P342" s="5">
        <f>PasteHashtag!N342</f>
        <v>0.4</v>
      </c>
      <c r="Q342" s="5">
        <f>PasteHashtag!O342</f>
        <v>0.2</v>
      </c>
      <c r="R342" s="5">
        <f>PasteHashtag!P342</f>
        <v>0.7</v>
      </c>
      <c r="S342" s="5">
        <f>Mid(PasteHashtag!H342,FIND("/",PasteHashtag!H342)+1,LEN(PasteHashtag!H342)-FIND("/",PasteHashtag!H342)-1)*1</f>
        <v>5.2</v>
      </c>
      <c r="T342" s="178">
        <f>Mid(PasteHashtag!I342,FIND("/",PasteHashtag!I342)+1,LEN(PasteHashtag!I342)-FIND("/",PasteHashtag!I342)-1)*1</f>
        <v>0.7</v>
      </c>
    </row>
    <row r="343">
      <c r="A343" s="5">
        <v>342.0</v>
      </c>
      <c r="B343" s="5" t="str">
        <f>PasteHashtag!B343</f>
        <v/>
      </c>
      <c r="C343" s="177" t="str">
        <f>PasteHashtag!C343</f>
        <v>Jaden Hardy</v>
      </c>
      <c r="D343" s="5" t="str">
        <f>PasteHashtag!D343</f>
        <v>PG,SG</v>
      </c>
      <c r="E343" s="5" t="str">
        <f>PasteHashtag!E343</f>
        <v>DAL</v>
      </c>
      <c r="F343" s="5">
        <f>PasteHashtag!F343</f>
        <v>71</v>
      </c>
      <c r="G343" s="5">
        <f>PasteHashtag!G343</f>
        <v>14.2</v>
      </c>
      <c r="H343" s="5">
        <f>MID(PasteHashtag!H343,1+FIND("(",PasteHashtag!H343),FIND("/",PasteHashtag!H343)-FIND("(",PasteHashtag!H343)-1)*1</f>
        <v>2.9</v>
      </c>
      <c r="I343" s="5">
        <f>LEFT(PasteHashtag!H343,FIND("(",PasteHashtag!H343)-1)*1</f>
        <v>0.42</v>
      </c>
      <c r="J343" s="5">
        <f>MID(PasteHashtag!I343,1+FIND("(",PasteHashtag!I343),FIND("/",PasteHashtag!I343)-FIND("(",PasteHashtag!I343)-1)*1</f>
        <v>1.1</v>
      </c>
      <c r="K343" s="5">
        <f>LEFT(PasteHashtag!I343,FIND("(",PasteHashtag!I343)-1)*1</f>
        <v>0.802</v>
      </c>
      <c r="L343" s="5">
        <f>PasteHashtag!J343</f>
        <v>1.2</v>
      </c>
      <c r="M343" s="5">
        <f>PasteHashtag!K343</f>
        <v>8</v>
      </c>
      <c r="N343" s="5">
        <f>PasteHashtag!L343</f>
        <v>1.9</v>
      </c>
      <c r="O343" s="5">
        <f>PasteHashtag!M343</f>
        <v>1.5</v>
      </c>
      <c r="P343" s="5">
        <f>PasteHashtag!N343</f>
        <v>0.3</v>
      </c>
      <c r="Q343" s="5">
        <f>PasteHashtag!O343</f>
        <v>0.1</v>
      </c>
      <c r="R343" s="5">
        <f>PasteHashtag!P343</f>
        <v>0.9</v>
      </c>
      <c r="S343" s="5">
        <f>Mid(PasteHashtag!H343,FIND("/",PasteHashtag!H343)+1,LEN(PasteHashtag!H343)-FIND("/",PasteHashtag!H343)-1)*1</f>
        <v>6.9</v>
      </c>
      <c r="T343" s="178">
        <f>Mid(PasteHashtag!I343,FIND("/",PasteHashtag!I343)+1,LEN(PasteHashtag!I343)-FIND("/",PasteHashtag!I343)-1)*1</f>
        <v>1.3</v>
      </c>
    </row>
    <row r="344">
      <c r="A344" s="5">
        <v>343.0</v>
      </c>
      <c r="B344" s="5" t="str">
        <f>PasteHashtag!B344</f>
        <v/>
      </c>
      <c r="C344" s="177" t="str">
        <f>PasteHashtag!C344</f>
        <v>Bobi Klintman</v>
      </c>
      <c r="D344" s="5" t="str">
        <f>PasteHashtag!D344</f>
        <v>PF</v>
      </c>
      <c r="E344" s="5" t="str">
        <f>PasteHashtag!E344</f>
        <v>DET</v>
      </c>
      <c r="F344" s="5">
        <f>PasteHashtag!F344</f>
        <v>44</v>
      </c>
      <c r="G344" s="5">
        <f>PasteHashtag!G344</f>
        <v>15.1</v>
      </c>
      <c r="H344" s="5">
        <f>MID(PasteHashtag!H344,1+FIND("(",PasteHashtag!H344),FIND("/",PasteHashtag!H344)-FIND("(",PasteHashtag!H344)-1)*1</f>
        <v>1.8</v>
      </c>
      <c r="I344" s="5">
        <f>LEFT(PasteHashtag!H344,FIND("(",PasteHashtag!H344)-1)*1</f>
        <v>0.439</v>
      </c>
      <c r="J344" s="5">
        <f>MID(PasteHashtag!I344,1+FIND("(",PasteHashtag!I344),FIND("/",PasteHashtag!I344)-FIND("(",PasteHashtag!I344)-1)*1</f>
        <v>1.1</v>
      </c>
      <c r="K344" s="5">
        <f>LEFT(PasteHashtag!I344,FIND("(",PasteHashtag!I344)-1)*1</f>
        <v>0.786</v>
      </c>
      <c r="L344" s="5">
        <f>PasteHashtag!J344</f>
        <v>0.7</v>
      </c>
      <c r="M344" s="5">
        <f>PasteHashtag!K344</f>
        <v>5.3</v>
      </c>
      <c r="N344" s="5">
        <f>PasteHashtag!L344</f>
        <v>2.7</v>
      </c>
      <c r="O344" s="5">
        <f>PasteHashtag!M344</f>
        <v>0.4</v>
      </c>
      <c r="P344" s="5">
        <f>PasteHashtag!N344</f>
        <v>0.4</v>
      </c>
      <c r="Q344" s="5">
        <f>PasteHashtag!O344</f>
        <v>0.3</v>
      </c>
      <c r="R344" s="5">
        <f>PasteHashtag!P344</f>
        <v>0.9</v>
      </c>
      <c r="S344" s="5">
        <f>Mid(PasteHashtag!H344,FIND("/",PasteHashtag!H344)+1,LEN(PasteHashtag!H344)-FIND("/",PasteHashtag!H344)-1)*1</f>
        <v>4</v>
      </c>
      <c r="T344" s="178">
        <f>Mid(PasteHashtag!I344,FIND("/",PasteHashtag!I344)+1,LEN(PasteHashtag!I344)-FIND("/",PasteHashtag!I344)-1)*1</f>
        <v>1.4</v>
      </c>
    </row>
    <row r="345">
      <c r="A345" s="5">
        <v>344.0</v>
      </c>
      <c r="B345" s="5" t="str">
        <f>PasteHashtag!B345</f>
        <v/>
      </c>
      <c r="C345" s="177" t="str">
        <f>PasteHashtag!C345</f>
        <v>Jevon Carter</v>
      </c>
      <c r="D345" s="5" t="str">
        <f>PasteHashtag!D345</f>
        <v>PG,SG</v>
      </c>
      <c r="E345" s="5" t="str">
        <f>PasteHashtag!E345</f>
        <v>CHI</v>
      </c>
      <c r="F345" s="5">
        <f>PasteHashtag!F345</f>
        <v>64</v>
      </c>
      <c r="G345" s="5">
        <f>PasteHashtag!G345</f>
        <v>13.2</v>
      </c>
      <c r="H345" s="5">
        <f>MID(PasteHashtag!H345,1+FIND("(",PasteHashtag!H345),FIND("/",PasteHashtag!H345)-FIND("(",PasteHashtag!H345)-1)*1</f>
        <v>1.8</v>
      </c>
      <c r="I345" s="5">
        <f>LEFT(PasteHashtag!H345,FIND("(",PasteHashtag!H345)-1)*1</f>
        <v>0.406</v>
      </c>
      <c r="J345" s="5">
        <f>MID(PasteHashtag!I345,1+FIND("(",PasteHashtag!I345),FIND("/",PasteHashtag!I345)-FIND("(",PasteHashtag!I345)-1)*1</f>
        <v>0.2</v>
      </c>
      <c r="K345" s="5">
        <f>LEFT(PasteHashtag!I345,FIND("(",PasteHashtag!I345)-1)*1</f>
        <v>0.81</v>
      </c>
      <c r="L345" s="5">
        <f>PasteHashtag!J345</f>
        <v>1</v>
      </c>
      <c r="M345" s="5">
        <f>PasteHashtag!K345</f>
        <v>4.8</v>
      </c>
      <c r="N345" s="5">
        <f>PasteHashtag!L345</f>
        <v>1.2</v>
      </c>
      <c r="O345" s="5">
        <f>PasteHashtag!M345</f>
        <v>1.4</v>
      </c>
      <c r="P345" s="5">
        <f>PasteHashtag!N345</f>
        <v>0.5</v>
      </c>
      <c r="Q345" s="5">
        <f>PasteHashtag!O345</f>
        <v>0.2</v>
      </c>
      <c r="R345" s="5">
        <f>PasteHashtag!P345</f>
        <v>0.5</v>
      </c>
      <c r="S345" s="5">
        <f>Mid(PasteHashtag!H345,FIND("/",PasteHashtag!H345)+1,LEN(PasteHashtag!H345)-FIND("/",PasteHashtag!H345)-1)*1</f>
        <v>4.4</v>
      </c>
      <c r="T345" s="178">
        <f>Mid(PasteHashtag!I345,FIND("/",PasteHashtag!I345)+1,LEN(PasteHashtag!I345)-FIND("/",PasteHashtag!I345)-1)*1</f>
        <v>0.2</v>
      </c>
    </row>
    <row r="346">
      <c r="A346" s="5">
        <v>345.0</v>
      </c>
      <c r="B346" s="5" t="str">
        <f>PasteHashtag!B346</f>
        <v/>
      </c>
      <c r="C346" s="177" t="str">
        <f>PasteHashtag!C346</f>
        <v>Tidjane Salaun</v>
      </c>
      <c r="D346" s="5" t="str">
        <f>PasteHashtag!D346</f>
        <v>PF</v>
      </c>
      <c r="E346" s="5" t="str">
        <f>PasteHashtag!E346</f>
        <v>CHA</v>
      </c>
      <c r="F346" s="5">
        <f>PasteHashtag!F346</f>
        <v>60</v>
      </c>
      <c r="G346" s="5">
        <f>PasteHashtag!G346</f>
        <v>18.9</v>
      </c>
      <c r="H346" s="5">
        <f>MID(PasteHashtag!H346,1+FIND("(",PasteHashtag!H346),FIND("/",PasteHashtag!H346)-FIND("(",PasteHashtag!H346)-1)*1</f>
        <v>2</v>
      </c>
      <c r="I346" s="5">
        <f>LEFT(PasteHashtag!H346,FIND("(",PasteHashtag!H346)-1)*1</f>
        <v>0.404</v>
      </c>
      <c r="J346" s="5">
        <f>MID(PasteHashtag!I346,1+FIND("(",PasteHashtag!I346),FIND("/",PasteHashtag!I346)-FIND("(",PasteHashtag!I346)-1)*1</f>
        <v>1</v>
      </c>
      <c r="K346" s="5">
        <f>LEFT(PasteHashtag!I346,FIND("(",PasteHashtag!I346)-1)*1</f>
        <v>0.776</v>
      </c>
      <c r="L346" s="5">
        <f>PasteHashtag!J346</f>
        <v>0.8</v>
      </c>
      <c r="M346" s="5">
        <f>PasteHashtag!K346</f>
        <v>5.9</v>
      </c>
      <c r="N346" s="5">
        <f>PasteHashtag!L346</f>
        <v>2.4</v>
      </c>
      <c r="O346" s="5">
        <f>PasteHashtag!M346</f>
        <v>0.6</v>
      </c>
      <c r="P346" s="5">
        <f>PasteHashtag!N346</f>
        <v>0.7</v>
      </c>
      <c r="Q346" s="5">
        <f>PasteHashtag!O346</f>
        <v>0.1</v>
      </c>
      <c r="R346" s="5">
        <f>PasteHashtag!P346</f>
        <v>0.8</v>
      </c>
      <c r="S346" s="5">
        <f>Mid(PasteHashtag!H346,FIND("/",PasteHashtag!H346)+1,LEN(PasteHashtag!H346)-FIND("/",PasteHashtag!H346)-1)*1</f>
        <v>5</v>
      </c>
      <c r="T346" s="178">
        <f>Mid(PasteHashtag!I346,FIND("/",PasteHashtag!I346)+1,LEN(PasteHashtag!I346)-FIND("/",PasteHashtag!I346)-1)*1</f>
        <v>1.3</v>
      </c>
    </row>
    <row r="347">
      <c r="A347" s="5">
        <v>346.0</v>
      </c>
      <c r="B347" s="5" t="str">
        <f>PasteHashtag!B347</f>
        <v/>
      </c>
      <c r="C347" s="177" t="str">
        <f>PasteHashtag!C347</f>
        <v>Tyler Smith</v>
      </c>
      <c r="D347" s="5" t="str">
        <f>PasteHashtag!D347</f>
        <v>PF</v>
      </c>
      <c r="E347" s="5" t="str">
        <f>PasteHashtag!E347</f>
        <v>MIL</v>
      </c>
      <c r="F347" s="5">
        <f>PasteHashtag!F347</f>
        <v>50</v>
      </c>
      <c r="G347" s="5">
        <f>PasteHashtag!G347</f>
        <v>12.1</v>
      </c>
      <c r="H347" s="5">
        <f>MID(PasteHashtag!H347,1+FIND("(",PasteHashtag!H347),FIND("/",PasteHashtag!H347)-FIND("(",PasteHashtag!H347)-1)*1</f>
        <v>2</v>
      </c>
      <c r="I347" s="5">
        <f>LEFT(PasteHashtag!H347,FIND("(",PasteHashtag!H347)-1)*1</f>
        <v>0.483</v>
      </c>
      <c r="J347" s="5">
        <f>MID(PasteHashtag!I347,1+FIND("(",PasteHashtag!I347),FIND("/",PasteHashtag!I347)-FIND("(",PasteHashtag!I347)-1)*1</f>
        <v>0.6</v>
      </c>
      <c r="K347" s="5">
        <f>LEFT(PasteHashtag!I347,FIND("(",PasteHashtag!I347)-1)*1</f>
        <v>0.731</v>
      </c>
      <c r="L347" s="5">
        <f>PasteHashtag!J347</f>
        <v>0.6</v>
      </c>
      <c r="M347" s="5">
        <f>PasteHashtag!K347</f>
        <v>5.5</v>
      </c>
      <c r="N347" s="5">
        <f>PasteHashtag!L347</f>
        <v>2.1</v>
      </c>
      <c r="O347" s="5">
        <f>PasteHashtag!M347</f>
        <v>0.5</v>
      </c>
      <c r="P347" s="5">
        <f>PasteHashtag!N347</f>
        <v>0.3</v>
      </c>
      <c r="Q347" s="5">
        <f>PasteHashtag!O347</f>
        <v>0.4</v>
      </c>
      <c r="R347" s="5">
        <f>PasteHashtag!P347</f>
        <v>0.5</v>
      </c>
      <c r="S347" s="5">
        <f>Mid(PasteHashtag!H347,FIND("/",PasteHashtag!H347)+1,LEN(PasteHashtag!H347)-FIND("/",PasteHashtag!H347)-1)*1</f>
        <v>4.1</v>
      </c>
      <c r="T347" s="178">
        <f>Mid(PasteHashtag!I347,FIND("/",PasteHashtag!I347)+1,LEN(PasteHashtag!I347)-FIND("/",PasteHashtag!I347)-1)*1</f>
        <v>0.8</v>
      </c>
    </row>
    <row r="348">
      <c r="A348" s="5">
        <v>347.0</v>
      </c>
      <c r="B348" s="5" t="str">
        <f>PasteHashtag!B348</f>
        <v/>
      </c>
      <c r="C348" s="177" t="str">
        <f>PasteHashtag!C348</f>
        <v>Andre Jackson Jr.</v>
      </c>
      <c r="D348" s="5" t="str">
        <f>PasteHashtag!D348</f>
        <v>SG,SF</v>
      </c>
      <c r="E348" s="5" t="str">
        <f>PasteHashtag!E348</f>
        <v>MIL</v>
      </c>
      <c r="F348" s="5">
        <f>PasteHashtag!F348</f>
        <v>50</v>
      </c>
      <c r="G348" s="5">
        <f>PasteHashtag!G348</f>
        <v>14.2</v>
      </c>
      <c r="H348" s="5">
        <f>MID(PasteHashtag!H348,1+FIND("(",PasteHashtag!H348),FIND("/",PasteHashtag!H348)-FIND("(",PasteHashtag!H348)-1)*1</f>
        <v>1.3</v>
      </c>
      <c r="I348" s="5">
        <f>LEFT(PasteHashtag!H348,FIND("(",PasteHashtag!H348)-1)*1</f>
        <v>0.498</v>
      </c>
      <c r="J348" s="5">
        <f>MID(PasteHashtag!I348,1+FIND("(",PasteHashtag!I348),FIND("/",PasteHashtag!I348)-FIND("(",PasteHashtag!I348)-1)*1</f>
        <v>0.2</v>
      </c>
      <c r="K348" s="5">
        <f>LEFT(PasteHashtag!I348,FIND("(",PasteHashtag!I348)-1)*1</f>
        <v>0.714</v>
      </c>
      <c r="L348" s="5">
        <f>PasteHashtag!J348</f>
        <v>0.4</v>
      </c>
      <c r="M348" s="5">
        <f>PasteHashtag!K348</f>
        <v>3.1</v>
      </c>
      <c r="N348" s="5">
        <f>PasteHashtag!L348</f>
        <v>2.8</v>
      </c>
      <c r="O348" s="5">
        <f>PasteHashtag!M348</f>
        <v>1.3</v>
      </c>
      <c r="P348" s="5">
        <f>PasteHashtag!N348</f>
        <v>0.4</v>
      </c>
      <c r="Q348" s="5">
        <f>PasteHashtag!O348</f>
        <v>0.2</v>
      </c>
      <c r="R348" s="5">
        <f>PasteHashtag!P348</f>
        <v>0.7</v>
      </c>
      <c r="S348" s="5">
        <f>Mid(PasteHashtag!H348,FIND("/",PasteHashtag!H348)+1,LEN(PasteHashtag!H348)-FIND("/",PasteHashtag!H348)-1)*1</f>
        <v>2.5</v>
      </c>
      <c r="T348" s="178">
        <f>Mid(PasteHashtag!I348,FIND("/",PasteHashtag!I348)+1,LEN(PasteHashtag!I348)-FIND("/",PasteHashtag!I348)-1)*1</f>
        <v>0.3</v>
      </c>
    </row>
    <row r="349">
      <c r="A349" s="5">
        <v>348.0</v>
      </c>
      <c r="B349" s="5" t="str">
        <f>PasteHashtag!B349</f>
        <v/>
      </c>
      <c r="C349" s="177" t="str">
        <f>PasteHashtag!C349</f>
        <v>Jaylon Tyson</v>
      </c>
      <c r="D349" s="5" t="str">
        <f>PasteHashtag!D349</f>
        <v>SG</v>
      </c>
      <c r="E349" s="5" t="str">
        <f>PasteHashtag!E349</f>
        <v>CLE</v>
      </c>
      <c r="F349" s="5">
        <f>PasteHashtag!F349</f>
        <v>30</v>
      </c>
      <c r="G349" s="5">
        <f>PasteHashtag!G349</f>
        <v>15.4</v>
      </c>
      <c r="H349" s="5">
        <f>MID(PasteHashtag!H349,1+FIND("(",PasteHashtag!H349),FIND("/",PasteHashtag!H349)-FIND("(",PasteHashtag!H349)-1)*1</f>
        <v>2.3</v>
      </c>
      <c r="I349" s="5">
        <f>LEFT(PasteHashtag!H349,FIND("(",PasteHashtag!H349)-1)*1</f>
        <v>0.452</v>
      </c>
      <c r="J349" s="5">
        <f>MID(PasteHashtag!I349,1+FIND("(",PasteHashtag!I349),FIND("/",PasteHashtag!I349)-FIND("(",PasteHashtag!I349)-1)*1</f>
        <v>1.2</v>
      </c>
      <c r="K349" s="5">
        <f>LEFT(PasteHashtag!I349,FIND("(",PasteHashtag!I349)-1)*1</f>
        <v>0.779</v>
      </c>
      <c r="L349" s="5">
        <f>PasteHashtag!J349</f>
        <v>0.5</v>
      </c>
      <c r="M349" s="5">
        <f>PasteHashtag!K349</f>
        <v>6.4</v>
      </c>
      <c r="N349" s="5">
        <f>PasteHashtag!L349</f>
        <v>2.3</v>
      </c>
      <c r="O349" s="5">
        <f>PasteHashtag!M349</f>
        <v>1.2</v>
      </c>
      <c r="P349" s="5">
        <f>PasteHashtag!N349</f>
        <v>0.4</v>
      </c>
      <c r="Q349" s="5">
        <f>PasteHashtag!O349</f>
        <v>0.2</v>
      </c>
      <c r="R349" s="5">
        <f>PasteHashtag!P349</f>
        <v>1</v>
      </c>
      <c r="S349" s="5">
        <f>Mid(PasteHashtag!H349,FIND("/",PasteHashtag!H349)+1,LEN(PasteHashtag!H349)-FIND("/",PasteHashtag!H349)-1)*1</f>
        <v>5.2</v>
      </c>
      <c r="T349" s="178">
        <f>Mid(PasteHashtag!I349,FIND("/",PasteHashtag!I349)+1,LEN(PasteHashtag!I349)-FIND("/",PasteHashtag!I349)-1)*1</f>
        <v>1.5</v>
      </c>
    </row>
    <row r="350">
      <c r="A350" s="5">
        <v>349.0</v>
      </c>
      <c r="B350" s="5" t="str">
        <f>PasteHashtag!B350</f>
        <v/>
      </c>
      <c r="C350" s="177" t="str">
        <f>PasteHashtag!C350</f>
        <v>Keon Johnson</v>
      </c>
      <c r="D350" s="5" t="str">
        <f>PasteHashtag!D350</f>
        <v>PG,SG</v>
      </c>
      <c r="E350" s="5" t="str">
        <f>PasteHashtag!E350</f>
        <v>BKN</v>
      </c>
      <c r="F350" s="5">
        <f>PasteHashtag!F350</f>
        <v>40</v>
      </c>
      <c r="G350" s="5">
        <f>PasteHashtag!G350</f>
        <v>14.9</v>
      </c>
      <c r="H350" s="5">
        <f>MID(PasteHashtag!H350,1+FIND("(",PasteHashtag!H350),FIND("/",PasteHashtag!H350)-FIND("(",PasteHashtag!H350)-1)*1</f>
        <v>2.4</v>
      </c>
      <c r="I350" s="5">
        <f>LEFT(PasteHashtag!H350,FIND("(",PasteHashtag!H350)-1)*1</f>
        <v>0.376</v>
      </c>
      <c r="J350" s="5">
        <f>MID(PasteHashtag!I350,1+FIND("(",PasteHashtag!I350),FIND("/",PasteHashtag!I350)-FIND("(",PasteHashtag!I350)-1)*1</f>
        <v>1.2</v>
      </c>
      <c r="K350" s="5">
        <f>LEFT(PasteHashtag!I350,FIND("(",PasteHashtag!I350)-1)*1</f>
        <v>0.719</v>
      </c>
      <c r="L350" s="5">
        <f>PasteHashtag!J350</f>
        <v>1</v>
      </c>
      <c r="M350" s="5">
        <f>PasteHashtag!K350</f>
        <v>6.9</v>
      </c>
      <c r="N350" s="5">
        <f>PasteHashtag!L350</f>
        <v>1.6</v>
      </c>
      <c r="O350" s="5">
        <f>PasteHashtag!M350</f>
        <v>2</v>
      </c>
      <c r="P350" s="5">
        <f>PasteHashtag!N350</f>
        <v>0.7</v>
      </c>
      <c r="Q350" s="5">
        <f>PasteHashtag!O350</f>
        <v>0.2</v>
      </c>
      <c r="R350" s="5">
        <f>PasteHashtag!P350</f>
        <v>1.5</v>
      </c>
      <c r="S350" s="5">
        <f>Mid(PasteHashtag!H350,FIND("/",PasteHashtag!H350)+1,LEN(PasteHashtag!H350)-FIND("/",PasteHashtag!H350)-1)*1</f>
        <v>6.3</v>
      </c>
      <c r="T350" s="178">
        <f>Mid(PasteHashtag!I350,FIND("/",PasteHashtag!I350)+1,LEN(PasteHashtag!I350)-FIND("/",PasteHashtag!I350)-1)*1</f>
        <v>1.7</v>
      </c>
    </row>
    <row r="351">
      <c r="A351" s="5">
        <v>350.0</v>
      </c>
      <c r="B351" s="5" t="str">
        <f>PasteHashtag!B351</f>
        <v/>
      </c>
      <c r="C351" s="177" t="str">
        <f>PasteHashtag!C351</f>
        <v>Chris Duarte</v>
      </c>
      <c r="D351" s="5" t="str">
        <f>PasteHashtag!D351</f>
        <v>SG</v>
      </c>
      <c r="E351" s="5" t="str">
        <f>PasteHashtag!E351</f>
        <v>CHI</v>
      </c>
      <c r="F351" s="5">
        <f>PasteHashtag!F351</f>
        <v>50</v>
      </c>
      <c r="G351" s="5">
        <f>PasteHashtag!G351</f>
        <v>15</v>
      </c>
      <c r="H351" s="5">
        <f>MID(PasteHashtag!H351,1+FIND("(",PasteHashtag!H351),FIND("/",PasteHashtag!H351)-FIND("(",PasteHashtag!H351)-1)*1</f>
        <v>1.9</v>
      </c>
      <c r="I351" s="5">
        <f>LEFT(PasteHashtag!H351,FIND("(",PasteHashtag!H351)-1)*1</f>
        <v>0.373</v>
      </c>
      <c r="J351" s="5">
        <f>MID(PasteHashtag!I351,1+FIND("(",PasteHashtag!I351),FIND("/",PasteHashtag!I351)-FIND("(",PasteHashtag!I351)-1)*1</f>
        <v>0.8</v>
      </c>
      <c r="K351" s="5">
        <f>LEFT(PasteHashtag!I351,FIND("(",PasteHashtag!I351)-1)*1</f>
        <v>0.837</v>
      </c>
      <c r="L351" s="5">
        <f>PasteHashtag!J351</f>
        <v>0.9</v>
      </c>
      <c r="M351" s="5">
        <f>PasteHashtag!K351</f>
        <v>5.6</v>
      </c>
      <c r="N351" s="5">
        <f>PasteHashtag!L351</f>
        <v>2.1</v>
      </c>
      <c r="O351" s="5">
        <f>PasteHashtag!M351</f>
        <v>1</v>
      </c>
      <c r="P351" s="5">
        <f>PasteHashtag!N351</f>
        <v>0.5</v>
      </c>
      <c r="Q351" s="5">
        <f>PasteHashtag!O351</f>
        <v>0.2</v>
      </c>
      <c r="R351" s="5">
        <f>PasteHashtag!P351</f>
        <v>0.6</v>
      </c>
      <c r="S351" s="5">
        <f>Mid(PasteHashtag!H351,FIND("/",PasteHashtag!H351)+1,LEN(PasteHashtag!H351)-FIND("/",PasteHashtag!H351)-1)*1</f>
        <v>5.1</v>
      </c>
      <c r="T351" s="178">
        <f>Mid(PasteHashtag!I351,FIND("/",PasteHashtag!I351)+1,LEN(PasteHashtag!I351)-FIND("/",PasteHashtag!I351)-1)*1</f>
        <v>1</v>
      </c>
    </row>
    <row r="352">
      <c r="A352" s="5">
        <v>351.0</v>
      </c>
      <c r="B352" s="5" t="str">
        <f>PasteHashtag!B352</f>
        <v/>
      </c>
      <c r="C352" s="177" t="str">
        <f>PasteHashtag!C352</f>
        <v>Alex Len</v>
      </c>
      <c r="D352" s="5" t="str">
        <f>PasteHashtag!D352</f>
        <v>C</v>
      </c>
      <c r="E352" s="5" t="str">
        <f>PasteHashtag!E352</f>
        <v>SAC</v>
      </c>
      <c r="F352" s="5">
        <f>PasteHashtag!F352</f>
        <v>54</v>
      </c>
      <c r="G352" s="5">
        <f>PasteHashtag!G352</f>
        <v>9.4</v>
      </c>
      <c r="H352" s="5">
        <f>MID(PasteHashtag!H352,1+FIND("(",PasteHashtag!H352),FIND("/",PasteHashtag!H352)-FIND("(",PasteHashtag!H352)-1)*1</f>
        <v>1</v>
      </c>
      <c r="I352" s="5">
        <f>LEFT(PasteHashtag!H352,FIND("(",PasteHashtag!H352)-1)*1</f>
        <v>0.592</v>
      </c>
      <c r="J352" s="5">
        <f>MID(PasteHashtag!I352,1+FIND("(",PasteHashtag!I352),FIND("/",PasteHashtag!I352)-FIND("(",PasteHashtag!I352)-1)*1</f>
        <v>0.5</v>
      </c>
      <c r="K352" s="5">
        <f>LEFT(PasteHashtag!I352,FIND("(",PasteHashtag!I352)-1)*1</f>
        <v>0.628</v>
      </c>
      <c r="L352" s="5">
        <f>PasteHashtag!J352</f>
        <v>0</v>
      </c>
      <c r="M352" s="5">
        <f>PasteHashtag!K352</f>
        <v>2.6</v>
      </c>
      <c r="N352" s="5">
        <f>PasteHashtag!L352</f>
        <v>3</v>
      </c>
      <c r="O352" s="5">
        <f>PasteHashtag!M352</f>
        <v>1</v>
      </c>
      <c r="P352" s="5">
        <f>PasteHashtag!N352</f>
        <v>0.2</v>
      </c>
      <c r="Q352" s="5">
        <f>PasteHashtag!O352</f>
        <v>0.7</v>
      </c>
      <c r="R352" s="5">
        <f>PasteHashtag!P352</f>
        <v>0.7</v>
      </c>
      <c r="S352" s="5">
        <f>Mid(PasteHashtag!H352,FIND("/",PasteHashtag!H352)+1,LEN(PasteHashtag!H352)-FIND("/",PasteHashtag!H352)-1)*1</f>
        <v>1.7</v>
      </c>
      <c r="T352" s="178">
        <f>Mid(PasteHashtag!I352,FIND("/",PasteHashtag!I352)+1,LEN(PasteHashtag!I352)-FIND("/",PasteHashtag!I352)-1)*1</f>
        <v>0.8</v>
      </c>
    </row>
    <row r="353">
      <c r="A353" s="5">
        <v>352.0</v>
      </c>
      <c r="B353" s="5">
        <f>PasteHashtag!B353</f>
        <v>135.6</v>
      </c>
      <c r="C353" s="177" t="str">
        <f>PasteHashtag!C353</f>
        <v>Kevon Looney</v>
      </c>
      <c r="D353" s="5" t="str">
        <f>PasteHashtag!D353</f>
        <v>PF,C</v>
      </c>
      <c r="E353" s="5" t="str">
        <f>PasteHashtag!E353</f>
        <v>GS</v>
      </c>
      <c r="F353" s="5">
        <f>PasteHashtag!F353</f>
        <v>68</v>
      </c>
      <c r="G353" s="5">
        <f>PasteHashtag!G353</f>
        <v>10.4</v>
      </c>
      <c r="H353" s="5">
        <f>MID(PasteHashtag!H353,1+FIND("(",PasteHashtag!H353),FIND("/",PasteHashtag!H353)-FIND("(",PasteHashtag!H353)-1)*1</f>
        <v>1.3</v>
      </c>
      <c r="I353" s="5">
        <f>LEFT(PasteHashtag!H353,FIND("(",PasteHashtag!H353)-1)*1</f>
        <v>0.617</v>
      </c>
      <c r="J353" s="5">
        <f>MID(PasteHashtag!I353,1+FIND("(",PasteHashtag!I353),FIND("/",PasteHashtag!I353)-FIND("(",PasteHashtag!I353)-1)*1</f>
        <v>0.5</v>
      </c>
      <c r="K353" s="5">
        <f>LEFT(PasteHashtag!I353,FIND("(",PasteHashtag!I353)-1)*1</f>
        <v>0.633</v>
      </c>
      <c r="L353" s="5">
        <f>PasteHashtag!J353</f>
        <v>0</v>
      </c>
      <c r="M353" s="5">
        <f>PasteHashtag!K353</f>
        <v>3</v>
      </c>
      <c r="N353" s="5">
        <f>PasteHashtag!L353</f>
        <v>3.9</v>
      </c>
      <c r="O353" s="5">
        <f>PasteHashtag!M353</f>
        <v>1.1</v>
      </c>
      <c r="P353" s="5">
        <f>PasteHashtag!N353</f>
        <v>0.3</v>
      </c>
      <c r="Q353" s="5">
        <f>PasteHashtag!O353</f>
        <v>0.3</v>
      </c>
      <c r="R353" s="5">
        <f>PasteHashtag!P353</f>
        <v>0.3</v>
      </c>
      <c r="S353" s="5">
        <f>Mid(PasteHashtag!H353,FIND("/",PasteHashtag!H353)+1,LEN(PasteHashtag!H353)-FIND("/",PasteHashtag!H353)-1)*1</f>
        <v>2.1</v>
      </c>
      <c r="T353" s="178">
        <f>Mid(PasteHashtag!I353,FIND("/",PasteHashtag!I353)+1,LEN(PasteHashtag!I353)-FIND("/",PasteHashtag!I353)-1)*1</f>
        <v>0.8</v>
      </c>
    </row>
    <row r="354">
      <c r="A354" s="5">
        <v>353.0</v>
      </c>
      <c r="B354" s="5" t="str">
        <f>PasteHashtag!B354</f>
        <v/>
      </c>
      <c r="C354" s="177" t="str">
        <f>PasteHashtag!C354</f>
        <v>Jeremiah Robinson-Earl</v>
      </c>
      <c r="D354" s="5" t="str">
        <f>PasteHashtag!D354</f>
        <v>PF,C</v>
      </c>
      <c r="E354" s="5" t="str">
        <f>PasteHashtag!E354</f>
        <v>NO</v>
      </c>
      <c r="F354" s="5">
        <f>PasteHashtag!F354</f>
        <v>36</v>
      </c>
      <c r="G354" s="5">
        <f>PasteHashtag!G354</f>
        <v>12.1</v>
      </c>
      <c r="H354" s="5">
        <f>MID(PasteHashtag!H354,1+FIND("(",PasteHashtag!H354),FIND("/",PasteHashtag!H354)-FIND("(",PasteHashtag!H354)-1)*1</f>
        <v>1.7</v>
      </c>
      <c r="I354" s="5">
        <f>LEFT(PasteHashtag!H354,FIND("(",PasteHashtag!H354)-1)*1</f>
        <v>0.452</v>
      </c>
      <c r="J354" s="5">
        <f>MID(PasteHashtag!I354,1+FIND("(",PasteHashtag!I354),FIND("/",PasteHashtag!I354)-FIND("(",PasteHashtag!I354)-1)*1</f>
        <v>0.5</v>
      </c>
      <c r="K354" s="5">
        <f>LEFT(PasteHashtag!I354,FIND("(",PasteHashtag!I354)-1)*1</f>
        <v>0.806</v>
      </c>
      <c r="L354" s="5">
        <f>PasteHashtag!J354</f>
        <v>0.5</v>
      </c>
      <c r="M354" s="5">
        <f>PasteHashtag!K354</f>
        <v>4.3</v>
      </c>
      <c r="N354" s="5">
        <f>PasteHashtag!L354</f>
        <v>2.7</v>
      </c>
      <c r="O354" s="5">
        <f>PasteHashtag!M354</f>
        <v>0.7</v>
      </c>
      <c r="P354" s="5">
        <f>PasteHashtag!N354</f>
        <v>0.4</v>
      </c>
      <c r="Q354" s="5">
        <f>PasteHashtag!O354</f>
        <v>0.2</v>
      </c>
      <c r="R354" s="5">
        <f>PasteHashtag!P354</f>
        <v>0.4</v>
      </c>
      <c r="S354" s="5">
        <f>Mid(PasteHashtag!H354,FIND("/",PasteHashtag!H354)+1,LEN(PasteHashtag!H354)-FIND("/",PasteHashtag!H354)-1)*1</f>
        <v>3.7</v>
      </c>
      <c r="T354" s="178">
        <f>Mid(PasteHashtag!I354,FIND("/",PasteHashtag!I354)+1,LEN(PasteHashtag!I354)-FIND("/",PasteHashtag!I354)-1)*1</f>
        <v>0.6</v>
      </c>
    </row>
    <row r="355">
      <c r="A355" s="5">
        <v>354.0</v>
      </c>
      <c r="B355" s="5" t="str">
        <f>PasteHashtag!B355</f>
        <v/>
      </c>
      <c r="C355" s="177" t="str">
        <f>PasteHashtag!C355</f>
        <v>Jamal Cain</v>
      </c>
      <c r="D355" s="5" t="str">
        <f>PasteHashtag!D355</f>
        <v>SF,PF</v>
      </c>
      <c r="E355" s="5" t="str">
        <f>PasteHashtag!E355</f>
        <v>NO</v>
      </c>
      <c r="F355" s="5">
        <f>PasteHashtag!F355</f>
        <v>22</v>
      </c>
      <c r="G355" s="5">
        <f>PasteHashtag!G355</f>
        <v>11.1</v>
      </c>
      <c r="H355" s="5">
        <f>MID(PasteHashtag!H355,1+FIND("(",PasteHashtag!H355),FIND("/",PasteHashtag!H355)-FIND("(",PasteHashtag!H355)-1)*1</f>
        <v>1.6</v>
      </c>
      <c r="I355" s="5">
        <f>LEFT(PasteHashtag!H355,FIND("(",PasteHashtag!H355)-1)*1</f>
        <v>0.488</v>
      </c>
      <c r="J355" s="5">
        <f>MID(PasteHashtag!I355,1+FIND("(",PasteHashtag!I355),FIND("/",PasteHashtag!I355)-FIND("(",PasteHashtag!I355)-1)*1</f>
        <v>0.8</v>
      </c>
      <c r="K355" s="5">
        <f>LEFT(PasteHashtag!I355,FIND("(",PasteHashtag!I355)-1)*1</f>
        <v>0.782</v>
      </c>
      <c r="L355" s="5">
        <f>PasteHashtag!J355</f>
        <v>0.4</v>
      </c>
      <c r="M355" s="5">
        <f>PasteHashtag!K355</f>
        <v>4.4</v>
      </c>
      <c r="N355" s="5">
        <f>PasteHashtag!L355</f>
        <v>2</v>
      </c>
      <c r="O355" s="5">
        <f>PasteHashtag!M355</f>
        <v>0.5</v>
      </c>
      <c r="P355" s="5">
        <f>PasteHashtag!N355</f>
        <v>0.5</v>
      </c>
      <c r="Q355" s="5">
        <f>PasteHashtag!O355</f>
        <v>0.1</v>
      </c>
      <c r="R355" s="5">
        <f>PasteHashtag!P355</f>
        <v>0.3</v>
      </c>
      <c r="S355" s="5">
        <f>Mid(PasteHashtag!H355,FIND("/",PasteHashtag!H355)+1,LEN(PasteHashtag!H355)-FIND("/",PasteHashtag!H355)-1)*1</f>
        <v>3.3</v>
      </c>
      <c r="T355" s="178">
        <f>Mid(PasteHashtag!I355,FIND("/",PasteHashtag!I355)+1,LEN(PasteHashtag!I355)-FIND("/",PasteHashtag!I355)-1)*1</f>
        <v>1</v>
      </c>
    </row>
    <row r="356">
      <c r="A356" s="5">
        <v>355.0</v>
      </c>
      <c r="B356" s="5" t="str">
        <f>PasteHashtag!B356</f>
        <v/>
      </c>
      <c r="C356" s="177" t="str">
        <f>PasteHashtag!C356</f>
        <v>Dru Smith</v>
      </c>
      <c r="D356" s="5" t="str">
        <f>PasteHashtag!D356</f>
        <v>PG,SG</v>
      </c>
      <c r="E356" s="5" t="str">
        <f>PasteHashtag!E356</f>
        <v>MIA</v>
      </c>
      <c r="F356" s="5">
        <f>PasteHashtag!F356</f>
        <v>10</v>
      </c>
      <c r="G356" s="5">
        <f>PasteHashtag!G356</f>
        <v>8.8</v>
      </c>
      <c r="H356" s="5">
        <f>MID(PasteHashtag!H356,1+FIND("(",PasteHashtag!H356),FIND("/",PasteHashtag!H356)-FIND("(",PasteHashtag!H356)-1)*1</f>
        <v>1</v>
      </c>
      <c r="I356" s="5">
        <f>LEFT(PasteHashtag!H356,FIND("(",PasteHashtag!H356)-1)*1</f>
        <v>0.421</v>
      </c>
      <c r="J356" s="5">
        <f>MID(PasteHashtag!I356,1+FIND("(",PasteHashtag!I356),FIND("/",PasteHashtag!I356)-FIND("(",PasteHashtag!I356)-1)*1</f>
        <v>0.2</v>
      </c>
      <c r="K356" s="5">
        <f>LEFT(PasteHashtag!I356,FIND("(",PasteHashtag!I356)-1)*1</f>
        <v>1</v>
      </c>
      <c r="L356" s="5">
        <f>PasteHashtag!J356</f>
        <v>0.4</v>
      </c>
      <c r="M356" s="5">
        <f>PasteHashtag!K356</f>
        <v>2.6</v>
      </c>
      <c r="N356" s="5">
        <f>PasteHashtag!L356</f>
        <v>1.2</v>
      </c>
      <c r="O356" s="5">
        <f>PasteHashtag!M356</f>
        <v>1.1</v>
      </c>
      <c r="P356" s="5">
        <f>PasteHashtag!N356</f>
        <v>0.6</v>
      </c>
      <c r="Q356" s="5">
        <f>PasteHashtag!O356</f>
        <v>0.2</v>
      </c>
      <c r="R356" s="5">
        <f>PasteHashtag!P356</f>
        <v>0.3</v>
      </c>
      <c r="S356" s="5">
        <f>Mid(PasteHashtag!H356,FIND("/",PasteHashtag!H356)+1,LEN(PasteHashtag!H356)-FIND("/",PasteHashtag!H356)-1)*1</f>
        <v>2.4</v>
      </c>
      <c r="T356" s="178">
        <f>Mid(PasteHashtag!I356,FIND("/",PasteHashtag!I356)+1,LEN(PasteHashtag!I356)-FIND("/",PasteHashtag!I356)-1)*1</f>
        <v>0.2</v>
      </c>
    </row>
    <row r="357">
      <c r="A357" s="5">
        <v>356.0</v>
      </c>
      <c r="B357" s="5" t="str">
        <f>PasteHashtag!B357</f>
        <v/>
      </c>
      <c r="C357" s="177" t="str">
        <f>PasteHashtag!C357</f>
        <v>Zeke Nnaji</v>
      </c>
      <c r="D357" s="5" t="str">
        <f>PasteHashtag!D357</f>
        <v>PF,C</v>
      </c>
      <c r="E357" s="5" t="str">
        <f>PasteHashtag!E357</f>
        <v>DEN</v>
      </c>
      <c r="F357" s="5">
        <f>PasteHashtag!F357</f>
        <v>58</v>
      </c>
      <c r="G357" s="5">
        <f>PasteHashtag!G357</f>
        <v>12.1</v>
      </c>
      <c r="H357" s="5">
        <f>MID(PasteHashtag!H357,1+FIND("(",PasteHashtag!H357),FIND("/",PasteHashtag!H357)-FIND("(",PasteHashtag!H357)-1)*1</f>
        <v>1.7</v>
      </c>
      <c r="I357" s="5">
        <f>LEFT(PasteHashtag!H357,FIND("(",PasteHashtag!H357)-1)*1</f>
        <v>0.519</v>
      </c>
      <c r="J357" s="5">
        <f>MID(PasteHashtag!I357,1+FIND("(",PasteHashtag!I357),FIND("/",PasteHashtag!I357)-FIND("(",PasteHashtag!I357)-1)*1</f>
        <v>0.8</v>
      </c>
      <c r="K357" s="5">
        <f>LEFT(PasteHashtag!I357,FIND("(",PasteHashtag!I357)-1)*1</f>
        <v>0.664</v>
      </c>
      <c r="L357" s="5">
        <f>PasteHashtag!J357</f>
        <v>0.2</v>
      </c>
      <c r="M357" s="5">
        <f>PasteHashtag!K357</f>
        <v>4.3</v>
      </c>
      <c r="N357" s="5">
        <f>PasteHashtag!L357</f>
        <v>2.5</v>
      </c>
      <c r="O357" s="5">
        <f>PasteHashtag!M357</f>
        <v>0.5</v>
      </c>
      <c r="P357" s="5">
        <f>PasteHashtag!N357</f>
        <v>0.3</v>
      </c>
      <c r="Q357" s="5">
        <f>PasteHashtag!O357</f>
        <v>0.6</v>
      </c>
      <c r="R357" s="5">
        <f>PasteHashtag!P357</f>
        <v>0.5</v>
      </c>
      <c r="S357" s="5">
        <f>Mid(PasteHashtag!H357,FIND("/",PasteHashtag!H357)+1,LEN(PasteHashtag!H357)-FIND("/",PasteHashtag!H357)-1)*1</f>
        <v>3.2</v>
      </c>
      <c r="T357" s="178">
        <f>Mid(PasteHashtag!I357,FIND("/",PasteHashtag!I357)+1,LEN(PasteHashtag!I357)-FIND("/",PasteHashtag!I357)-1)*1</f>
        <v>1.2</v>
      </c>
    </row>
    <row r="358">
      <c r="A358" s="5">
        <v>357.0</v>
      </c>
      <c r="B358" s="5" t="str">
        <f>PasteHashtag!B358</f>
        <v/>
      </c>
      <c r="C358" s="177" t="str">
        <f>PasteHashtag!C358</f>
        <v>Kobe Bufkin</v>
      </c>
      <c r="D358" s="5" t="str">
        <f>PasteHashtag!D358</f>
        <v>PG,SG</v>
      </c>
      <c r="E358" s="5" t="str">
        <f>PasteHashtag!E358</f>
        <v>ATL</v>
      </c>
      <c r="F358" s="5">
        <f>PasteHashtag!F358</f>
        <v>40</v>
      </c>
      <c r="G358" s="5">
        <f>PasteHashtag!G358</f>
        <v>15.4</v>
      </c>
      <c r="H358" s="5">
        <f>MID(PasteHashtag!H358,1+FIND("(",PasteHashtag!H358),FIND("/",PasteHashtag!H358)-FIND("(",PasteHashtag!H358)-1)*1</f>
        <v>2.7</v>
      </c>
      <c r="I358" s="5">
        <f>LEFT(PasteHashtag!H358,FIND("(",PasteHashtag!H358)-1)*1</f>
        <v>0.37</v>
      </c>
      <c r="J358" s="5">
        <f>MID(PasteHashtag!I358,1+FIND("(",PasteHashtag!I358),FIND("/",PasteHashtag!I358)-FIND("(",PasteHashtag!I358)-1)*1</f>
        <v>0.3</v>
      </c>
      <c r="K358" s="5">
        <f>LEFT(PasteHashtag!I358,FIND("(",PasteHashtag!I358)-1)*1</f>
        <v>0.508</v>
      </c>
      <c r="L358" s="5">
        <f>PasteHashtag!J358</f>
        <v>0.7</v>
      </c>
      <c r="M358" s="5">
        <f>PasteHashtag!K358</f>
        <v>6.4</v>
      </c>
      <c r="N358" s="5">
        <f>PasteHashtag!L358</f>
        <v>2.6</v>
      </c>
      <c r="O358" s="5">
        <f>PasteHashtag!M358</f>
        <v>2.1</v>
      </c>
      <c r="P358" s="5">
        <f>PasteHashtag!N358</f>
        <v>0.6</v>
      </c>
      <c r="Q358" s="5">
        <f>PasteHashtag!O358</f>
        <v>0.4</v>
      </c>
      <c r="R358" s="5">
        <f>PasteHashtag!P358</f>
        <v>0.8</v>
      </c>
      <c r="S358" s="5">
        <f>Mid(PasteHashtag!H358,FIND("/",PasteHashtag!H358)+1,LEN(PasteHashtag!H358)-FIND("/",PasteHashtag!H358)-1)*1</f>
        <v>7.3</v>
      </c>
      <c r="T358" s="178">
        <f>Mid(PasteHashtag!I358,FIND("/",PasteHashtag!I358)+1,LEN(PasteHashtag!I358)-FIND("/",PasteHashtag!I358)-1)*1</f>
        <v>0.6</v>
      </c>
    </row>
    <row r="359">
      <c r="A359" s="5">
        <v>358.0</v>
      </c>
      <c r="B359" s="5" t="str">
        <f>PasteHashtag!B359</f>
        <v/>
      </c>
      <c r="C359" s="177" t="str">
        <f>PasteHashtag!C359</f>
        <v>Trendon Watford</v>
      </c>
      <c r="D359" s="5" t="str">
        <f>PasteHashtag!D359</f>
        <v>PF,C</v>
      </c>
      <c r="E359" s="5" t="str">
        <f>PasteHashtag!E359</f>
        <v>BKN</v>
      </c>
      <c r="F359" s="5">
        <f>PasteHashtag!F359</f>
        <v>44</v>
      </c>
      <c r="G359" s="5">
        <f>PasteHashtag!G359</f>
        <v>10.1</v>
      </c>
      <c r="H359" s="5">
        <f>MID(PasteHashtag!H359,1+FIND("(",PasteHashtag!H359),FIND("/",PasteHashtag!H359)-FIND("(",PasteHashtag!H359)-1)*1</f>
        <v>1.7</v>
      </c>
      <c r="I359" s="5">
        <f>LEFT(PasteHashtag!H359,FIND("(",PasteHashtag!H359)-1)*1</f>
        <v>0.546</v>
      </c>
      <c r="J359" s="5">
        <f>MID(PasteHashtag!I359,1+FIND("(",PasteHashtag!I359),FIND("/",PasteHashtag!I359)-FIND("(",PasteHashtag!I359)-1)*1</f>
        <v>0.8</v>
      </c>
      <c r="K359" s="5">
        <f>LEFT(PasteHashtag!I359,FIND("(",PasteHashtag!I359)-1)*1</f>
        <v>0.758</v>
      </c>
      <c r="L359" s="5">
        <f>PasteHashtag!J359</f>
        <v>0.3</v>
      </c>
      <c r="M359" s="5">
        <f>PasteHashtag!K359</f>
        <v>4.5</v>
      </c>
      <c r="N359" s="5">
        <f>PasteHashtag!L359</f>
        <v>2.2</v>
      </c>
      <c r="O359" s="5">
        <f>PasteHashtag!M359</f>
        <v>1.1</v>
      </c>
      <c r="P359" s="5">
        <f>PasteHashtag!N359</f>
        <v>0.3</v>
      </c>
      <c r="Q359" s="5">
        <f>PasteHashtag!O359</f>
        <v>0.2</v>
      </c>
      <c r="R359" s="5">
        <f>PasteHashtag!P359</f>
        <v>0.7</v>
      </c>
      <c r="S359" s="5">
        <f>Mid(PasteHashtag!H359,FIND("/",PasteHashtag!H359)+1,LEN(PasteHashtag!H359)-FIND("/",PasteHashtag!H359)-1)*1</f>
        <v>3.2</v>
      </c>
      <c r="T359" s="178">
        <f>Mid(PasteHashtag!I359,FIND("/",PasteHashtag!I359)+1,LEN(PasteHashtag!I359)-FIND("/",PasteHashtag!I359)-1)*1</f>
        <v>1</v>
      </c>
    </row>
    <row r="360">
      <c r="A360" s="5">
        <v>359.0</v>
      </c>
      <c r="B360" s="5" t="str">
        <f>PasteHashtag!B360</f>
        <v/>
      </c>
      <c r="C360" s="177" t="str">
        <f>PasteHashtag!C360</f>
        <v>Garrison Mathews</v>
      </c>
      <c r="D360" s="5" t="str">
        <f>PasteHashtag!D360</f>
        <v>SG,SF</v>
      </c>
      <c r="E360" s="5" t="str">
        <f>PasteHashtag!E360</f>
        <v>ATL</v>
      </c>
      <c r="F360" s="5">
        <f>PasteHashtag!F360</f>
        <v>54</v>
      </c>
      <c r="G360" s="5">
        <f>PasteHashtag!G360</f>
        <v>12.7</v>
      </c>
      <c r="H360" s="5">
        <f>MID(PasteHashtag!H360,1+FIND("(",PasteHashtag!H360),FIND("/",PasteHashtag!H360)-FIND("(",PasteHashtag!H360)-1)*1</f>
        <v>1.4</v>
      </c>
      <c r="I360" s="5">
        <f>LEFT(PasteHashtag!H360,FIND("(",PasteHashtag!H360)-1)*1</f>
        <v>0.414</v>
      </c>
      <c r="J360" s="5">
        <f>MID(PasteHashtag!I360,1+FIND("(",PasteHashtag!I360),FIND("/",PasteHashtag!I360)-FIND("(",PasteHashtag!I360)-1)*1</f>
        <v>0.6</v>
      </c>
      <c r="K360" s="5">
        <f>LEFT(PasteHashtag!I360,FIND("(",PasteHashtag!I360)-1)*1</f>
        <v>0.863</v>
      </c>
      <c r="L360" s="5">
        <f>PasteHashtag!J360</f>
        <v>1.1</v>
      </c>
      <c r="M360" s="5">
        <f>PasteHashtag!K360</f>
        <v>4.5</v>
      </c>
      <c r="N360" s="5">
        <f>PasteHashtag!L360</f>
        <v>1.3</v>
      </c>
      <c r="O360" s="5">
        <f>PasteHashtag!M360</f>
        <v>0.5</v>
      </c>
      <c r="P360" s="5">
        <f>PasteHashtag!N360</f>
        <v>0.3</v>
      </c>
      <c r="Q360" s="5">
        <f>PasteHashtag!O360</f>
        <v>0.1</v>
      </c>
      <c r="R360" s="5">
        <f>PasteHashtag!P360</f>
        <v>0.3</v>
      </c>
      <c r="S360" s="5">
        <f>Mid(PasteHashtag!H360,FIND("/",PasteHashtag!H360)+1,LEN(PasteHashtag!H360)-FIND("/",PasteHashtag!H360)-1)*1</f>
        <v>3.3</v>
      </c>
      <c r="T360" s="178">
        <f>Mid(PasteHashtag!I360,FIND("/",PasteHashtag!I360)+1,LEN(PasteHashtag!I360)-FIND("/",PasteHashtag!I360)-1)*1</f>
        <v>0.7</v>
      </c>
    </row>
    <row r="361">
      <c r="A361" s="5">
        <v>360.0</v>
      </c>
      <c r="B361" s="5" t="str">
        <f>PasteHashtag!B361</f>
        <v/>
      </c>
      <c r="C361" s="177" t="str">
        <f>PasteHashtag!C361</f>
        <v>Nikola Djurisic</v>
      </c>
      <c r="D361" s="5" t="str">
        <f>PasteHashtag!D361</f>
        <v>SF</v>
      </c>
      <c r="E361" s="5" t="str">
        <f>PasteHashtag!E361</f>
        <v>ATL</v>
      </c>
      <c r="F361" s="5">
        <f>PasteHashtag!F361</f>
        <v>52</v>
      </c>
      <c r="G361" s="5">
        <f>PasteHashtag!G361</f>
        <v>17.4</v>
      </c>
      <c r="H361" s="5">
        <f>MID(PasteHashtag!H361,1+FIND("(",PasteHashtag!H361),FIND("/",PasteHashtag!H361)-FIND("(",PasteHashtag!H361)-1)*1</f>
        <v>2.2</v>
      </c>
      <c r="I361" s="5">
        <f>LEFT(PasteHashtag!H361,FIND("(",PasteHashtag!H361)-1)*1</f>
        <v>0.449</v>
      </c>
      <c r="J361" s="5">
        <f>MID(PasteHashtag!I361,1+FIND("(",PasteHashtag!I361),FIND("/",PasteHashtag!I361)-FIND("(",PasteHashtag!I361)-1)*1</f>
        <v>1.7</v>
      </c>
      <c r="K361" s="5">
        <f>LEFT(PasteHashtag!I361,FIND("(",PasteHashtag!I361)-1)*1</f>
        <v>0.759</v>
      </c>
      <c r="L361" s="5">
        <f>PasteHashtag!J361</f>
        <v>0.5</v>
      </c>
      <c r="M361" s="5">
        <f>PasteHashtag!K361</f>
        <v>6.5</v>
      </c>
      <c r="N361" s="5">
        <f>PasteHashtag!L361</f>
        <v>1.2</v>
      </c>
      <c r="O361" s="5">
        <f>PasteHashtag!M361</f>
        <v>1.5</v>
      </c>
      <c r="P361" s="5">
        <f>PasteHashtag!N361</f>
        <v>0.5</v>
      </c>
      <c r="Q361" s="5">
        <f>PasteHashtag!O361</f>
        <v>0.2</v>
      </c>
      <c r="R361" s="5">
        <f>PasteHashtag!P361</f>
        <v>1.4</v>
      </c>
      <c r="S361" s="5">
        <f>Mid(PasteHashtag!H361,FIND("/",PasteHashtag!H361)+1,LEN(PasteHashtag!H361)-FIND("/",PasteHashtag!H361)-1)*1</f>
        <v>4.8</v>
      </c>
      <c r="T361" s="178">
        <f>Mid(PasteHashtag!I361,FIND("/",PasteHashtag!I361)+1,LEN(PasteHashtag!I361)-FIND("/",PasteHashtag!I361)-1)*1</f>
        <v>2.2</v>
      </c>
    </row>
    <row r="362">
      <c r="A362" s="5">
        <v>361.0</v>
      </c>
      <c r="B362" s="5" t="str">
        <f>PasteHashtag!B362</f>
        <v/>
      </c>
      <c r="C362" s="177" t="str">
        <f>PasteHashtag!C362</f>
        <v>Adem Bona</v>
      </c>
      <c r="D362" s="5" t="str">
        <f>PasteHashtag!D362</f>
        <v>C</v>
      </c>
      <c r="E362" s="5" t="str">
        <f>PasteHashtag!E362</f>
        <v>PHI</v>
      </c>
      <c r="F362" s="5">
        <f>PasteHashtag!F362</f>
        <v>44</v>
      </c>
      <c r="G362" s="5">
        <f>PasteHashtag!G362</f>
        <v>11.2</v>
      </c>
      <c r="H362" s="5">
        <f>MID(PasteHashtag!H362,1+FIND("(",PasteHashtag!H362),FIND("/",PasteHashtag!H362)-FIND("(",PasteHashtag!H362)-1)*1</f>
        <v>1.5</v>
      </c>
      <c r="I362" s="5">
        <f>LEFT(PasteHashtag!H362,FIND("(",PasteHashtag!H362)-1)*1</f>
        <v>0.59</v>
      </c>
      <c r="J362" s="5">
        <f>MID(PasteHashtag!I362,1+FIND("(",PasteHashtag!I362),FIND("/",PasteHashtag!I362)-FIND("(",PasteHashtag!I362)-1)*1</f>
        <v>1</v>
      </c>
      <c r="K362" s="5">
        <f>LEFT(PasteHashtag!I362,FIND("(",PasteHashtag!I362)-1)*1</f>
        <v>0.702</v>
      </c>
      <c r="L362" s="5">
        <f>PasteHashtag!J362</f>
        <v>0</v>
      </c>
      <c r="M362" s="5">
        <f>PasteHashtag!K362</f>
        <v>3.9</v>
      </c>
      <c r="N362" s="5">
        <f>PasteHashtag!L362</f>
        <v>1.9</v>
      </c>
      <c r="O362" s="5">
        <f>PasteHashtag!M362</f>
        <v>0.4</v>
      </c>
      <c r="P362" s="5">
        <f>PasteHashtag!N362</f>
        <v>0.4</v>
      </c>
      <c r="Q362" s="5">
        <f>PasteHashtag!O362</f>
        <v>0.6</v>
      </c>
      <c r="R362" s="5">
        <f>PasteHashtag!P362</f>
        <v>0.8</v>
      </c>
      <c r="S362" s="5">
        <f>Mid(PasteHashtag!H362,FIND("/",PasteHashtag!H362)+1,LEN(PasteHashtag!H362)-FIND("/",PasteHashtag!H362)-1)*1</f>
        <v>2.5</v>
      </c>
      <c r="T362" s="178">
        <f>Mid(PasteHashtag!I362,FIND("/",PasteHashtag!I362)+1,LEN(PasteHashtag!I362)-FIND("/",PasteHashtag!I362)-1)*1</f>
        <v>1.4</v>
      </c>
    </row>
    <row r="363">
      <c r="A363" s="5">
        <v>362.0</v>
      </c>
      <c r="B363" s="5" t="str">
        <f>PasteHashtag!B363</f>
        <v/>
      </c>
      <c r="C363" s="177" t="str">
        <f>PasteHashtag!C363</f>
        <v>Cody Williams</v>
      </c>
      <c r="D363" s="5" t="str">
        <f>PasteHashtag!D363</f>
        <v>SF</v>
      </c>
      <c r="E363" s="5" t="str">
        <f>PasteHashtag!E363</f>
        <v>UTA</v>
      </c>
      <c r="F363" s="5">
        <f>PasteHashtag!F363</f>
        <v>64</v>
      </c>
      <c r="G363" s="5">
        <f>PasteHashtag!G363</f>
        <v>17.3</v>
      </c>
      <c r="H363" s="5">
        <f>MID(PasteHashtag!H363,1+FIND("(",PasteHashtag!H363),FIND("/",PasteHashtag!H363)-FIND("(",PasteHashtag!H363)-1)*1</f>
        <v>2.1</v>
      </c>
      <c r="I363" s="5">
        <f>LEFT(PasteHashtag!H363,FIND("(",PasteHashtag!H363)-1)*1</f>
        <v>0.552</v>
      </c>
      <c r="J363" s="5">
        <f>MID(PasteHashtag!I363,1+FIND("(",PasteHashtag!I363),FIND("/",PasteHashtag!I363)-FIND("(",PasteHashtag!I363)-1)*1</f>
        <v>1.1</v>
      </c>
      <c r="K363" s="5">
        <f>LEFT(PasteHashtag!I363,FIND("(",PasteHashtag!I363)-1)*1</f>
        <v>0.716</v>
      </c>
      <c r="L363" s="5">
        <f>PasteHashtag!J363</f>
        <v>0.3</v>
      </c>
      <c r="M363" s="5">
        <f>PasteHashtag!K363</f>
        <v>5.5</v>
      </c>
      <c r="N363" s="5">
        <f>PasteHashtag!L363</f>
        <v>1.4</v>
      </c>
      <c r="O363" s="5">
        <f>PasteHashtag!M363</f>
        <v>0.7</v>
      </c>
      <c r="P363" s="5">
        <f>PasteHashtag!N363</f>
        <v>0.3</v>
      </c>
      <c r="Q363" s="5">
        <f>PasteHashtag!O363</f>
        <v>0.3</v>
      </c>
      <c r="R363" s="5">
        <f>PasteHashtag!P363</f>
        <v>0.9</v>
      </c>
      <c r="S363" s="5">
        <f>Mid(PasteHashtag!H363,FIND("/",PasteHashtag!H363)+1,LEN(PasteHashtag!H363)-FIND("/",PasteHashtag!H363)-1)*1</f>
        <v>3.7</v>
      </c>
      <c r="T363" s="178">
        <f>Mid(PasteHashtag!I363,FIND("/",PasteHashtag!I363)+1,LEN(PasteHashtag!I363)-FIND("/",PasteHashtag!I363)-1)*1</f>
        <v>1.5</v>
      </c>
    </row>
    <row r="364">
      <c r="A364" s="5">
        <v>363.0</v>
      </c>
      <c r="B364" s="5" t="str">
        <f>PasteHashtag!B364</f>
        <v/>
      </c>
      <c r="C364" s="177" t="str">
        <f>PasteHashtag!C364</f>
        <v>MarJon Beauchamp</v>
      </c>
      <c r="D364" s="5" t="str">
        <f>PasteHashtag!D364</f>
        <v>SG,SF</v>
      </c>
      <c r="E364" s="5" t="str">
        <f>PasteHashtag!E364</f>
        <v>MIL</v>
      </c>
      <c r="F364" s="5">
        <f>PasteHashtag!F364</f>
        <v>54</v>
      </c>
      <c r="G364" s="5">
        <f>PasteHashtag!G364</f>
        <v>13.8</v>
      </c>
      <c r="H364" s="5">
        <f>MID(PasteHashtag!H364,1+FIND("(",PasteHashtag!H364),FIND("/",PasteHashtag!H364)-FIND("(",PasteHashtag!H364)-1)*1</f>
        <v>1.9</v>
      </c>
      <c r="I364" s="5">
        <f>LEFT(PasteHashtag!H364,FIND("(",PasteHashtag!H364)-1)*1</f>
        <v>0.432</v>
      </c>
      <c r="J364" s="5">
        <f>MID(PasteHashtag!I364,1+FIND("(",PasteHashtag!I364),FIND("/",PasteHashtag!I364)-FIND("(",PasteHashtag!I364)-1)*1</f>
        <v>0.5</v>
      </c>
      <c r="K364" s="5">
        <f>LEFT(PasteHashtag!I364,FIND("(",PasteHashtag!I364)-1)*1</f>
        <v>0.71</v>
      </c>
      <c r="L364" s="5">
        <f>PasteHashtag!J364</f>
        <v>0.8</v>
      </c>
      <c r="M364" s="5">
        <f>PasteHashtag!K364</f>
        <v>5.1</v>
      </c>
      <c r="N364" s="5">
        <f>PasteHashtag!L364</f>
        <v>2.3</v>
      </c>
      <c r="O364" s="5">
        <f>PasteHashtag!M364</f>
        <v>0.7</v>
      </c>
      <c r="P364" s="5">
        <f>PasteHashtag!N364</f>
        <v>0.4</v>
      </c>
      <c r="Q364" s="5">
        <f>PasteHashtag!O364</f>
        <v>0.2</v>
      </c>
      <c r="R364" s="5">
        <f>PasteHashtag!P364</f>
        <v>0.8</v>
      </c>
      <c r="S364" s="5">
        <f>Mid(PasteHashtag!H364,FIND("/",PasteHashtag!H364)+1,LEN(PasteHashtag!H364)-FIND("/",PasteHashtag!H364)-1)*1</f>
        <v>4.4</v>
      </c>
      <c r="T364" s="178">
        <f>Mid(PasteHashtag!I364,FIND("/",PasteHashtag!I364)+1,LEN(PasteHashtag!I364)-FIND("/",PasteHashtag!I364)-1)*1</f>
        <v>0.7</v>
      </c>
    </row>
    <row r="365">
      <c r="A365" s="5">
        <v>364.0</v>
      </c>
      <c r="B365" s="5" t="str">
        <f>PasteHashtag!B365</f>
        <v/>
      </c>
      <c r="C365" s="177" t="str">
        <f>PasteHashtag!C365</f>
        <v>Tristan Vukcevic</v>
      </c>
      <c r="D365" s="5" t="str">
        <f>PasteHashtag!D365</f>
        <v>C</v>
      </c>
      <c r="E365" s="5" t="str">
        <f>PasteHashtag!E365</f>
        <v>WAS</v>
      </c>
      <c r="F365" s="5">
        <f>PasteHashtag!F365</f>
        <v>30</v>
      </c>
      <c r="G365" s="5">
        <f>PasteHashtag!G365</f>
        <v>7.9</v>
      </c>
      <c r="H365" s="5">
        <f>MID(PasteHashtag!H365,1+FIND("(",PasteHashtag!H365),FIND("/",PasteHashtag!H365)-FIND("(",PasteHashtag!H365)-1)*1</f>
        <v>1.5</v>
      </c>
      <c r="I365" s="5">
        <f>LEFT(PasteHashtag!H365,FIND("(",PasteHashtag!H365)-1)*1</f>
        <v>0.434</v>
      </c>
      <c r="J365" s="5">
        <f>MID(PasteHashtag!I365,1+FIND("(",PasteHashtag!I365),FIND("/",PasteHashtag!I365)-FIND("(",PasteHashtag!I365)-1)*1</f>
        <v>0.9</v>
      </c>
      <c r="K365" s="5">
        <f>LEFT(PasteHashtag!I365,FIND("(",PasteHashtag!I365)-1)*1</f>
        <v>0.772</v>
      </c>
      <c r="L365" s="5">
        <f>PasteHashtag!J365</f>
        <v>0.5</v>
      </c>
      <c r="M365" s="5">
        <f>PasteHashtag!K365</f>
        <v>4.4</v>
      </c>
      <c r="N365" s="5">
        <f>PasteHashtag!L365</f>
        <v>1.9</v>
      </c>
      <c r="O365" s="5">
        <f>PasteHashtag!M365</f>
        <v>0.7</v>
      </c>
      <c r="P365" s="5">
        <f>PasteHashtag!N365</f>
        <v>0.3</v>
      </c>
      <c r="Q365" s="5">
        <f>PasteHashtag!O365</f>
        <v>0.4</v>
      </c>
      <c r="R365" s="5">
        <f>PasteHashtag!P365</f>
        <v>0.5</v>
      </c>
      <c r="S365" s="5">
        <f>Mid(PasteHashtag!H365,FIND("/",PasteHashtag!H365)+1,LEN(PasteHashtag!H365)-FIND("/",PasteHashtag!H365)-1)*1</f>
        <v>3.5</v>
      </c>
      <c r="T365" s="178">
        <f>Mid(PasteHashtag!I365,FIND("/",PasteHashtag!I365)+1,LEN(PasteHashtag!I365)-FIND("/",PasteHashtag!I365)-1)*1</f>
        <v>1.1</v>
      </c>
    </row>
    <row r="366">
      <c r="A366" s="5">
        <v>365.0</v>
      </c>
      <c r="B366" s="5" t="str">
        <f>PasteHashtag!B366</f>
        <v/>
      </c>
      <c r="C366" s="177" t="str">
        <f>PasteHashtag!C366</f>
        <v>Aaron Holiday</v>
      </c>
      <c r="D366" s="5" t="str">
        <f>PasteHashtag!D366</f>
        <v>PG,SG</v>
      </c>
      <c r="E366" s="5" t="str">
        <f>PasteHashtag!E366</f>
        <v>HOU</v>
      </c>
      <c r="F366" s="5">
        <f>PasteHashtag!F366</f>
        <v>40</v>
      </c>
      <c r="G366" s="5">
        <f>PasteHashtag!G366</f>
        <v>10.4</v>
      </c>
      <c r="H366" s="5">
        <f>MID(PasteHashtag!H366,1+FIND("(",PasteHashtag!H366),FIND("/",PasteHashtag!H366)-FIND("(",PasteHashtag!H366)-1)*1</f>
        <v>1.4</v>
      </c>
      <c r="I366" s="5">
        <f>LEFT(PasteHashtag!H366,FIND("(",PasteHashtag!H366)-1)*1</f>
        <v>0.437</v>
      </c>
      <c r="J366" s="5">
        <f>MID(PasteHashtag!I366,1+FIND("(",PasteHashtag!I366),FIND("/",PasteHashtag!I366)-FIND("(",PasteHashtag!I366)-1)*1</f>
        <v>0.4</v>
      </c>
      <c r="K366" s="5">
        <f>LEFT(PasteHashtag!I366,FIND("(",PasteHashtag!I366)-1)*1</f>
        <v>0.894</v>
      </c>
      <c r="L366" s="5">
        <f>PasteHashtag!J366</f>
        <v>0.6</v>
      </c>
      <c r="M366" s="5">
        <f>PasteHashtag!K366</f>
        <v>3.8</v>
      </c>
      <c r="N366" s="5">
        <f>PasteHashtag!L366</f>
        <v>1</v>
      </c>
      <c r="O366" s="5">
        <f>PasteHashtag!M366</f>
        <v>1.1</v>
      </c>
      <c r="P366" s="5">
        <f>PasteHashtag!N366</f>
        <v>0.4</v>
      </c>
      <c r="Q366" s="5">
        <f>PasteHashtag!O366</f>
        <v>0.1</v>
      </c>
      <c r="R366" s="5">
        <f>PasteHashtag!P366</f>
        <v>0.4</v>
      </c>
      <c r="S366" s="5">
        <f>Mid(PasteHashtag!H366,FIND("/",PasteHashtag!H366)+1,LEN(PasteHashtag!H366)-FIND("/",PasteHashtag!H366)-1)*1</f>
        <v>3.2</v>
      </c>
      <c r="T366" s="178">
        <f>Mid(PasteHashtag!I366,FIND("/",PasteHashtag!I366)+1,LEN(PasteHashtag!I366)-FIND("/",PasteHashtag!I366)-1)*1</f>
        <v>0.5</v>
      </c>
    </row>
    <row r="367">
      <c r="A367" s="5">
        <v>366.0</v>
      </c>
      <c r="B367" s="5" t="str">
        <f>PasteHashtag!B367</f>
        <v/>
      </c>
      <c r="C367" s="177" t="str">
        <f>PasteHashtag!C367</f>
        <v>Derrick Rose</v>
      </c>
      <c r="D367" s="5" t="str">
        <f>PasteHashtag!D367</f>
        <v>PG</v>
      </c>
      <c r="E367" s="5" t="str">
        <f>PasteHashtag!E367</f>
        <v>MEM</v>
      </c>
      <c r="F367" s="5">
        <f>PasteHashtag!F367</f>
        <v>22</v>
      </c>
      <c r="G367" s="5">
        <f>PasteHashtag!G367</f>
        <v>11.4</v>
      </c>
      <c r="H367" s="5">
        <f>MID(PasteHashtag!H367,1+FIND("(",PasteHashtag!H367),FIND("/",PasteHashtag!H367)-FIND("(",PasteHashtag!H367)-1)*1</f>
        <v>2.1</v>
      </c>
      <c r="I367" s="5">
        <f>LEFT(PasteHashtag!H367,FIND("(",PasteHashtag!H367)-1)*1</f>
        <v>0.423</v>
      </c>
      <c r="J367" s="5">
        <f>MID(PasteHashtag!I367,1+FIND("(",PasteHashtag!I367),FIND("/",PasteHashtag!I367)-FIND("(",PasteHashtag!I367)-1)*1</f>
        <v>0.6</v>
      </c>
      <c r="K367" s="5">
        <f>LEFT(PasteHashtag!I367,FIND("(",PasteHashtag!I367)-1)*1</f>
        <v>0.902</v>
      </c>
      <c r="L367" s="5">
        <f>PasteHashtag!J367</f>
        <v>0.5</v>
      </c>
      <c r="M367" s="5">
        <f>PasteHashtag!K367</f>
        <v>5.4</v>
      </c>
      <c r="N367" s="5">
        <f>PasteHashtag!L367</f>
        <v>1.3</v>
      </c>
      <c r="O367" s="5">
        <f>PasteHashtag!M367</f>
        <v>1.9</v>
      </c>
      <c r="P367" s="5">
        <f>PasteHashtag!N367</f>
        <v>0.2</v>
      </c>
      <c r="Q367" s="5">
        <f>PasteHashtag!O367</f>
        <v>0.1</v>
      </c>
      <c r="R367" s="5">
        <f>PasteHashtag!P367</f>
        <v>0.8</v>
      </c>
      <c r="S367" s="5">
        <f>Mid(PasteHashtag!H367,FIND("/",PasteHashtag!H367)+1,LEN(PasteHashtag!H367)-FIND("/",PasteHashtag!H367)-1)*1</f>
        <v>5.1</v>
      </c>
      <c r="T367" s="178">
        <f>Mid(PasteHashtag!I367,FIND("/",PasteHashtag!I367)+1,LEN(PasteHashtag!I367)-FIND("/",PasteHashtag!I367)-1)*1</f>
        <v>0.6</v>
      </c>
    </row>
    <row r="368">
      <c r="A368" s="5">
        <v>367.0</v>
      </c>
      <c r="B368" s="5" t="str">
        <f>PasteHashtag!B368</f>
        <v/>
      </c>
      <c r="C368" s="177" t="str">
        <f>PasteHashtag!C368</f>
        <v>Jordan Walsh</v>
      </c>
      <c r="D368" s="5" t="str">
        <f>PasteHashtag!D368</f>
        <v>SG,SF</v>
      </c>
      <c r="E368" s="5" t="str">
        <f>PasteHashtag!E368</f>
        <v>BOS</v>
      </c>
      <c r="F368" s="5">
        <f>PasteHashtag!F368</f>
        <v>20</v>
      </c>
      <c r="G368" s="5">
        <f>PasteHashtag!G368</f>
        <v>11.1</v>
      </c>
      <c r="H368" s="5">
        <f>MID(PasteHashtag!H368,1+FIND("(",PasteHashtag!H368),FIND("/",PasteHashtag!H368)-FIND("(",PasteHashtag!H368)-1)*1</f>
        <v>0.8</v>
      </c>
      <c r="I368" s="5">
        <f>LEFT(PasteHashtag!H368,FIND("(",PasteHashtag!H368)-1)*1</f>
        <v>0.401</v>
      </c>
      <c r="J368" s="5">
        <f>MID(PasteHashtag!I368,1+FIND("(",PasteHashtag!I368),FIND("/",PasteHashtag!I368)-FIND("(",PasteHashtag!I368)-1)*1</f>
        <v>0.1</v>
      </c>
      <c r="K368" s="5">
        <f>LEFT(PasteHashtag!I368,FIND("(",PasteHashtag!I368)-1)*1</f>
        <v>0.481</v>
      </c>
      <c r="L368" s="5">
        <f>PasteHashtag!J368</f>
        <v>0.3</v>
      </c>
      <c r="M368" s="5">
        <f>PasteHashtag!K368</f>
        <v>2</v>
      </c>
      <c r="N368" s="5">
        <f>PasteHashtag!L368</f>
        <v>2.7</v>
      </c>
      <c r="O368" s="5">
        <f>PasteHashtag!M368</f>
        <v>0.7</v>
      </c>
      <c r="P368" s="5">
        <f>PasteHashtag!N368</f>
        <v>0.7</v>
      </c>
      <c r="Q368" s="5">
        <f>PasteHashtag!O368</f>
        <v>0.1</v>
      </c>
      <c r="R368" s="5">
        <f>PasteHashtag!P368</f>
        <v>0.4</v>
      </c>
      <c r="S368" s="5">
        <f>Mid(PasteHashtag!H368,FIND("/",PasteHashtag!H368)+1,LEN(PasteHashtag!H368)-FIND("/",PasteHashtag!H368)-1)*1</f>
        <v>2</v>
      </c>
      <c r="T368" s="178">
        <f>Mid(PasteHashtag!I368,FIND("/",PasteHashtag!I368)+1,LEN(PasteHashtag!I368)-FIND("/",PasteHashtag!I368)-1)*1</f>
        <v>0.3</v>
      </c>
    </row>
    <row r="369">
      <c r="A369" s="5">
        <v>368.0</v>
      </c>
      <c r="B369" s="5" t="str">
        <f>PasteHashtag!B369</f>
        <v/>
      </c>
      <c r="C369" s="177" t="str">
        <f>PasteHashtag!C369</f>
        <v>Dalano Banton</v>
      </c>
      <c r="D369" s="5" t="str">
        <f>PasteHashtag!D369</f>
        <v>SF</v>
      </c>
      <c r="E369" s="5" t="str">
        <f>PasteHashtag!E369</f>
        <v>POR</v>
      </c>
      <c r="F369" s="5">
        <f>PasteHashtag!F369</f>
        <v>30</v>
      </c>
      <c r="G369" s="5">
        <f>PasteHashtag!G369</f>
        <v>10</v>
      </c>
      <c r="H369" s="5">
        <f>MID(PasteHashtag!H369,1+FIND("(",PasteHashtag!H369),FIND("/",PasteHashtag!H369)-FIND("(",PasteHashtag!H369)-1)*1</f>
        <v>2</v>
      </c>
      <c r="I369" s="5">
        <f>LEFT(PasteHashtag!H369,FIND("(",PasteHashtag!H369)-1)*1</f>
        <v>0.408</v>
      </c>
      <c r="J369" s="5">
        <f>MID(PasteHashtag!I369,1+FIND("(",PasteHashtag!I369),FIND("/",PasteHashtag!I369)-FIND("(",PasteHashtag!I369)-1)*1</f>
        <v>0.9</v>
      </c>
      <c r="K369" s="5">
        <f>LEFT(PasteHashtag!I369,FIND("(",PasteHashtag!I369)-1)*1</f>
        <v>0.773</v>
      </c>
      <c r="L369" s="5">
        <f>PasteHashtag!J369</f>
        <v>0.6</v>
      </c>
      <c r="M369" s="5">
        <f>PasteHashtag!K369</f>
        <v>5.3</v>
      </c>
      <c r="N369" s="5">
        <f>PasteHashtag!L369</f>
        <v>1.7</v>
      </c>
      <c r="O369" s="5">
        <f>PasteHashtag!M369</f>
        <v>1.2</v>
      </c>
      <c r="P369" s="5">
        <f>PasteHashtag!N369</f>
        <v>0.4</v>
      </c>
      <c r="Q369" s="5">
        <f>PasteHashtag!O369</f>
        <v>0.3</v>
      </c>
      <c r="R369" s="5">
        <f>PasteHashtag!P369</f>
        <v>0.7</v>
      </c>
      <c r="S369" s="5">
        <f>Mid(PasteHashtag!H369,FIND("/",PasteHashtag!H369)+1,LEN(PasteHashtag!H369)-FIND("/",PasteHashtag!H369)-1)*1</f>
        <v>4.8</v>
      </c>
      <c r="T369" s="178">
        <f>Mid(PasteHashtag!I369,FIND("/",PasteHashtag!I369)+1,LEN(PasteHashtag!I369)-FIND("/",PasteHashtag!I369)-1)*1</f>
        <v>1.1</v>
      </c>
    </row>
    <row r="370">
      <c r="A370" s="5">
        <v>369.0</v>
      </c>
      <c r="B370" s="5" t="str">
        <f>PasteHashtag!B370</f>
        <v/>
      </c>
      <c r="C370" s="177" t="str">
        <f>PasteHashtag!C370</f>
        <v>Jalen McDaniels</v>
      </c>
      <c r="D370" s="5" t="str">
        <f>PasteHashtag!D370</f>
        <v>SF,PF</v>
      </c>
      <c r="E370" s="5" t="str">
        <f>PasteHashtag!E370</f>
        <v>SAC</v>
      </c>
      <c r="F370" s="5">
        <f>PasteHashtag!F370</f>
        <v>60</v>
      </c>
      <c r="G370" s="5">
        <f>PasteHashtag!G370</f>
        <v>10.4</v>
      </c>
      <c r="H370" s="5">
        <f>MID(PasteHashtag!H370,1+FIND("(",PasteHashtag!H370),FIND("/",PasteHashtag!H370)-FIND("(",PasteHashtag!H370)-1)*1</f>
        <v>1.5</v>
      </c>
      <c r="I370" s="5">
        <f>LEFT(PasteHashtag!H370,FIND("(",PasteHashtag!H370)-1)*1</f>
        <v>0.429</v>
      </c>
      <c r="J370" s="5">
        <f>MID(PasteHashtag!I370,1+FIND("(",PasteHashtag!I370),FIND("/",PasteHashtag!I370)-FIND("(",PasteHashtag!I370)-1)*1</f>
        <v>0.6</v>
      </c>
      <c r="K370" s="5">
        <f>LEFT(PasteHashtag!I370,FIND("(",PasteHashtag!I370)-1)*1</f>
        <v>0.813</v>
      </c>
      <c r="L370" s="5">
        <f>PasteHashtag!J370</f>
        <v>0.4</v>
      </c>
      <c r="M370" s="5">
        <f>PasteHashtag!K370</f>
        <v>4</v>
      </c>
      <c r="N370" s="5">
        <f>PasteHashtag!L370</f>
        <v>1.8</v>
      </c>
      <c r="O370" s="5">
        <f>PasteHashtag!M370</f>
        <v>0.7</v>
      </c>
      <c r="P370" s="5">
        <f>PasteHashtag!N370</f>
        <v>0.4</v>
      </c>
      <c r="Q370" s="5">
        <f>PasteHashtag!O370</f>
        <v>0.2</v>
      </c>
      <c r="R370" s="5">
        <f>PasteHashtag!P370</f>
        <v>0.5</v>
      </c>
      <c r="S370" s="5">
        <f>Mid(PasteHashtag!H370,FIND("/",PasteHashtag!H370)+1,LEN(PasteHashtag!H370)-FIND("/",PasteHashtag!H370)-1)*1</f>
        <v>3.5</v>
      </c>
      <c r="T370" s="178">
        <f>Mid(PasteHashtag!I370,FIND("/",PasteHashtag!I370)+1,LEN(PasteHashtag!I370)-FIND("/",PasteHashtag!I370)-1)*1</f>
        <v>0.8</v>
      </c>
    </row>
    <row r="371">
      <c r="A371" s="5">
        <v>370.0</v>
      </c>
      <c r="B371" s="5" t="str">
        <f>PasteHashtag!B371</f>
        <v/>
      </c>
      <c r="C371" s="177" t="str">
        <f>PasteHashtag!C371</f>
        <v>Jalen Wilson</v>
      </c>
      <c r="D371" s="5" t="str">
        <f>PasteHashtag!D371</f>
        <v>SF</v>
      </c>
      <c r="E371" s="5" t="str">
        <f>PasteHashtag!E371</f>
        <v>BKN</v>
      </c>
      <c r="F371" s="5">
        <f>PasteHashtag!F371</f>
        <v>20</v>
      </c>
      <c r="G371" s="5">
        <f>PasteHashtag!G371</f>
        <v>13.5</v>
      </c>
      <c r="H371" s="5">
        <f>MID(PasteHashtag!H371,1+FIND("(",PasteHashtag!H371),FIND("/",PasteHashtag!H371)-FIND("(",PasteHashtag!H371)-1)*1</f>
        <v>1.6</v>
      </c>
      <c r="I371" s="5">
        <f>LEFT(PasteHashtag!H371,FIND("(",PasteHashtag!H371)-1)*1</f>
        <v>0.425</v>
      </c>
      <c r="J371" s="5">
        <f>MID(PasteHashtag!I371,1+FIND("(",PasteHashtag!I371),FIND("/",PasteHashtag!I371)-FIND("(",PasteHashtag!I371)-1)*1</f>
        <v>0.8</v>
      </c>
      <c r="K371" s="5">
        <f>LEFT(PasteHashtag!I371,FIND("(",PasteHashtag!I371)-1)*1</f>
        <v>0.83</v>
      </c>
      <c r="L371" s="5">
        <f>PasteHashtag!J371</f>
        <v>0.5</v>
      </c>
      <c r="M371" s="5">
        <f>PasteHashtag!K371</f>
        <v>4.4</v>
      </c>
      <c r="N371" s="5">
        <f>PasteHashtag!L371</f>
        <v>2.7</v>
      </c>
      <c r="O371" s="5">
        <f>PasteHashtag!M371</f>
        <v>0.9</v>
      </c>
      <c r="P371" s="5">
        <f>PasteHashtag!N371</f>
        <v>0.2</v>
      </c>
      <c r="Q371" s="5">
        <f>PasteHashtag!O371</f>
        <v>0.1</v>
      </c>
      <c r="R371" s="5">
        <f>PasteHashtag!P371</f>
        <v>0.4</v>
      </c>
      <c r="S371" s="5">
        <f>Mid(PasteHashtag!H371,FIND("/",PasteHashtag!H371)+1,LEN(PasteHashtag!H371)-FIND("/",PasteHashtag!H371)-1)*1</f>
        <v>3.7</v>
      </c>
      <c r="T371" s="178">
        <f>Mid(PasteHashtag!I371,FIND("/",PasteHashtag!I371)+1,LEN(PasteHashtag!I371)-FIND("/",PasteHashtag!I371)-1)*1</f>
        <v>0.9</v>
      </c>
    </row>
    <row r="372">
      <c r="A372" s="5">
        <v>371.0</v>
      </c>
      <c r="B372" s="5" t="str">
        <f>PasteHashtag!B372</f>
        <v/>
      </c>
      <c r="C372" s="177" t="str">
        <f>PasteHashtag!C372</f>
        <v>Devonte' Graham</v>
      </c>
      <c r="D372" s="5" t="str">
        <f>PasteHashtag!D372</f>
        <v>PG,SG</v>
      </c>
      <c r="E372" s="5" t="str">
        <f>PasteHashtag!E372</f>
        <v>POR</v>
      </c>
      <c r="F372" s="5">
        <f>PasteHashtag!F372</f>
        <v>40</v>
      </c>
      <c r="G372" s="5">
        <f>PasteHashtag!G372</f>
        <v>11.1</v>
      </c>
      <c r="H372" s="5">
        <f>MID(PasteHashtag!H372,1+FIND("(",PasteHashtag!H372),FIND("/",PasteHashtag!H372)-FIND("(",PasteHashtag!H372)-1)*1</f>
        <v>1.4</v>
      </c>
      <c r="I372" s="5">
        <f>LEFT(PasteHashtag!H372,FIND("(",PasteHashtag!H372)-1)*1</f>
        <v>0.369</v>
      </c>
      <c r="J372" s="5">
        <f>MID(PasteHashtag!I372,1+FIND("(",PasteHashtag!I372),FIND("/",PasteHashtag!I372)-FIND("(",PasteHashtag!I372)-1)*1</f>
        <v>0.8</v>
      </c>
      <c r="K372" s="5">
        <f>LEFT(PasteHashtag!I372,FIND("(",PasteHashtag!I372)-1)*1</f>
        <v>0.75</v>
      </c>
      <c r="L372" s="5">
        <f>PasteHashtag!J372</f>
        <v>1</v>
      </c>
      <c r="M372" s="5">
        <f>PasteHashtag!K372</f>
        <v>4.4</v>
      </c>
      <c r="N372" s="5">
        <f>PasteHashtag!L372</f>
        <v>1.1</v>
      </c>
      <c r="O372" s="5">
        <f>PasteHashtag!M372</f>
        <v>1.7</v>
      </c>
      <c r="P372" s="5">
        <f>PasteHashtag!N372</f>
        <v>0.4</v>
      </c>
      <c r="Q372" s="5">
        <f>PasteHashtag!O372</f>
        <v>0.1</v>
      </c>
      <c r="R372" s="5">
        <f>PasteHashtag!P372</f>
        <v>0.5</v>
      </c>
      <c r="S372" s="5">
        <f>Mid(PasteHashtag!H372,FIND("/",PasteHashtag!H372)+1,LEN(PasteHashtag!H372)-FIND("/",PasteHashtag!H372)-1)*1</f>
        <v>3.7</v>
      </c>
      <c r="T372" s="178">
        <f>Mid(PasteHashtag!I372,FIND("/",PasteHashtag!I372)+1,LEN(PasteHashtag!I372)-FIND("/",PasteHashtag!I372)-1)*1</f>
        <v>1</v>
      </c>
    </row>
    <row r="373">
      <c r="A373" s="5">
        <v>372.0</v>
      </c>
      <c r="B373" s="5" t="str">
        <f>PasteHashtag!B373</f>
        <v/>
      </c>
      <c r="C373" s="177" t="str">
        <f>PasteHashtag!C373</f>
        <v>David Jones</v>
      </c>
      <c r="D373" s="5" t="str">
        <f>PasteHashtag!D373</f>
        <v>SF</v>
      </c>
      <c r="E373" s="5" t="str">
        <f>PasteHashtag!E373</f>
        <v>PHI</v>
      </c>
      <c r="F373" s="5">
        <f>PasteHashtag!F373</f>
        <v>20</v>
      </c>
      <c r="G373" s="5">
        <f>PasteHashtag!G373</f>
        <v>8.4</v>
      </c>
      <c r="H373" s="5">
        <f>MID(PasteHashtag!H373,1+FIND("(",PasteHashtag!H373),FIND("/",PasteHashtag!H373)-FIND("(",PasteHashtag!H373)-1)*1</f>
        <v>1.4</v>
      </c>
      <c r="I373" s="5">
        <f>LEFT(PasteHashtag!H373,FIND("(",PasteHashtag!H373)-1)*1</f>
        <v>0.461</v>
      </c>
      <c r="J373" s="5">
        <f>MID(PasteHashtag!I373,1+FIND("(",PasteHashtag!I373),FIND("/",PasteHashtag!I373)-FIND("(",PasteHashtag!I373)-1)*1</f>
        <v>1.1</v>
      </c>
      <c r="K373" s="5">
        <f>LEFT(PasteHashtag!I373,FIND("(",PasteHashtag!I373)-1)*1</f>
        <v>0.795</v>
      </c>
      <c r="L373" s="5">
        <f>PasteHashtag!J373</f>
        <v>0.5</v>
      </c>
      <c r="M373" s="5">
        <f>PasteHashtag!K373</f>
        <v>4.3</v>
      </c>
      <c r="N373" s="5">
        <f>PasteHashtag!L373</f>
        <v>1.5</v>
      </c>
      <c r="O373" s="5">
        <f>PasteHashtag!M373</f>
        <v>0.4</v>
      </c>
      <c r="P373" s="5">
        <f>PasteHashtag!N373</f>
        <v>0.4</v>
      </c>
      <c r="Q373" s="5">
        <f>PasteHashtag!O373</f>
        <v>0.1</v>
      </c>
      <c r="R373" s="5">
        <f>PasteHashtag!P373</f>
        <v>0.6</v>
      </c>
      <c r="S373" s="5">
        <f>Mid(PasteHashtag!H373,FIND("/",PasteHashtag!H373)+1,LEN(PasteHashtag!H373)-FIND("/",PasteHashtag!H373)-1)*1</f>
        <v>3</v>
      </c>
      <c r="T373" s="178">
        <f>Mid(PasteHashtag!I373,FIND("/",PasteHashtag!I373)+1,LEN(PasteHashtag!I373)-FIND("/",PasteHashtag!I373)-1)*1</f>
        <v>1.3</v>
      </c>
    </row>
    <row r="374">
      <c r="A374" s="5">
        <v>373.0</v>
      </c>
      <c r="B374" s="5" t="str">
        <f>PasteHashtag!B374</f>
        <v/>
      </c>
      <c r="C374" s="177" t="str">
        <f>PasteHashtag!C374</f>
        <v>Orlando Robinson</v>
      </c>
      <c r="D374" s="5" t="str">
        <f>PasteHashtag!D374</f>
        <v>C</v>
      </c>
      <c r="E374" s="5" t="str">
        <f>PasteHashtag!E374</f>
        <v>SAC</v>
      </c>
      <c r="F374" s="5">
        <f>PasteHashtag!F374</f>
        <v>40</v>
      </c>
      <c r="G374" s="5">
        <f>PasteHashtag!G374</f>
        <v>9.4</v>
      </c>
      <c r="H374" s="5">
        <f>MID(PasteHashtag!H374,1+FIND("(",PasteHashtag!H374),FIND("/",PasteHashtag!H374)-FIND("(",PasteHashtag!H374)-1)*1</f>
        <v>1.1</v>
      </c>
      <c r="I374" s="5">
        <f>LEFT(PasteHashtag!H374,FIND("(",PasteHashtag!H374)-1)*1</f>
        <v>0.514</v>
      </c>
      <c r="J374" s="5">
        <f>MID(PasteHashtag!I374,1+FIND("(",PasteHashtag!I374),FIND("/",PasteHashtag!I374)-FIND("(",PasteHashtag!I374)-1)*1</f>
        <v>0.5</v>
      </c>
      <c r="K374" s="5">
        <f>LEFT(PasteHashtag!I374,FIND("(",PasteHashtag!I374)-1)*1</f>
        <v>0.726</v>
      </c>
      <c r="L374" s="5">
        <f>PasteHashtag!J374</f>
        <v>0.1</v>
      </c>
      <c r="M374" s="5">
        <f>PasteHashtag!K374</f>
        <v>2.8</v>
      </c>
      <c r="N374" s="5">
        <f>PasteHashtag!L374</f>
        <v>2.7</v>
      </c>
      <c r="O374" s="5">
        <f>PasteHashtag!M374</f>
        <v>0.8</v>
      </c>
      <c r="P374" s="5">
        <f>PasteHashtag!N374</f>
        <v>0.3</v>
      </c>
      <c r="Q374" s="5">
        <f>PasteHashtag!O374</f>
        <v>0.3</v>
      </c>
      <c r="R374" s="5">
        <f>PasteHashtag!P374</f>
        <v>0.4</v>
      </c>
      <c r="S374" s="5">
        <f>Mid(PasteHashtag!H374,FIND("/",PasteHashtag!H374)+1,LEN(PasteHashtag!H374)-FIND("/",PasteHashtag!H374)-1)*1</f>
        <v>2.1</v>
      </c>
      <c r="T374" s="178">
        <f>Mid(PasteHashtag!I374,FIND("/",PasteHashtag!I374)+1,LEN(PasteHashtag!I374)-FIND("/",PasteHashtag!I374)-1)*1</f>
        <v>0.7</v>
      </c>
    </row>
    <row r="375">
      <c r="A375" s="5">
        <v>374.0</v>
      </c>
      <c r="B375" s="5" t="str">
        <f>PasteHashtag!B375</f>
        <v/>
      </c>
      <c r="C375" s="177" t="str">
        <f>PasteHashtag!C375</f>
        <v>Baylor Scheierman</v>
      </c>
      <c r="D375" s="5" t="str">
        <f>PasteHashtag!D375</f>
        <v>SG</v>
      </c>
      <c r="E375" s="5" t="str">
        <f>PasteHashtag!E375</f>
        <v>BOS</v>
      </c>
      <c r="F375" s="5">
        <f>PasteHashtag!F375</f>
        <v>40</v>
      </c>
      <c r="G375" s="5">
        <f>PasteHashtag!G375</f>
        <v>11.1</v>
      </c>
      <c r="H375" s="5">
        <f>MID(PasteHashtag!H375,1+FIND("(",PasteHashtag!H375),FIND("/",PasteHashtag!H375)-FIND("(",PasteHashtag!H375)-1)*1</f>
        <v>1.4</v>
      </c>
      <c r="I375" s="5">
        <f>LEFT(PasteHashtag!H375,FIND("(",PasteHashtag!H375)-1)*1</f>
        <v>0.442</v>
      </c>
      <c r="J375" s="5">
        <f>MID(PasteHashtag!I375,1+FIND("(",PasteHashtag!I375),FIND("/",PasteHashtag!I375)-FIND("(",PasteHashtag!I375)-1)*1</f>
        <v>0.6</v>
      </c>
      <c r="K375" s="5">
        <f>LEFT(PasteHashtag!I375,FIND("(",PasteHashtag!I375)-1)*1</f>
        <v>0.822</v>
      </c>
      <c r="L375" s="5">
        <f>PasteHashtag!J375</f>
        <v>0.7</v>
      </c>
      <c r="M375" s="5">
        <f>PasteHashtag!K375</f>
        <v>4.1</v>
      </c>
      <c r="N375" s="5">
        <f>PasteHashtag!L375</f>
        <v>2</v>
      </c>
      <c r="O375" s="5">
        <f>PasteHashtag!M375</f>
        <v>0.9</v>
      </c>
      <c r="P375" s="5">
        <f>PasteHashtag!N375</f>
        <v>0.2</v>
      </c>
      <c r="Q375" s="5">
        <f>PasteHashtag!O375</f>
        <v>0</v>
      </c>
      <c r="R375" s="5">
        <f>PasteHashtag!P375</f>
        <v>0.5</v>
      </c>
      <c r="S375" s="5">
        <f>Mid(PasteHashtag!H375,FIND("/",PasteHashtag!H375)+1,LEN(PasteHashtag!H375)-FIND("/",PasteHashtag!H375)-1)*1</f>
        <v>3.2</v>
      </c>
      <c r="T375" s="178">
        <f>Mid(PasteHashtag!I375,FIND("/",PasteHashtag!I375)+1,LEN(PasteHashtag!I375)-FIND("/",PasteHashtag!I375)-1)*1</f>
        <v>0.7</v>
      </c>
    </row>
    <row r="376">
      <c r="A376" s="5">
        <v>375.0</v>
      </c>
      <c r="B376" s="5" t="str">
        <f>PasteHashtag!B376</f>
        <v/>
      </c>
      <c r="C376" s="177" t="str">
        <f>PasteHashtag!C376</f>
        <v>AJ Green</v>
      </c>
      <c r="D376" s="5" t="str">
        <f>PasteHashtag!D376</f>
        <v>PG,SG</v>
      </c>
      <c r="E376" s="5" t="str">
        <f>PasteHashtag!E376</f>
        <v>MIL</v>
      </c>
      <c r="F376" s="5">
        <f>PasteHashtag!F376</f>
        <v>58</v>
      </c>
      <c r="G376" s="5">
        <f>PasteHashtag!G376</f>
        <v>10.4</v>
      </c>
      <c r="H376" s="5">
        <f>MID(PasteHashtag!H376,1+FIND("(",PasteHashtag!H376),FIND("/",PasteHashtag!H376)-FIND("(",PasteHashtag!H376)-1)*1</f>
        <v>1.5</v>
      </c>
      <c r="I376" s="5">
        <f>LEFT(PasteHashtag!H376,FIND("(",PasteHashtag!H376)-1)*1</f>
        <v>0.425</v>
      </c>
      <c r="J376" s="5">
        <f>MID(PasteHashtag!I376,1+FIND("(",PasteHashtag!I376),FIND("/",PasteHashtag!I376)-FIND("(",PasteHashtag!I376)-1)*1</f>
        <v>0.2</v>
      </c>
      <c r="K376" s="5">
        <f>LEFT(PasteHashtag!I376,FIND("(",PasteHashtag!I376)-1)*1</f>
        <v>0.92</v>
      </c>
      <c r="L376" s="5">
        <f>PasteHashtag!J376</f>
        <v>1.2</v>
      </c>
      <c r="M376" s="5">
        <f>PasteHashtag!K376</f>
        <v>4.5</v>
      </c>
      <c r="N376" s="5">
        <f>PasteHashtag!L376</f>
        <v>1.2</v>
      </c>
      <c r="O376" s="5">
        <f>PasteHashtag!M376</f>
        <v>0.6</v>
      </c>
      <c r="P376" s="5">
        <f>PasteHashtag!N376</f>
        <v>0.2</v>
      </c>
      <c r="Q376" s="5">
        <f>PasteHashtag!O376</f>
        <v>0</v>
      </c>
      <c r="R376" s="5">
        <f>PasteHashtag!P376</f>
        <v>0.2</v>
      </c>
      <c r="S376" s="5">
        <f>Mid(PasteHashtag!H376,FIND("/",PasteHashtag!H376)+1,LEN(PasteHashtag!H376)-FIND("/",PasteHashtag!H376)-1)*1</f>
        <v>3.5</v>
      </c>
      <c r="T376" s="178">
        <f>Mid(PasteHashtag!I376,FIND("/",PasteHashtag!I376)+1,LEN(PasteHashtag!I376)-FIND("/",PasteHashtag!I376)-1)*1</f>
        <v>0.3</v>
      </c>
    </row>
    <row r="377">
      <c r="A377" s="5">
        <v>376.0</v>
      </c>
      <c r="B377" s="5" t="str">
        <f>PasteHashtag!B377</f>
        <v/>
      </c>
      <c r="C377" s="177" t="str">
        <f>PasteHashtag!C377</f>
        <v>Isaiah Collier</v>
      </c>
      <c r="D377" s="5" t="str">
        <f>PasteHashtag!D377</f>
        <v>PG</v>
      </c>
      <c r="E377" s="5" t="str">
        <f>PasteHashtag!E377</f>
        <v>UTA</v>
      </c>
      <c r="F377" s="5">
        <f>PasteHashtag!F377</f>
        <v>50</v>
      </c>
      <c r="G377" s="5">
        <f>PasteHashtag!G377</f>
        <v>15.5</v>
      </c>
      <c r="H377" s="5">
        <f>MID(PasteHashtag!H377,1+FIND("(",PasteHashtag!H377),FIND("/",PasteHashtag!H377)-FIND("(",PasteHashtag!H377)-1)*1</f>
        <v>2.2</v>
      </c>
      <c r="I377" s="5">
        <f>LEFT(PasteHashtag!H377,FIND("(",PasteHashtag!H377)-1)*1</f>
        <v>0.491</v>
      </c>
      <c r="J377" s="5">
        <f>MID(PasteHashtag!I377,1+FIND("(",PasteHashtag!I377),FIND("/",PasteHashtag!I377)-FIND("(",PasteHashtag!I377)-1)*1</f>
        <v>1.5</v>
      </c>
      <c r="K377" s="5">
        <f>LEFT(PasteHashtag!I377,FIND("(",PasteHashtag!I377)-1)*1</f>
        <v>0.671</v>
      </c>
      <c r="L377" s="5">
        <f>PasteHashtag!J377</f>
        <v>0.4</v>
      </c>
      <c r="M377" s="5">
        <f>PasteHashtag!K377</f>
        <v>6.3</v>
      </c>
      <c r="N377" s="5">
        <f>PasteHashtag!L377</f>
        <v>1.1</v>
      </c>
      <c r="O377" s="5">
        <f>PasteHashtag!M377</f>
        <v>1.7</v>
      </c>
      <c r="P377" s="5">
        <f>PasteHashtag!N377</f>
        <v>0.6</v>
      </c>
      <c r="Q377" s="5">
        <f>PasteHashtag!O377</f>
        <v>0.1</v>
      </c>
      <c r="R377" s="5">
        <f>PasteHashtag!P377</f>
        <v>1.3</v>
      </c>
      <c r="S377" s="5">
        <f>Mid(PasteHashtag!H377,FIND("/",PasteHashtag!H377)+1,LEN(PasteHashtag!H377)-FIND("/",PasteHashtag!H377)-1)*1</f>
        <v>4.5</v>
      </c>
      <c r="T377" s="178">
        <f>Mid(PasteHashtag!I377,FIND("/",PasteHashtag!I377)+1,LEN(PasteHashtag!I377)-FIND("/",PasteHashtag!I377)-1)*1</f>
        <v>2.3</v>
      </c>
    </row>
    <row r="378">
      <c r="A378" s="5">
        <v>377.0</v>
      </c>
      <c r="B378" s="5" t="str">
        <f>PasteHashtag!B378</f>
        <v/>
      </c>
      <c r="C378" s="177" t="str">
        <f>PasteHashtag!C378</f>
        <v>Cory Joseph</v>
      </c>
      <c r="D378" s="5" t="str">
        <f>PasteHashtag!D378</f>
        <v>PG</v>
      </c>
      <c r="E378" s="5" t="str">
        <f>PasteHashtag!E378</f>
        <v>ORL</v>
      </c>
      <c r="F378" s="5">
        <f>PasteHashtag!F378</f>
        <v>20</v>
      </c>
      <c r="G378" s="5">
        <f>PasteHashtag!G378</f>
        <v>11.1</v>
      </c>
      <c r="H378" s="5">
        <f>MID(PasteHashtag!H378,1+FIND("(",PasteHashtag!H378),FIND("/",PasteHashtag!H378)-FIND("(",PasteHashtag!H378)-1)*1</f>
        <v>1.3</v>
      </c>
      <c r="I378" s="5">
        <f>LEFT(PasteHashtag!H378,FIND("(",PasteHashtag!H378)-1)*1</f>
        <v>0.416</v>
      </c>
      <c r="J378" s="5">
        <f>MID(PasteHashtag!I378,1+FIND("(",PasteHashtag!I378),FIND("/",PasteHashtag!I378)-FIND("(",PasteHashtag!I378)-1)*1</f>
        <v>0.5</v>
      </c>
      <c r="K378" s="5">
        <f>LEFT(PasteHashtag!I378,FIND("(",PasteHashtag!I378)-1)*1</f>
        <v>0.776</v>
      </c>
      <c r="L378" s="5">
        <f>PasteHashtag!J378</f>
        <v>0.6</v>
      </c>
      <c r="M378" s="5">
        <f>PasteHashtag!K378</f>
        <v>3.6</v>
      </c>
      <c r="N378" s="5">
        <f>PasteHashtag!L378</f>
        <v>1</v>
      </c>
      <c r="O378" s="5">
        <f>PasteHashtag!M378</f>
        <v>1.9</v>
      </c>
      <c r="P378" s="5">
        <f>PasteHashtag!N378</f>
        <v>0.3</v>
      </c>
      <c r="Q378" s="5">
        <f>PasteHashtag!O378</f>
        <v>0.1</v>
      </c>
      <c r="R378" s="5">
        <f>PasteHashtag!P378</f>
        <v>0.5</v>
      </c>
      <c r="S378" s="5">
        <f>Mid(PasteHashtag!H378,FIND("/",PasteHashtag!H378)+1,LEN(PasteHashtag!H378)-FIND("/",PasteHashtag!H378)-1)*1</f>
        <v>3.1</v>
      </c>
      <c r="T378" s="178">
        <f>Mid(PasteHashtag!I378,FIND("/",PasteHashtag!I378)+1,LEN(PasteHashtag!I378)-FIND("/",PasteHashtag!I378)-1)*1</f>
        <v>0.6</v>
      </c>
    </row>
    <row r="379">
      <c r="A379" s="5">
        <v>378.0</v>
      </c>
      <c r="B379" s="5" t="str">
        <f>PasteHashtag!B379</f>
        <v/>
      </c>
      <c r="C379" s="177" t="str">
        <f>PasteHashtag!C379</f>
        <v>DeAndre Jordan</v>
      </c>
      <c r="D379" s="5" t="str">
        <f>PasteHashtag!D379</f>
        <v>C</v>
      </c>
      <c r="E379" s="5" t="str">
        <f>PasteHashtag!E379</f>
        <v>DEN</v>
      </c>
      <c r="F379" s="5">
        <f>PasteHashtag!F379</f>
        <v>30</v>
      </c>
      <c r="G379" s="5">
        <f>PasteHashtag!G379</f>
        <v>10</v>
      </c>
      <c r="H379" s="5">
        <f>MID(PasteHashtag!H379,1+FIND("(",PasteHashtag!H379),FIND("/",PasteHashtag!H379)-FIND("(",PasteHashtag!H379)-1)*1</f>
        <v>1.5</v>
      </c>
      <c r="I379" s="5">
        <f>LEFT(PasteHashtag!H379,FIND("(",PasteHashtag!H379)-1)*1</f>
        <v>0.701</v>
      </c>
      <c r="J379" s="5">
        <f>MID(PasteHashtag!I379,1+FIND("(",PasteHashtag!I379),FIND("/",PasteHashtag!I379)-FIND("(",PasteHashtag!I379)-1)*1</f>
        <v>0.5</v>
      </c>
      <c r="K379" s="5">
        <f>LEFT(PasteHashtag!I379,FIND("(",PasteHashtag!I379)-1)*1</f>
        <v>0.471</v>
      </c>
      <c r="L379" s="5">
        <f>PasteHashtag!J379</f>
        <v>0</v>
      </c>
      <c r="M379" s="5">
        <f>PasteHashtag!K379</f>
        <v>3.5</v>
      </c>
      <c r="N379" s="5">
        <f>PasteHashtag!L379</f>
        <v>3.7</v>
      </c>
      <c r="O379" s="5">
        <f>PasteHashtag!M379</f>
        <v>0.6</v>
      </c>
      <c r="P379" s="5">
        <f>PasteHashtag!N379</f>
        <v>0.2</v>
      </c>
      <c r="Q379" s="5">
        <f>PasteHashtag!O379</f>
        <v>0.4</v>
      </c>
      <c r="R379" s="5">
        <f>PasteHashtag!P379</f>
        <v>0.7</v>
      </c>
      <c r="S379" s="5">
        <f>Mid(PasteHashtag!H379,FIND("/",PasteHashtag!H379)+1,LEN(PasteHashtag!H379)-FIND("/",PasteHashtag!H379)-1)*1</f>
        <v>2.1</v>
      </c>
      <c r="T379" s="178">
        <f>Mid(PasteHashtag!I379,FIND("/",PasteHashtag!I379)+1,LEN(PasteHashtag!I379)-FIND("/",PasteHashtag!I379)-1)*1</f>
        <v>1</v>
      </c>
    </row>
    <row r="380">
      <c r="A380" s="5">
        <v>379.0</v>
      </c>
      <c r="B380" s="5" t="str">
        <f>PasteHashtag!B380</f>
        <v/>
      </c>
      <c r="C380" s="177" t="str">
        <f>PasteHashtag!C380</f>
        <v>Pelle Larsson</v>
      </c>
      <c r="D380" s="5" t="str">
        <f>PasteHashtag!D380</f>
        <v>SG</v>
      </c>
      <c r="E380" s="5" t="str">
        <f>PasteHashtag!E380</f>
        <v>MIA</v>
      </c>
      <c r="F380" s="5">
        <f>PasteHashtag!F380</f>
        <v>40</v>
      </c>
      <c r="G380" s="5">
        <f>PasteHashtag!G380</f>
        <v>12.4</v>
      </c>
      <c r="H380" s="5">
        <f>MID(PasteHashtag!H380,1+FIND("(",PasteHashtag!H380),FIND("/",PasteHashtag!H380)-FIND("(",PasteHashtag!H380)-1)*1</f>
        <v>1.4</v>
      </c>
      <c r="I380" s="5">
        <f>LEFT(PasteHashtag!H380,FIND("(",PasteHashtag!H380)-1)*1</f>
        <v>0.519</v>
      </c>
      <c r="J380" s="5">
        <f>MID(PasteHashtag!I380,1+FIND("(",PasteHashtag!I380),FIND("/",PasteHashtag!I380)-FIND("(",PasteHashtag!I380)-1)*1</f>
        <v>0.8</v>
      </c>
      <c r="K380" s="5">
        <f>LEFT(PasteHashtag!I380,FIND("(",PasteHashtag!I380)-1)*1</f>
        <v>0.75</v>
      </c>
      <c r="L380" s="5">
        <f>PasteHashtag!J380</f>
        <v>0.4</v>
      </c>
      <c r="M380" s="5">
        <f>PasteHashtag!K380</f>
        <v>4</v>
      </c>
      <c r="N380" s="5">
        <f>PasteHashtag!L380</f>
        <v>1.3</v>
      </c>
      <c r="O380" s="5">
        <f>PasteHashtag!M380</f>
        <v>1.2</v>
      </c>
      <c r="P380" s="5">
        <f>PasteHashtag!N380</f>
        <v>0.3</v>
      </c>
      <c r="Q380" s="5">
        <f>PasteHashtag!O380</f>
        <v>0.1</v>
      </c>
      <c r="R380" s="5">
        <f>PasteHashtag!P380</f>
        <v>0.6</v>
      </c>
      <c r="S380" s="5">
        <f>Mid(PasteHashtag!H380,FIND("/",PasteHashtag!H380)+1,LEN(PasteHashtag!H380)-FIND("/",PasteHashtag!H380)-1)*1</f>
        <v>2.7</v>
      </c>
      <c r="T380" s="178">
        <f>Mid(PasteHashtag!I380,FIND("/",PasteHashtag!I380)+1,LEN(PasteHashtag!I380)-FIND("/",PasteHashtag!I380)-1)*1</f>
        <v>1</v>
      </c>
    </row>
    <row r="381">
      <c r="A381" s="5">
        <v>380.0</v>
      </c>
      <c r="B381" s="5" t="str">
        <f>PasteHashtag!B381</f>
        <v/>
      </c>
      <c r="C381" s="177" t="str">
        <f>PasteHashtag!C381</f>
        <v>Keita Bates-Diop</v>
      </c>
      <c r="D381" s="5" t="str">
        <f>PasteHashtag!D381</f>
        <v>SF,PF</v>
      </c>
      <c r="E381" s="5" t="str">
        <f>PasteHashtag!E381</f>
        <v>NY</v>
      </c>
      <c r="F381" s="5">
        <f>PasteHashtag!F381</f>
        <v>20</v>
      </c>
      <c r="G381" s="5">
        <f>PasteHashtag!G381</f>
        <v>8.8</v>
      </c>
      <c r="H381" s="5">
        <f>MID(PasteHashtag!H381,1+FIND("(",PasteHashtag!H381),FIND("/",PasteHashtag!H381)-FIND("(",PasteHashtag!H381)-1)*1</f>
        <v>1.3</v>
      </c>
      <c r="I381" s="5">
        <f>LEFT(PasteHashtag!H381,FIND("(",PasteHashtag!H381)-1)*1</f>
        <v>0.487</v>
      </c>
      <c r="J381" s="5">
        <f>MID(PasteHashtag!I381,1+FIND("(",PasteHashtag!I381),FIND("/",PasteHashtag!I381)-FIND("(",PasteHashtag!I381)-1)*1</f>
        <v>0.6</v>
      </c>
      <c r="K381" s="5">
        <f>LEFT(PasteHashtag!I381,FIND("(",PasteHashtag!I381)-1)*1</f>
        <v>0.778</v>
      </c>
      <c r="L381" s="5">
        <f>PasteHashtag!J381</f>
        <v>0.3</v>
      </c>
      <c r="M381" s="5">
        <f>PasteHashtag!K381</f>
        <v>3.5</v>
      </c>
      <c r="N381" s="5">
        <f>PasteHashtag!L381</f>
        <v>1.5</v>
      </c>
      <c r="O381" s="5">
        <f>PasteHashtag!M381</f>
        <v>0.6</v>
      </c>
      <c r="P381" s="5">
        <f>PasteHashtag!N381</f>
        <v>0.3</v>
      </c>
      <c r="Q381" s="5">
        <f>PasteHashtag!O381</f>
        <v>0.2</v>
      </c>
      <c r="R381" s="5">
        <f>PasteHashtag!P381</f>
        <v>0.3</v>
      </c>
      <c r="S381" s="5">
        <f>Mid(PasteHashtag!H381,FIND("/",PasteHashtag!H381)+1,LEN(PasteHashtag!H381)-FIND("/",PasteHashtag!H381)-1)*1</f>
        <v>2.7</v>
      </c>
      <c r="T381" s="178">
        <f>Mid(PasteHashtag!I381,FIND("/",PasteHashtag!I381)+1,LEN(PasteHashtag!I381)-FIND("/",PasteHashtag!I381)-1)*1</f>
        <v>0.8</v>
      </c>
    </row>
    <row r="382">
      <c r="A382" s="5">
        <v>381.0</v>
      </c>
      <c r="B382" s="5" t="str">
        <f>PasteHashtag!B382</f>
        <v/>
      </c>
      <c r="C382" s="177" t="str">
        <f>PasteHashtag!C382</f>
        <v>Johnny Juzang</v>
      </c>
      <c r="D382" s="5" t="str">
        <f>PasteHashtag!D382</f>
        <v>SG,SF</v>
      </c>
      <c r="E382" s="5" t="str">
        <f>PasteHashtag!E382</f>
        <v>UTA</v>
      </c>
      <c r="F382" s="5">
        <f>PasteHashtag!F382</f>
        <v>30</v>
      </c>
      <c r="G382" s="5">
        <f>PasteHashtag!G382</f>
        <v>14.9</v>
      </c>
      <c r="H382" s="5">
        <f>MID(PasteHashtag!H382,1+FIND("(",PasteHashtag!H382),FIND("/",PasteHashtag!H382)-FIND("(",PasteHashtag!H382)-1)*1</f>
        <v>2.1</v>
      </c>
      <c r="I382" s="5">
        <f>LEFT(PasteHashtag!H382,FIND("(",PasteHashtag!H382)-1)*1</f>
        <v>0.402</v>
      </c>
      <c r="J382" s="5">
        <f>MID(PasteHashtag!I382,1+FIND("(",PasteHashtag!I382),FIND("/",PasteHashtag!I382)-FIND("(",PasteHashtag!I382)-1)*1</f>
        <v>0.3</v>
      </c>
      <c r="K382" s="5">
        <f>LEFT(PasteHashtag!I382,FIND("(",PasteHashtag!I382)-1)*1</f>
        <v>0.667</v>
      </c>
      <c r="L382" s="5">
        <f>PasteHashtag!J382</f>
        <v>1.2</v>
      </c>
      <c r="M382" s="5">
        <f>PasteHashtag!K382</f>
        <v>5.8</v>
      </c>
      <c r="N382" s="5">
        <f>PasteHashtag!L382</f>
        <v>1.9</v>
      </c>
      <c r="O382" s="5">
        <f>PasteHashtag!M382</f>
        <v>0.8</v>
      </c>
      <c r="P382" s="5">
        <f>PasteHashtag!N382</f>
        <v>0.2</v>
      </c>
      <c r="Q382" s="5">
        <f>PasteHashtag!O382</f>
        <v>0.1</v>
      </c>
      <c r="R382" s="5">
        <f>PasteHashtag!P382</f>
        <v>0.4</v>
      </c>
      <c r="S382" s="5">
        <f>Mid(PasteHashtag!H382,FIND("/",PasteHashtag!H382)+1,LEN(PasteHashtag!H382)-FIND("/",PasteHashtag!H382)-1)*1</f>
        <v>5.3</v>
      </c>
      <c r="T382" s="178">
        <f>Mid(PasteHashtag!I382,FIND("/",PasteHashtag!I382)+1,LEN(PasteHashtag!I382)-FIND("/",PasteHashtag!I382)-1)*1</f>
        <v>0.5</v>
      </c>
    </row>
    <row r="383">
      <c r="A383" s="5">
        <v>382.0</v>
      </c>
      <c r="B383" s="5" t="str">
        <f>PasteHashtag!B383</f>
        <v/>
      </c>
      <c r="C383" s="177" t="str">
        <f>PasteHashtag!C383</f>
        <v>Nick Smith Jr.</v>
      </c>
      <c r="D383" s="5" t="str">
        <f>PasteHashtag!D383</f>
        <v>PG,SG</v>
      </c>
      <c r="E383" s="5" t="str">
        <f>PasteHashtag!E383</f>
        <v>CHA</v>
      </c>
      <c r="F383" s="5">
        <f>PasteHashtag!F383</f>
        <v>30</v>
      </c>
      <c r="G383" s="5">
        <f>PasteHashtag!G383</f>
        <v>13.1</v>
      </c>
      <c r="H383" s="5">
        <f>MID(PasteHashtag!H383,1+FIND("(",PasteHashtag!H383),FIND("/",PasteHashtag!H383)-FIND("(",PasteHashtag!H383)-1)*1</f>
        <v>2.1</v>
      </c>
      <c r="I383" s="5">
        <f>LEFT(PasteHashtag!H383,FIND("(",PasteHashtag!H383)-1)*1</f>
        <v>0.39</v>
      </c>
      <c r="J383" s="5">
        <f>MID(PasteHashtag!I383,1+FIND("(",PasteHashtag!I383),FIND("/",PasteHashtag!I383)-FIND("(",PasteHashtag!I383)-1)*1</f>
        <v>0.2</v>
      </c>
      <c r="K383" s="5">
        <f>LEFT(PasteHashtag!I383,FIND("(",PasteHashtag!I383)-1)*1</f>
        <v>0.889</v>
      </c>
      <c r="L383" s="5">
        <f>PasteHashtag!J383</f>
        <v>1.1</v>
      </c>
      <c r="M383" s="5">
        <f>PasteHashtag!K383</f>
        <v>5.5</v>
      </c>
      <c r="N383" s="5">
        <f>PasteHashtag!L383</f>
        <v>1.3</v>
      </c>
      <c r="O383" s="5">
        <f>PasteHashtag!M383</f>
        <v>1.1</v>
      </c>
      <c r="P383" s="5">
        <f>PasteHashtag!N383</f>
        <v>0.2</v>
      </c>
      <c r="Q383" s="5">
        <f>PasteHashtag!O383</f>
        <v>0.1</v>
      </c>
      <c r="R383" s="5">
        <f>PasteHashtag!P383</f>
        <v>0.7</v>
      </c>
      <c r="S383" s="5">
        <f>Mid(PasteHashtag!H383,FIND("/",PasteHashtag!H383)+1,LEN(PasteHashtag!H383)-FIND("/",PasteHashtag!H383)-1)*1</f>
        <v>5.3</v>
      </c>
      <c r="T383" s="178">
        <f>Mid(PasteHashtag!I383,FIND("/",PasteHashtag!I383)+1,LEN(PasteHashtag!I383)-FIND("/",PasteHashtag!I383)-1)*1</f>
        <v>0.3</v>
      </c>
    </row>
    <row r="384">
      <c r="A384" s="5">
        <v>383.0</v>
      </c>
      <c r="B384" s="5" t="str">
        <f>PasteHashtag!B384</f>
        <v/>
      </c>
      <c r="C384" s="177" t="str">
        <f>PasteHashtag!C384</f>
        <v>Vlatko Cancar</v>
      </c>
      <c r="D384" s="5" t="str">
        <f>PasteHashtag!D384</f>
        <v>PF</v>
      </c>
      <c r="E384" s="5" t="str">
        <f>PasteHashtag!E384</f>
        <v>DEN</v>
      </c>
      <c r="F384" s="5">
        <f>PasteHashtag!F384</f>
        <v>40</v>
      </c>
      <c r="G384" s="5">
        <f>PasteHashtag!G384</f>
        <v>8.8</v>
      </c>
      <c r="H384" s="5">
        <f>MID(PasteHashtag!H384,1+FIND("(",PasteHashtag!H384),FIND("/",PasteHashtag!H384)-FIND("(",PasteHashtag!H384)-1)*1</f>
        <v>1.1</v>
      </c>
      <c r="I384" s="5">
        <f>LEFT(PasteHashtag!H384,FIND("(",PasteHashtag!H384)-1)*1</f>
        <v>0.476</v>
      </c>
      <c r="J384" s="5">
        <f>MID(PasteHashtag!I384,1+FIND("(",PasteHashtag!I384),FIND("/",PasteHashtag!I384)-FIND("(",PasteHashtag!I384)-1)*1</f>
        <v>0.4</v>
      </c>
      <c r="K384" s="5">
        <f>LEFT(PasteHashtag!I384,FIND("(",PasteHashtag!I384)-1)*1</f>
        <v>0.927</v>
      </c>
      <c r="L384" s="5">
        <f>PasteHashtag!J384</f>
        <v>0.4</v>
      </c>
      <c r="M384" s="5">
        <f>PasteHashtag!K384</f>
        <v>3</v>
      </c>
      <c r="N384" s="5">
        <f>PasteHashtag!L384</f>
        <v>1.3</v>
      </c>
      <c r="O384" s="5">
        <f>PasteHashtag!M384</f>
        <v>0.8</v>
      </c>
      <c r="P384" s="5">
        <f>PasteHashtag!N384</f>
        <v>0.2</v>
      </c>
      <c r="Q384" s="5">
        <f>PasteHashtag!O384</f>
        <v>0.1</v>
      </c>
      <c r="R384" s="5">
        <f>PasteHashtag!P384</f>
        <v>0.4</v>
      </c>
      <c r="S384" s="5">
        <f>Mid(PasteHashtag!H384,FIND("/",PasteHashtag!H384)+1,LEN(PasteHashtag!H384)-FIND("/",PasteHashtag!H384)-1)*1</f>
        <v>2.3</v>
      </c>
      <c r="T384" s="178">
        <f>Mid(PasteHashtag!I384,FIND("/",PasteHashtag!I384)+1,LEN(PasteHashtag!I384)-FIND("/",PasteHashtag!I384)-1)*1</f>
        <v>0.4</v>
      </c>
    </row>
    <row r="385">
      <c r="A385" s="5">
        <v>384.0</v>
      </c>
      <c r="B385" s="5" t="str">
        <f>PasteHashtag!B385</f>
        <v/>
      </c>
      <c r="C385" s="177" t="str">
        <f>PasteHashtag!C385</f>
        <v>KJ Simpson</v>
      </c>
      <c r="D385" s="5" t="str">
        <f>PasteHashtag!D385</f>
        <v>PG</v>
      </c>
      <c r="E385" s="5" t="str">
        <f>PasteHashtag!E385</f>
        <v>CHA</v>
      </c>
      <c r="F385" s="5">
        <f>PasteHashtag!F385</f>
        <v>30</v>
      </c>
      <c r="G385" s="5">
        <f>PasteHashtag!G385</f>
        <v>8.4</v>
      </c>
      <c r="H385" s="5">
        <f>MID(PasteHashtag!H385,1+FIND("(",PasteHashtag!H385),FIND("/",PasteHashtag!H385)-FIND("(",PasteHashtag!H385)-1)*1</f>
        <v>1.2</v>
      </c>
      <c r="I385" s="5">
        <f>LEFT(PasteHashtag!H385,FIND("(",PasteHashtag!H385)-1)*1</f>
        <v>0.476</v>
      </c>
      <c r="J385" s="5">
        <f>MID(PasteHashtag!I385,1+FIND("(",PasteHashtag!I385),FIND("/",PasteHashtag!I385)-FIND("(",PasteHashtag!I385)-1)*1</f>
        <v>0.8</v>
      </c>
      <c r="K385" s="5">
        <f>LEFT(PasteHashtag!I385,FIND("(",PasteHashtag!I385)-1)*1</f>
        <v>0.878</v>
      </c>
      <c r="L385" s="5">
        <f>PasteHashtag!J385</f>
        <v>0.4</v>
      </c>
      <c r="M385" s="5">
        <f>PasteHashtag!K385</f>
        <v>3.5</v>
      </c>
      <c r="N385" s="5">
        <f>PasteHashtag!L385</f>
        <v>1</v>
      </c>
      <c r="O385" s="5">
        <f>PasteHashtag!M385</f>
        <v>0.9</v>
      </c>
      <c r="P385" s="5">
        <f>PasteHashtag!N385</f>
        <v>0.3</v>
      </c>
      <c r="Q385" s="5">
        <f>PasteHashtag!O385</f>
        <v>0</v>
      </c>
      <c r="R385" s="5">
        <f>PasteHashtag!P385</f>
        <v>0.4</v>
      </c>
      <c r="S385" s="5">
        <f>Mid(PasteHashtag!H385,FIND("/",PasteHashtag!H385)+1,LEN(PasteHashtag!H385)-FIND("/",PasteHashtag!H385)-1)*1</f>
        <v>2.5</v>
      </c>
      <c r="T385" s="178">
        <f>Mid(PasteHashtag!I385,FIND("/",PasteHashtag!I385)+1,LEN(PasteHashtag!I385)-FIND("/",PasteHashtag!I385)-1)*1</f>
        <v>0.9</v>
      </c>
    </row>
    <row r="386">
      <c r="A386" s="5">
        <v>385.0</v>
      </c>
      <c r="B386" s="5" t="str">
        <f>PasteHashtag!B386</f>
        <v/>
      </c>
      <c r="C386" s="177" t="str">
        <f>PasteHashtag!C386</f>
        <v>DaRon Holmes II</v>
      </c>
      <c r="D386" s="5" t="str">
        <f>PasteHashtag!D386</f>
        <v>PF</v>
      </c>
      <c r="E386" s="5" t="str">
        <f>PasteHashtag!E386</f>
        <v>DEN</v>
      </c>
      <c r="F386" s="5">
        <f>PasteHashtag!F386</f>
        <v>10</v>
      </c>
      <c r="G386" s="5">
        <f>PasteHashtag!G386</f>
        <v>8.8</v>
      </c>
      <c r="H386" s="5">
        <f>MID(PasteHashtag!H386,1+FIND("(",PasteHashtag!H386),FIND("/",PasteHashtag!H386)-FIND("(",PasteHashtag!H386)-1)*1</f>
        <v>1.3</v>
      </c>
      <c r="I386" s="5">
        <f>LEFT(PasteHashtag!H386,FIND("(",PasteHashtag!H386)-1)*1</f>
        <v>0.545</v>
      </c>
      <c r="J386" s="5">
        <f>MID(PasteHashtag!I386,1+FIND("(",PasteHashtag!I386),FIND("/",PasteHashtag!I386)-FIND("(",PasteHashtag!I386)-1)*1</f>
        <v>1.3</v>
      </c>
      <c r="K386" s="5">
        <f>LEFT(PasteHashtag!I386,FIND("(",PasteHashtag!I386)-1)*1</f>
        <v>0.713</v>
      </c>
      <c r="L386" s="5">
        <f>PasteHashtag!J386</f>
        <v>0.2</v>
      </c>
      <c r="M386" s="5">
        <f>PasteHashtag!K386</f>
        <v>4.2</v>
      </c>
      <c r="N386" s="5">
        <f>PasteHashtag!L386</f>
        <v>1.7</v>
      </c>
      <c r="O386" s="5">
        <f>PasteHashtag!M386</f>
        <v>0.5</v>
      </c>
      <c r="P386" s="5">
        <f>PasteHashtag!N386</f>
        <v>0.2</v>
      </c>
      <c r="Q386" s="5">
        <f>PasteHashtag!O386</f>
        <v>0.4</v>
      </c>
      <c r="R386" s="5">
        <f>PasteHashtag!P386</f>
        <v>0.5</v>
      </c>
      <c r="S386" s="5">
        <f>Mid(PasteHashtag!H386,FIND("/",PasteHashtag!H386)+1,LEN(PasteHashtag!H386)-FIND("/",PasteHashtag!H386)-1)*1</f>
        <v>2.5</v>
      </c>
      <c r="T386" s="178">
        <f>Mid(PasteHashtag!I386,FIND("/",PasteHashtag!I386)+1,LEN(PasteHashtag!I386)-FIND("/",PasteHashtag!I386)-1)*1</f>
        <v>1.8</v>
      </c>
    </row>
    <row r="387">
      <c r="A387" s="5">
        <v>386.0</v>
      </c>
      <c r="B387" s="5" t="str">
        <f>PasteHashtag!B387</f>
        <v/>
      </c>
      <c r="C387" s="177" t="str">
        <f>PasteHashtag!C387</f>
        <v>Jeff Green</v>
      </c>
      <c r="D387" s="5" t="str">
        <f>PasteHashtag!D387</f>
        <v>PF,C</v>
      </c>
      <c r="E387" s="5" t="str">
        <f>PasteHashtag!E387</f>
        <v>HOU</v>
      </c>
      <c r="F387" s="5">
        <f>PasteHashtag!F387</f>
        <v>30</v>
      </c>
      <c r="G387" s="5">
        <f>PasteHashtag!G387</f>
        <v>11.4</v>
      </c>
      <c r="H387" s="5">
        <f>MID(PasteHashtag!H387,1+FIND("(",PasteHashtag!H387),FIND("/",PasteHashtag!H387)-FIND("(",PasteHashtag!H387)-1)*1</f>
        <v>1.6</v>
      </c>
      <c r="I387" s="5">
        <f>LEFT(PasteHashtag!H387,FIND("(",PasteHashtag!H387)-1)*1</f>
        <v>0.471</v>
      </c>
      <c r="J387" s="5">
        <f>MID(PasteHashtag!I387,1+FIND("(",PasteHashtag!I387),FIND("/",PasteHashtag!I387)-FIND("(",PasteHashtag!I387)-1)*1</f>
        <v>1</v>
      </c>
      <c r="K387" s="5">
        <f>LEFT(PasteHashtag!I387,FIND("(",PasteHashtag!I387)-1)*1</f>
        <v>0.781</v>
      </c>
      <c r="L387" s="5">
        <f>PasteHashtag!J387</f>
        <v>0.4</v>
      </c>
      <c r="M387" s="5">
        <f>PasteHashtag!K387</f>
        <v>4.5</v>
      </c>
      <c r="N387" s="5">
        <f>PasteHashtag!L387</f>
        <v>1.5</v>
      </c>
      <c r="O387" s="5">
        <f>PasteHashtag!M387</f>
        <v>0.7</v>
      </c>
      <c r="P387" s="5">
        <f>PasteHashtag!N387</f>
        <v>0.2</v>
      </c>
      <c r="Q387" s="5">
        <f>PasteHashtag!O387</f>
        <v>0.2</v>
      </c>
      <c r="R387" s="5">
        <f>PasteHashtag!P387</f>
        <v>0.4</v>
      </c>
      <c r="S387" s="5">
        <f>Mid(PasteHashtag!H387,FIND("/",PasteHashtag!H387)+1,LEN(PasteHashtag!H387)-FIND("/",PasteHashtag!H387)-1)*1</f>
        <v>3.3</v>
      </c>
      <c r="T387" s="178">
        <f>Mid(PasteHashtag!I387,FIND("/",PasteHashtag!I387)+1,LEN(PasteHashtag!I387)-FIND("/",PasteHashtag!I387)-1)*1</f>
        <v>1.3</v>
      </c>
    </row>
    <row r="388">
      <c r="A388" s="5">
        <v>387.0</v>
      </c>
      <c r="B388" s="5" t="str">
        <f>PasteHashtag!B388</f>
        <v/>
      </c>
      <c r="C388" s="177" t="str">
        <f>PasteHashtag!C388</f>
        <v>Caleb Houstan</v>
      </c>
      <c r="D388" s="5" t="str">
        <f>PasteHashtag!D388</f>
        <v>SG,SF</v>
      </c>
      <c r="E388" s="5" t="str">
        <f>PasteHashtag!E388</f>
        <v>ORL</v>
      </c>
      <c r="F388" s="5">
        <f>PasteHashtag!F388</f>
        <v>40</v>
      </c>
      <c r="G388" s="5">
        <f>PasteHashtag!G388</f>
        <v>14.4</v>
      </c>
      <c r="H388" s="5">
        <f>MID(PasteHashtag!H388,1+FIND("(",PasteHashtag!H388),FIND("/",PasteHashtag!H388)-FIND("(",PasteHashtag!H388)-1)*1</f>
        <v>1.3</v>
      </c>
      <c r="I388" s="5">
        <f>LEFT(PasteHashtag!H388,FIND("(",PasteHashtag!H388)-1)*1</f>
        <v>0.375</v>
      </c>
      <c r="J388" s="5">
        <f>MID(PasteHashtag!I388,1+FIND("(",PasteHashtag!I388),FIND("/",PasteHashtag!I388)-FIND("(",PasteHashtag!I388)-1)*1</f>
        <v>0.3</v>
      </c>
      <c r="K388" s="5">
        <f>LEFT(PasteHashtag!I388,FIND("(",PasteHashtag!I388)-1)*1</f>
        <v>0.821</v>
      </c>
      <c r="L388" s="5">
        <f>PasteHashtag!J388</f>
        <v>1.1</v>
      </c>
      <c r="M388" s="5">
        <f>PasteHashtag!K388</f>
        <v>4</v>
      </c>
      <c r="N388" s="5">
        <f>PasteHashtag!L388</f>
        <v>1.6</v>
      </c>
      <c r="O388" s="5">
        <f>PasteHashtag!M388</f>
        <v>0.5</v>
      </c>
      <c r="P388" s="5">
        <f>PasteHashtag!N388</f>
        <v>0.2</v>
      </c>
      <c r="Q388" s="5">
        <f>PasteHashtag!O388</f>
        <v>0.1</v>
      </c>
      <c r="R388" s="5">
        <f>PasteHashtag!P388</f>
        <v>0.3</v>
      </c>
      <c r="S388" s="5">
        <f>Mid(PasteHashtag!H388,FIND("/",PasteHashtag!H388)+1,LEN(PasteHashtag!H388)-FIND("/",PasteHashtag!H388)-1)*1</f>
        <v>3.5</v>
      </c>
      <c r="T388" s="178">
        <f>Mid(PasteHashtag!I388,FIND("/",PasteHashtag!I388)+1,LEN(PasteHashtag!I388)-FIND("/",PasteHashtag!I388)-1)*1</f>
        <v>0.4</v>
      </c>
    </row>
    <row r="389">
      <c r="A389" s="5">
        <v>388.0</v>
      </c>
      <c r="B389" s="5" t="str">
        <f>PasteHashtag!B389</f>
        <v/>
      </c>
      <c r="C389" s="177" t="str">
        <f>PasteHashtag!C389</f>
        <v>Nassir Little</v>
      </c>
      <c r="D389" s="5" t="str">
        <f>PasteHashtag!D389</f>
        <v>SF,PF</v>
      </c>
      <c r="E389" s="5" t="str">
        <f>PasteHashtag!E389</f>
        <v>MIA</v>
      </c>
      <c r="F389" s="5">
        <f>PasteHashtag!F389</f>
        <v>55</v>
      </c>
      <c r="G389" s="5">
        <f>PasteHashtag!G389</f>
        <v>10.2</v>
      </c>
      <c r="H389" s="5">
        <f>MID(PasteHashtag!H389,1+FIND("(",PasteHashtag!H389),FIND("/",PasteHashtag!H389)-FIND("(",PasteHashtag!H389)-1)*1</f>
        <v>1.4</v>
      </c>
      <c r="I389" s="5">
        <f>LEFT(PasteHashtag!H389,FIND("(",PasteHashtag!H389)-1)*1</f>
        <v>0.446</v>
      </c>
      <c r="J389" s="5">
        <f>MID(PasteHashtag!I389,1+FIND("(",PasteHashtag!I389),FIND("/",PasteHashtag!I389)-FIND("(",PasteHashtag!I389)-1)*1</f>
        <v>0.4</v>
      </c>
      <c r="K389" s="5">
        <f>LEFT(PasteHashtag!I389,FIND("(",PasteHashtag!I389)-1)*1</f>
        <v>0.766</v>
      </c>
      <c r="L389" s="5">
        <f>PasteHashtag!J389</f>
        <v>0.6</v>
      </c>
      <c r="M389" s="5">
        <f>PasteHashtag!K389</f>
        <v>3.7</v>
      </c>
      <c r="N389" s="5">
        <f>PasteHashtag!L389</f>
        <v>1.6</v>
      </c>
      <c r="O389" s="5">
        <f>PasteHashtag!M389</f>
        <v>0.5</v>
      </c>
      <c r="P389" s="5">
        <f>PasteHashtag!N389</f>
        <v>0.2</v>
      </c>
      <c r="Q389" s="5">
        <f>PasteHashtag!O389</f>
        <v>0.2</v>
      </c>
      <c r="R389" s="5">
        <f>PasteHashtag!P389</f>
        <v>0.4</v>
      </c>
      <c r="S389" s="5">
        <f>Mid(PasteHashtag!H389,FIND("/",PasteHashtag!H389)+1,LEN(PasteHashtag!H389)-FIND("/",PasteHashtag!H389)-1)*1</f>
        <v>3.1</v>
      </c>
      <c r="T389" s="178">
        <f>Mid(PasteHashtag!I389,FIND("/",PasteHashtag!I389)+1,LEN(PasteHashtag!I389)-FIND("/",PasteHashtag!I389)-1)*1</f>
        <v>0.5</v>
      </c>
    </row>
    <row r="390">
      <c r="A390" s="5">
        <v>389.0</v>
      </c>
      <c r="B390" s="5" t="str">
        <f>PasteHashtag!B390</f>
        <v/>
      </c>
      <c r="C390" s="177" t="str">
        <f>PasteHashtag!C390</f>
        <v>Ariel Hukporti</v>
      </c>
      <c r="D390" s="5" t="str">
        <f>PasteHashtag!D390</f>
        <v>C</v>
      </c>
      <c r="E390" s="5" t="str">
        <f>PasteHashtag!E390</f>
        <v>NY</v>
      </c>
      <c r="F390" s="5">
        <f>PasteHashtag!F390</f>
        <v>28</v>
      </c>
      <c r="G390" s="5">
        <f>PasteHashtag!G390</f>
        <v>8.8</v>
      </c>
      <c r="H390" s="5">
        <f>MID(PasteHashtag!H390,1+FIND("(",PasteHashtag!H390),FIND("/",PasteHashtag!H390)-FIND("(",PasteHashtag!H390)-1)*1</f>
        <v>1.2</v>
      </c>
      <c r="I390" s="5">
        <f>LEFT(PasteHashtag!H390,FIND("(",PasteHashtag!H390)-1)*1</f>
        <v>0.563</v>
      </c>
      <c r="J390" s="5">
        <f>MID(PasteHashtag!I390,1+FIND("(",PasteHashtag!I390),FIND("/",PasteHashtag!I390)-FIND("(",PasteHashtag!I390)-1)*1</f>
        <v>0.6</v>
      </c>
      <c r="K390" s="5">
        <f>LEFT(PasteHashtag!I390,FIND("(",PasteHashtag!I390)-1)*1</f>
        <v>0.615</v>
      </c>
      <c r="L390" s="5">
        <f>PasteHashtag!J390</f>
        <v>0</v>
      </c>
      <c r="M390" s="5">
        <f>PasteHashtag!K390</f>
        <v>3</v>
      </c>
      <c r="N390" s="5">
        <f>PasteHashtag!L390</f>
        <v>2.6</v>
      </c>
      <c r="O390" s="5">
        <f>PasteHashtag!M390</f>
        <v>0.3</v>
      </c>
      <c r="P390" s="5">
        <f>PasteHashtag!N390</f>
        <v>0.2</v>
      </c>
      <c r="Q390" s="5">
        <f>PasteHashtag!O390</f>
        <v>0.6</v>
      </c>
      <c r="R390" s="5">
        <f>PasteHashtag!P390</f>
        <v>0.6</v>
      </c>
      <c r="S390" s="5">
        <f>Mid(PasteHashtag!H390,FIND("/",PasteHashtag!H390)+1,LEN(PasteHashtag!H390)-FIND("/",PasteHashtag!H390)-1)*1</f>
        <v>2.1</v>
      </c>
      <c r="T390" s="178">
        <f>Mid(PasteHashtag!I390,FIND("/",PasteHashtag!I390)+1,LEN(PasteHashtag!I390)-FIND("/",PasteHashtag!I390)-1)*1</f>
        <v>1</v>
      </c>
    </row>
    <row r="391">
      <c r="A391" s="5">
        <v>390.0</v>
      </c>
      <c r="B391" s="5" t="str">
        <f>PasteHashtag!B391</f>
        <v/>
      </c>
      <c r="C391" s="177" t="str">
        <f>PasteHashtag!C391</f>
        <v>Matt Ryan</v>
      </c>
      <c r="D391" s="5" t="str">
        <f>PasteHashtag!D391</f>
        <v>SF</v>
      </c>
      <c r="E391" s="5" t="str">
        <f>PasteHashtag!E391</f>
        <v>NO</v>
      </c>
      <c r="F391" s="5">
        <f>PasteHashtag!F391</f>
        <v>30</v>
      </c>
      <c r="G391" s="5">
        <f>PasteHashtag!G391</f>
        <v>11.1</v>
      </c>
      <c r="H391" s="5">
        <f>MID(PasteHashtag!H391,1+FIND("(",PasteHashtag!H391),FIND("/",PasteHashtag!H391)-FIND("(",PasteHashtag!H391)-1)*1</f>
        <v>1.4</v>
      </c>
      <c r="I391" s="5">
        <f>LEFT(PasteHashtag!H391,FIND("(",PasteHashtag!H391)-1)*1</f>
        <v>0.401</v>
      </c>
      <c r="J391" s="5">
        <f>MID(PasteHashtag!I391,1+FIND("(",PasteHashtag!I391),FIND("/",PasteHashtag!I391)-FIND("(",PasteHashtag!I391)-1)*1</f>
        <v>0.4</v>
      </c>
      <c r="K391" s="5">
        <f>LEFT(PasteHashtag!I391,FIND("(",PasteHashtag!I391)-1)*1</f>
        <v>0.881</v>
      </c>
      <c r="L391" s="5">
        <f>PasteHashtag!J391</f>
        <v>1.2</v>
      </c>
      <c r="M391" s="5">
        <f>PasteHashtag!K391</f>
        <v>4.4</v>
      </c>
      <c r="N391" s="5">
        <f>PasteHashtag!L391</f>
        <v>1.1</v>
      </c>
      <c r="O391" s="5">
        <f>PasteHashtag!M391</f>
        <v>0.5</v>
      </c>
      <c r="P391" s="5">
        <f>PasteHashtag!N391</f>
        <v>0.2</v>
      </c>
      <c r="Q391" s="5">
        <f>PasteHashtag!O391</f>
        <v>0</v>
      </c>
      <c r="R391" s="5">
        <f>PasteHashtag!P391</f>
        <v>0.4</v>
      </c>
      <c r="S391" s="5">
        <f>Mid(PasteHashtag!H391,FIND("/",PasteHashtag!H391)+1,LEN(PasteHashtag!H391)-FIND("/",PasteHashtag!H391)-1)*1</f>
        <v>3.5</v>
      </c>
      <c r="T391" s="178">
        <f>Mid(PasteHashtag!I391,FIND("/",PasteHashtag!I391)+1,LEN(PasteHashtag!I391)-FIND("/",PasteHashtag!I391)-1)*1</f>
        <v>0.4</v>
      </c>
    </row>
    <row r="392">
      <c r="A392" s="5">
        <v>391.0</v>
      </c>
      <c r="B392" s="5" t="str">
        <f>PasteHashtag!B392</f>
        <v/>
      </c>
      <c r="C392" s="177" t="str">
        <f>PasteHashtag!C392</f>
        <v>Ousmane Dieng</v>
      </c>
      <c r="D392" s="5" t="str">
        <f>PasteHashtag!D392</f>
        <v>SF,PF</v>
      </c>
      <c r="E392" s="5" t="str">
        <f>PasteHashtag!E392</f>
        <v>OKC</v>
      </c>
      <c r="F392" s="5">
        <f>PasteHashtag!F392</f>
        <v>30</v>
      </c>
      <c r="G392" s="5">
        <f>PasteHashtag!G392</f>
        <v>10.4</v>
      </c>
      <c r="H392" s="5">
        <f>MID(PasteHashtag!H392,1+FIND("(",PasteHashtag!H392),FIND("/",PasteHashtag!H392)-FIND("(",PasteHashtag!H392)-1)*1</f>
        <v>1.4</v>
      </c>
      <c r="I392" s="5">
        <f>LEFT(PasteHashtag!H392,FIND("(",PasteHashtag!H392)-1)*1</f>
        <v>0.422</v>
      </c>
      <c r="J392" s="5">
        <f>MID(PasteHashtag!I392,1+FIND("(",PasteHashtag!I392),FIND("/",PasteHashtag!I392)-FIND("(",PasteHashtag!I392)-1)*1</f>
        <v>0.3</v>
      </c>
      <c r="K392" s="5">
        <f>LEFT(PasteHashtag!I392,FIND("(",PasteHashtag!I392)-1)*1</f>
        <v>0.75</v>
      </c>
      <c r="L392" s="5">
        <f>PasteHashtag!J392</f>
        <v>0.5</v>
      </c>
      <c r="M392" s="5">
        <f>PasteHashtag!K392</f>
        <v>3.7</v>
      </c>
      <c r="N392" s="5">
        <f>PasteHashtag!L392</f>
        <v>1.8</v>
      </c>
      <c r="O392" s="5">
        <f>PasteHashtag!M392</f>
        <v>0.9</v>
      </c>
      <c r="P392" s="5">
        <f>PasteHashtag!N392</f>
        <v>0.3</v>
      </c>
      <c r="Q392" s="5">
        <f>PasteHashtag!O392</f>
        <v>0.1</v>
      </c>
      <c r="R392" s="5">
        <f>PasteHashtag!P392</f>
        <v>0.5</v>
      </c>
      <c r="S392" s="5">
        <f>Mid(PasteHashtag!H392,FIND("/",PasteHashtag!H392)+1,LEN(PasteHashtag!H392)-FIND("/",PasteHashtag!H392)-1)*1</f>
        <v>3.3</v>
      </c>
      <c r="T392" s="178">
        <f>Mid(PasteHashtag!I392,FIND("/",PasteHashtag!I392)+1,LEN(PasteHashtag!I392)-FIND("/",PasteHashtag!I392)-1)*1</f>
        <v>0.4</v>
      </c>
    </row>
    <row r="393">
      <c r="A393" s="5">
        <v>392.0</v>
      </c>
      <c r="B393" s="5" t="str">
        <f>PasteHashtag!B393</f>
        <v/>
      </c>
      <c r="C393" s="177" t="str">
        <f>PasteHashtag!C393</f>
        <v>Kris Murray</v>
      </c>
      <c r="D393" s="5" t="str">
        <f>PasteHashtag!D393</f>
        <v>SF,PF</v>
      </c>
      <c r="E393" s="5" t="str">
        <f>PasteHashtag!E393</f>
        <v>POR</v>
      </c>
      <c r="F393" s="5">
        <f>PasteHashtag!F393</f>
        <v>48</v>
      </c>
      <c r="G393" s="5">
        <f>PasteHashtag!G393</f>
        <v>11.2</v>
      </c>
      <c r="H393" s="5">
        <f>MID(PasteHashtag!H393,1+FIND("(",PasteHashtag!H393),FIND("/",PasteHashtag!H393)-FIND("(",PasteHashtag!H393)-1)*1</f>
        <v>1.2</v>
      </c>
      <c r="I393" s="5">
        <f>LEFT(PasteHashtag!H393,FIND("(",PasteHashtag!H393)-1)*1</f>
        <v>0.397</v>
      </c>
      <c r="J393" s="5">
        <f>MID(PasteHashtag!I393,1+FIND("(",PasteHashtag!I393),FIND("/",PasteHashtag!I393)-FIND("(",PasteHashtag!I393)-1)*1</f>
        <v>0.3</v>
      </c>
      <c r="K393" s="5">
        <f>LEFT(PasteHashtag!I393,FIND("(",PasteHashtag!I393)-1)*1</f>
        <v>0.66</v>
      </c>
      <c r="L393" s="5">
        <f>PasteHashtag!J393</f>
        <v>0.4</v>
      </c>
      <c r="M393" s="5">
        <f>PasteHashtag!K393</f>
        <v>3.2</v>
      </c>
      <c r="N393" s="5">
        <f>PasteHashtag!L393</f>
        <v>1.9</v>
      </c>
      <c r="O393" s="5">
        <f>PasteHashtag!M393</f>
        <v>0.7</v>
      </c>
      <c r="P393" s="5">
        <f>PasteHashtag!N393</f>
        <v>0.4</v>
      </c>
      <c r="Q393" s="5">
        <f>PasteHashtag!O393</f>
        <v>0.2</v>
      </c>
      <c r="R393" s="5">
        <f>PasteHashtag!P393</f>
        <v>0.5</v>
      </c>
      <c r="S393" s="5">
        <f>Mid(PasteHashtag!H393,FIND("/",PasteHashtag!H393)+1,LEN(PasteHashtag!H393)-FIND("/",PasteHashtag!H393)-1)*1</f>
        <v>3.1</v>
      </c>
      <c r="T393" s="178">
        <f>Mid(PasteHashtag!I393,FIND("/",PasteHashtag!I393)+1,LEN(PasteHashtag!I393)-FIND("/",PasteHashtag!I393)-1)*1</f>
        <v>0.5</v>
      </c>
    </row>
    <row r="394">
      <c r="A394" s="5">
        <v>393.0</v>
      </c>
      <c r="B394" s="5" t="str">
        <f>PasteHashtag!B394</f>
        <v/>
      </c>
      <c r="C394" s="177" t="str">
        <f>PasteHashtag!C394</f>
        <v>Garrett Temple</v>
      </c>
      <c r="D394" s="5" t="str">
        <f>PasteHashtag!D394</f>
        <v>SG</v>
      </c>
      <c r="E394" s="5" t="str">
        <f>PasteHashtag!E394</f>
        <v>TOR</v>
      </c>
      <c r="F394" s="5">
        <f>PasteHashtag!F394</f>
        <v>57</v>
      </c>
      <c r="G394" s="5">
        <f>PasteHashtag!G394</f>
        <v>8.4</v>
      </c>
      <c r="H394" s="5">
        <f>MID(PasteHashtag!H394,1+FIND("(",PasteHashtag!H394),FIND("/",PasteHashtag!H394)-FIND("(",PasteHashtag!H394)-1)*1</f>
        <v>0.9</v>
      </c>
      <c r="I394" s="5">
        <f>LEFT(PasteHashtag!H394,FIND("(",PasteHashtag!H394)-1)*1</f>
        <v>0.384</v>
      </c>
      <c r="J394" s="5">
        <f>MID(PasteHashtag!I394,1+FIND("(",PasteHashtag!I394),FIND("/",PasteHashtag!I394)-FIND("(",PasteHashtag!I394)-1)*1</f>
        <v>0.4</v>
      </c>
      <c r="K394" s="5">
        <f>LEFT(PasteHashtag!I394,FIND("(",PasteHashtag!I394)-1)*1</f>
        <v>0.816</v>
      </c>
      <c r="L394" s="5">
        <f>PasteHashtag!J394</f>
        <v>0.4</v>
      </c>
      <c r="M394" s="5">
        <f>PasteHashtag!K394</f>
        <v>2.6</v>
      </c>
      <c r="N394" s="5">
        <f>PasteHashtag!L394</f>
        <v>1.2</v>
      </c>
      <c r="O394" s="5">
        <f>PasteHashtag!M394</f>
        <v>0.8</v>
      </c>
      <c r="P394" s="5">
        <f>PasteHashtag!N394</f>
        <v>0.4</v>
      </c>
      <c r="Q394" s="5">
        <f>PasteHashtag!O394</f>
        <v>0.1</v>
      </c>
      <c r="R394" s="5">
        <f>PasteHashtag!P394</f>
        <v>0.3</v>
      </c>
      <c r="S394" s="5">
        <f>Mid(PasteHashtag!H394,FIND("/",PasteHashtag!H394)+1,LEN(PasteHashtag!H394)-FIND("/",PasteHashtag!H394)-1)*1</f>
        <v>2.3</v>
      </c>
      <c r="T394" s="178">
        <f>Mid(PasteHashtag!I394,FIND("/",PasteHashtag!I394)+1,LEN(PasteHashtag!I394)-FIND("/",PasteHashtag!I394)-1)*1</f>
        <v>0.5</v>
      </c>
    </row>
    <row r="395">
      <c r="A395" s="5">
        <v>394.0</v>
      </c>
      <c r="B395" s="5" t="str">
        <f>PasteHashtag!B395</f>
        <v/>
      </c>
      <c r="C395" s="177" t="str">
        <f>PasteHashtag!C395</f>
        <v>Terrence Shannon Jr.</v>
      </c>
      <c r="D395" s="5" t="str">
        <f>PasteHashtag!D395</f>
        <v>SG</v>
      </c>
      <c r="E395" s="5" t="str">
        <f>PasteHashtag!E395</f>
        <v>MIN</v>
      </c>
      <c r="F395" s="5">
        <f>PasteHashtag!F395</f>
        <v>30</v>
      </c>
      <c r="G395" s="5">
        <f>PasteHashtag!G395</f>
        <v>8.2</v>
      </c>
      <c r="H395" s="5">
        <f>MID(PasteHashtag!H395,1+FIND("(",PasteHashtag!H395),FIND("/",PasteHashtag!H395)-FIND("(",PasteHashtag!H395)-1)*1</f>
        <v>1.2</v>
      </c>
      <c r="I395" s="5">
        <f>LEFT(PasteHashtag!H395,FIND("(",PasteHashtag!H395)-1)*1</f>
        <v>0.475</v>
      </c>
      <c r="J395" s="5">
        <f>MID(PasteHashtag!I395,1+FIND("(",PasteHashtag!I395),FIND("/",PasteHashtag!I395)-FIND("(",PasteHashtag!I395)-1)*1</f>
        <v>1.3</v>
      </c>
      <c r="K395" s="5">
        <f>LEFT(PasteHashtag!I395,FIND("(",PasteHashtag!I395)-1)*1</f>
        <v>0.801</v>
      </c>
      <c r="L395" s="5">
        <f>PasteHashtag!J395</f>
        <v>0.4</v>
      </c>
      <c r="M395" s="5">
        <f>PasteHashtag!K395</f>
        <v>4.2</v>
      </c>
      <c r="N395" s="5">
        <f>PasteHashtag!L395</f>
        <v>0.7</v>
      </c>
      <c r="O395" s="5">
        <f>PasteHashtag!M395</f>
        <v>0.4</v>
      </c>
      <c r="P395" s="5">
        <f>PasteHashtag!N395</f>
        <v>0.2</v>
      </c>
      <c r="Q395" s="5">
        <f>PasteHashtag!O395</f>
        <v>0.2</v>
      </c>
      <c r="R395" s="5">
        <f>PasteHashtag!P395</f>
        <v>0.4</v>
      </c>
      <c r="S395" s="5">
        <f>Mid(PasteHashtag!H395,FIND("/",PasteHashtag!H395)+1,LEN(PasteHashtag!H395)-FIND("/",PasteHashtag!H395)-1)*1</f>
        <v>2.6</v>
      </c>
      <c r="T395" s="178">
        <f>Mid(PasteHashtag!I395,FIND("/",PasteHashtag!I395)+1,LEN(PasteHashtag!I395)-FIND("/",PasteHashtag!I395)-1)*1</f>
        <v>1.6</v>
      </c>
    </row>
    <row r="396">
      <c r="A396" s="5">
        <v>395.0</v>
      </c>
      <c r="B396" s="5" t="str">
        <f>PasteHashtag!B396</f>
        <v/>
      </c>
      <c r="C396" s="177" t="str">
        <f>PasteHashtag!C396</f>
        <v>Jamal Shead</v>
      </c>
      <c r="D396" s="5" t="str">
        <f>PasteHashtag!D396</f>
        <v>PG</v>
      </c>
      <c r="E396" s="5" t="str">
        <f>PasteHashtag!E396</f>
        <v>TOR</v>
      </c>
      <c r="F396" s="5">
        <f>PasteHashtag!F396</f>
        <v>20</v>
      </c>
      <c r="G396" s="5">
        <f>PasteHashtag!G396</f>
        <v>8</v>
      </c>
      <c r="H396" s="5">
        <f>MID(PasteHashtag!H396,1+FIND("(",PasteHashtag!H396),FIND("/",PasteHashtag!H396)-FIND("(",PasteHashtag!H396)-1)*1</f>
        <v>0.9</v>
      </c>
      <c r="I396" s="5">
        <f>LEFT(PasteHashtag!H396,FIND("(",PasteHashtag!H396)-1)*1</f>
        <v>0.407</v>
      </c>
      <c r="J396" s="5">
        <f>MID(PasteHashtag!I396,1+FIND("(",PasteHashtag!I396),FIND("/",PasteHashtag!I396)-FIND("(",PasteHashtag!I396)-1)*1</f>
        <v>0.4</v>
      </c>
      <c r="K396" s="5">
        <f>LEFT(PasteHashtag!I396,FIND("(",PasteHashtag!I396)-1)*1</f>
        <v>0.778</v>
      </c>
      <c r="L396" s="5">
        <f>PasteHashtag!J396</f>
        <v>0.2</v>
      </c>
      <c r="M396" s="5">
        <f>PasteHashtag!K396</f>
        <v>2.5</v>
      </c>
      <c r="N396" s="5">
        <f>PasteHashtag!L396</f>
        <v>0.7</v>
      </c>
      <c r="O396" s="5">
        <f>PasteHashtag!M396</f>
        <v>1.2</v>
      </c>
      <c r="P396" s="5">
        <f>PasteHashtag!N396</f>
        <v>0.4</v>
      </c>
      <c r="Q396" s="5">
        <f>PasteHashtag!O396</f>
        <v>0.1</v>
      </c>
      <c r="R396" s="5">
        <f>PasteHashtag!P396</f>
        <v>0.4</v>
      </c>
      <c r="S396" s="5">
        <f>Mid(PasteHashtag!H396,FIND("/",PasteHashtag!H396)+1,LEN(PasteHashtag!H396)-FIND("/",PasteHashtag!H396)-1)*1</f>
        <v>2.3</v>
      </c>
      <c r="T396" s="178">
        <f>Mid(PasteHashtag!I396,FIND("/",PasteHashtag!I396)+1,LEN(PasteHashtag!I396)-FIND("/",PasteHashtag!I396)-1)*1</f>
        <v>0.5</v>
      </c>
    </row>
    <row r="397">
      <c r="A397" s="5">
        <v>396.0</v>
      </c>
      <c r="B397" s="5" t="str">
        <f>PasteHashtag!B397</f>
        <v/>
      </c>
      <c r="C397" s="177" t="str">
        <f>PasteHashtag!C397</f>
        <v>Blake Wesley</v>
      </c>
      <c r="D397" s="5" t="str">
        <f>PasteHashtag!D397</f>
        <v>PG,SG</v>
      </c>
      <c r="E397" s="5" t="str">
        <f>PasteHashtag!E397</f>
        <v>SA</v>
      </c>
      <c r="F397" s="5">
        <f>PasteHashtag!F397</f>
        <v>58</v>
      </c>
      <c r="G397" s="5">
        <f>PasteHashtag!G397</f>
        <v>12.4</v>
      </c>
      <c r="H397" s="5">
        <f>MID(PasteHashtag!H397,1+FIND("(",PasteHashtag!H397),FIND("/",PasteHashtag!H397)-FIND("(",PasteHashtag!H397)-1)*1</f>
        <v>1.4</v>
      </c>
      <c r="I397" s="5">
        <f>LEFT(PasteHashtag!H397,FIND("(",PasteHashtag!H397)-1)*1</f>
        <v>0.398</v>
      </c>
      <c r="J397" s="5">
        <f>MID(PasteHashtag!I397,1+FIND("(",PasteHashtag!I397),FIND("/",PasteHashtag!I397)-FIND("(",PasteHashtag!I397)-1)*1</f>
        <v>0.6</v>
      </c>
      <c r="K397" s="5">
        <f>LEFT(PasteHashtag!I397,FIND("(",PasteHashtag!I397)-1)*1</f>
        <v>0.636</v>
      </c>
      <c r="L397" s="5">
        <f>PasteHashtag!J397</f>
        <v>0.3</v>
      </c>
      <c r="M397" s="5">
        <f>PasteHashtag!K397</f>
        <v>3.7</v>
      </c>
      <c r="N397" s="5">
        <f>PasteHashtag!L397</f>
        <v>1.4</v>
      </c>
      <c r="O397" s="5">
        <f>PasteHashtag!M397</f>
        <v>2.2</v>
      </c>
      <c r="P397" s="5">
        <f>PasteHashtag!N397</f>
        <v>0.4</v>
      </c>
      <c r="Q397" s="5">
        <f>PasteHashtag!O397</f>
        <v>0.1</v>
      </c>
      <c r="R397" s="5">
        <f>PasteHashtag!P397</f>
        <v>1</v>
      </c>
      <c r="S397" s="5">
        <f>Mid(PasteHashtag!H397,FIND("/",PasteHashtag!H397)+1,LEN(PasteHashtag!H397)-FIND("/",PasteHashtag!H397)-1)*1</f>
        <v>3.5</v>
      </c>
      <c r="T397" s="178">
        <f>Mid(PasteHashtag!I397,FIND("/",PasteHashtag!I397)+1,LEN(PasteHashtag!I397)-FIND("/",PasteHashtag!I397)-1)*1</f>
        <v>1</v>
      </c>
    </row>
    <row r="398">
      <c r="A398" s="5">
        <v>397.0</v>
      </c>
      <c r="B398" s="5" t="str">
        <f>PasteHashtag!B398</f>
        <v/>
      </c>
      <c r="C398" s="177" t="str">
        <f>PasteHashtag!C398</f>
        <v>Dalen Terry</v>
      </c>
      <c r="D398" s="5" t="str">
        <f>PasteHashtag!D398</f>
        <v>SG,SF</v>
      </c>
      <c r="E398" s="5" t="str">
        <f>PasteHashtag!E398</f>
        <v>CHI</v>
      </c>
      <c r="F398" s="5">
        <f>PasteHashtag!F398</f>
        <v>20</v>
      </c>
      <c r="G398" s="5">
        <f>PasteHashtag!G398</f>
        <v>8.4</v>
      </c>
      <c r="H398" s="5">
        <f>MID(PasteHashtag!H398,1+FIND("(",PasteHashtag!H398),FIND("/",PasteHashtag!H398)-FIND("(",PasteHashtag!H398)-1)*1</f>
        <v>1</v>
      </c>
      <c r="I398" s="5">
        <f>LEFT(PasteHashtag!H398,FIND("(",PasteHashtag!H398)-1)*1</f>
        <v>0.442</v>
      </c>
      <c r="J398" s="5">
        <f>MID(PasteHashtag!I398,1+FIND("(",PasteHashtag!I398),FIND("/",PasteHashtag!I398)-FIND("(",PasteHashtag!I398)-1)*1</f>
        <v>0.4</v>
      </c>
      <c r="K398" s="5">
        <f>LEFT(PasteHashtag!I398,FIND("(",PasteHashtag!I398)-1)*1</f>
        <v>0.607</v>
      </c>
      <c r="L398" s="5">
        <f>PasteHashtag!J398</f>
        <v>0.2</v>
      </c>
      <c r="M398" s="5">
        <f>PasteHashtag!K398</f>
        <v>2.5</v>
      </c>
      <c r="N398" s="5">
        <f>PasteHashtag!L398</f>
        <v>1.4</v>
      </c>
      <c r="O398" s="5">
        <f>PasteHashtag!M398</f>
        <v>1</v>
      </c>
      <c r="P398" s="5">
        <f>PasteHashtag!N398</f>
        <v>0.4</v>
      </c>
      <c r="Q398" s="5">
        <f>PasteHashtag!O398</f>
        <v>0.2</v>
      </c>
      <c r="R398" s="5">
        <f>PasteHashtag!P398</f>
        <v>0.4</v>
      </c>
      <c r="S398" s="5">
        <f>Mid(PasteHashtag!H398,FIND("/",PasteHashtag!H398)+1,LEN(PasteHashtag!H398)-FIND("/",PasteHashtag!H398)-1)*1</f>
        <v>2.2</v>
      </c>
      <c r="T398" s="178">
        <f>Mid(PasteHashtag!I398,FIND("/",PasteHashtag!I398)+1,LEN(PasteHashtag!I398)-FIND("/",PasteHashtag!I398)-1)*1</f>
        <v>0.6</v>
      </c>
    </row>
    <row r="399">
      <c r="A399" s="5">
        <v>398.0</v>
      </c>
      <c r="B399" s="5" t="str">
        <f>PasteHashtag!B399</f>
        <v/>
      </c>
      <c r="C399" s="177" t="str">
        <f>PasteHashtag!C399</f>
        <v>Vít Krejcí</v>
      </c>
      <c r="D399" s="5" t="str">
        <f>PasteHashtag!D399</f>
        <v>SG,SF</v>
      </c>
      <c r="E399" s="5" t="str">
        <f>PasteHashtag!E399</f>
        <v>ATL</v>
      </c>
      <c r="F399" s="5">
        <f>PasteHashtag!F399</f>
        <v>20</v>
      </c>
      <c r="G399" s="5">
        <f>PasteHashtag!G399</f>
        <v>8.8</v>
      </c>
      <c r="H399" s="5">
        <f>MID(PasteHashtag!H399,1+FIND("(",PasteHashtag!H399),FIND("/",PasteHashtag!H399)-FIND("(",PasteHashtag!H399)-1)*1</f>
        <v>0.8</v>
      </c>
      <c r="I399" s="5">
        <f>LEFT(PasteHashtag!H399,FIND("(",PasteHashtag!H399)-1)*1</f>
        <v>0.469</v>
      </c>
      <c r="J399" s="5">
        <f>MID(PasteHashtag!I399,1+FIND("(",PasteHashtag!I399),FIND("/",PasteHashtag!I399)-FIND("(",PasteHashtag!I399)-1)*1</f>
        <v>0.1</v>
      </c>
      <c r="K399" s="5">
        <f>LEFT(PasteHashtag!I399,FIND("(",PasteHashtag!I399)-1)*1</f>
        <v>0.8</v>
      </c>
      <c r="L399" s="5">
        <f>PasteHashtag!J399</f>
        <v>0.4</v>
      </c>
      <c r="M399" s="5">
        <f>PasteHashtag!K399</f>
        <v>2.2</v>
      </c>
      <c r="N399" s="5">
        <f>PasteHashtag!L399</f>
        <v>1</v>
      </c>
      <c r="O399" s="5">
        <f>PasteHashtag!M399</f>
        <v>0.8</v>
      </c>
      <c r="P399" s="5">
        <f>PasteHashtag!N399</f>
        <v>0.2</v>
      </c>
      <c r="Q399" s="5">
        <f>PasteHashtag!O399</f>
        <v>0.1</v>
      </c>
      <c r="R399" s="5">
        <f>PasteHashtag!P399</f>
        <v>0.3</v>
      </c>
      <c r="S399" s="5">
        <f>Mid(PasteHashtag!H399,FIND("/",PasteHashtag!H399)+1,LEN(PasteHashtag!H399)-FIND("/",PasteHashtag!H399)-1)*1</f>
        <v>1.8</v>
      </c>
      <c r="T399" s="178">
        <f>Mid(PasteHashtag!I399,FIND("/",PasteHashtag!I399)+1,LEN(PasteHashtag!I399)-FIND("/",PasteHashtag!I399)-1)*1</f>
        <v>0.1</v>
      </c>
    </row>
    <row r="400">
      <c r="A400" s="5">
        <v>399.0</v>
      </c>
      <c r="B400" s="5" t="str">
        <f>PasteHashtag!B400</f>
        <v/>
      </c>
      <c r="C400" s="177" t="str">
        <f>PasteHashtag!C400</f>
        <v>Anthony Gill</v>
      </c>
      <c r="D400" s="5" t="str">
        <f>PasteHashtag!D400</f>
        <v>PF,C</v>
      </c>
      <c r="E400" s="5" t="str">
        <f>PasteHashtag!E400</f>
        <v>WAS</v>
      </c>
      <c r="F400" s="5">
        <f>PasteHashtag!F400</f>
        <v>24</v>
      </c>
      <c r="G400" s="5">
        <f>PasteHashtag!G400</f>
        <v>8.8</v>
      </c>
      <c r="H400" s="5">
        <f>MID(PasteHashtag!H400,1+FIND("(",PasteHashtag!H400),FIND("/",PasteHashtag!H400)-FIND("(",PasteHashtag!H400)-1)*1</f>
        <v>1.2</v>
      </c>
      <c r="I400" s="5">
        <f>LEFT(PasteHashtag!H400,FIND("(",PasteHashtag!H400)-1)*1</f>
        <v>0.5</v>
      </c>
      <c r="J400" s="5">
        <f>MID(PasteHashtag!I400,1+FIND("(",PasteHashtag!I400),FIND("/",PasteHashtag!I400)-FIND("(",PasteHashtag!I400)-1)*1</f>
        <v>0.6</v>
      </c>
      <c r="K400" s="5">
        <f>LEFT(PasteHashtag!I400,FIND("(",PasteHashtag!I400)-1)*1</f>
        <v>0.762</v>
      </c>
      <c r="L400" s="5">
        <f>PasteHashtag!J400</f>
        <v>0.1</v>
      </c>
      <c r="M400" s="5">
        <f>PasteHashtag!K400</f>
        <v>3.1</v>
      </c>
      <c r="N400" s="5">
        <f>PasteHashtag!L400</f>
        <v>1.6</v>
      </c>
      <c r="O400" s="5">
        <f>PasteHashtag!M400</f>
        <v>0.6</v>
      </c>
      <c r="P400" s="5">
        <f>PasteHashtag!N400</f>
        <v>0.2</v>
      </c>
      <c r="Q400" s="5">
        <f>PasteHashtag!O400</f>
        <v>0.2</v>
      </c>
      <c r="R400" s="5">
        <f>PasteHashtag!P400</f>
        <v>0.3</v>
      </c>
      <c r="S400" s="5">
        <f>Mid(PasteHashtag!H400,FIND("/",PasteHashtag!H400)+1,LEN(PasteHashtag!H400)-FIND("/",PasteHashtag!H400)-1)*1</f>
        <v>2.4</v>
      </c>
      <c r="T400" s="178">
        <f>Mid(PasteHashtag!I400,FIND("/",PasteHashtag!I400)+1,LEN(PasteHashtag!I400)-FIND("/",PasteHashtag!I400)-1)*1</f>
        <v>0.8</v>
      </c>
    </row>
    <row r="401">
      <c r="A401" s="5">
        <v>400.0</v>
      </c>
      <c r="B401" s="5" t="str">
        <f>PasteHashtag!B401</f>
        <v/>
      </c>
      <c r="C401" s="177" t="str">
        <f>PasteHashtag!C401</f>
        <v>Jared McCain</v>
      </c>
      <c r="D401" s="5" t="str">
        <f>PasteHashtag!D401</f>
        <v>PG</v>
      </c>
      <c r="E401" s="5" t="str">
        <f>PasteHashtag!E401</f>
        <v>PHI</v>
      </c>
      <c r="F401" s="5">
        <f>PasteHashtag!F401</f>
        <v>40</v>
      </c>
      <c r="G401" s="5">
        <f>PasteHashtag!G401</f>
        <v>8.4</v>
      </c>
      <c r="H401" s="5">
        <f>MID(PasteHashtag!H401,1+FIND("(",PasteHashtag!H401),FIND("/",PasteHashtag!H401)-FIND("(",PasteHashtag!H401)-1)*1</f>
        <v>1</v>
      </c>
      <c r="I401" s="5">
        <f>LEFT(PasteHashtag!H401,FIND("(",PasteHashtag!H401)-1)*1</f>
        <v>0.462</v>
      </c>
      <c r="J401" s="5">
        <f>MID(PasteHashtag!I401,1+FIND("(",PasteHashtag!I401),FIND("/",PasteHashtag!I401)-FIND("(",PasteHashtag!I401)-1)*1</f>
        <v>0.4</v>
      </c>
      <c r="K401" s="5">
        <f>LEFT(PasteHashtag!I401,FIND("(",PasteHashtag!I401)-1)*1</f>
        <v>0.896</v>
      </c>
      <c r="L401" s="5">
        <f>PasteHashtag!J401</f>
        <v>0.5</v>
      </c>
      <c r="M401" s="5">
        <f>PasteHashtag!K401</f>
        <v>2.9</v>
      </c>
      <c r="N401" s="5">
        <f>PasteHashtag!L401</f>
        <v>1</v>
      </c>
      <c r="O401" s="5">
        <f>PasteHashtag!M401</f>
        <v>0.4</v>
      </c>
      <c r="P401" s="5">
        <f>PasteHashtag!N401</f>
        <v>0.2</v>
      </c>
      <c r="Q401" s="5">
        <f>PasteHashtag!O401</f>
        <v>0</v>
      </c>
      <c r="R401" s="5">
        <f>PasteHashtag!P401</f>
        <v>0.3</v>
      </c>
      <c r="S401" s="5">
        <f>Mid(PasteHashtag!H401,FIND("/",PasteHashtag!H401)+1,LEN(PasteHashtag!H401)-FIND("/",PasteHashtag!H401)-1)*1</f>
        <v>2.1</v>
      </c>
      <c r="T401" s="178">
        <f>Mid(PasteHashtag!I401,FIND("/",PasteHashtag!I401)+1,LEN(PasteHashtag!I401)-FIND("/",PasteHashtag!I401)-1)*1</f>
        <v>0.5</v>
      </c>
    </row>
    <row r="402">
      <c r="A402" s="5">
        <v>401.0</v>
      </c>
      <c r="F402" s="329"/>
      <c r="G402" s="178"/>
      <c r="H402" s="330"/>
      <c r="I402" s="330"/>
      <c r="J402" s="330"/>
      <c r="K402" s="330"/>
      <c r="L402" s="330"/>
      <c r="M402" s="330"/>
      <c r="N402" s="330"/>
      <c r="O402" s="330"/>
      <c r="P402" s="330"/>
      <c r="Q402" s="330"/>
      <c r="R402" s="178"/>
      <c r="S402" s="178"/>
    </row>
    <row r="403">
      <c r="A403" s="5">
        <v>402.0</v>
      </c>
      <c r="F403" s="329"/>
      <c r="G403" s="178"/>
      <c r="H403" s="330"/>
      <c r="I403" s="330"/>
      <c r="J403" s="330"/>
      <c r="K403" s="330"/>
      <c r="L403" s="330"/>
      <c r="M403" s="330"/>
      <c r="N403" s="330"/>
      <c r="O403" s="330"/>
      <c r="P403" s="330"/>
      <c r="Q403" s="330"/>
      <c r="R403" s="178"/>
      <c r="S403" s="178"/>
    </row>
    <row r="404">
      <c r="A404" s="5">
        <v>403.0</v>
      </c>
      <c r="F404" s="329"/>
      <c r="G404" s="178"/>
      <c r="H404" s="330"/>
      <c r="I404" s="330"/>
      <c r="J404" s="330"/>
      <c r="K404" s="330"/>
      <c r="L404" s="330"/>
      <c r="M404" s="330"/>
      <c r="N404" s="330"/>
      <c r="O404" s="330"/>
      <c r="P404" s="330"/>
      <c r="Q404" s="330"/>
      <c r="R404" s="178"/>
      <c r="S404" s="178"/>
    </row>
    <row r="405">
      <c r="A405" s="5">
        <v>404.0</v>
      </c>
      <c r="F405" s="329"/>
      <c r="G405" s="178"/>
      <c r="H405" s="330"/>
      <c r="I405" s="330"/>
      <c r="J405" s="330"/>
      <c r="K405" s="330"/>
      <c r="L405" s="330"/>
      <c r="M405" s="330"/>
      <c r="N405" s="330"/>
      <c r="O405" s="330"/>
      <c r="P405" s="330"/>
      <c r="Q405" s="330"/>
      <c r="R405" s="178"/>
      <c r="S405" s="178"/>
    </row>
    <row r="406">
      <c r="A406" s="5">
        <v>405.0</v>
      </c>
      <c r="F406" s="329"/>
      <c r="G406" s="178"/>
      <c r="H406" s="330"/>
      <c r="I406" s="330"/>
      <c r="J406" s="330"/>
      <c r="K406" s="330"/>
      <c r="L406" s="330"/>
      <c r="M406" s="330"/>
      <c r="N406" s="330"/>
      <c r="O406" s="330"/>
      <c r="P406" s="330"/>
      <c r="Q406" s="330"/>
      <c r="R406" s="178"/>
      <c r="S406" s="178"/>
    </row>
    <row r="407">
      <c r="A407" s="5">
        <v>406.0</v>
      </c>
      <c r="F407" s="329"/>
      <c r="G407" s="178"/>
      <c r="H407" s="330"/>
      <c r="I407" s="330"/>
      <c r="J407" s="330"/>
      <c r="K407" s="330"/>
      <c r="L407" s="330"/>
      <c r="M407" s="330"/>
      <c r="N407" s="330"/>
      <c r="O407" s="330"/>
      <c r="P407" s="330"/>
      <c r="Q407" s="330"/>
      <c r="R407" s="178"/>
      <c r="S407" s="178"/>
    </row>
    <row r="408">
      <c r="A408" s="5">
        <v>407.0</v>
      </c>
      <c r="F408" s="329"/>
      <c r="G408" s="178"/>
      <c r="H408" s="330"/>
      <c r="I408" s="330"/>
      <c r="J408" s="330"/>
      <c r="K408" s="330"/>
      <c r="L408" s="330"/>
      <c r="M408" s="330"/>
      <c r="N408" s="330"/>
      <c r="O408" s="330"/>
      <c r="P408" s="330"/>
      <c r="Q408" s="330"/>
      <c r="R408" s="178"/>
      <c r="S408" s="178"/>
    </row>
    <row r="409">
      <c r="A409" s="5">
        <v>408.0</v>
      </c>
      <c r="F409" s="329"/>
      <c r="G409" s="178"/>
      <c r="H409" s="330"/>
      <c r="I409" s="330"/>
      <c r="J409" s="330"/>
      <c r="K409" s="330"/>
      <c r="L409" s="330"/>
      <c r="M409" s="330"/>
      <c r="N409" s="330"/>
      <c r="O409" s="330"/>
      <c r="P409" s="330"/>
      <c r="Q409" s="330"/>
      <c r="R409" s="178"/>
      <c r="S409" s="178"/>
    </row>
    <row r="410">
      <c r="A410" s="5">
        <v>409.0</v>
      </c>
    </row>
    <row r="411">
      <c r="A411" s="5">
        <v>410.0</v>
      </c>
    </row>
    <row r="412">
      <c r="A412" s="5">
        <v>411.0</v>
      </c>
    </row>
    <row r="413">
      <c r="A413" s="5">
        <v>412.0</v>
      </c>
    </row>
    <row r="414">
      <c r="A414" s="5">
        <v>413.0</v>
      </c>
    </row>
    <row r="415">
      <c r="A415" s="5">
        <v>414.0</v>
      </c>
    </row>
    <row r="416">
      <c r="A416" s="5">
        <v>415.0</v>
      </c>
    </row>
    <row r="417">
      <c r="A417" s="331"/>
    </row>
    <row r="418">
      <c r="A418" s="331"/>
    </row>
    <row r="419">
      <c r="A419" s="331"/>
    </row>
    <row r="420">
      <c r="A420" s="331"/>
    </row>
    <row r="421">
      <c r="A421" s="331"/>
    </row>
    <row r="422">
      <c r="A422" s="331"/>
    </row>
    <row r="423">
      <c r="A423" s="331"/>
    </row>
    <row r="424">
      <c r="A424" s="331"/>
    </row>
    <row r="425">
      <c r="A425" s="331"/>
    </row>
    <row r="426">
      <c r="A426" s="331"/>
    </row>
    <row r="427">
      <c r="A427" s="331"/>
    </row>
    <row r="428">
      <c r="A428" s="331"/>
    </row>
    <row r="429">
      <c r="A429" s="331"/>
    </row>
    <row r="430">
      <c r="A430" s="331"/>
    </row>
    <row r="431">
      <c r="A431" s="331"/>
    </row>
    <row r="432">
      <c r="A432" s="331"/>
    </row>
    <row r="433">
      <c r="A433" s="331"/>
    </row>
    <row r="434">
      <c r="A434" s="331"/>
    </row>
    <row r="435">
      <c r="A435" s="331"/>
    </row>
    <row r="436">
      <c r="A436" s="331"/>
    </row>
    <row r="437">
      <c r="A437" s="331"/>
    </row>
    <row r="438">
      <c r="A438" s="331"/>
    </row>
    <row r="439">
      <c r="A439" s="331"/>
    </row>
    <row r="440">
      <c r="A440" s="331"/>
    </row>
    <row r="441">
      <c r="A441" s="331"/>
    </row>
    <row r="442">
      <c r="A442" s="331"/>
    </row>
    <row r="443">
      <c r="A443" s="331"/>
    </row>
    <row r="444">
      <c r="A444" s="331"/>
    </row>
    <row r="445">
      <c r="A445" s="331"/>
    </row>
    <row r="446">
      <c r="A446" s="331"/>
    </row>
    <row r="447">
      <c r="A447" s="331"/>
    </row>
    <row r="448">
      <c r="A448" s="331"/>
    </row>
    <row r="449">
      <c r="A449" s="331"/>
    </row>
    <row r="450">
      <c r="A450" s="331"/>
    </row>
    <row r="451">
      <c r="A451" s="331"/>
    </row>
    <row r="452">
      <c r="A452" s="331"/>
    </row>
    <row r="453">
      <c r="A453" s="331"/>
    </row>
    <row r="454">
      <c r="A454" s="331"/>
    </row>
    <row r="455">
      <c r="A455" s="331"/>
    </row>
    <row r="456">
      <c r="A456" s="331"/>
    </row>
    <row r="457">
      <c r="A457" s="331"/>
    </row>
    <row r="458">
      <c r="A458" s="331"/>
    </row>
    <row r="459">
      <c r="A459" s="331"/>
    </row>
    <row r="460">
      <c r="A460" s="331"/>
    </row>
    <row r="461">
      <c r="A461" s="331"/>
    </row>
    <row r="462">
      <c r="A462" s="331"/>
    </row>
    <row r="463">
      <c r="A463" s="331"/>
    </row>
    <row r="464">
      <c r="A464" s="331"/>
    </row>
    <row r="465">
      <c r="A465" s="331"/>
    </row>
    <row r="466">
      <c r="A466" s="331"/>
    </row>
    <row r="467">
      <c r="A467" s="331"/>
    </row>
    <row r="468">
      <c r="A468" s="331"/>
    </row>
    <row r="469">
      <c r="A469" s="331"/>
    </row>
    <row r="470">
      <c r="A470" s="331"/>
    </row>
    <row r="471">
      <c r="A471" s="331"/>
    </row>
    <row r="472">
      <c r="A472" s="331"/>
    </row>
    <row r="473">
      <c r="A473" s="331"/>
    </row>
    <row r="474">
      <c r="A474" s="331"/>
    </row>
    <row r="475">
      <c r="A475" s="331"/>
    </row>
    <row r="476">
      <c r="A476" s="331"/>
    </row>
    <row r="477">
      <c r="A477" s="331"/>
    </row>
    <row r="478">
      <c r="A478" s="331"/>
    </row>
    <row r="479">
      <c r="A479" s="331"/>
    </row>
    <row r="480">
      <c r="A480" s="331"/>
    </row>
    <row r="481">
      <c r="A481" s="331"/>
    </row>
    <row r="482">
      <c r="A482" s="331"/>
    </row>
    <row r="483">
      <c r="A483" s="331"/>
    </row>
    <row r="484">
      <c r="A484" s="331"/>
    </row>
    <row r="485">
      <c r="A485" s="331"/>
    </row>
    <row r="486">
      <c r="A486" s="331"/>
    </row>
    <row r="487">
      <c r="A487" s="331"/>
    </row>
    <row r="488">
      <c r="A488" s="331"/>
    </row>
    <row r="489">
      <c r="A489" s="331"/>
    </row>
    <row r="490">
      <c r="A490" s="331"/>
    </row>
    <row r="491">
      <c r="A491" s="331"/>
    </row>
    <row r="492">
      <c r="A492" s="331"/>
    </row>
    <row r="493">
      <c r="A493" s="331"/>
    </row>
    <row r="494">
      <c r="A494" s="331"/>
    </row>
    <row r="495">
      <c r="A495" s="331"/>
    </row>
    <row r="496">
      <c r="A496" s="331"/>
    </row>
    <row r="497">
      <c r="A497" s="331"/>
    </row>
    <row r="498">
      <c r="A498" s="331"/>
    </row>
    <row r="499">
      <c r="A499" s="331"/>
    </row>
    <row r="500">
      <c r="A500" s="331"/>
    </row>
    <row r="501">
      <c r="A501" s="331"/>
    </row>
    <row r="502">
      <c r="A502" s="331"/>
    </row>
    <row r="503">
      <c r="A503" s="331"/>
    </row>
    <row r="504">
      <c r="A504" s="331"/>
    </row>
    <row r="505">
      <c r="A505" s="331"/>
    </row>
    <row r="506">
      <c r="A506" s="331"/>
    </row>
    <row r="507">
      <c r="A507" s="331"/>
    </row>
    <row r="508">
      <c r="A508" s="331"/>
    </row>
    <row r="509">
      <c r="A509" s="331"/>
    </row>
    <row r="510">
      <c r="A510" s="331"/>
    </row>
    <row r="511">
      <c r="A511" s="331"/>
    </row>
    <row r="512">
      <c r="A512" s="331"/>
    </row>
    <row r="513">
      <c r="A513" s="331"/>
    </row>
    <row r="514">
      <c r="A514" s="331"/>
    </row>
    <row r="515">
      <c r="A515" s="331"/>
    </row>
    <row r="516">
      <c r="A516" s="331"/>
    </row>
    <row r="517">
      <c r="A517" s="331"/>
    </row>
    <row r="518">
      <c r="A518" s="331"/>
    </row>
    <row r="519">
      <c r="A519" s="331"/>
    </row>
    <row r="520">
      <c r="A520" s="331"/>
    </row>
    <row r="521">
      <c r="A521" s="331"/>
    </row>
    <row r="522">
      <c r="A522" s="331"/>
    </row>
    <row r="523">
      <c r="A523" s="331"/>
    </row>
    <row r="524">
      <c r="A524" s="331"/>
    </row>
    <row r="525">
      <c r="A525" s="331"/>
    </row>
    <row r="526">
      <c r="A526" s="331"/>
    </row>
    <row r="527">
      <c r="A527" s="331"/>
    </row>
    <row r="528">
      <c r="A528" s="331"/>
    </row>
    <row r="529">
      <c r="A529" s="331"/>
    </row>
    <row r="530">
      <c r="A530" s="331"/>
    </row>
    <row r="531">
      <c r="A531" s="331"/>
    </row>
    <row r="532">
      <c r="A532" s="331"/>
    </row>
    <row r="533">
      <c r="A533" s="331"/>
    </row>
    <row r="534">
      <c r="A534" s="331"/>
    </row>
    <row r="535">
      <c r="A535" s="331"/>
    </row>
    <row r="536">
      <c r="A536" s="331"/>
    </row>
    <row r="537">
      <c r="A537" s="331"/>
    </row>
    <row r="538">
      <c r="A538" s="331"/>
    </row>
    <row r="539">
      <c r="A539" s="331"/>
    </row>
    <row r="540">
      <c r="A540" s="331"/>
    </row>
    <row r="541">
      <c r="A541" s="331"/>
    </row>
    <row r="542">
      <c r="A542" s="331"/>
    </row>
    <row r="543">
      <c r="A543" s="331"/>
    </row>
    <row r="544">
      <c r="A544" s="331"/>
    </row>
    <row r="545">
      <c r="A545" s="331"/>
    </row>
    <row r="546">
      <c r="A546" s="331"/>
    </row>
    <row r="547">
      <c r="A547" s="331"/>
    </row>
    <row r="548">
      <c r="A548" s="331"/>
    </row>
    <row r="549">
      <c r="A549" s="331"/>
    </row>
    <row r="550">
      <c r="A550" s="331"/>
    </row>
    <row r="551">
      <c r="A551" s="331"/>
    </row>
    <row r="552">
      <c r="A552" s="331"/>
    </row>
    <row r="553">
      <c r="A553" s="331"/>
    </row>
    <row r="554">
      <c r="A554" s="331"/>
    </row>
    <row r="555">
      <c r="A555" s="331"/>
    </row>
    <row r="556">
      <c r="A556" s="331"/>
    </row>
    <row r="557">
      <c r="A557" s="331"/>
    </row>
    <row r="558">
      <c r="A558" s="331"/>
    </row>
    <row r="559">
      <c r="A559" s="331"/>
    </row>
    <row r="560">
      <c r="A560" s="331"/>
    </row>
    <row r="561">
      <c r="A561" s="331"/>
    </row>
    <row r="562">
      <c r="A562" s="331"/>
    </row>
    <row r="563">
      <c r="A563" s="331"/>
    </row>
    <row r="564">
      <c r="A564" s="331"/>
    </row>
    <row r="565">
      <c r="A565" s="331"/>
    </row>
    <row r="566">
      <c r="A566" s="331"/>
    </row>
    <row r="567">
      <c r="A567" s="331"/>
    </row>
    <row r="568">
      <c r="A568" s="331"/>
    </row>
    <row r="569">
      <c r="A569" s="331"/>
    </row>
    <row r="570">
      <c r="A570" s="331"/>
    </row>
    <row r="571">
      <c r="A571" s="331"/>
    </row>
    <row r="572">
      <c r="A572" s="331"/>
    </row>
    <row r="573">
      <c r="A573" s="331"/>
    </row>
    <row r="574">
      <c r="A574" s="331"/>
    </row>
    <row r="575">
      <c r="A575" s="331"/>
    </row>
    <row r="576">
      <c r="A576" s="331"/>
    </row>
    <row r="577">
      <c r="A577" s="331"/>
    </row>
    <row r="578">
      <c r="A578" s="331"/>
    </row>
    <row r="579">
      <c r="A579" s="331"/>
    </row>
    <row r="580">
      <c r="A580" s="331"/>
    </row>
    <row r="581">
      <c r="A581" s="331"/>
    </row>
    <row r="582">
      <c r="A582" s="331"/>
    </row>
    <row r="583">
      <c r="A583" s="331"/>
    </row>
    <row r="584">
      <c r="A584" s="331"/>
    </row>
    <row r="585">
      <c r="A585" s="331"/>
    </row>
    <row r="586">
      <c r="A586" s="331"/>
    </row>
    <row r="587">
      <c r="A587" s="331"/>
    </row>
    <row r="588">
      <c r="A588" s="331"/>
    </row>
    <row r="589">
      <c r="A589" s="331"/>
    </row>
    <row r="590">
      <c r="A590" s="331"/>
    </row>
    <row r="591">
      <c r="A591" s="331"/>
    </row>
    <row r="592">
      <c r="A592" s="331"/>
    </row>
    <row r="593">
      <c r="A593" s="331"/>
    </row>
    <row r="594">
      <c r="A594" s="331"/>
    </row>
    <row r="595">
      <c r="A595" s="331"/>
    </row>
    <row r="596">
      <c r="A596" s="331"/>
    </row>
    <row r="597">
      <c r="A597" s="331"/>
    </row>
    <row r="598">
      <c r="A598" s="331"/>
    </row>
    <row r="599">
      <c r="A599" s="331"/>
    </row>
    <row r="600">
      <c r="A600" s="331"/>
    </row>
    <row r="601">
      <c r="A601" s="331"/>
    </row>
    <row r="602">
      <c r="A602" s="331"/>
    </row>
    <row r="603">
      <c r="A603" s="331"/>
    </row>
    <row r="604">
      <c r="A604" s="331"/>
    </row>
    <row r="605">
      <c r="A605" s="331"/>
    </row>
    <row r="606">
      <c r="A606" s="331"/>
    </row>
    <row r="607">
      <c r="A607" s="331"/>
    </row>
    <row r="608">
      <c r="A608" s="331"/>
    </row>
    <row r="609">
      <c r="A609" s="331"/>
    </row>
    <row r="610">
      <c r="A610" s="331"/>
    </row>
    <row r="611">
      <c r="A611" s="331"/>
    </row>
    <row r="612">
      <c r="A612" s="331"/>
    </row>
    <row r="613">
      <c r="A613" s="331"/>
    </row>
    <row r="614">
      <c r="A614" s="331"/>
    </row>
    <row r="615">
      <c r="A615" s="331"/>
    </row>
    <row r="616">
      <c r="A616" s="331"/>
    </row>
    <row r="617">
      <c r="A617" s="331"/>
    </row>
    <row r="618">
      <c r="A618" s="331"/>
    </row>
    <row r="619">
      <c r="A619" s="331"/>
    </row>
    <row r="620">
      <c r="A620" s="331"/>
    </row>
    <row r="621">
      <c r="A621" s="331"/>
    </row>
    <row r="622">
      <c r="A622" s="331"/>
    </row>
    <row r="623">
      <c r="A623" s="331"/>
    </row>
    <row r="624">
      <c r="A624" s="331"/>
    </row>
    <row r="625">
      <c r="A625" s="331"/>
    </row>
    <row r="626">
      <c r="A626" s="331"/>
    </row>
    <row r="627">
      <c r="A627" s="331"/>
    </row>
    <row r="628">
      <c r="A628" s="331"/>
    </row>
    <row r="629">
      <c r="A629" s="331"/>
    </row>
    <row r="630">
      <c r="A630" s="331"/>
    </row>
    <row r="631">
      <c r="A631" s="331"/>
    </row>
    <row r="632">
      <c r="A632" s="331"/>
    </row>
    <row r="633">
      <c r="A633" s="331"/>
    </row>
    <row r="634">
      <c r="A634" s="331"/>
    </row>
    <row r="635">
      <c r="A635" s="331"/>
    </row>
    <row r="636">
      <c r="A636" s="331"/>
    </row>
    <row r="637">
      <c r="A637" s="331"/>
    </row>
    <row r="638">
      <c r="A638" s="331"/>
    </row>
    <row r="639">
      <c r="A639" s="331"/>
    </row>
    <row r="640">
      <c r="A640" s="331"/>
    </row>
    <row r="641">
      <c r="A641" s="331"/>
    </row>
    <row r="642">
      <c r="A642" s="331"/>
    </row>
    <row r="643">
      <c r="A643" s="331"/>
    </row>
    <row r="644">
      <c r="A644" s="331"/>
    </row>
    <row r="645">
      <c r="A645" s="331"/>
    </row>
    <row r="646">
      <c r="A646" s="331"/>
    </row>
    <row r="647">
      <c r="A647" s="331"/>
    </row>
    <row r="648">
      <c r="A648" s="331"/>
    </row>
    <row r="649">
      <c r="A649" s="331"/>
    </row>
    <row r="650">
      <c r="A650" s="331"/>
    </row>
    <row r="651">
      <c r="A651" s="331"/>
    </row>
    <row r="652">
      <c r="A652" s="331"/>
    </row>
    <row r="653">
      <c r="A653" s="331"/>
    </row>
    <row r="654">
      <c r="A654" s="331"/>
    </row>
    <row r="655">
      <c r="A655" s="331"/>
    </row>
    <row r="656">
      <c r="A656" s="331"/>
    </row>
    <row r="657">
      <c r="A657" s="331"/>
    </row>
    <row r="658">
      <c r="A658" s="331"/>
    </row>
    <row r="659">
      <c r="A659" s="331"/>
    </row>
    <row r="660">
      <c r="A660" s="331"/>
    </row>
    <row r="661">
      <c r="A661" s="331"/>
    </row>
    <row r="662">
      <c r="A662" s="331"/>
    </row>
    <row r="663">
      <c r="A663" s="331"/>
    </row>
    <row r="664">
      <c r="A664" s="331"/>
    </row>
    <row r="665">
      <c r="A665" s="331"/>
    </row>
    <row r="666">
      <c r="A666" s="331"/>
    </row>
    <row r="667">
      <c r="A667" s="331"/>
    </row>
    <row r="668">
      <c r="A668" s="331"/>
    </row>
    <row r="669">
      <c r="A669" s="331"/>
    </row>
    <row r="670">
      <c r="A670" s="331"/>
    </row>
    <row r="671">
      <c r="A671" s="331"/>
    </row>
    <row r="672">
      <c r="A672" s="331"/>
    </row>
    <row r="673">
      <c r="A673" s="331"/>
    </row>
    <row r="674">
      <c r="A674" s="331"/>
    </row>
    <row r="675">
      <c r="A675" s="331"/>
    </row>
    <row r="676">
      <c r="A676" s="331"/>
    </row>
    <row r="677">
      <c r="A677" s="331"/>
    </row>
    <row r="678">
      <c r="A678" s="331"/>
    </row>
    <row r="679">
      <c r="A679" s="331"/>
    </row>
    <row r="680">
      <c r="A680" s="331"/>
    </row>
    <row r="681">
      <c r="A681" s="331"/>
    </row>
    <row r="682">
      <c r="A682" s="331"/>
    </row>
    <row r="683">
      <c r="A683" s="331"/>
    </row>
    <row r="684">
      <c r="A684" s="331"/>
    </row>
    <row r="685">
      <c r="A685" s="331"/>
    </row>
    <row r="686">
      <c r="A686" s="331"/>
    </row>
    <row r="687">
      <c r="A687" s="331"/>
    </row>
    <row r="688">
      <c r="A688" s="331"/>
    </row>
    <row r="689">
      <c r="A689" s="331"/>
    </row>
    <row r="690">
      <c r="A690" s="331"/>
    </row>
    <row r="691">
      <c r="A691" s="331"/>
    </row>
    <row r="692">
      <c r="A692" s="331"/>
    </row>
    <row r="693">
      <c r="A693" s="331"/>
    </row>
    <row r="694">
      <c r="A694" s="331"/>
    </row>
    <row r="695">
      <c r="A695" s="331"/>
    </row>
    <row r="696">
      <c r="A696" s="331"/>
    </row>
    <row r="697">
      <c r="A697" s="331"/>
    </row>
    <row r="698">
      <c r="A698" s="331"/>
    </row>
    <row r="699">
      <c r="A699" s="331"/>
    </row>
    <row r="700">
      <c r="A700" s="331"/>
    </row>
    <row r="701">
      <c r="A701" s="331"/>
    </row>
    <row r="702">
      <c r="A702" s="331"/>
    </row>
    <row r="703">
      <c r="A703" s="331"/>
    </row>
    <row r="704">
      <c r="A704" s="331"/>
    </row>
    <row r="705">
      <c r="A705" s="331"/>
    </row>
    <row r="706">
      <c r="A706" s="331"/>
    </row>
    <row r="707">
      <c r="A707" s="331"/>
    </row>
    <row r="708">
      <c r="A708" s="331"/>
    </row>
    <row r="709">
      <c r="A709" s="331"/>
    </row>
    <row r="710">
      <c r="A710" s="331"/>
    </row>
    <row r="711">
      <c r="A711" s="331"/>
    </row>
    <row r="712">
      <c r="A712" s="331"/>
    </row>
    <row r="713">
      <c r="A713" s="331"/>
    </row>
    <row r="714">
      <c r="A714" s="331"/>
    </row>
    <row r="715">
      <c r="A715" s="331"/>
    </row>
    <row r="716">
      <c r="A716" s="331"/>
    </row>
    <row r="717">
      <c r="A717" s="331"/>
    </row>
    <row r="718">
      <c r="A718" s="331"/>
    </row>
    <row r="719">
      <c r="A719" s="331"/>
    </row>
    <row r="720">
      <c r="A720" s="331"/>
    </row>
    <row r="721">
      <c r="A721" s="331"/>
    </row>
    <row r="722">
      <c r="A722" s="331"/>
    </row>
    <row r="723">
      <c r="A723" s="331"/>
    </row>
    <row r="724">
      <c r="A724" s="331"/>
    </row>
    <row r="725">
      <c r="A725" s="331"/>
    </row>
    <row r="726">
      <c r="A726" s="331"/>
    </row>
    <row r="727">
      <c r="A727" s="331"/>
    </row>
    <row r="728">
      <c r="A728" s="331"/>
    </row>
    <row r="729">
      <c r="A729" s="331"/>
    </row>
    <row r="730">
      <c r="A730" s="331"/>
    </row>
    <row r="731">
      <c r="A731" s="331"/>
    </row>
    <row r="732">
      <c r="A732" s="331"/>
    </row>
    <row r="733">
      <c r="A733" s="331"/>
    </row>
    <row r="734">
      <c r="A734" s="331"/>
    </row>
    <row r="735">
      <c r="A735" s="331"/>
    </row>
    <row r="736">
      <c r="A736" s="331"/>
    </row>
    <row r="737">
      <c r="A737" s="331"/>
    </row>
    <row r="738">
      <c r="A738" s="331"/>
    </row>
    <row r="739">
      <c r="A739" s="331"/>
    </row>
    <row r="740">
      <c r="A740" s="331"/>
    </row>
    <row r="741">
      <c r="A741" s="331"/>
    </row>
    <row r="742">
      <c r="A742" s="331"/>
    </row>
    <row r="743">
      <c r="A743" s="331"/>
    </row>
    <row r="744">
      <c r="A744" s="331"/>
    </row>
    <row r="745">
      <c r="A745" s="331"/>
    </row>
    <row r="746">
      <c r="A746" s="331"/>
    </row>
    <row r="747">
      <c r="A747" s="331"/>
    </row>
    <row r="748">
      <c r="A748" s="331"/>
    </row>
    <row r="749">
      <c r="A749" s="331"/>
    </row>
    <row r="750">
      <c r="A750" s="331"/>
    </row>
    <row r="751">
      <c r="A751" s="331"/>
    </row>
    <row r="752">
      <c r="A752" s="331"/>
    </row>
    <row r="753">
      <c r="A753" s="331"/>
    </row>
    <row r="754">
      <c r="A754" s="331"/>
    </row>
    <row r="755">
      <c r="A755" s="331"/>
    </row>
    <row r="756">
      <c r="A756" s="331"/>
    </row>
    <row r="757">
      <c r="A757" s="331"/>
    </row>
    <row r="758">
      <c r="A758" s="331"/>
    </row>
    <row r="759">
      <c r="A759" s="331"/>
    </row>
    <row r="760">
      <c r="A760" s="331"/>
    </row>
    <row r="761">
      <c r="A761" s="331"/>
    </row>
    <row r="762">
      <c r="A762" s="331"/>
    </row>
    <row r="763">
      <c r="A763" s="331"/>
    </row>
    <row r="764">
      <c r="A764" s="331"/>
    </row>
    <row r="765">
      <c r="A765" s="331"/>
    </row>
    <row r="766">
      <c r="A766" s="331"/>
    </row>
    <row r="767">
      <c r="A767" s="331"/>
    </row>
    <row r="768">
      <c r="A768" s="331"/>
    </row>
    <row r="769">
      <c r="A769" s="331"/>
    </row>
    <row r="770">
      <c r="A770" s="331"/>
    </row>
    <row r="771">
      <c r="A771" s="331"/>
    </row>
    <row r="772">
      <c r="A772" s="331"/>
    </row>
    <row r="773">
      <c r="A773" s="331"/>
    </row>
    <row r="774">
      <c r="A774" s="331"/>
    </row>
    <row r="775">
      <c r="A775" s="331"/>
    </row>
    <row r="776">
      <c r="A776" s="331"/>
    </row>
    <row r="777">
      <c r="A777" s="331"/>
    </row>
    <row r="778">
      <c r="A778" s="331"/>
    </row>
    <row r="779">
      <c r="A779" s="331"/>
    </row>
    <row r="780">
      <c r="A780" s="331"/>
    </row>
    <row r="781">
      <c r="A781" s="331"/>
    </row>
    <row r="782">
      <c r="A782" s="331"/>
    </row>
    <row r="783">
      <c r="A783" s="331"/>
    </row>
    <row r="784">
      <c r="A784" s="331"/>
    </row>
    <row r="785">
      <c r="A785" s="331"/>
    </row>
    <row r="786">
      <c r="A786" s="331"/>
    </row>
    <row r="787">
      <c r="A787" s="331"/>
    </row>
    <row r="788">
      <c r="A788" s="331"/>
    </row>
    <row r="789">
      <c r="A789" s="331"/>
    </row>
    <row r="790">
      <c r="A790" s="331"/>
    </row>
    <row r="791">
      <c r="A791" s="331"/>
    </row>
    <row r="792">
      <c r="A792" s="331"/>
    </row>
    <row r="793">
      <c r="A793" s="331"/>
    </row>
    <row r="794">
      <c r="A794" s="331"/>
    </row>
    <row r="795">
      <c r="A795" s="331"/>
    </row>
    <row r="796">
      <c r="A796" s="331"/>
    </row>
    <row r="797">
      <c r="A797" s="331"/>
    </row>
    <row r="798">
      <c r="A798" s="331"/>
    </row>
    <row r="799">
      <c r="A799" s="331"/>
    </row>
    <row r="800">
      <c r="A800" s="331"/>
    </row>
    <row r="801">
      <c r="A801" s="331"/>
    </row>
    <row r="802">
      <c r="A802" s="331"/>
    </row>
    <row r="803">
      <c r="A803" s="331"/>
    </row>
    <row r="804">
      <c r="A804" s="331"/>
    </row>
    <row r="805">
      <c r="A805" s="331"/>
    </row>
    <row r="806">
      <c r="A806" s="331"/>
    </row>
    <row r="807">
      <c r="A807" s="331"/>
    </row>
    <row r="808">
      <c r="A808" s="331"/>
    </row>
    <row r="809">
      <c r="A809" s="331"/>
    </row>
    <row r="810">
      <c r="A810" s="331"/>
    </row>
    <row r="811">
      <c r="A811" s="331"/>
    </row>
    <row r="812">
      <c r="A812" s="331"/>
    </row>
    <row r="813">
      <c r="A813" s="331"/>
    </row>
    <row r="814">
      <c r="A814" s="331"/>
    </row>
    <row r="815">
      <c r="A815" s="331"/>
    </row>
    <row r="816">
      <c r="A816" s="331"/>
    </row>
    <row r="817">
      <c r="A817" s="331"/>
    </row>
    <row r="818">
      <c r="A818" s="331"/>
    </row>
    <row r="819">
      <c r="A819" s="331"/>
    </row>
    <row r="820">
      <c r="A820" s="331"/>
    </row>
    <row r="821">
      <c r="A821" s="331"/>
    </row>
    <row r="822">
      <c r="A822" s="331"/>
    </row>
    <row r="823">
      <c r="A823" s="331"/>
    </row>
    <row r="824">
      <c r="A824" s="331"/>
    </row>
    <row r="825">
      <c r="A825" s="331"/>
    </row>
    <row r="826">
      <c r="A826" s="331"/>
    </row>
    <row r="827">
      <c r="A827" s="331"/>
    </row>
    <row r="828">
      <c r="A828" s="331"/>
    </row>
    <row r="829">
      <c r="A829" s="331"/>
    </row>
    <row r="830">
      <c r="A830" s="331"/>
    </row>
    <row r="831">
      <c r="A831" s="331"/>
    </row>
    <row r="832">
      <c r="A832" s="331"/>
    </row>
    <row r="833">
      <c r="A833" s="331"/>
    </row>
    <row r="834">
      <c r="A834" s="331"/>
    </row>
    <row r="835">
      <c r="A835" s="331"/>
    </row>
    <row r="836">
      <c r="A836" s="331"/>
    </row>
    <row r="837">
      <c r="A837" s="331"/>
    </row>
    <row r="838">
      <c r="A838" s="331"/>
    </row>
    <row r="839">
      <c r="A839" s="331"/>
    </row>
    <row r="840">
      <c r="A840" s="331"/>
    </row>
    <row r="841">
      <c r="A841" s="331"/>
    </row>
    <row r="842">
      <c r="A842" s="331"/>
    </row>
    <row r="843">
      <c r="A843" s="331"/>
    </row>
    <row r="844">
      <c r="A844" s="331"/>
    </row>
    <row r="845">
      <c r="A845" s="331"/>
    </row>
    <row r="846">
      <c r="A846" s="331"/>
    </row>
    <row r="847">
      <c r="A847" s="331"/>
    </row>
    <row r="848">
      <c r="A848" s="331"/>
    </row>
    <row r="849">
      <c r="A849" s="331"/>
    </row>
    <row r="850">
      <c r="A850" s="331"/>
    </row>
    <row r="851">
      <c r="A851" s="331"/>
    </row>
    <row r="852">
      <c r="A852" s="331"/>
    </row>
    <row r="853">
      <c r="A853" s="331"/>
    </row>
    <row r="854">
      <c r="A854" s="331"/>
    </row>
    <row r="855">
      <c r="A855" s="331"/>
    </row>
    <row r="856">
      <c r="A856" s="331"/>
    </row>
    <row r="857">
      <c r="A857" s="331"/>
    </row>
    <row r="858">
      <c r="A858" s="331"/>
    </row>
    <row r="859">
      <c r="A859" s="331"/>
    </row>
    <row r="860">
      <c r="A860" s="331"/>
    </row>
    <row r="861">
      <c r="A861" s="331"/>
    </row>
    <row r="862">
      <c r="A862" s="331"/>
    </row>
    <row r="863">
      <c r="A863" s="331"/>
    </row>
    <row r="864">
      <c r="A864" s="331"/>
    </row>
    <row r="865">
      <c r="A865" s="331"/>
    </row>
    <row r="866">
      <c r="A866" s="331"/>
    </row>
    <row r="867">
      <c r="A867" s="331"/>
    </row>
    <row r="868">
      <c r="A868" s="331"/>
    </row>
    <row r="869">
      <c r="A869" s="331"/>
    </row>
    <row r="870">
      <c r="A870" s="331"/>
    </row>
    <row r="871">
      <c r="A871" s="331"/>
    </row>
    <row r="872">
      <c r="A872" s="331"/>
    </row>
    <row r="873">
      <c r="A873" s="331"/>
    </row>
    <row r="874">
      <c r="A874" s="331"/>
    </row>
    <row r="875">
      <c r="A875" s="331"/>
    </row>
    <row r="876">
      <c r="A876" s="331"/>
    </row>
    <row r="877">
      <c r="A877" s="331"/>
    </row>
    <row r="878">
      <c r="A878" s="331"/>
    </row>
    <row r="879">
      <c r="A879" s="331"/>
    </row>
    <row r="880">
      <c r="A880" s="331"/>
    </row>
    <row r="881">
      <c r="A881" s="331"/>
    </row>
    <row r="882">
      <c r="A882" s="331"/>
    </row>
    <row r="883">
      <c r="A883" s="331"/>
    </row>
    <row r="884">
      <c r="A884" s="331"/>
    </row>
    <row r="885">
      <c r="A885" s="331"/>
    </row>
    <row r="886">
      <c r="A886" s="331"/>
    </row>
    <row r="887">
      <c r="A887" s="331"/>
    </row>
    <row r="888">
      <c r="A888" s="331"/>
    </row>
    <row r="889">
      <c r="A889" s="331"/>
    </row>
    <row r="890">
      <c r="A890" s="331"/>
    </row>
    <row r="891">
      <c r="A891" s="331"/>
    </row>
    <row r="892">
      <c r="A892" s="331"/>
    </row>
    <row r="893">
      <c r="A893" s="331"/>
    </row>
    <row r="894">
      <c r="A894" s="331"/>
    </row>
    <row r="895">
      <c r="A895" s="331"/>
    </row>
    <row r="896">
      <c r="A896" s="331"/>
    </row>
    <row r="897">
      <c r="A897" s="331"/>
    </row>
    <row r="898">
      <c r="A898" s="331"/>
    </row>
    <row r="899">
      <c r="A899" s="331"/>
    </row>
    <row r="900">
      <c r="A900" s="331"/>
    </row>
    <row r="901">
      <c r="A901" s="331"/>
    </row>
    <row r="902">
      <c r="A902" s="331"/>
    </row>
    <row r="903">
      <c r="A903" s="331"/>
    </row>
    <row r="904">
      <c r="A904" s="331"/>
    </row>
    <row r="905">
      <c r="A905" s="331"/>
    </row>
    <row r="906">
      <c r="A906" s="331"/>
    </row>
    <row r="907">
      <c r="A907" s="331"/>
    </row>
    <row r="908">
      <c r="A908" s="331"/>
    </row>
    <row r="909">
      <c r="A909" s="331"/>
    </row>
    <row r="910">
      <c r="A910" s="331"/>
    </row>
    <row r="911">
      <c r="A911" s="331"/>
    </row>
    <row r="912">
      <c r="A912" s="331"/>
    </row>
    <row r="913">
      <c r="A913" s="331"/>
    </row>
    <row r="914">
      <c r="A914" s="331"/>
    </row>
    <row r="915">
      <c r="A915" s="331"/>
    </row>
    <row r="916">
      <c r="A916" s="331"/>
    </row>
    <row r="917">
      <c r="A917" s="331"/>
    </row>
    <row r="918">
      <c r="A918" s="331"/>
    </row>
    <row r="919">
      <c r="A919" s="331"/>
    </row>
    <row r="920">
      <c r="A920" s="331"/>
    </row>
    <row r="921">
      <c r="A921" s="331"/>
    </row>
    <row r="922">
      <c r="A922" s="331"/>
    </row>
    <row r="923">
      <c r="A923" s="331"/>
    </row>
    <row r="924">
      <c r="A924" s="331"/>
    </row>
    <row r="925">
      <c r="A925" s="331"/>
    </row>
    <row r="926">
      <c r="A926" s="331"/>
    </row>
    <row r="927">
      <c r="A927" s="331"/>
    </row>
    <row r="928">
      <c r="A928" s="331"/>
    </row>
    <row r="929">
      <c r="A929" s="331"/>
    </row>
    <row r="930">
      <c r="A930" s="331"/>
    </row>
    <row r="931">
      <c r="A931" s="331"/>
    </row>
    <row r="932">
      <c r="A932" s="331"/>
    </row>
    <row r="933">
      <c r="A933" s="331"/>
    </row>
    <row r="934">
      <c r="A934" s="331"/>
    </row>
    <row r="935">
      <c r="A935" s="331"/>
    </row>
    <row r="936">
      <c r="A936" s="331"/>
    </row>
    <row r="937">
      <c r="A937" s="331"/>
    </row>
    <row r="938">
      <c r="A938" s="331"/>
    </row>
    <row r="939">
      <c r="A939" s="331"/>
    </row>
    <row r="940">
      <c r="A940" s="331"/>
    </row>
    <row r="941">
      <c r="A941" s="331"/>
    </row>
    <row r="942">
      <c r="A942" s="331"/>
    </row>
    <row r="943">
      <c r="A943" s="331"/>
    </row>
    <row r="944">
      <c r="A944" s="331"/>
    </row>
    <row r="945">
      <c r="A945" s="331"/>
    </row>
    <row r="946">
      <c r="A946" s="331"/>
    </row>
    <row r="947">
      <c r="A947" s="331"/>
    </row>
    <row r="948">
      <c r="A948" s="331"/>
    </row>
    <row r="949">
      <c r="A949" s="331"/>
    </row>
    <row r="950">
      <c r="A950" s="331"/>
    </row>
    <row r="951">
      <c r="A951" s="331"/>
    </row>
    <row r="952">
      <c r="A952" s="331"/>
    </row>
    <row r="953">
      <c r="A953" s="331"/>
    </row>
    <row r="954">
      <c r="A954" s="331"/>
    </row>
    <row r="955">
      <c r="A955" s="331"/>
    </row>
    <row r="956">
      <c r="A956" s="331"/>
    </row>
    <row r="957">
      <c r="A957" s="331"/>
    </row>
    <row r="958">
      <c r="A958" s="331"/>
    </row>
    <row r="959">
      <c r="A959" s="331"/>
    </row>
    <row r="960">
      <c r="A960" s="331"/>
    </row>
    <row r="961">
      <c r="A961" s="331"/>
    </row>
    <row r="962">
      <c r="A962" s="331"/>
    </row>
    <row r="963">
      <c r="A963" s="331"/>
    </row>
    <row r="964">
      <c r="A964" s="331"/>
    </row>
    <row r="965">
      <c r="A965" s="331"/>
    </row>
    <row r="966">
      <c r="A966" s="331"/>
    </row>
    <row r="967">
      <c r="A967" s="331"/>
    </row>
    <row r="968">
      <c r="A968" s="331"/>
    </row>
    <row r="969">
      <c r="A969" s="331"/>
    </row>
    <row r="970">
      <c r="A970" s="331"/>
    </row>
    <row r="971">
      <c r="A971" s="331"/>
    </row>
    <row r="972">
      <c r="A972" s="331"/>
    </row>
    <row r="973">
      <c r="A973" s="331"/>
    </row>
    <row r="974">
      <c r="A974" s="331"/>
    </row>
    <row r="975">
      <c r="A975" s="331"/>
    </row>
    <row r="976">
      <c r="A976" s="331"/>
    </row>
    <row r="977">
      <c r="A977" s="331"/>
    </row>
    <row r="978">
      <c r="A978" s="331"/>
    </row>
    <row r="979">
      <c r="A979" s="331"/>
    </row>
    <row r="980">
      <c r="A980" s="331"/>
    </row>
    <row r="981">
      <c r="A981" s="331"/>
    </row>
    <row r="982">
      <c r="A982" s="331"/>
    </row>
    <row r="983">
      <c r="A983" s="331"/>
    </row>
    <row r="984">
      <c r="A984" s="331"/>
    </row>
    <row r="985">
      <c r="A985" s="331"/>
    </row>
    <row r="986">
      <c r="A986" s="331"/>
    </row>
    <row r="987">
      <c r="A987" s="331"/>
    </row>
    <row r="988">
      <c r="A988" s="331"/>
    </row>
    <row r="989">
      <c r="A989" s="331"/>
    </row>
    <row r="990">
      <c r="A990" s="331"/>
    </row>
    <row r="991">
      <c r="A991" s="331"/>
    </row>
    <row r="992">
      <c r="A992" s="331"/>
    </row>
    <row r="993">
      <c r="A993" s="331"/>
    </row>
    <row r="994">
      <c r="A994" s="331"/>
    </row>
    <row r="995">
      <c r="A995" s="331"/>
    </row>
    <row r="996">
      <c r="A996" s="331"/>
    </row>
    <row r="997">
      <c r="A997" s="331"/>
    </row>
    <row r="998">
      <c r="A998" s="331"/>
    </row>
    <row r="999">
      <c r="A999" s="331"/>
    </row>
    <row r="1000">
      <c r="A1000" s="3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2</v>
      </c>
      <c r="C1" s="5" t="s">
        <v>1242</v>
      </c>
      <c r="D1" s="5" t="s">
        <v>4</v>
      </c>
      <c r="E1" s="5" t="s">
        <v>5</v>
      </c>
      <c r="F1" s="5" t="s">
        <v>6</v>
      </c>
      <c r="G1" s="5" t="s">
        <v>7</v>
      </c>
      <c r="H1" s="5" t="s">
        <v>1243</v>
      </c>
      <c r="I1" s="175" t="s">
        <v>8</v>
      </c>
      <c r="J1" s="5" t="s">
        <v>1244</v>
      </c>
      <c r="K1" s="175" t="s">
        <v>9</v>
      </c>
      <c r="L1" s="176" t="s">
        <v>1245</v>
      </c>
      <c r="M1" s="5" t="s">
        <v>10</v>
      </c>
      <c r="N1" s="5" t="s">
        <v>11</v>
      </c>
      <c r="O1" s="5" t="s">
        <v>12</v>
      </c>
      <c r="P1" s="5" t="s">
        <v>13</v>
      </c>
      <c r="Q1" s="5" t="s">
        <v>14</v>
      </c>
      <c r="R1" s="5" t="s">
        <v>15</v>
      </c>
      <c r="S1" s="5" t="s">
        <v>427</v>
      </c>
      <c r="T1" s="5" t="s">
        <v>428</v>
      </c>
    </row>
    <row r="2">
      <c r="A2" s="5">
        <v>1.0</v>
      </c>
      <c r="C2" t="str">
        <f>PasteBBM!H2</f>
        <v>Victor Wembanyama</v>
      </c>
      <c r="D2" t="str">
        <f>IFERROR(REPLACE(PasteBBM!J2,FIND("/",PasteBBM!J2,1),1,","),PasteBBM!J2)</f>
        <v>C</v>
      </c>
      <c r="E2" t="str">
        <f>PasteBBM!I2</f>
        <v>SAS</v>
      </c>
      <c r="F2">
        <f>PasteBBM!T2</f>
        <v>73</v>
      </c>
      <c r="G2">
        <f>PasteBBM!W2</f>
        <v>34</v>
      </c>
      <c r="H2">
        <f>PasteBBM!AD2*PasteBBM!AE2</f>
        <v>9.119174018</v>
      </c>
      <c r="I2">
        <f>PasteBBM!AD2</f>
        <v>0.491121</v>
      </c>
      <c r="J2">
        <f>PasteBBM!AF2*PasteBBM!AG2</f>
        <v>4.550958942</v>
      </c>
      <c r="K2">
        <f>PasteBBM!AF2</f>
        <v>0.816988</v>
      </c>
      <c r="L2">
        <f>PasteBBM!Y2</f>
        <v>3.049863</v>
      </c>
      <c r="M2">
        <f>PasteBBM!X2</f>
        <v>25.83918</v>
      </c>
      <c r="N2">
        <f>PasteBBM!Z2</f>
        <v>11.92123</v>
      </c>
      <c r="O2">
        <f>PasteBBM!AA2</f>
        <v>3.829315</v>
      </c>
      <c r="P2">
        <f>PasteBBM!AB2</f>
        <v>1.158356</v>
      </c>
      <c r="Q2">
        <f>PasteBBM!AC2</f>
        <v>3.901507</v>
      </c>
      <c r="R2">
        <f>PasteBBM!AH2</f>
        <v>2.745479</v>
      </c>
      <c r="S2">
        <f>PasteBBM!AD2</f>
        <v>0.491121</v>
      </c>
      <c r="T2">
        <f>PasteBBM!AF2</f>
        <v>0.816988</v>
      </c>
    </row>
    <row r="3">
      <c r="A3" s="5">
        <v>2.0</v>
      </c>
      <c r="C3" t="str">
        <f>PasteBBM!H3</f>
        <v>Nikola Jokic</v>
      </c>
      <c r="D3" t="str">
        <f>IFERROR(REPLACE(PasteBBM!J3,FIND("/",PasteBBM!J3,1),1,","),PasteBBM!J3)</f>
        <v>C</v>
      </c>
      <c r="E3" t="str">
        <f>PasteBBM!I3</f>
        <v>DEN</v>
      </c>
      <c r="F3">
        <f>PasteBBM!T3</f>
        <v>73</v>
      </c>
      <c r="G3">
        <f>PasteBBM!W3</f>
        <v>34</v>
      </c>
      <c r="H3">
        <f>PasteBBM!AD3*PasteBBM!AE3</f>
        <v>10.38095951</v>
      </c>
      <c r="I3">
        <f>PasteBBM!AD3</f>
        <v>0.585091</v>
      </c>
      <c r="J3">
        <f>PasteBBM!AF3*PasteBBM!AG3</f>
        <v>5.317399239</v>
      </c>
      <c r="K3">
        <f>PasteBBM!AF3</f>
        <v>0.810004</v>
      </c>
      <c r="L3">
        <f>PasteBBM!Y3</f>
        <v>1.596849</v>
      </c>
      <c r="M3">
        <f>PasteBBM!X3</f>
        <v>27.67616</v>
      </c>
      <c r="N3">
        <f>PasteBBM!Z3</f>
        <v>12.16205</v>
      </c>
      <c r="O3">
        <f>PasteBBM!AA3</f>
        <v>8.994658</v>
      </c>
      <c r="P3">
        <f>PasteBBM!AB3</f>
        <v>1.430822</v>
      </c>
      <c r="Q3">
        <f>PasteBBM!AC3</f>
        <v>0.715479</v>
      </c>
      <c r="R3">
        <f>PasteBBM!AH3</f>
        <v>3.115342</v>
      </c>
      <c r="S3">
        <f>PasteBBM!AD3</f>
        <v>0.585091</v>
      </c>
      <c r="T3">
        <f>PasteBBM!AF3</f>
        <v>0.810004</v>
      </c>
    </row>
    <row r="4">
      <c r="A4" s="5">
        <v>3.0</v>
      </c>
      <c r="C4" t="str">
        <f>PasteBBM!H4</f>
        <v>Shai Gilgeous-Alexander</v>
      </c>
      <c r="D4" t="str">
        <f>IFERROR(REPLACE(PasteBBM!J4,FIND("/",PasteBBM!J4,1),1,","),PasteBBM!J4)</f>
        <v>G</v>
      </c>
      <c r="E4" t="str">
        <f>PasteBBM!I4</f>
        <v>OKC</v>
      </c>
      <c r="F4">
        <f>PasteBBM!T4</f>
        <v>73</v>
      </c>
      <c r="G4">
        <f>PasteBBM!W4</f>
        <v>33</v>
      </c>
      <c r="H4">
        <f>PasteBBM!AD4*PasteBBM!AE4</f>
        <v>10.64438009</v>
      </c>
      <c r="I4">
        <f>PasteBBM!AD4</f>
        <v>0.505971</v>
      </c>
      <c r="J4">
        <f>PasteBBM!AF4*PasteBBM!AG4</f>
        <v>7.293973781</v>
      </c>
      <c r="K4">
        <f>PasteBBM!AF4</f>
        <v>0.889004</v>
      </c>
      <c r="L4">
        <f>PasteBBM!Y4</f>
        <v>1.935479</v>
      </c>
      <c r="M4">
        <f>PasteBBM!X4</f>
        <v>30.51822</v>
      </c>
      <c r="N4">
        <f>PasteBBM!Z4</f>
        <v>4.558082</v>
      </c>
      <c r="O4">
        <f>PasteBBM!AA4</f>
        <v>6.030685</v>
      </c>
      <c r="P4">
        <f>PasteBBM!AB4</f>
        <v>1.462877</v>
      </c>
      <c r="Q4">
        <f>PasteBBM!AC4</f>
        <v>0.91589</v>
      </c>
      <c r="R4">
        <f>PasteBBM!AH4</f>
        <v>1.823288</v>
      </c>
      <c r="S4">
        <f>PasteBBM!AD4</f>
        <v>0.505971</v>
      </c>
      <c r="T4">
        <f>PasteBBM!AF4</f>
        <v>0.889004</v>
      </c>
    </row>
    <row r="5">
      <c r="A5" s="5">
        <v>4.0</v>
      </c>
      <c r="C5" t="str">
        <f>PasteBBM!H5</f>
        <v>Luka Doncic</v>
      </c>
      <c r="D5" t="str">
        <f>IFERROR(REPLACE(PasteBBM!J5,FIND("/",PasteBBM!J5,1),1,","),PasteBBM!J5)</f>
        <v>G</v>
      </c>
      <c r="E5" t="str">
        <f>PasteBBM!I5</f>
        <v>LAL</v>
      </c>
      <c r="F5">
        <f>PasteBBM!T5</f>
        <v>68</v>
      </c>
      <c r="G5">
        <f>PasteBBM!W5</f>
        <v>36</v>
      </c>
      <c r="H5">
        <f>PasteBBM!AD5*PasteBBM!AE5</f>
        <v>9.577062009</v>
      </c>
      <c r="I5">
        <f>PasteBBM!AD5</f>
        <v>0.468707</v>
      </c>
      <c r="J5">
        <f>PasteBBM!AF5*PasteBBM!AG5</f>
        <v>7.111474793</v>
      </c>
      <c r="K5">
        <f>PasteBBM!AF5</f>
        <v>0.791004</v>
      </c>
      <c r="L5">
        <f>PasteBBM!Y5</f>
        <v>3.678088</v>
      </c>
      <c r="M5">
        <f>PasteBBM!X5</f>
        <v>29.94368</v>
      </c>
      <c r="N5">
        <f>PasteBBM!Z5</f>
        <v>7.791029</v>
      </c>
      <c r="O5">
        <f>PasteBBM!AA5</f>
        <v>7.497059</v>
      </c>
      <c r="P5">
        <f>PasteBBM!AB5</f>
        <v>1.47</v>
      </c>
      <c r="Q5">
        <f>PasteBBM!AC5</f>
        <v>0.44</v>
      </c>
      <c r="R5">
        <f>PasteBBM!AH5</f>
        <v>3.454559</v>
      </c>
      <c r="S5">
        <f>PasteBBM!AD5</f>
        <v>0.468707</v>
      </c>
      <c r="T5">
        <f>PasteBBM!AF5</f>
        <v>0.791004</v>
      </c>
    </row>
    <row r="6">
      <c r="A6" s="5">
        <v>5.0</v>
      </c>
      <c r="C6" t="str">
        <f>PasteBBM!H6</f>
        <v>Kawhi Leonard</v>
      </c>
      <c r="D6" t="str">
        <f>IFERROR(REPLACE(PasteBBM!J6,FIND("/",PasteBBM!J6,1),1,","),PasteBBM!J6)</f>
        <v>F</v>
      </c>
      <c r="E6" t="str">
        <f>PasteBBM!I6</f>
        <v>LAC</v>
      </c>
      <c r="F6">
        <f>PasteBBM!T6</f>
        <v>60</v>
      </c>
      <c r="G6">
        <f>PasteBBM!W6</f>
        <v>34</v>
      </c>
      <c r="H6">
        <f>PasteBBM!AD6*PasteBBM!AE6</f>
        <v>9.455508154</v>
      </c>
      <c r="I6">
        <f>PasteBBM!AD6</f>
        <v>0.504101</v>
      </c>
      <c r="J6">
        <f>PasteBBM!AF6*PasteBBM!AG6</f>
        <v>3.383667963</v>
      </c>
      <c r="K6">
        <f>PasteBBM!AF6</f>
        <v>0.859017</v>
      </c>
      <c r="L6">
        <f>PasteBBM!Y6</f>
        <v>2.273333</v>
      </c>
      <c r="M6">
        <f>PasteBBM!X6</f>
        <v>24.568</v>
      </c>
      <c r="N6">
        <f>PasteBBM!Z6</f>
        <v>6.321167</v>
      </c>
      <c r="O6">
        <f>PasteBBM!AA6</f>
        <v>3.1605</v>
      </c>
      <c r="P6">
        <f>PasteBBM!AB6</f>
        <v>1.653333</v>
      </c>
      <c r="Q6">
        <f>PasteBBM!AC6</f>
        <v>0.617167</v>
      </c>
      <c r="R6">
        <f>PasteBBM!AH6</f>
        <v>1.786333</v>
      </c>
      <c r="S6">
        <f>PasteBBM!AD6</f>
        <v>0.504101</v>
      </c>
      <c r="T6">
        <f>PasteBBM!AF6</f>
        <v>0.859017</v>
      </c>
    </row>
    <row r="7">
      <c r="A7" s="5">
        <v>6.0</v>
      </c>
      <c r="C7" t="str">
        <f>PasteBBM!H7</f>
        <v>Stephen Curry</v>
      </c>
      <c r="D7" t="str">
        <f>IFERROR(REPLACE(PasteBBM!J7,FIND("/",PasteBBM!J7,1),1,","),PasteBBM!J7)</f>
        <v>G</v>
      </c>
      <c r="E7" t="str">
        <f>PasteBBM!I7</f>
        <v>GSW</v>
      </c>
      <c r="F7">
        <f>PasteBBM!T7</f>
        <v>68</v>
      </c>
      <c r="G7">
        <f>PasteBBM!W7</f>
        <v>33</v>
      </c>
      <c r="H7">
        <f>PasteBBM!AD7*PasteBBM!AE7</f>
        <v>8.33279956</v>
      </c>
      <c r="I7">
        <f>PasteBBM!AD7</f>
        <v>0.453424</v>
      </c>
      <c r="J7">
        <f>PasteBBM!AF7*PasteBBM!AG7</f>
        <v>4.057645414</v>
      </c>
      <c r="K7">
        <f>PasteBBM!AF7</f>
        <v>0.920009</v>
      </c>
      <c r="L7">
        <f>PasteBBM!Y7</f>
        <v>4.625882</v>
      </c>
      <c r="M7">
        <f>PasteBBM!X7</f>
        <v>25.34912</v>
      </c>
      <c r="N7">
        <f>PasteBBM!Z7</f>
        <v>4.492059</v>
      </c>
      <c r="O7">
        <f>PasteBBM!AA7</f>
        <v>5.887794</v>
      </c>
      <c r="P7">
        <f>PasteBBM!AB7</f>
        <v>1.020882</v>
      </c>
      <c r="Q7">
        <f>PasteBBM!AC7</f>
        <v>0.407647</v>
      </c>
      <c r="R7">
        <f>PasteBBM!AH7</f>
        <v>2.786618</v>
      </c>
      <c r="S7">
        <f>PasteBBM!AD7</f>
        <v>0.453424</v>
      </c>
      <c r="T7">
        <f>PasteBBM!AF7</f>
        <v>0.920009</v>
      </c>
    </row>
    <row r="8">
      <c r="A8" s="5">
        <v>7.0</v>
      </c>
      <c r="C8" t="str">
        <f>PasteBBM!H8</f>
        <v>Anthony Davis</v>
      </c>
      <c r="D8" t="str">
        <f>IFERROR(REPLACE(PasteBBM!J8,FIND("/",PasteBBM!J8,1),1,","),PasteBBM!J8)</f>
        <v>F,C</v>
      </c>
      <c r="E8" t="str">
        <f>PasteBBM!I8</f>
        <v>DAL</v>
      </c>
      <c r="F8">
        <f>PasteBBM!T8</f>
        <v>62</v>
      </c>
      <c r="G8">
        <f>PasteBBM!W8</f>
        <v>34</v>
      </c>
      <c r="H8">
        <f>PasteBBM!AD8*PasteBBM!AE8</f>
        <v>8.417105731</v>
      </c>
      <c r="I8">
        <f>PasteBBM!AD8</f>
        <v>0.494364</v>
      </c>
      <c r="J8">
        <f>PasteBBM!AF8*PasteBBM!AG8</f>
        <v>4.895804835</v>
      </c>
      <c r="K8">
        <f>PasteBBM!AF8</f>
        <v>0.766012</v>
      </c>
      <c r="L8">
        <f>PasteBBM!Y8</f>
        <v>0.879677</v>
      </c>
      <c r="M8">
        <f>PasteBBM!X8</f>
        <v>22.60968</v>
      </c>
      <c r="N8">
        <f>PasteBBM!Z8</f>
        <v>10.01581</v>
      </c>
      <c r="O8">
        <f>PasteBBM!AA8</f>
        <v>4.149355</v>
      </c>
      <c r="P8">
        <f>PasteBBM!AB8</f>
        <v>1.227258</v>
      </c>
      <c r="Q8">
        <f>PasteBBM!AC8</f>
        <v>2.074677</v>
      </c>
      <c r="R8">
        <f>PasteBBM!AH8</f>
        <v>2.790161</v>
      </c>
      <c r="S8">
        <f>PasteBBM!AD8</f>
        <v>0.494364</v>
      </c>
      <c r="T8">
        <f>PasteBBM!AF8</f>
        <v>0.766012</v>
      </c>
    </row>
    <row r="9">
      <c r="A9" s="5">
        <v>8.0</v>
      </c>
      <c r="C9" t="str">
        <f>PasteBBM!H9</f>
        <v>Kristaps Porzingis</v>
      </c>
      <c r="D9" t="str">
        <f>IFERROR(REPLACE(PasteBBM!J9,FIND("/",PasteBBM!J9,1),1,","),PasteBBM!J9)</f>
        <v>C</v>
      </c>
      <c r="E9" t="str">
        <f>PasteBBM!I9</f>
        <v>ATL</v>
      </c>
      <c r="F9">
        <f>PasteBBM!T9</f>
        <v>55</v>
      </c>
      <c r="G9">
        <f>PasteBBM!W9</f>
        <v>29</v>
      </c>
      <c r="H9">
        <f>PasteBBM!AD9*PasteBBM!AE9</f>
        <v>7.061637753</v>
      </c>
      <c r="I9">
        <f>PasteBBM!AD9</f>
        <v>0.470257</v>
      </c>
      <c r="J9">
        <f>PasteBBM!AF9*PasteBBM!AG9</f>
        <v>4.793452148</v>
      </c>
      <c r="K9">
        <f>PasteBBM!AF9</f>
        <v>0.839992</v>
      </c>
      <c r="L9">
        <f>PasteBBM!Y9</f>
        <v>2.510909</v>
      </c>
      <c r="M9">
        <f>PasteBBM!X9</f>
        <v>21.42764</v>
      </c>
      <c r="N9">
        <f>PasteBBM!Z9</f>
        <v>7.54</v>
      </c>
      <c r="O9">
        <f>PasteBBM!AA9</f>
        <v>2.136364</v>
      </c>
      <c r="P9">
        <f>PasteBBM!AB9</f>
        <v>0.762545</v>
      </c>
      <c r="Q9">
        <f>PasteBBM!AC9</f>
        <v>1.633636</v>
      </c>
      <c r="R9">
        <f>PasteBBM!AH9</f>
        <v>1.382364</v>
      </c>
      <c r="S9">
        <f>PasteBBM!AD9</f>
        <v>0.470257</v>
      </c>
      <c r="T9">
        <f>PasteBBM!AF9</f>
        <v>0.839992</v>
      </c>
    </row>
    <row r="10">
      <c r="A10" s="5">
        <v>9.0</v>
      </c>
      <c r="C10" t="str">
        <f>PasteBBM!H10</f>
        <v>James Harden</v>
      </c>
      <c r="D10" t="str">
        <f>IFERROR(REPLACE(PasteBBM!J10,FIND("/",PasteBBM!J10,1),1,","),PasteBBM!J10)</f>
        <v>G</v>
      </c>
      <c r="E10" t="str">
        <f>PasteBBM!I10</f>
        <v>LAC</v>
      </c>
      <c r="F10">
        <f>PasteBBM!T10</f>
        <v>73</v>
      </c>
      <c r="G10">
        <f>PasteBBM!W10</f>
        <v>35</v>
      </c>
      <c r="H10">
        <f>PasteBBM!AD10*PasteBBM!AE10</f>
        <v>7.125207956</v>
      </c>
      <c r="I10">
        <f>PasteBBM!AD10</f>
        <v>0.443798</v>
      </c>
      <c r="J10">
        <f>PasteBBM!AF10*PasteBBM!AG10</f>
        <v>5.886849964</v>
      </c>
      <c r="K10">
        <f>PasteBBM!AF10</f>
        <v>0.872994</v>
      </c>
      <c r="L10">
        <f>PasteBBM!Y10</f>
        <v>3.018356</v>
      </c>
      <c r="M10">
        <f>PasteBBM!X10</f>
        <v>23.15562</v>
      </c>
      <c r="N10">
        <f>PasteBBM!Z10</f>
        <v>5.304658</v>
      </c>
      <c r="O10">
        <f>PasteBBM!AA10</f>
        <v>8.091781</v>
      </c>
      <c r="P10">
        <f>PasteBBM!AB10</f>
        <v>1.202329</v>
      </c>
      <c r="Q10">
        <f>PasteBBM!AC10</f>
        <v>0.712192</v>
      </c>
      <c r="R10">
        <f>PasteBBM!AH10</f>
        <v>3.536438</v>
      </c>
      <c r="S10">
        <f>PasteBBM!AD10</f>
        <v>0.443798</v>
      </c>
      <c r="T10">
        <f>PasteBBM!AF10</f>
        <v>0.872994</v>
      </c>
    </row>
    <row r="11">
      <c r="A11" s="5">
        <v>10.0</v>
      </c>
      <c r="C11" t="str">
        <f>PasteBBM!H11</f>
        <v>Donovan Mitchell</v>
      </c>
      <c r="D11" t="str">
        <f>IFERROR(REPLACE(PasteBBM!J11,FIND("/",PasteBBM!J11,1),1,","),PasteBBM!J11)</f>
        <v>G</v>
      </c>
      <c r="E11" t="str">
        <f>PasteBBM!I11</f>
        <v>CLE</v>
      </c>
      <c r="F11">
        <f>PasteBBM!T11</f>
        <v>68</v>
      </c>
      <c r="G11">
        <f>PasteBBM!W11</f>
        <v>32</v>
      </c>
      <c r="H11">
        <f>PasteBBM!AD11*PasteBBM!AE11</f>
        <v>8.746762763</v>
      </c>
      <c r="I11">
        <f>PasteBBM!AD11</f>
        <v>0.460659</v>
      </c>
      <c r="J11">
        <f>PasteBBM!AF11*PasteBBM!AG11</f>
        <v>5.326174778</v>
      </c>
      <c r="K11">
        <f>PasteBBM!AF11</f>
        <v>0.850008</v>
      </c>
      <c r="L11">
        <f>PasteBBM!Y11</f>
        <v>3.337647</v>
      </c>
      <c r="M11">
        <f>PasteBBM!X11</f>
        <v>26.15735</v>
      </c>
      <c r="N11">
        <f>PasteBBM!Z11</f>
        <v>4.578676</v>
      </c>
      <c r="O11">
        <f>PasteBBM!AA11</f>
        <v>5.656029</v>
      </c>
      <c r="P11">
        <f>PasteBBM!AB11</f>
        <v>1.274706</v>
      </c>
      <c r="Q11">
        <f>PasteBBM!AC11</f>
        <v>0.27</v>
      </c>
      <c r="R11">
        <f>PasteBBM!AH11</f>
        <v>2.356618</v>
      </c>
      <c r="S11">
        <f>PasteBBM!AD11</f>
        <v>0.460659</v>
      </c>
      <c r="T11">
        <f>PasteBBM!AF11</f>
        <v>0.850008</v>
      </c>
    </row>
    <row r="12">
      <c r="A12" s="5">
        <v>11.0</v>
      </c>
      <c r="C12" t="str">
        <f>PasteBBM!H12</f>
        <v>Kevin Durant</v>
      </c>
      <c r="D12" t="str">
        <f>IFERROR(REPLACE(PasteBBM!J12,FIND("/",PasteBBM!J12,1),1,","),PasteBBM!J12)</f>
        <v>F</v>
      </c>
      <c r="E12" t="str">
        <f>PasteBBM!I12</f>
        <v>HOU</v>
      </c>
      <c r="F12">
        <f>PasteBBM!T12</f>
        <v>64</v>
      </c>
      <c r="G12">
        <f>PasteBBM!W12</f>
        <v>35</v>
      </c>
      <c r="H12">
        <f>PasteBBM!AD12*PasteBBM!AE12</f>
        <v>10.22843961</v>
      </c>
      <c r="I12">
        <f>PasteBBM!AD12</f>
        <v>0.514412</v>
      </c>
      <c r="J12">
        <f>PasteBBM!AF12*PasteBBM!AG12</f>
        <v>5.090470067</v>
      </c>
      <c r="K12">
        <f>PasteBBM!AF12</f>
        <v>0.857004</v>
      </c>
      <c r="L12">
        <f>PasteBBM!Y12</f>
        <v>2.716563</v>
      </c>
      <c r="M12">
        <f>PasteBBM!X12</f>
        <v>28.26391</v>
      </c>
      <c r="N12">
        <f>PasteBBM!Z12</f>
        <v>5.3025</v>
      </c>
      <c r="O12">
        <f>PasteBBM!AA12</f>
        <v>4.860625</v>
      </c>
      <c r="P12">
        <f>PasteBBM!AB12</f>
        <v>0.807969</v>
      </c>
      <c r="Q12">
        <f>PasteBBM!AC12</f>
        <v>0.88375</v>
      </c>
      <c r="R12">
        <f>PasteBBM!AH12</f>
        <v>3.314063</v>
      </c>
      <c r="S12">
        <f>PasteBBM!AD12</f>
        <v>0.514412</v>
      </c>
      <c r="T12">
        <f>PasteBBM!AF12</f>
        <v>0.857004</v>
      </c>
    </row>
    <row r="13">
      <c r="A13" s="5">
        <v>12.0</v>
      </c>
      <c r="C13" t="str">
        <f>PasteBBM!H13</f>
        <v>Dyson Daniels</v>
      </c>
      <c r="D13" t="str">
        <f>IFERROR(REPLACE(PasteBBM!J13,FIND("/",PasteBBM!J13,1),1,","),PasteBBM!J13)</f>
        <v>G,F</v>
      </c>
      <c r="E13" t="str">
        <f>PasteBBM!I13</f>
        <v>ATL</v>
      </c>
      <c r="F13">
        <f>PasteBBM!T13</f>
        <v>73</v>
      </c>
      <c r="G13">
        <f>PasteBBM!W13</f>
        <v>33</v>
      </c>
      <c r="H13">
        <f>PasteBBM!AD13*PasteBBM!AE13</f>
        <v>5.731778116</v>
      </c>
      <c r="I13">
        <f>PasteBBM!AD13</f>
        <v>0.517168</v>
      </c>
      <c r="J13">
        <f>PasteBBM!AF13*PasteBBM!AG13</f>
        <v>0.8873971292</v>
      </c>
      <c r="K13">
        <f>PasteBBM!AF13</f>
        <v>0.615955</v>
      </c>
      <c r="L13">
        <f>PasteBBM!Y13</f>
        <v>0.888356</v>
      </c>
      <c r="M13">
        <f>PasteBBM!X13</f>
        <v>13.23932</v>
      </c>
      <c r="N13">
        <f>PasteBBM!Z13</f>
        <v>5.791507</v>
      </c>
      <c r="O13">
        <f>PasteBBM!AA13</f>
        <v>4.433014</v>
      </c>
      <c r="P13">
        <f>PasteBBM!AB13</f>
        <v>2.573973</v>
      </c>
      <c r="Q13">
        <f>PasteBBM!AC13</f>
        <v>0.645616</v>
      </c>
      <c r="R13">
        <f>PasteBBM!AH13</f>
        <v>1.859041</v>
      </c>
      <c r="S13">
        <f>PasteBBM!AD13</f>
        <v>0.517168</v>
      </c>
      <c r="T13">
        <f>PasteBBM!AF13</f>
        <v>0.615955</v>
      </c>
    </row>
    <row r="14">
      <c r="A14" s="5">
        <v>13.0</v>
      </c>
      <c r="C14" t="str">
        <f>PasteBBM!H14</f>
        <v>Tyrese Maxey</v>
      </c>
      <c r="D14" t="str">
        <f>IFERROR(REPLACE(PasteBBM!J14,FIND("/",PasteBBM!J14,1),1,","),PasteBBM!J14)</f>
        <v>G</v>
      </c>
      <c r="E14" t="str">
        <f>PasteBBM!I14</f>
        <v>PHI</v>
      </c>
      <c r="F14">
        <f>PasteBBM!T14</f>
        <v>73</v>
      </c>
      <c r="G14">
        <f>PasteBBM!W14</f>
        <v>38</v>
      </c>
      <c r="H14">
        <f>PasteBBM!AD14*PasteBBM!AE14</f>
        <v>9.049440366</v>
      </c>
      <c r="I14">
        <f>PasteBBM!AD14</f>
        <v>0.449281</v>
      </c>
      <c r="J14">
        <f>PasteBBM!AF14*PasteBBM!AG14</f>
        <v>4.035070213</v>
      </c>
      <c r="K14">
        <f>PasteBBM!AF14</f>
        <v>0.87099</v>
      </c>
      <c r="L14">
        <f>PasteBBM!Y14</f>
        <v>3.17</v>
      </c>
      <c r="M14">
        <f>PasteBBM!X14</f>
        <v>25.30397</v>
      </c>
      <c r="N14">
        <f>PasteBBM!Z14</f>
        <v>3.291781</v>
      </c>
      <c r="O14">
        <f>PasteBBM!AA14</f>
        <v>6.363562</v>
      </c>
      <c r="P14">
        <f>PasteBBM!AB14</f>
        <v>1.332329</v>
      </c>
      <c r="Q14">
        <f>PasteBBM!AC14</f>
        <v>0.393151</v>
      </c>
      <c r="R14">
        <f>PasteBBM!AH14</f>
        <v>2.194521</v>
      </c>
      <c r="S14">
        <f>PasteBBM!AD14</f>
        <v>0.449281</v>
      </c>
      <c r="T14">
        <f>PasteBBM!AF14</f>
        <v>0.87099</v>
      </c>
    </row>
    <row r="15">
      <c r="A15" s="5">
        <v>14.0</v>
      </c>
      <c r="C15" t="str">
        <f>PasteBBM!H15</f>
        <v>Joel Embiid</v>
      </c>
      <c r="D15" t="str">
        <f>IFERROR(REPLACE(PasteBBM!J15,FIND("/",PasteBBM!J15,1),1,","),PasteBBM!J15)</f>
        <v>C</v>
      </c>
      <c r="E15" t="str">
        <f>PasteBBM!I15</f>
        <v>PHI</v>
      </c>
      <c r="F15">
        <f>PasteBBM!T15</f>
        <v>40</v>
      </c>
      <c r="G15">
        <f>PasteBBM!W15</f>
        <v>30</v>
      </c>
      <c r="H15">
        <f>PasteBBM!AD15*PasteBBM!AE15</f>
        <v>7.962000774</v>
      </c>
      <c r="I15">
        <f>PasteBBM!AD15</f>
        <v>0.487457</v>
      </c>
      <c r="J15">
        <f>PasteBBM!AF15*PasteBBM!AG15</f>
        <v>7.852252469</v>
      </c>
      <c r="K15">
        <f>PasteBBM!AF15</f>
        <v>0.874002</v>
      </c>
      <c r="L15">
        <f>PasteBBM!Y15</f>
        <v>1.10175</v>
      </c>
      <c r="M15">
        <f>PasteBBM!X15</f>
        <v>24.878</v>
      </c>
      <c r="N15">
        <f>PasteBBM!Z15</f>
        <v>8.415</v>
      </c>
      <c r="O15">
        <f>PasteBBM!AA15</f>
        <v>4.6145</v>
      </c>
      <c r="P15">
        <f>PasteBBM!AB15</f>
        <v>0.86425</v>
      </c>
      <c r="Q15">
        <f>PasteBBM!AC15</f>
        <v>1.11375</v>
      </c>
      <c r="R15">
        <f>PasteBBM!AH15</f>
        <v>3.34575</v>
      </c>
      <c r="S15">
        <f>PasteBBM!AD15</f>
        <v>0.487457</v>
      </c>
      <c r="T15">
        <f>PasteBBM!AF15</f>
        <v>0.874002</v>
      </c>
    </row>
    <row r="16">
      <c r="A16" s="5">
        <v>15.0</v>
      </c>
      <c r="C16" t="str">
        <f>PasteBBM!H16</f>
        <v>Devin Booker</v>
      </c>
      <c r="D16" t="str">
        <f>IFERROR(REPLACE(PasteBBM!J16,FIND("/",PasteBBM!J16,1),1,","),PasteBBM!J16)</f>
        <v>G,F</v>
      </c>
      <c r="E16" t="str">
        <f>PasteBBM!I16</f>
        <v>PHO</v>
      </c>
      <c r="F16">
        <f>PasteBBM!T16</f>
        <v>68</v>
      </c>
      <c r="G16">
        <f>PasteBBM!W16</f>
        <v>36</v>
      </c>
      <c r="H16">
        <f>PasteBBM!AD16*PasteBBM!AE16</f>
        <v>9.228825048</v>
      </c>
      <c r="I16">
        <f>PasteBBM!AD16</f>
        <v>0.476236</v>
      </c>
      <c r="J16">
        <f>PasteBBM!AF16*PasteBBM!AG16</f>
        <v>6.07734951</v>
      </c>
      <c r="K16">
        <f>PasteBBM!AF16</f>
        <v>0.895995</v>
      </c>
      <c r="L16">
        <f>PasteBBM!Y16</f>
        <v>2.306176</v>
      </c>
      <c r="M16">
        <f>PasteBBM!X16</f>
        <v>26.84118</v>
      </c>
      <c r="N16">
        <f>PasteBBM!Z16</f>
        <v>4.752059</v>
      </c>
      <c r="O16">
        <f>PasteBBM!AA16</f>
        <v>8.093235</v>
      </c>
      <c r="P16">
        <f>PasteBBM!AB16</f>
        <v>0.891029</v>
      </c>
      <c r="Q16">
        <f>PasteBBM!AC16</f>
        <v>0.297059</v>
      </c>
      <c r="R16">
        <f>PasteBBM!AH16</f>
        <v>3.341176</v>
      </c>
      <c r="S16">
        <f>PasteBBM!AD16</f>
        <v>0.476236</v>
      </c>
      <c r="T16">
        <f>PasteBBM!AF16</f>
        <v>0.895995</v>
      </c>
    </row>
    <row r="17">
      <c r="A17" s="5">
        <v>16.0</v>
      </c>
      <c r="C17" t="str">
        <f>PasteBBM!H17</f>
        <v>Amen Thompson</v>
      </c>
      <c r="D17" t="str">
        <f>IFERROR(REPLACE(PasteBBM!J17,FIND("/",PasteBBM!J17,1),1,","),PasteBBM!J17)</f>
        <v>G,F</v>
      </c>
      <c r="E17" t="str">
        <f>PasteBBM!I17</f>
        <v>HOU</v>
      </c>
      <c r="F17">
        <f>PasteBBM!T17</f>
        <v>68</v>
      </c>
      <c r="G17">
        <f>PasteBBM!W17</f>
        <v>36</v>
      </c>
      <c r="H17">
        <f>PasteBBM!AD17*PasteBBM!AE17</f>
        <v>7.337798661</v>
      </c>
      <c r="I17">
        <f>PasteBBM!AD17</f>
        <v>0.55993</v>
      </c>
      <c r="J17">
        <f>PasteBBM!AF17*PasteBBM!AG17</f>
        <v>2.725735141</v>
      </c>
      <c r="K17">
        <f>PasteBBM!AF17</f>
        <v>0.649986</v>
      </c>
      <c r="L17">
        <f>PasteBBM!Y17</f>
        <v>0.473382</v>
      </c>
      <c r="M17">
        <f>PasteBBM!X17</f>
        <v>17.87471</v>
      </c>
      <c r="N17">
        <f>PasteBBM!Z17</f>
        <v>8.483971</v>
      </c>
      <c r="O17">
        <f>PasteBBM!AA17</f>
        <v>6.590294</v>
      </c>
      <c r="P17">
        <f>PasteBBM!AB17</f>
        <v>1.515</v>
      </c>
      <c r="Q17">
        <f>PasteBBM!AC17</f>
        <v>1.287794</v>
      </c>
      <c r="R17">
        <f>PasteBBM!AH17</f>
        <v>2.423971</v>
      </c>
      <c r="S17">
        <f>PasteBBM!AD17</f>
        <v>0.55993</v>
      </c>
      <c r="T17">
        <f>PasteBBM!AF17</f>
        <v>0.649986</v>
      </c>
    </row>
    <row r="18">
      <c r="A18" s="5">
        <v>17.0</v>
      </c>
      <c r="C18" t="str">
        <f>PasteBBM!H18</f>
        <v>Jimmy Butler</v>
      </c>
      <c r="D18" t="str">
        <f>IFERROR(REPLACE(PasteBBM!J18,FIND("/",PasteBBM!J18,1),1,","),PasteBBM!J18)</f>
        <v>F</v>
      </c>
      <c r="E18" t="str">
        <f>PasteBBM!I18</f>
        <v>GSW</v>
      </c>
      <c r="F18">
        <f>PasteBBM!T18</f>
        <v>68</v>
      </c>
      <c r="G18">
        <f>PasteBBM!W18</f>
        <v>33</v>
      </c>
      <c r="H18">
        <f>PasteBBM!AD18*PasteBBM!AE18</f>
        <v>5.259994784</v>
      </c>
      <c r="I18">
        <f>PasteBBM!AD18</f>
        <v>0.498564</v>
      </c>
      <c r="J18">
        <f>PasteBBM!AF18*PasteBBM!AG18</f>
        <v>5.437350057</v>
      </c>
      <c r="K18">
        <f>PasteBBM!AF18</f>
        <v>0.859001</v>
      </c>
      <c r="L18">
        <f>PasteBBM!Y18</f>
        <v>0.740294</v>
      </c>
      <c r="M18">
        <f>PasteBBM!X18</f>
        <v>16.69765</v>
      </c>
      <c r="N18">
        <f>PasteBBM!Z18</f>
        <v>5.376912</v>
      </c>
      <c r="O18">
        <f>PasteBBM!AA18</f>
        <v>5.847353</v>
      </c>
      <c r="P18">
        <f>PasteBBM!AB18</f>
        <v>1.565441</v>
      </c>
      <c r="Q18">
        <f>PasteBBM!AC18</f>
        <v>0.271471</v>
      </c>
      <c r="R18">
        <f>PasteBBM!AH18</f>
        <v>1.425588</v>
      </c>
      <c r="S18">
        <f>PasteBBM!AD18</f>
        <v>0.498564</v>
      </c>
      <c r="T18">
        <f>PasteBBM!AF18</f>
        <v>0.859001</v>
      </c>
    </row>
    <row r="19">
      <c r="A19" s="5">
        <v>18.0</v>
      </c>
      <c r="C19" t="str">
        <f>PasteBBM!H19</f>
        <v>Karl-Anthony Towns</v>
      </c>
      <c r="D19" t="str">
        <f>IFERROR(REPLACE(PasteBBM!J19,FIND("/",PasteBBM!J19,1),1,","),PasteBBM!J19)</f>
        <v>C</v>
      </c>
      <c r="E19" t="str">
        <f>PasteBBM!I19</f>
        <v>NYK</v>
      </c>
      <c r="F19">
        <f>PasteBBM!T19</f>
        <v>68</v>
      </c>
      <c r="G19">
        <f>PasteBBM!W19</f>
        <v>34</v>
      </c>
      <c r="H19">
        <f>PasteBBM!AD19*PasteBBM!AE19</f>
        <v>8.354268309</v>
      </c>
      <c r="I19">
        <f>PasteBBM!AD19</f>
        <v>0.513486</v>
      </c>
      <c r="J19">
        <f>PasteBBM!AF19*PasteBBM!AG19</f>
        <v>4.726174881</v>
      </c>
      <c r="K19">
        <f>PasteBBM!AF19</f>
        <v>0.83001</v>
      </c>
      <c r="L19">
        <f>PasteBBM!Y19</f>
        <v>2.223676</v>
      </c>
      <c r="M19">
        <f>PasteBBM!X19</f>
        <v>23.65838</v>
      </c>
      <c r="N19">
        <f>PasteBBM!Z19</f>
        <v>10.51882</v>
      </c>
      <c r="O19">
        <f>PasteBBM!AA19</f>
        <v>3.506176</v>
      </c>
      <c r="P19">
        <f>PasteBBM!AB19</f>
        <v>0.905294</v>
      </c>
      <c r="Q19">
        <f>PasteBBM!AC19</f>
        <v>0.563676</v>
      </c>
      <c r="R19">
        <f>PasteBBM!AH19</f>
        <v>3.015441</v>
      </c>
      <c r="S19">
        <f>PasteBBM!AD19</f>
        <v>0.513486</v>
      </c>
      <c r="T19">
        <f>PasteBBM!AF19</f>
        <v>0.83001</v>
      </c>
    </row>
    <row r="20">
      <c r="A20" s="5">
        <v>19.0</v>
      </c>
      <c r="C20" t="str">
        <f>PasteBBM!H20</f>
        <v>Myles Turner</v>
      </c>
      <c r="D20" t="str">
        <f>IFERROR(REPLACE(PasteBBM!J20,FIND("/",PasteBBM!J20,1),1,","),PasteBBM!J20)</f>
        <v>C</v>
      </c>
      <c r="E20" t="str">
        <f>PasteBBM!I20</f>
        <v>MIL</v>
      </c>
      <c r="F20">
        <f>PasteBBM!T20</f>
        <v>73</v>
      </c>
      <c r="G20">
        <f>PasteBBM!W20</f>
        <v>32</v>
      </c>
      <c r="H20">
        <f>PasteBBM!AD20*PasteBBM!AE20</f>
        <v>5.731784863</v>
      </c>
      <c r="I20">
        <f>PasteBBM!AD20</f>
        <v>0.506691</v>
      </c>
      <c r="J20">
        <f>PasteBBM!AF20*PasteBBM!AG20</f>
        <v>3.538358016</v>
      </c>
      <c r="K20">
        <f>PasteBBM!AF20</f>
        <v>0.781993</v>
      </c>
      <c r="L20">
        <f>PasteBBM!Y20</f>
        <v>2.200137</v>
      </c>
      <c r="M20">
        <f>PasteBBM!X20</f>
        <v>17.20205</v>
      </c>
      <c r="N20">
        <f>PasteBBM!Z20</f>
        <v>6.867945</v>
      </c>
      <c r="O20">
        <f>PasteBBM!AA20</f>
        <v>1.749589</v>
      </c>
      <c r="P20">
        <f>PasteBBM!AB20</f>
        <v>0.752603</v>
      </c>
      <c r="Q20">
        <f>PasteBBM!AC20</f>
        <v>2.356712</v>
      </c>
      <c r="R20">
        <f>PasteBBM!AH20</f>
        <v>1.616027</v>
      </c>
      <c r="S20">
        <f>PasteBBM!AD20</f>
        <v>0.506691</v>
      </c>
      <c r="T20">
        <f>PasteBBM!AF20</f>
        <v>0.781993</v>
      </c>
    </row>
    <row r="21">
      <c r="A21" s="5">
        <v>20.0</v>
      </c>
      <c r="C21" t="str">
        <f>PasteBBM!H21</f>
        <v>Jaren Jackson Jr.</v>
      </c>
      <c r="D21" t="str">
        <f>IFERROR(REPLACE(PasteBBM!J21,FIND("/",PasteBBM!J21,1),1,","),PasteBBM!J21)</f>
        <v>F,C</v>
      </c>
      <c r="E21" t="str">
        <f>PasteBBM!I21</f>
        <v>MEM</v>
      </c>
      <c r="F21">
        <f>PasteBBM!T21</f>
        <v>62</v>
      </c>
      <c r="G21">
        <f>PasteBBM!W21</f>
        <v>32</v>
      </c>
      <c r="H21">
        <f>PasteBBM!AD21*PasteBBM!AE21</f>
        <v>8.33160614</v>
      </c>
      <c r="I21">
        <f>PasteBBM!AD21</f>
        <v>0.473105</v>
      </c>
      <c r="J21">
        <f>PasteBBM!AF21*PasteBBM!AG21</f>
        <v>4.142096733</v>
      </c>
      <c r="K21">
        <f>PasteBBM!AF21</f>
        <v>0.784009</v>
      </c>
      <c r="L21">
        <f>PasteBBM!Y21</f>
        <v>2.403871</v>
      </c>
      <c r="M21">
        <f>PasteBBM!X21</f>
        <v>23.20919</v>
      </c>
      <c r="N21">
        <f>PasteBBM!Z21</f>
        <v>6.170645</v>
      </c>
      <c r="O21">
        <f>PasteBBM!AA21</f>
        <v>1.733387</v>
      </c>
      <c r="P21">
        <f>PasteBBM!AB21</f>
        <v>1.191129</v>
      </c>
      <c r="Q21">
        <f>PasteBBM!AC21</f>
        <v>1.514516</v>
      </c>
      <c r="R21">
        <f>PasteBBM!AH21</f>
        <v>1.664032</v>
      </c>
      <c r="S21">
        <f>PasteBBM!AD21</f>
        <v>0.473105</v>
      </c>
      <c r="T21">
        <f>PasteBBM!AF21</f>
        <v>0.784009</v>
      </c>
    </row>
    <row r="22">
      <c r="A22" s="5">
        <v>21.0</v>
      </c>
      <c r="C22" t="str">
        <f>PasteBBM!H22</f>
        <v>Anthony Edwards</v>
      </c>
      <c r="D22" t="str">
        <f>IFERROR(REPLACE(PasteBBM!J22,FIND("/",PasteBBM!J22,1),1,","),PasteBBM!J22)</f>
        <v>G,F</v>
      </c>
      <c r="E22" t="str">
        <f>PasteBBM!I22</f>
        <v>MIN</v>
      </c>
      <c r="F22">
        <f>PasteBBM!T22</f>
        <v>77</v>
      </c>
      <c r="G22">
        <f>PasteBBM!W22</f>
        <v>36</v>
      </c>
      <c r="H22">
        <f>PasteBBM!AD22*PasteBBM!AE22</f>
        <v>9.287669922</v>
      </c>
      <c r="I22">
        <f>PasteBBM!AD22</f>
        <v>0.44995</v>
      </c>
      <c r="J22">
        <f>PasteBBM!AF22*PasteBBM!AG22</f>
        <v>5.804029496</v>
      </c>
      <c r="K22">
        <f>PasteBBM!AF22</f>
        <v>0.826999</v>
      </c>
      <c r="L22">
        <f>PasteBBM!Y22</f>
        <v>3.818701</v>
      </c>
      <c r="M22">
        <f>PasteBBM!X22</f>
        <v>28.19805</v>
      </c>
      <c r="N22">
        <f>PasteBBM!Z22</f>
        <v>5.42026</v>
      </c>
      <c r="O22">
        <f>PasteBBM!AA22</f>
        <v>4.974805</v>
      </c>
      <c r="P22">
        <f>PasteBBM!AB22</f>
        <v>1.113506</v>
      </c>
      <c r="Q22">
        <f>PasteBBM!AC22</f>
        <v>0.668312</v>
      </c>
      <c r="R22">
        <f>PasteBBM!AH22</f>
        <v>3.192727</v>
      </c>
      <c r="S22">
        <f>PasteBBM!AD22</f>
        <v>0.44995</v>
      </c>
      <c r="T22">
        <f>PasteBBM!AF22</f>
        <v>0.826999</v>
      </c>
    </row>
    <row r="23">
      <c r="A23" s="5">
        <v>22.0</v>
      </c>
      <c r="C23" t="str">
        <f>PasteBBM!H23</f>
        <v>Jakob Poeltl</v>
      </c>
      <c r="D23" t="str">
        <f>IFERROR(REPLACE(PasteBBM!J23,FIND("/",PasteBBM!J23,1),1,","),PasteBBM!J23)</f>
        <v>C</v>
      </c>
      <c r="E23" t="str">
        <f>PasteBBM!I23</f>
        <v>TOR</v>
      </c>
      <c r="F23">
        <f>PasteBBM!T23</f>
        <v>68</v>
      </c>
      <c r="G23">
        <f>PasteBBM!W23</f>
        <v>31</v>
      </c>
      <c r="H23">
        <f>PasteBBM!AD23*PasteBBM!AE23</f>
        <v>6.0570558</v>
      </c>
      <c r="I23">
        <f>PasteBBM!AD23</f>
        <v>0.65981</v>
      </c>
      <c r="J23">
        <f>PasteBBM!AF23*PasteBBM!AG23</f>
        <v>1.222793478</v>
      </c>
      <c r="K23">
        <f>PasteBBM!AF23</f>
        <v>0.665999</v>
      </c>
      <c r="L23">
        <f>PasteBBM!Y23</f>
        <v>0.025735</v>
      </c>
      <c r="M23">
        <f>PasteBBM!X23</f>
        <v>13.36265</v>
      </c>
      <c r="N23">
        <f>PasteBBM!Z23</f>
        <v>10.17765</v>
      </c>
      <c r="O23">
        <f>PasteBBM!AA23</f>
        <v>2.993382</v>
      </c>
      <c r="P23">
        <f>PasteBBM!AB23</f>
        <v>1.064265</v>
      </c>
      <c r="Q23">
        <f>PasteBBM!AC23</f>
        <v>1.445735</v>
      </c>
      <c r="R23">
        <f>PasteBBM!AH23</f>
        <v>1.729559</v>
      </c>
      <c r="S23">
        <f>PasteBBM!AD23</f>
        <v>0.65981</v>
      </c>
      <c r="T23">
        <f>PasteBBM!AF23</f>
        <v>0.665999</v>
      </c>
    </row>
    <row r="24">
      <c r="A24" s="5">
        <v>23.0</v>
      </c>
      <c r="C24" t="str">
        <f>PasteBBM!H24</f>
        <v>Cade Cunningham</v>
      </c>
      <c r="D24" t="str">
        <f>IFERROR(REPLACE(PasteBBM!J24,FIND("/",PasteBBM!J24,1),1,","),PasteBBM!J24)</f>
        <v>G</v>
      </c>
      <c r="E24" t="str">
        <f>PasteBBM!I24</f>
        <v>DET</v>
      </c>
      <c r="F24">
        <f>PasteBBM!T24</f>
        <v>73</v>
      </c>
      <c r="G24">
        <f>PasteBBM!W24</f>
        <v>34</v>
      </c>
      <c r="H24">
        <f>PasteBBM!AD24*PasteBBM!AE24</f>
        <v>9.738354154</v>
      </c>
      <c r="I24">
        <f>PasteBBM!AD24</f>
        <v>0.479295</v>
      </c>
      <c r="J24">
        <f>PasteBBM!AF24*PasteBBM!AG24</f>
        <v>5.108495111</v>
      </c>
      <c r="K24">
        <f>PasteBBM!AF24</f>
        <v>0.866994</v>
      </c>
      <c r="L24">
        <f>PasteBBM!Y24</f>
        <v>1.808219</v>
      </c>
      <c r="M24">
        <f>PasteBBM!X24</f>
        <v>26.39342</v>
      </c>
      <c r="N24">
        <f>PasteBBM!Z24</f>
        <v>5.580274</v>
      </c>
      <c r="O24">
        <f>PasteBBM!AA24</f>
        <v>8.584932</v>
      </c>
      <c r="P24">
        <f>PasteBBM!AB24</f>
        <v>1</v>
      </c>
      <c r="Q24">
        <f>PasteBBM!AC24</f>
        <v>0.644521</v>
      </c>
      <c r="R24">
        <f>PasteBBM!AH24</f>
        <v>3.863288</v>
      </c>
      <c r="S24">
        <f>PasteBBM!AD24</f>
        <v>0.479295</v>
      </c>
      <c r="T24">
        <f>PasteBBM!AF24</f>
        <v>0.866994</v>
      </c>
    </row>
    <row r="25">
      <c r="A25" s="5">
        <v>24.0</v>
      </c>
      <c r="C25" t="str">
        <f>PasteBBM!H25</f>
        <v>Jalen Johnson</v>
      </c>
      <c r="D25" t="str">
        <f>IFERROR(REPLACE(PasteBBM!J25,FIND("/",PasteBBM!J25,1),1,","),PasteBBM!J25)</f>
        <v>F</v>
      </c>
      <c r="E25" t="str">
        <f>PasteBBM!I25</f>
        <v>ATL</v>
      </c>
      <c r="F25">
        <f>PasteBBM!T25</f>
        <v>68</v>
      </c>
      <c r="G25">
        <f>PasteBBM!W25</f>
        <v>35</v>
      </c>
      <c r="H25">
        <f>PasteBBM!AD25*PasteBBM!AE25</f>
        <v>7.997493398</v>
      </c>
      <c r="I25">
        <f>PasteBBM!AD25</f>
        <v>0.51443</v>
      </c>
      <c r="J25">
        <f>PasteBBM!AF25*PasteBBM!AG25</f>
        <v>2.475586954</v>
      </c>
      <c r="K25">
        <f>PasteBBM!AF25</f>
        <v>0.752021</v>
      </c>
      <c r="L25">
        <f>PasteBBM!Y25</f>
        <v>1.142059</v>
      </c>
      <c r="M25">
        <f>PasteBBM!X25</f>
        <v>19.61265</v>
      </c>
      <c r="N25">
        <f>PasteBBM!Z25</f>
        <v>9.251618</v>
      </c>
      <c r="O25">
        <f>PasteBBM!AA25</f>
        <v>5.156618</v>
      </c>
      <c r="P25">
        <f>PasteBBM!AB25</f>
        <v>1.372206</v>
      </c>
      <c r="Q25">
        <f>PasteBBM!AC25</f>
        <v>0.834118</v>
      </c>
      <c r="R25">
        <f>PasteBBM!AH25</f>
        <v>2.805882</v>
      </c>
      <c r="S25">
        <f>PasteBBM!AD25</f>
        <v>0.51443</v>
      </c>
      <c r="T25">
        <f>PasteBBM!AF25</f>
        <v>0.752021</v>
      </c>
    </row>
    <row r="26">
      <c r="A26" s="5">
        <v>25.0</v>
      </c>
      <c r="C26" t="str">
        <f>PasteBBM!H26</f>
        <v>Austin Reaves</v>
      </c>
      <c r="D26" t="str">
        <f>IFERROR(REPLACE(PasteBBM!J26,FIND("/",PasteBBM!J26,1),1,","),PasteBBM!J26)</f>
        <v>G,F</v>
      </c>
      <c r="E26" t="str">
        <f>PasteBBM!I26</f>
        <v>LAL</v>
      </c>
      <c r="F26">
        <f>PasteBBM!T26</f>
        <v>68</v>
      </c>
      <c r="G26">
        <f>PasteBBM!W26</f>
        <v>35</v>
      </c>
      <c r="H26">
        <f>PasteBBM!AD26*PasteBBM!AE26</f>
        <v>6.519565033</v>
      </c>
      <c r="I26">
        <f>PasteBBM!AD26</f>
        <v>0.475197</v>
      </c>
      <c r="J26">
        <f>PasteBBM!AF26*PasteBBM!AG26</f>
        <v>4.717206383</v>
      </c>
      <c r="K26">
        <f>PasteBBM!AF26</f>
        <v>0.889003</v>
      </c>
      <c r="L26">
        <f>PasteBBM!Y26</f>
        <v>2.782353</v>
      </c>
      <c r="M26">
        <f>PasteBBM!X26</f>
        <v>20.53868</v>
      </c>
      <c r="N26">
        <f>PasteBBM!Z26</f>
        <v>4.501912</v>
      </c>
      <c r="O26">
        <f>PasteBBM!AA26</f>
        <v>4.859118</v>
      </c>
      <c r="P26">
        <f>PasteBBM!AB26</f>
        <v>1.066176</v>
      </c>
      <c r="Q26">
        <f>PasteBBM!AC26</f>
        <v>0.358676</v>
      </c>
      <c r="R26">
        <f>PasteBBM!AH26</f>
        <v>2.143676</v>
      </c>
      <c r="S26">
        <f>PasteBBM!AD26</f>
        <v>0.475197</v>
      </c>
      <c r="T26">
        <f>PasteBBM!AF26</f>
        <v>0.889003</v>
      </c>
    </row>
    <row r="27">
      <c r="A27" s="5">
        <v>26.0</v>
      </c>
      <c r="C27" t="str">
        <f>PasteBBM!H27</f>
        <v>Trae Young</v>
      </c>
      <c r="D27" t="str">
        <f>IFERROR(REPLACE(PasteBBM!J27,FIND("/",PasteBBM!J27,1),1,","),PasteBBM!J27)</f>
        <v>G</v>
      </c>
      <c r="E27" t="str">
        <f>PasteBBM!I27</f>
        <v>ATL</v>
      </c>
      <c r="F27">
        <f>PasteBBM!T27</f>
        <v>77</v>
      </c>
      <c r="G27">
        <f>PasteBBM!W27</f>
        <v>36</v>
      </c>
      <c r="H27">
        <f>PasteBBM!AD27*PasteBBM!AE27</f>
        <v>7.852994424</v>
      </c>
      <c r="I27">
        <f>PasteBBM!AD27</f>
        <v>0.419483</v>
      </c>
      <c r="J27">
        <f>PasteBBM!AF27*PasteBBM!AG27</f>
        <v>6.79883233</v>
      </c>
      <c r="K27">
        <f>PasteBBM!AF27</f>
        <v>0.883994</v>
      </c>
      <c r="L27">
        <f>PasteBBM!Y27</f>
        <v>3.18987</v>
      </c>
      <c r="M27">
        <f>PasteBBM!X27</f>
        <v>25.69468</v>
      </c>
      <c r="N27">
        <f>PasteBBM!Z27</f>
        <v>2.885974</v>
      </c>
      <c r="O27">
        <f>PasteBBM!AA27</f>
        <v>11.73519</v>
      </c>
      <c r="P27">
        <f>PasteBBM!AB27</f>
        <v>1.171558</v>
      </c>
      <c r="Q27">
        <f>PasteBBM!AC27</f>
        <v>0.077922</v>
      </c>
      <c r="R27">
        <f>PasteBBM!AH27</f>
        <v>4.29</v>
      </c>
      <c r="S27">
        <f>PasteBBM!AD27</f>
        <v>0.419483</v>
      </c>
      <c r="T27">
        <f>PasteBBM!AF27</f>
        <v>0.883994</v>
      </c>
    </row>
    <row r="28">
      <c r="A28" s="5">
        <v>27.0</v>
      </c>
      <c r="C28" t="str">
        <f>PasteBBM!H28</f>
        <v>Jamal Murray</v>
      </c>
      <c r="D28" t="str">
        <f>IFERROR(REPLACE(PasteBBM!J28,FIND("/",PasteBBM!J28,1),1,","),PasteBBM!J28)</f>
        <v>G</v>
      </c>
      <c r="E28" t="str">
        <f>PasteBBM!I28</f>
        <v>DEN</v>
      </c>
      <c r="F28">
        <f>PasteBBM!T28</f>
        <v>68</v>
      </c>
      <c r="G28">
        <f>PasteBBM!W28</f>
        <v>35</v>
      </c>
      <c r="H28">
        <f>PasteBBM!AD28*PasteBBM!AE28</f>
        <v>8.072946671</v>
      </c>
      <c r="I28">
        <f>PasteBBM!AD28</f>
        <v>0.472484</v>
      </c>
      <c r="J28">
        <f>PasteBBM!AF28*PasteBBM!AG28</f>
        <v>3.473824737</v>
      </c>
      <c r="K28">
        <f>PasteBBM!AF28</f>
        <v>0.883991</v>
      </c>
      <c r="L28">
        <f>PasteBBM!Y28</f>
        <v>2.417353</v>
      </c>
      <c r="M28">
        <f>PasteBBM!X28</f>
        <v>22.03706</v>
      </c>
      <c r="N28">
        <f>PasteBBM!Z28</f>
        <v>4.124118</v>
      </c>
      <c r="O28">
        <f>PasteBBM!AA28</f>
        <v>6.407206</v>
      </c>
      <c r="P28">
        <f>PasteBBM!AB28</f>
        <v>1.169118</v>
      </c>
      <c r="Q28">
        <f>PasteBBM!AC28</f>
        <v>0.444265</v>
      </c>
      <c r="R28">
        <f>PasteBBM!AH28</f>
        <v>2.430294</v>
      </c>
      <c r="S28">
        <f>PasteBBM!AD28</f>
        <v>0.472484</v>
      </c>
      <c r="T28">
        <f>PasteBBM!AF28</f>
        <v>0.883991</v>
      </c>
    </row>
    <row r="29">
      <c r="A29" s="5">
        <v>28.0</v>
      </c>
      <c r="C29" t="str">
        <f>PasteBBM!H29</f>
        <v>Evan Mobley</v>
      </c>
      <c r="D29" t="str">
        <f>IFERROR(REPLACE(PasteBBM!J29,FIND("/",PasteBBM!J29,1),1,","),PasteBBM!J29)</f>
        <v>F,C</v>
      </c>
      <c r="E29" t="str">
        <f>PasteBBM!I29</f>
        <v>CLE</v>
      </c>
      <c r="F29">
        <f>PasteBBM!T29</f>
        <v>73</v>
      </c>
      <c r="G29">
        <f>PasteBBM!W29</f>
        <v>31</v>
      </c>
      <c r="H29">
        <f>PasteBBM!AD29*PasteBBM!AE29</f>
        <v>7.12795001</v>
      </c>
      <c r="I29">
        <f>PasteBBM!AD29</f>
        <v>0.540956</v>
      </c>
      <c r="J29">
        <f>PasteBBM!AF29*PasteBBM!AG29</f>
        <v>3.383426396</v>
      </c>
      <c r="K29">
        <f>PasteBBM!AF29</f>
        <v>0.694007</v>
      </c>
      <c r="L29">
        <f>PasteBBM!Y29</f>
        <v>1.494247</v>
      </c>
      <c r="M29">
        <f>PasteBBM!X29</f>
        <v>19.13356</v>
      </c>
      <c r="N29">
        <f>PasteBBM!Z29</f>
        <v>9.58863</v>
      </c>
      <c r="O29">
        <f>PasteBBM!AA29</f>
        <v>3.587671</v>
      </c>
      <c r="P29">
        <f>PasteBBM!AB29</f>
        <v>0.847534</v>
      </c>
      <c r="Q29">
        <f>PasteBBM!AC29</f>
        <v>1.696575</v>
      </c>
      <c r="R29">
        <f>PasteBBM!AH29</f>
        <v>2.087945</v>
      </c>
      <c r="S29">
        <f>PasteBBM!AD29</f>
        <v>0.540956</v>
      </c>
      <c r="T29">
        <f>PasteBBM!AF29</f>
        <v>0.694007</v>
      </c>
    </row>
    <row r="30">
      <c r="A30" s="5">
        <v>29.0</v>
      </c>
      <c r="C30" t="str">
        <f>PasteBBM!H30</f>
        <v>Tyler Herro</v>
      </c>
      <c r="D30" t="str">
        <f>IFERROR(REPLACE(PasteBBM!J30,FIND("/",PasteBBM!J30,1),1,","),PasteBBM!J30)</f>
        <v>G</v>
      </c>
      <c r="E30" t="str">
        <f>PasteBBM!I30</f>
        <v>MIA</v>
      </c>
      <c r="F30">
        <f>PasteBBM!T30</f>
        <v>47</v>
      </c>
      <c r="G30">
        <f>PasteBBM!W30</f>
        <v>34</v>
      </c>
      <c r="H30">
        <f>PasteBBM!AD30*PasteBBM!AE30</f>
        <v>8.117023233</v>
      </c>
      <c r="I30">
        <f>PasteBBM!AD30</f>
        <v>0.483199</v>
      </c>
      <c r="J30">
        <f>PasteBBM!AF30*PasteBBM!AG30</f>
        <v>4.485319714</v>
      </c>
      <c r="K30">
        <f>PasteBBM!AF30</f>
        <v>0.889982</v>
      </c>
      <c r="L30">
        <f>PasteBBM!Y30</f>
        <v>2.425745</v>
      </c>
      <c r="M30">
        <f>PasteBBM!X30</f>
        <v>23.14511</v>
      </c>
      <c r="N30">
        <f>PasteBBM!Z30</f>
        <v>4.789787</v>
      </c>
      <c r="O30">
        <f>PasteBBM!AA30</f>
        <v>5.553404</v>
      </c>
      <c r="P30">
        <f>PasteBBM!AB30</f>
        <v>1.04</v>
      </c>
      <c r="Q30">
        <f>PasteBBM!AC30</f>
        <v>0.277872</v>
      </c>
      <c r="R30">
        <f>PasteBBM!AH30</f>
        <v>2.500851</v>
      </c>
      <c r="S30">
        <f>PasteBBM!AD30</f>
        <v>0.483199</v>
      </c>
      <c r="T30">
        <f>PasteBBM!AF30</f>
        <v>0.889982</v>
      </c>
    </row>
    <row r="31">
      <c r="A31" s="5">
        <v>30.0</v>
      </c>
      <c r="C31" t="str">
        <f>PasteBBM!H31</f>
        <v>Derrick White</v>
      </c>
      <c r="D31" t="str">
        <f>IFERROR(REPLACE(PasteBBM!J31,FIND("/",PasteBBM!J31,1),1,","),PasteBBM!J31)</f>
        <v>G</v>
      </c>
      <c r="E31" t="str">
        <f>PasteBBM!I31</f>
        <v>BOS</v>
      </c>
      <c r="F31">
        <f>PasteBBM!T31</f>
        <v>57</v>
      </c>
      <c r="G31">
        <f>PasteBBM!W31</f>
        <v>33</v>
      </c>
      <c r="H31">
        <f>PasteBBM!AD31*PasteBBM!AE31</f>
        <v>5.814739203</v>
      </c>
      <c r="I31">
        <f>PasteBBM!AD31</f>
        <v>0.429917</v>
      </c>
      <c r="J31">
        <f>PasteBBM!AF31*PasteBBM!AG31</f>
        <v>2.73333428</v>
      </c>
      <c r="K31">
        <f>PasteBBM!AF31</f>
        <v>0.842026</v>
      </c>
      <c r="L31">
        <f>PasteBBM!Y31</f>
        <v>3.402982</v>
      </c>
      <c r="M31">
        <f>PasteBBM!X31</f>
        <v>17.76579</v>
      </c>
      <c r="N31">
        <f>PasteBBM!Z31</f>
        <v>4.744386</v>
      </c>
      <c r="O31">
        <f>PasteBBM!AA31</f>
        <v>6.939649</v>
      </c>
      <c r="P31">
        <f>PasteBBM!AB31</f>
        <v>1.056316</v>
      </c>
      <c r="Q31">
        <f>PasteBBM!AC31</f>
        <v>0.920526</v>
      </c>
      <c r="R31">
        <f>PasteBBM!AH31</f>
        <v>2.336842</v>
      </c>
      <c r="S31">
        <f>PasteBBM!AD31</f>
        <v>0.429917</v>
      </c>
      <c r="T31">
        <f>PasteBBM!AF31</f>
        <v>0.842026</v>
      </c>
    </row>
    <row r="32">
      <c r="A32" s="5">
        <v>31.0</v>
      </c>
      <c r="C32" t="str">
        <f>PasteBBM!H32</f>
        <v>Payton Pritchard</v>
      </c>
      <c r="D32" t="str">
        <f>IFERROR(REPLACE(PasteBBM!J32,FIND("/",PasteBBM!J32,1),1,","),PasteBBM!J32)</f>
        <v>G</v>
      </c>
      <c r="E32" t="str">
        <f>PasteBBM!I32</f>
        <v>BOS</v>
      </c>
      <c r="F32">
        <f>PasteBBM!T32</f>
        <v>66</v>
      </c>
      <c r="G32">
        <f>PasteBBM!W32</f>
        <v>32</v>
      </c>
      <c r="H32">
        <f>PasteBBM!AD32*PasteBBM!AE32</f>
        <v>6.962126033</v>
      </c>
      <c r="I32">
        <f>PasteBBM!AD32</f>
        <v>0.47378</v>
      </c>
      <c r="J32">
        <f>PasteBBM!AF32*PasteBBM!AG32</f>
        <v>1.370607168</v>
      </c>
      <c r="K32">
        <f>PasteBBM!AF32</f>
        <v>0.847957</v>
      </c>
      <c r="L32">
        <f>PasteBBM!Y32</f>
        <v>4.231364</v>
      </c>
      <c r="M32">
        <f>PasteBBM!X32</f>
        <v>19.52621</v>
      </c>
      <c r="N32">
        <f>PasteBBM!Z32</f>
        <v>4.73803</v>
      </c>
      <c r="O32">
        <f>PasteBBM!AA32</f>
        <v>4.943939</v>
      </c>
      <c r="P32">
        <f>PasteBBM!AB32</f>
        <v>0.892727</v>
      </c>
      <c r="Q32">
        <f>PasteBBM!AC32</f>
        <v>0.205303</v>
      </c>
      <c r="R32">
        <f>PasteBBM!AH32</f>
        <v>1.579394</v>
      </c>
      <c r="S32">
        <f>PasteBBM!AD32</f>
        <v>0.47378</v>
      </c>
      <c r="T32">
        <f>PasteBBM!AF32</f>
        <v>0.847957</v>
      </c>
    </row>
    <row r="33">
      <c r="A33" s="5">
        <v>32.0</v>
      </c>
      <c r="C33" t="str">
        <f>PasteBBM!H33</f>
        <v>Bam Adebayo</v>
      </c>
      <c r="D33" t="str">
        <f>IFERROR(REPLACE(PasteBBM!J33,FIND("/",PasteBBM!J33,1),1,","),PasteBBM!J33)</f>
        <v>F,C</v>
      </c>
      <c r="E33" t="str">
        <f>PasteBBM!I33</f>
        <v>MIA</v>
      </c>
      <c r="F33">
        <f>PasteBBM!T33</f>
        <v>73</v>
      </c>
      <c r="G33">
        <f>PasteBBM!W33</f>
        <v>34</v>
      </c>
      <c r="H33">
        <f>PasteBBM!AD33*PasteBBM!AE33</f>
        <v>7.390549043</v>
      </c>
      <c r="I33">
        <f>PasteBBM!AD33</f>
        <v>0.47959</v>
      </c>
      <c r="J33">
        <f>PasteBBM!AF33*PasteBBM!AG33</f>
        <v>3.4142473</v>
      </c>
      <c r="K33">
        <f>PasteBBM!AF33</f>
        <v>0.794011</v>
      </c>
      <c r="L33">
        <f>PasteBBM!Y33</f>
        <v>1.322055</v>
      </c>
      <c r="M33">
        <f>PasteBBM!X33</f>
        <v>19.5174</v>
      </c>
      <c r="N33">
        <f>PasteBBM!Z33</f>
        <v>8.468767</v>
      </c>
      <c r="O33">
        <f>PasteBBM!AA33</f>
        <v>4.373288</v>
      </c>
      <c r="P33">
        <f>PasteBBM!AB33</f>
        <v>1.318904</v>
      </c>
      <c r="Q33">
        <f>PasteBBM!AC33</f>
        <v>0.556164</v>
      </c>
      <c r="R33">
        <f>PasteBBM!AH33</f>
        <v>1.735479</v>
      </c>
      <c r="S33">
        <f>PasteBBM!AD33</f>
        <v>0.47959</v>
      </c>
      <c r="T33">
        <f>PasteBBM!AF33</f>
        <v>0.794011</v>
      </c>
    </row>
    <row r="34">
      <c r="A34" s="5">
        <v>33.0</v>
      </c>
      <c r="C34" t="str">
        <f>PasteBBM!H34</f>
        <v>O.G. Anunoby</v>
      </c>
      <c r="D34" t="str">
        <f>IFERROR(REPLACE(PasteBBM!J34,FIND("/",PasteBBM!J34,1),1,","),PasteBBM!J34)</f>
        <v>F</v>
      </c>
      <c r="E34" t="str">
        <f>PasteBBM!I34</f>
        <v>NYK</v>
      </c>
      <c r="F34">
        <f>PasteBBM!T34</f>
        <v>68</v>
      </c>
      <c r="G34">
        <f>PasteBBM!W34</f>
        <v>35</v>
      </c>
      <c r="H34">
        <f>PasteBBM!AD34*PasteBBM!AE34</f>
        <v>6.640437378</v>
      </c>
      <c r="I34">
        <f>PasteBBM!AD34</f>
        <v>0.476605</v>
      </c>
      <c r="J34">
        <f>PasteBBM!AF34*PasteBBM!AG34</f>
        <v>2.970293236</v>
      </c>
      <c r="K34">
        <f>PasteBBM!AF34</f>
        <v>0.81999</v>
      </c>
      <c r="L34">
        <f>PasteBBM!Y34</f>
        <v>2.3825</v>
      </c>
      <c r="M34">
        <f>PasteBBM!X34</f>
        <v>18.63368</v>
      </c>
      <c r="N34">
        <f>PasteBBM!Z34</f>
        <v>4.62</v>
      </c>
      <c r="O34">
        <f>PasteBBM!AA34</f>
        <v>2.382206</v>
      </c>
      <c r="P34">
        <f>PasteBBM!AB34</f>
        <v>1.510882</v>
      </c>
      <c r="Q34">
        <f>PasteBBM!AC34</f>
        <v>0.868382</v>
      </c>
      <c r="R34">
        <f>PasteBBM!AH34</f>
        <v>1.515882</v>
      </c>
      <c r="S34">
        <f>PasteBBM!AD34</f>
        <v>0.476605</v>
      </c>
      <c r="T34">
        <f>PasteBBM!AF34</f>
        <v>0.81999</v>
      </c>
    </row>
    <row r="35">
      <c r="A35" s="5">
        <v>34.0</v>
      </c>
      <c r="C35" t="str">
        <f>PasteBBM!H35</f>
        <v>Jalen Williams</v>
      </c>
      <c r="D35" t="str">
        <f>IFERROR(REPLACE(PasteBBM!J35,FIND("/",PasteBBM!J35,1),1,","),PasteBBM!J35)</f>
        <v>G,F</v>
      </c>
      <c r="E35" t="str">
        <f>PasteBBM!I35</f>
        <v>OKC</v>
      </c>
      <c r="F35">
        <f>PasteBBM!T35</f>
        <v>73</v>
      </c>
      <c r="G35">
        <f>PasteBBM!W35</f>
        <v>32</v>
      </c>
      <c r="H35">
        <f>PasteBBM!AD35*PasteBBM!AE35</f>
        <v>8.236158035</v>
      </c>
      <c r="I35">
        <f>PasteBBM!AD35</f>
        <v>0.498437</v>
      </c>
      <c r="J35">
        <f>PasteBBM!AF35*PasteBBM!AG35</f>
        <v>3.96575347</v>
      </c>
      <c r="K35">
        <f>PasteBBM!AF35</f>
        <v>0.799989</v>
      </c>
      <c r="L35">
        <f>PasteBBM!Y35</f>
        <v>1.76274</v>
      </c>
      <c r="M35">
        <f>PasteBBM!X35</f>
        <v>22.20082</v>
      </c>
      <c r="N35">
        <f>PasteBBM!Z35</f>
        <v>5.032055</v>
      </c>
      <c r="O35">
        <f>PasteBBM!AA35</f>
        <v>4.76</v>
      </c>
      <c r="P35">
        <f>PasteBBM!AB35</f>
        <v>1.36</v>
      </c>
      <c r="Q35">
        <f>PasteBBM!AC35</f>
        <v>0.476027</v>
      </c>
      <c r="R35">
        <f>PasteBBM!AH35</f>
        <v>1.903973</v>
      </c>
      <c r="S35">
        <f>PasteBBM!AD35</f>
        <v>0.498437</v>
      </c>
      <c r="T35">
        <f>PasteBBM!AF35</f>
        <v>0.799989</v>
      </c>
    </row>
    <row r="36">
      <c r="A36" s="5">
        <v>35.0</v>
      </c>
      <c r="C36" t="str">
        <f>PasteBBM!H36</f>
        <v>Mark Williams</v>
      </c>
      <c r="D36" t="str">
        <f>IFERROR(REPLACE(PasteBBM!J36,FIND("/",PasteBBM!J36,1),1,","),PasteBBM!J36)</f>
        <v>C</v>
      </c>
      <c r="E36" t="str">
        <f>PasteBBM!I36</f>
        <v>PHO</v>
      </c>
      <c r="F36">
        <f>PasteBBM!T36</f>
        <v>62</v>
      </c>
      <c r="G36">
        <f>PasteBBM!W36</f>
        <v>30</v>
      </c>
      <c r="H36">
        <f>PasteBBM!AD36*PasteBBM!AE36</f>
        <v>6.255486531</v>
      </c>
      <c r="I36">
        <f>PasteBBM!AD36</f>
        <v>0.61651</v>
      </c>
      <c r="J36">
        <f>PasteBBM!AF36*PasteBBM!AG36</f>
        <v>2.76354791</v>
      </c>
      <c r="K36">
        <f>PasteBBM!AF36</f>
        <v>0.800991</v>
      </c>
      <c r="L36">
        <f>PasteBBM!Y36</f>
        <v>0.023387</v>
      </c>
      <c r="M36">
        <f>PasteBBM!X36</f>
        <v>15.2979</v>
      </c>
      <c r="N36">
        <f>PasteBBM!Z36</f>
        <v>10.76629</v>
      </c>
      <c r="O36">
        <f>PasteBBM!AA36</f>
        <v>2.908065</v>
      </c>
      <c r="P36">
        <f>PasteBBM!AB36</f>
        <v>0.823065</v>
      </c>
      <c r="Q36">
        <f>PasteBBM!AC36</f>
        <v>1.279677</v>
      </c>
      <c r="R36">
        <f>PasteBBM!AH36</f>
        <v>2.041935</v>
      </c>
      <c r="S36">
        <f>PasteBBM!AD36</f>
        <v>0.61651</v>
      </c>
      <c r="T36">
        <f>PasteBBM!AF36</f>
        <v>0.800991</v>
      </c>
    </row>
    <row r="37">
      <c r="A37" s="5">
        <v>36.0</v>
      </c>
      <c r="C37" t="str">
        <f>PasteBBM!H37</f>
        <v>Chet Holmgren</v>
      </c>
      <c r="D37" t="str">
        <f>IFERROR(REPLACE(PasteBBM!J37,FIND("/",PasteBBM!J37,1),1,","),PasteBBM!J37)</f>
        <v>F,C</v>
      </c>
      <c r="E37" t="str">
        <f>PasteBBM!I37</f>
        <v>OKC</v>
      </c>
      <c r="F37">
        <f>PasteBBM!T37</f>
        <v>62</v>
      </c>
      <c r="G37">
        <f>PasteBBM!W37</f>
        <v>30</v>
      </c>
      <c r="H37">
        <f>PasteBBM!AD37*PasteBBM!AE37</f>
        <v>5.921137033</v>
      </c>
      <c r="I37">
        <f>PasteBBM!AD37</f>
        <v>0.515974</v>
      </c>
      <c r="J37">
        <f>PasteBBM!AF37*PasteBBM!AG37</f>
        <v>3.419196001</v>
      </c>
      <c r="K37">
        <f>PasteBBM!AF37</f>
        <v>0.764011</v>
      </c>
      <c r="L37">
        <f>PasteBBM!Y37</f>
        <v>1.498226</v>
      </c>
      <c r="M37">
        <f>PasteBBM!X37</f>
        <v>16.75968</v>
      </c>
      <c r="N37">
        <f>PasteBBM!Z37</f>
        <v>8.287419</v>
      </c>
      <c r="O37">
        <f>PasteBBM!AA37</f>
        <v>2.248065</v>
      </c>
      <c r="P37">
        <f>PasteBBM!AB37</f>
        <v>0.776452</v>
      </c>
      <c r="Q37">
        <f>PasteBBM!AC37</f>
        <v>2.04</v>
      </c>
      <c r="R37">
        <f>PasteBBM!AH37</f>
        <v>1.770161</v>
      </c>
      <c r="S37">
        <f>PasteBBM!AD37</f>
        <v>0.515974</v>
      </c>
      <c r="T37">
        <f>PasteBBM!AF37</f>
        <v>0.764011</v>
      </c>
    </row>
    <row r="38">
      <c r="A38" s="5">
        <v>37.0</v>
      </c>
      <c r="C38" t="str">
        <f>PasteBBM!H38</f>
        <v>Josh Giddey</v>
      </c>
      <c r="D38" t="str">
        <f>IFERROR(REPLACE(PasteBBM!J38,FIND("/",PasteBBM!J38,1),1,","),PasteBBM!J38)</f>
        <v>G</v>
      </c>
      <c r="E38" t="str">
        <f>PasteBBM!I38</f>
        <v>CHI</v>
      </c>
      <c r="F38">
        <f>PasteBBM!T38</f>
        <v>73</v>
      </c>
      <c r="G38">
        <f>PasteBBM!W38</f>
        <v>33</v>
      </c>
      <c r="H38">
        <f>PasteBBM!AD38*PasteBBM!AE38</f>
        <v>6.586578261</v>
      </c>
      <c r="I38">
        <f>PasteBBM!AD38</f>
        <v>0.472402</v>
      </c>
      <c r="J38">
        <f>PasteBBM!AF38*PasteBBM!AG38</f>
        <v>4.20136843</v>
      </c>
      <c r="K38">
        <f>PasteBBM!AF38</f>
        <v>0.792998</v>
      </c>
      <c r="L38">
        <f>PasteBBM!Y38</f>
        <v>1.564658</v>
      </c>
      <c r="M38">
        <f>PasteBBM!X38</f>
        <v>18.93918</v>
      </c>
      <c r="N38">
        <f>PasteBBM!Z38</f>
        <v>9.295068</v>
      </c>
      <c r="O38">
        <f>PasteBBM!AA38</f>
        <v>8.508493</v>
      </c>
      <c r="P38">
        <f>PasteBBM!AB38</f>
        <v>1.143973</v>
      </c>
      <c r="Q38">
        <f>PasteBBM!AC38</f>
        <v>0.713562</v>
      </c>
      <c r="R38">
        <f>PasteBBM!AH38</f>
        <v>3.503562</v>
      </c>
      <c r="S38">
        <f>PasteBBM!AD38</f>
        <v>0.472402</v>
      </c>
      <c r="T38">
        <f>PasteBBM!AF38</f>
        <v>0.792998</v>
      </c>
    </row>
    <row r="39">
      <c r="A39" s="5">
        <v>38.0</v>
      </c>
      <c r="C39" t="str">
        <f>PasteBBM!H39</f>
        <v>Trey Murphy</v>
      </c>
      <c r="D39" t="str">
        <f>IFERROR(REPLACE(PasteBBM!J39,FIND("/",PasteBBM!J39,1),1,","),PasteBBM!J39)</f>
        <v>F</v>
      </c>
      <c r="E39" t="str">
        <f>PasteBBM!I39</f>
        <v>NOR</v>
      </c>
      <c r="F39">
        <f>PasteBBM!T39</f>
        <v>66</v>
      </c>
      <c r="G39">
        <f>PasteBBM!W39</f>
        <v>34</v>
      </c>
      <c r="H39">
        <f>PasteBBM!AD39*PasteBBM!AE39</f>
        <v>6.898784826</v>
      </c>
      <c r="I39">
        <f>PasteBBM!AD39</f>
        <v>0.468123</v>
      </c>
      <c r="J39">
        <f>PasteBBM!AF39*PasteBBM!AG39</f>
        <v>3.084241377</v>
      </c>
      <c r="K39">
        <f>PasteBBM!AF39</f>
        <v>0.872001</v>
      </c>
      <c r="L39">
        <f>PasteBBM!Y39</f>
        <v>3.000303</v>
      </c>
      <c r="M39">
        <f>PasteBBM!X39</f>
        <v>19.88212</v>
      </c>
      <c r="N39">
        <f>PasteBBM!Z39</f>
        <v>5.079394</v>
      </c>
      <c r="O39">
        <f>PasteBBM!AA39</f>
        <v>3.219394</v>
      </c>
      <c r="P39">
        <f>PasteBBM!AB39</f>
        <v>0.995303</v>
      </c>
      <c r="Q39">
        <f>PasteBBM!AC39</f>
        <v>0.646667</v>
      </c>
      <c r="R39">
        <f>PasteBBM!AH39</f>
        <v>1.573939</v>
      </c>
      <c r="S39">
        <f>PasteBBM!AD39</f>
        <v>0.468123</v>
      </c>
      <c r="T39">
        <f>PasteBBM!AF39</f>
        <v>0.872001</v>
      </c>
    </row>
    <row r="40">
      <c r="A40" s="5">
        <v>39.0</v>
      </c>
      <c r="C40" t="str">
        <f>PasteBBM!H40</f>
        <v>Ausar Thompson</v>
      </c>
      <c r="D40" t="str">
        <f>IFERROR(REPLACE(PasteBBM!J40,FIND("/",PasteBBM!J40,1),1,","),PasteBBM!J40)</f>
        <v>F</v>
      </c>
      <c r="E40" t="str">
        <f>PasteBBM!I40</f>
        <v>DET</v>
      </c>
      <c r="F40">
        <f>PasteBBM!T40</f>
        <v>68</v>
      </c>
      <c r="G40">
        <f>PasteBBM!W40</f>
        <v>30</v>
      </c>
      <c r="H40">
        <f>PasteBBM!AD40*PasteBBM!AE40</f>
        <v>5.451174943</v>
      </c>
      <c r="I40">
        <f>PasteBBM!AD40</f>
        <v>0.523389</v>
      </c>
      <c r="J40">
        <f>PasteBBM!AF40*PasteBBM!AG40</f>
        <v>2.362058814</v>
      </c>
      <c r="K40">
        <f>PasteBBM!AF40</f>
        <v>0.687998</v>
      </c>
      <c r="L40">
        <f>PasteBBM!Y40</f>
        <v>0.255147</v>
      </c>
      <c r="M40">
        <f>PasteBBM!X40</f>
        <v>13.51956</v>
      </c>
      <c r="N40">
        <f>PasteBBM!Z40</f>
        <v>6.565</v>
      </c>
      <c r="O40">
        <f>PasteBBM!AA40</f>
        <v>3.117206</v>
      </c>
      <c r="P40">
        <f>PasteBBM!AB40</f>
        <v>2.096912</v>
      </c>
      <c r="Q40">
        <f>PasteBBM!AC40</f>
        <v>1.136176</v>
      </c>
      <c r="R40">
        <f>PasteBBM!AH40</f>
        <v>1.546029</v>
      </c>
      <c r="S40">
        <f>PasteBBM!AD40</f>
        <v>0.523389</v>
      </c>
      <c r="T40">
        <f>PasteBBM!AF40</f>
        <v>0.687998</v>
      </c>
    </row>
    <row r="41">
      <c r="A41" s="5">
        <v>40.0</v>
      </c>
      <c r="C41" t="str">
        <f>PasteBBM!H41</f>
        <v>Walker Kessler</v>
      </c>
      <c r="D41" t="str">
        <f>IFERROR(REPLACE(PasteBBM!J41,FIND("/",PasteBBM!J41,1),1,","),PasteBBM!J41)</f>
        <v>C</v>
      </c>
      <c r="E41" t="str">
        <f>PasteBBM!I41</f>
        <v>UTA</v>
      </c>
      <c r="F41">
        <f>PasteBBM!T41</f>
        <v>63</v>
      </c>
      <c r="G41">
        <f>PasteBBM!W41</f>
        <v>31</v>
      </c>
      <c r="H41">
        <f>PasteBBM!AD41*PasteBBM!AE41</f>
        <v>6.0192103</v>
      </c>
      <c r="I41">
        <f>PasteBBM!AD41</f>
        <v>0.680393</v>
      </c>
      <c r="J41">
        <f>PasteBBM!AF41*PasteBBM!AG41</f>
        <v>1.557144529</v>
      </c>
      <c r="K41">
        <f>PasteBBM!AF41</f>
        <v>0.528016</v>
      </c>
      <c r="L41">
        <f>PasteBBM!Y41</f>
        <v>0.132698</v>
      </c>
      <c r="M41">
        <f>PasteBBM!X41</f>
        <v>13.72825</v>
      </c>
      <c r="N41">
        <f>PasteBBM!Z41</f>
        <v>11.97381</v>
      </c>
      <c r="O41">
        <f>PasteBBM!AA41</f>
        <v>1.995556</v>
      </c>
      <c r="P41">
        <f>PasteBBM!AB41</f>
        <v>0.669365</v>
      </c>
      <c r="Q41">
        <f>PasteBBM!AC41</f>
        <v>2.252381</v>
      </c>
      <c r="R41">
        <f>PasteBBM!AH41</f>
        <v>1.590952</v>
      </c>
      <c r="S41">
        <f>PasteBBM!AD41</f>
        <v>0.680393</v>
      </c>
      <c r="T41">
        <f>PasteBBM!AF41</f>
        <v>0.528016</v>
      </c>
    </row>
    <row r="42">
      <c r="A42" s="5">
        <v>41.0</v>
      </c>
      <c r="C42" t="str">
        <f>PasteBBM!H42</f>
        <v>Ivica Zubac</v>
      </c>
      <c r="D42" t="str">
        <f>IFERROR(REPLACE(PasteBBM!J42,FIND("/",PasteBBM!J42,1),1,","),PasteBBM!J42)</f>
        <v>C</v>
      </c>
      <c r="E42" t="str">
        <f>PasteBBM!I42</f>
        <v>LAC</v>
      </c>
      <c r="F42">
        <f>PasteBBM!T42</f>
        <v>73</v>
      </c>
      <c r="G42">
        <f>PasteBBM!W42</f>
        <v>31</v>
      </c>
      <c r="H42">
        <f>PasteBBM!AD42*PasteBBM!AE42</f>
        <v>7.218905629</v>
      </c>
      <c r="I42">
        <f>PasteBBM!AD42</f>
        <v>0.647396</v>
      </c>
      <c r="J42">
        <f>PasteBBM!AF42*PasteBBM!AG42</f>
        <v>2.122602413</v>
      </c>
      <c r="K42">
        <f>PasteBBM!AF42</f>
        <v>0.704991</v>
      </c>
      <c r="L42">
        <f>PasteBBM!Y42</f>
        <v>0</v>
      </c>
      <c r="M42">
        <f>PasteBBM!X42</f>
        <v>16.56041</v>
      </c>
      <c r="N42">
        <f>PasteBBM!Z42</f>
        <v>11.58945</v>
      </c>
      <c r="O42">
        <f>PasteBBM!AA42</f>
        <v>2.004658</v>
      </c>
      <c r="P42">
        <f>PasteBBM!AB42</f>
        <v>0.555068</v>
      </c>
      <c r="Q42">
        <f>PasteBBM!AC42</f>
        <v>1.076301</v>
      </c>
      <c r="R42">
        <f>PasteBBM!AH42</f>
        <v>1.252877</v>
      </c>
      <c r="S42">
        <f>PasteBBM!AD42</f>
        <v>0.647396</v>
      </c>
      <c r="T42">
        <f>PasteBBM!AF42</f>
        <v>0.704991</v>
      </c>
    </row>
    <row r="43">
      <c r="A43" s="5">
        <v>42.0</v>
      </c>
      <c r="C43" t="str">
        <f>PasteBBM!H43</f>
        <v>Scottie Barnes</v>
      </c>
      <c r="D43" t="str">
        <f>IFERROR(REPLACE(PasteBBM!J43,FIND("/",PasteBBM!J43,1),1,","),PasteBBM!J43)</f>
        <v>F</v>
      </c>
      <c r="E43" t="str">
        <f>PasteBBM!I43</f>
        <v>TOR</v>
      </c>
      <c r="F43">
        <f>PasteBBM!T43</f>
        <v>64</v>
      </c>
      <c r="G43">
        <f>PasteBBM!W43</f>
        <v>35</v>
      </c>
      <c r="H43">
        <f>PasteBBM!AD43*PasteBBM!AE43</f>
        <v>7.753128225</v>
      </c>
      <c r="I43">
        <f>PasteBBM!AD43</f>
        <v>0.462938</v>
      </c>
      <c r="J43">
        <f>PasteBBM!AF43*PasteBBM!AG43</f>
        <v>3.252812884</v>
      </c>
      <c r="K43">
        <f>PasteBBM!AF43</f>
        <v>0.746995</v>
      </c>
      <c r="L43">
        <f>PasteBBM!Y43</f>
        <v>1.262188</v>
      </c>
      <c r="M43">
        <f>PasteBBM!X43</f>
        <v>20.02125</v>
      </c>
      <c r="N43">
        <f>PasteBBM!Z43</f>
        <v>8.486719</v>
      </c>
      <c r="O43">
        <f>PasteBBM!AA43</f>
        <v>6.008281</v>
      </c>
      <c r="P43">
        <f>PasteBBM!AB43</f>
        <v>1.427031</v>
      </c>
      <c r="Q43">
        <f>PasteBBM!AC43</f>
        <v>1.10875</v>
      </c>
      <c r="R43">
        <f>PasteBBM!AH43</f>
        <v>2.89</v>
      </c>
      <c r="S43">
        <f>PasteBBM!AD43</f>
        <v>0.462938</v>
      </c>
      <c r="T43">
        <f>PasteBBM!AF43</f>
        <v>0.746995</v>
      </c>
    </row>
    <row r="44">
      <c r="A44" s="5">
        <v>43.0</v>
      </c>
      <c r="C44" t="str">
        <f>PasteBBM!H44</f>
        <v>Nikola Vucevic</v>
      </c>
      <c r="D44" t="str">
        <f>IFERROR(REPLACE(PasteBBM!J44,FIND("/",PasteBBM!J44,1),1,","),PasteBBM!J44)</f>
        <v>C</v>
      </c>
      <c r="E44" t="str">
        <f>PasteBBM!I44</f>
        <v>CHI</v>
      </c>
      <c r="F44">
        <f>PasteBBM!T44</f>
        <v>73</v>
      </c>
      <c r="G44">
        <f>PasteBBM!W44</f>
        <v>30</v>
      </c>
      <c r="H44">
        <f>PasteBBM!AD44*PasteBBM!AE44</f>
        <v>7.167398513</v>
      </c>
      <c r="I44">
        <f>PasteBBM!AD44</f>
        <v>0.50581</v>
      </c>
      <c r="J44">
        <f>PasteBBM!AF44*PasteBBM!AG44</f>
        <v>1.372192568</v>
      </c>
      <c r="K44">
        <f>PasteBBM!AF44</f>
        <v>0.806977</v>
      </c>
      <c r="L44">
        <f>PasteBBM!Y44</f>
        <v>1.530411</v>
      </c>
      <c r="M44">
        <f>PasteBBM!X44</f>
        <v>17.2374</v>
      </c>
      <c r="N44">
        <f>PasteBBM!Z44</f>
        <v>9.815068</v>
      </c>
      <c r="O44">
        <f>PasteBBM!AA44</f>
        <v>3.25</v>
      </c>
      <c r="P44">
        <f>PasteBBM!AB44</f>
        <v>0.844658</v>
      </c>
      <c r="Q44">
        <f>PasteBBM!AC44</f>
        <v>0.715205</v>
      </c>
      <c r="R44">
        <f>PasteBBM!AH44</f>
        <v>1.625479</v>
      </c>
      <c r="S44">
        <f>PasteBBM!AD44</f>
        <v>0.50581</v>
      </c>
      <c r="T44">
        <f>PasteBBM!AF44</f>
        <v>0.806977</v>
      </c>
    </row>
    <row r="45">
      <c r="A45" s="5">
        <v>44.0</v>
      </c>
      <c r="C45" t="str">
        <f>PasteBBM!H45</f>
        <v>LaMelo Ball</v>
      </c>
      <c r="D45" t="str">
        <f>IFERROR(REPLACE(PasteBBM!J45,FIND("/",PasteBBM!J45,1),1,","),PasteBBM!J45)</f>
        <v>G</v>
      </c>
      <c r="E45" t="str">
        <f>PasteBBM!I45</f>
        <v>CHA</v>
      </c>
      <c r="F45">
        <f>PasteBBM!T45</f>
        <v>59</v>
      </c>
      <c r="G45">
        <f>PasteBBM!W45</f>
        <v>33</v>
      </c>
      <c r="H45">
        <f>PasteBBM!AD45*PasteBBM!AE45</f>
        <v>8.134747804</v>
      </c>
      <c r="I45">
        <f>PasteBBM!AD45</f>
        <v>0.416645</v>
      </c>
      <c r="J45">
        <f>PasteBBM!AF45*PasteBBM!AG45</f>
        <v>3.892204235</v>
      </c>
      <c r="K45">
        <f>PasteBBM!AF45</f>
        <v>0.850015</v>
      </c>
      <c r="L45">
        <f>PasteBBM!Y45</f>
        <v>3.725254</v>
      </c>
      <c r="M45">
        <f>PasteBBM!X45</f>
        <v>23.88695</v>
      </c>
      <c r="N45">
        <f>PasteBBM!Z45</f>
        <v>4.95</v>
      </c>
      <c r="O45">
        <f>PasteBBM!AA45</f>
        <v>8.13678</v>
      </c>
      <c r="P45">
        <f>PasteBBM!AB45</f>
        <v>1.252542</v>
      </c>
      <c r="Q45">
        <f>PasteBBM!AC45</f>
        <v>0.272712</v>
      </c>
      <c r="R45">
        <f>PasteBBM!AH45</f>
        <v>3.550169</v>
      </c>
      <c r="S45">
        <f>PasteBBM!AD45</f>
        <v>0.416645</v>
      </c>
      <c r="T45">
        <f>PasteBBM!AF45</f>
        <v>0.850015</v>
      </c>
    </row>
    <row r="46">
      <c r="A46" s="5">
        <v>45.0</v>
      </c>
      <c r="C46" t="str">
        <f>PasteBBM!H46</f>
        <v>Domantas Sabonis</v>
      </c>
      <c r="D46" t="str">
        <f>IFERROR(REPLACE(PasteBBM!J46,FIND("/",PasteBBM!J46,1),1,","),PasteBBM!J46)</f>
        <v>C</v>
      </c>
      <c r="E46" t="str">
        <f>PasteBBM!I46</f>
        <v>SAC</v>
      </c>
      <c r="F46">
        <f>PasteBBM!T46</f>
        <v>73</v>
      </c>
      <c r="G46">
        <f>PasteBBM!W46</f>
        <v>35</v>
      </c>
      <c r="H46">
        <f>PasteBBM!AD46*PasteBBM!AE46</f>
        <v>7.256171346</v>
      </c>
      <c r="I46">
        <f>PasteBBM!AD46</f>
        <v>0.569938</v>
      </c>
      <c r="J46">
        <f>PasteBBM!AF46*PasteBBM!AG46</f>
        <v>2.818631554</v>
      </c>
      <c r="K46">
        <f>PasteBBM!AF46</f>
        <v>0.737994</v>
      </c>
      <c r="L46">
        <f>PasteBBM!Y46</f>
        <v>0.792329</v>
      </c>
      <c r="M46">
        <f>PasteBBM!X46</f>
        <v>18.12329</v>
      </c>
      <c r="N46">
        <f>PasteBBM!Z46</f>
        <v>13.9337</v>
      </c>
      <c r="O46">
        <f>PasteBBM!AA46</f>
        <v>5.446164</v>
      </c>
      <c r="P46">
        <f>PasteBBM!AB46</f>
        <v>0.715753</v>
      </c>
      <c r="Q46">
        <f>PasteBBM!AC46</f>
        <v>0.280548</v>
      </c>
      <c r="R46">
        <f>PasteBBM!AH46</f>
        <v>2.879726</v>
      </c>
      <c r="S46">
        <f>PasteBBM!AD46</f>
        <v>0.569938</v>
      </c>
      <c r="T46">
        <f>PasteBBM!AF46</f>
        <v>0.737994</v>
      </c>
    </row>
    <row r="47">
      <c r="A47" s="5">
        <v>46.0</v>
      </c>
      <c r="C47" t="str">
        <f>PasteBBM!H47</f>
        <v>LeBron James</v>
      </c>
      <c r="D47" t="str">
        <f>IFERROR(REPLACE(PasteBBM!J47,FIND("/",PasteBBM!J47,1),1,","),PasteBBM!J47)</f>
        <v>F</v>
      </c>
      <c r="E47" t="str">
        <f>PasteBBM!I47</f>
        <v>LAL</v>
      </c>
      <c r="F47">
        <f>PasteBBM!T47</f>
        <v>61</v>
      </c>
      <c r="G47">
        <f>PasteBBM!W47</f>
        <v>34</v>
      </c>
      <c r="H47">
        <f>PasteBBM!AD47*PasteBBM!AE47</f>
        <v>8.102293617</v>
      </c>
      <c r="I47">
        <f>PasteBBM!AD47</f>
        <v>0.494596</v>
      </c>
      <c r="J47">
        <f>PasteBBM!AF47*PasteBBM!AG47</f>
        <v>3.597215178</v>
      </c>
      <c r="K47">
        <f>PasteBBM!AF47</f>
        <v>0.794001</v>
      </c>
      <c r="L47">
        <f>PasteBBM!Y47</f>
        <v>1.939672</v>
      </c>
      <c r="M47">
        <f>PasteBBM!X47</f>
        <v>21.74148</v>
      </c>
      <c r="N47">
        <f>PasteBBM!Z47</f>
        <v>6.941639</v>
      </c>
      <c r="O47">
        <f>PasteBBM!AA47</f>
        <v>6.455738</v>
      </c>
      <c r="P47">
        <f>PasteBBM!AB47</f>
        <v>1.033115</v>
      </c>
      <c r="Q47">
        <f>PasteBBM!AC47</f>
        <v>0.558361</v>
      </c>
      <c r="R47">
        <f>PasteBBM!AH47</f>
        <v>2.984918</v>
      </c>
      <c r="S47">
        <f>PasteBBM!AD47</f>
        <v>0.494596</v>
      </c>
      <c r="T47">
        <f>PasteBBM!AF47</f>
        <v>0.794001</v>
      </c>
    </row>
    <row r="48">
      <c r="A48" s="5">
        <v>47.0</v>
      </c>
      <c r="C48" t="str">
        <f>PasteBBM!H48</f>
        <v>Giannis Antetokounmpo</v>
      </c>
      <c r="D48" t="str">
        <f>IFERROR(REPLACE(PasteBBM!J48,FIND("/",PasteBBM!J48,1),1,","),PasteBBM!J48)</f>
        <v>F,C</v>
      </c>
      <c r="E48" t="str">
        <f>PasteBBM!I48</f>
        <v>MIL</v>
      </c>
      <c r="F48">
        <f>PasteBBM!T48</f>
        <v>61</v>
      </c>
      <c r="G48">
        <f>PasteBBM!W48</f>
        <v>34</v>
      </c>
      <c r="H48">
        <f>PasteBBM!AD48*PasteBBM!AE48</f>
        <v>11.86639226</v>
      </c>
      <c r="I48">
        <f>PasteBBM!AD48</f>
        <v>0.582004</v>
      </c>
      <c r="J48">
        <f>PasteBBM!AF48*PasteBBM!AG48</f>
        <v>7.817215622</v>
      </c>
      <c r="K48">
        <f>PasteBBM!AF48</f>
        <v>0.638995</v>
      </c>
      <c r="L48">
        <f>PasteBBM!Y48</f>
        <v>0.322951</v>
      </c>
      <c r="M48">
        <f>PasteBBM!X48</f>
        <v>31.87295</v>
      </c>
      <c r="N48">
        <f>PasteBBM!Z48</f>
        <v>11.01738</v>
      </c>
      <c r="O48">
        <f>PasteBBM!AA48</f>
        <v>8.227213</v>
      </c>
      <c r="P48">
        <f>PasteBBM!AB48</f>
        <v>0.929508</v>
      </c>
      <c r="Q48">
        <f>PasteBBM!AC48</f>
        <v>0.93</v>
      </c>
      <c r="R48">
        <f>PasteBBM!AH48</f>
        <v>2.861639</v>
      </c>
      <c r="S48">
        <f>PasteBBM!AD48</f>
        <v>0.582004</v>
      </c>
      <c r="T48">
        <f>PasteBBM!AF48</f>
        <v>0.638995</v>
      </c>
    </row>
    <row r="49">
      <c r="A49" s="5">
        <v>48.0</v>
      </c>
      <c r="C49" t="str">
        <f>PasteBBM!H49</f>
        <v>Toumani Camara</v>
      </c>
      <c r="D49" t="str">
        <f>IFERROR(REPLACE(PasteBBM!J49,FIND("/",PasteBBM!J49,1),1,","),PasteBBM!J49)</f>
        <v>F</v>
      </c>
      <c r="E49" t="str">
        <f>PasteBBM!I49</f>
        <v>POR</v>
      </c>
      <c r="F49">
        <f>PasteBBM!T49</f>
        <v>73</v>
      </c>
      <c r="G49">
        <f>PasteBBM!W49</f>
        <v>33</v>
      </c>
      <c r="H49">
        <f>PasteBBM!AD49*PasteBBM!AE49</f>
        <v>5.418087066</v>
      </c>
      <c r="I49">
        <f>PasteBBM!AD49</f>
        <v>0.459902</v>
      </c>
      <c r="J49">
        <f>PasteBBM!AF49*PasteBBM!AG49</f>
        <v>1.455342643</v>
      </c>
      <c r="K49">
        <f>PasteBBM!AF49</f>
        <v>0.731026</v>
      </c>
      <c r="L49">
        <f>PasteBBM!Y49</f>
        <v>2.506986</v>
      </c>
      <c r="M49">
        <f>PasteBBM!X49</f>
        <v>14.79849</v>
      </c>
      <c r="N49">
        <f>PasteBBM!Z49</f>
        <v>5.820411</v>
      </c>
      <c r="O49">
        <f>PasteBBM!AA49</f>
        <v>2.363425</v>
      </c>
      <c r="P49">
        <f>PasteBBM!AB49</f>
        <v>1.536986</v>
      </c>
      <c r="Q49">
        <f>PasteBBM!AC49</f>
        <v>0.703014</v>
      </c>
      <c r="R49">
        <f>PasteBBM!AH49</f>
        <v>1.122055</v>
      </c>
      <c r="S49">
        <f>PasteBBM!AD49</f>
        <v>0.459902</v>
      </c>
      <c r="T49">
        <f>PasteBBM!AF49</f>
        <v>0.731026</v>
      </c>
    </row>
    <row r="50">
      <c r="A50" s="5">
        <v>49.0</v>
      </c>
      <c r="C50" t="str">
        <f>PasteBBM!H50</f>
        <v>Onyeka Okongwu</v>
      </c>
      <c r="D50" t="str">
        <f>IFERROR(REPLACE(PasteBBM!J50,FIND("/",PasteBBM!J50,1),1,","),PasteBBM!J50)</f>
        <v>C</v>
      </c>
      <c r="E50" t="str">
        <f>PasteBBM!I50</f>
        <v>ATL</v>
      </c>
      <c r="F50">
        <f>PasteBBM!T50</f>
        <v>73</v>
      </c>
      <c r="G50">
        <f>PasteBBM!W50</f>
        <v>30</v>
      </c>
      <c r="H50">
        <f>PasteBBM!AD50*PasteBBM!AE50</f>
        <v>5.504244179</v>
      </c>
      <c r="I50">
        <f>PasteBBM!AD50</f>
        <v>0.564522</v>
      </c>
      <c r="J50">
        <f>PasteBBM!AF50*PasteBBM!AG50</f>
        <v>2.17041006</v>
      </c>
      <c r="K50">
        <f>PasteBBM!AF50</f>
        <v>0.795022</v>
      </c>
      <c r="L50">
        <f>PasteBBM!Y50</f>
        <v>0.916164</v>
      </c>
      <c r="M50">
        <f>PasteBBM!X50</f>
        <v>14.09507</v>
      </c>
      <c r="N50">
        <f>PasteBBM!Z50</f>
        <v>8.645068</v>
      </c>
      <c r="O50">
        <f>PasteBBM!AA50</f>
        <v>2.21</v>
      </c>
      <c r="P50">
        <f>PasteBBM!AB50</f>
        <v>0.969589</v>
      </c>
      <c r="Q50">
        <f>PasteBBM!AC50</f>
        <v>0.844932</v>
      </c>
      <c r="R50">
        <f>PasteBBM!AH50</f>
        <v>1.234932</v>
      </c>
      <c r="S50">
        <f>PasteBBM!AD50</f>
        <v>0.564522</v>
      </c>
      <c r="T50">
        <f>PasteBBM!AF50</f>
        <v>0.795022</v>
      </c>
    </row>
    <row r="51">
      <c r="A51" s="5">
        <v>50.0</v>
      </c>
      <c r="C51" t="str">
        <f>PasteBBM!H51</f>
        <v>Zach Edey</v>
      </c>
      <c r="D51" t="str">
        <f>IFERROR(REPLACE(PasteBBM!J51,FIND("/",PasteBBM!J51,1),1,","),PasteBBM!J51)</f>
        <v>C</v>
      </c>
      <c r="E51" t="str">
        <f>PasteBBM!I51</f>
        <v>MEM</v>
      </c>
      <c r="F51">
        <f>PasteBBM!T51</f>
        <v>47</v>
      </c>
      <c r="G51">
        <f>PasteBBM!W51</f>
        <v>27</v>
      </c>
      <c r="H51">
        <f>PasteBBM!AD51*PasteBBM!AE51</f>
        <v>5.802767003</v>
      </c>
      <c r="I51">
        <f>PasteBBM!AD51</f>
        <v>0.619996</v>
      </c>
      <c r="J51">
        <f>PasteBBM!AF51*PasteBBM!AG51</f>
        <v>2.564469959</v>
      </c>
      <c r="K51">
        <f>PasteBBM!AF51</f>
        <v>0.721003</v>
      </c>
      <c r="L51">
        <f>PasteBBM!Y51</f>
        <v>0.311702</v>
      </c>
      <c r="M51">
        <f>PasteBBM!X51</f>
        <v>14.4817</v>
      </c>
      <c r="N51">
        <f>PasteBBM!Z51</f>
        <v>10.99809</v>
      </c>
      <c r="O51">
        <f>PasteBBM!AA51</f>
        <v>1.331489</v>
      </c>
      <c r="P51">
        <f>PasteBBM!AB51</f>
        <v>0.664255</v>
      </c>
      <c r="Q51">
        <f>PasteBBM!AC51</f>
        <v>1.605532</v>
      </c>
      <c r="R51">
        <f>PasteBBM!AH51</f>
        <v>1.552979</v>
      </c>
      <c r="S51">
        <f>PasteBBM!AD51</f>
        <v>0.619996</v>
      </c>
      <c r="T51">
        <f>PasteBBM!AF51</f>
        <v>0.721003</v>
      </c>
    </row>
    <row r="52">
      <c r="A52" s="5">
        <v>51.0</v>
      </c>
      <c r="C52" t="str">
        <f>PasteBBM!H52</f>
        <v>Rudy Gobert</v>
      </c>
      <c r="D52" t="str">
        <f>IFERROR(REPLACE(PasteBBM!J52,FIND("/",PasteBBM!J52,1),1,","),PasteBBM!J52)</f>
        <v>C</v>
      </c>
      <c r="E52" t="str">
        <f>PasteBBM!I52</f>
        <v>MIN</v>
      </c>
      <c r="F52">
        <f>PasteBBM!T52</f>
        <v>73</v>
      </c>
      <c r="G52">
        <f>PasteBBM!W52</f>
        <v>32</v>
      </c>
      <c r="H52">
        <f>PasteBBM!AD52*PasteBBM!AE52</f>
        <v>4.974658048</v>
      </c>
      <c r="I52">
        <f>PasteBBM!AD52</f>
        <v>0.679039</v>
      </c>
      <c r="J52">
        <f>PasteBBM!AF52*PasteBBM!AG52</f>
        <v>2.43027322</v>
      </c>
      <c r="K52">
        <f>PasteBBM!AF52</f>
        <v>0.677008</v>
      </c>
      <c r="L52">
        <f>PasteBBM!Y52</f>
        <v>0</v>
      </c>
      <c r="M52">
        <f>PasteBBM!X52</f>
        <v>12.37959</v>
      </c>
      <c r="N52">
        <f>PasteBBM!Z52</f>
        <v>11.41795</v>
      </c>
      <c r="O52">
        <f>PasteBBM!AA52</f>
        <v>1.517945</v>
      </c>
      <c r="P52">
        <f>PasteBBM!AB52</f>
        <v>0.853699</v>
      </c>
      <c r="Q52">
        <f>PasteBBM!AC52</f>
        <v>1.253973</v>
      </c>
      <c r="R52">
        <f>PasteBBM!AH52</f>
        <v>0.99</v>
      </c>
      <c r="S52">
        <f>PasteBBM!AD52</f>
        <v>0.679039</v>
      </c>
      <c r="T52">
        <f>PasteBBM!AF52</f>
        <v>0.677008</v>
      </c>
    </row>
    <row r="53">
      <c r="A53" s="5">
        <v>52.0</v>
      </c>
      <c r="C53" t="str">
        <f>PasteBBM!H53</f>
        <v>Brandon Miller</v>
      </c>
      <c r="D53" t="str">
        <f>IFERROR(REPLACE(PasteBBM!J53,FIND("/",PasteBBM!J53,1),1,","),PasteBBM!J53)</f>
        <v>F</v>
      </c>
      <c r="E53" t="str">
        <f>PasteBBM!I53</f>
        <v>CHA</v>
      </c>
      <c r="F53">
        <f>PasteBBM!T53</f>
        <v>64</v>
      </c>
      <c r="G53">
        <f>PasteBBM!W53</f>
        <v>34</v>
      </c>
      <c r="H53">
        <f>PasteBBM!AD53*PasteBBM!AE53</f>
        <v>7.566880955</v>
      </c>
      <c r="I53">
        <f>PasteBBM!AD53</f>
        <v>0.420572</v>
      </c>
      <c r="J53">
        <f>PasteBBM!AF53*PasteBBM!AG53</f>
        <v>2.953595382</v>
      </c>
      <c r="K53">
        <f>PasteBBM!AF53</f>
        <v>0.864019</v>
      </c>
      <c r="L53">
        <f>PasteBBM!Y53</f>
        <v>3.9725</v>
      </c>
      <c r="M53">
        <f>PasteBBM!X53</f>
        <v>22.05984</v>
      </c>
      <c r="N53">
        <f>PasteBBM!Z53</f>
        <v>4.958281</v>
      </c>
      <c r="O53">
        <f>PasteBBM!AA53</f>
        <v>3.966719</v>
      </c>
      <c r="P53">
        <f>PasteBBM!AB53</f>
        <v>1.058281</v>
      </c>
      <c r="Q53">
        <f>PasteBBM!AC53</f>
        <v>0.710313</v>
      </c>
      <c r="R53">
        <f>PasteBBM!AH53</f>
        <v>2.556094</v>
      </c>
      <c r="S53">
        <f>PasteBBM!AD53</f>
        <v>0.420572</v>
      </c>
      <c r="T53">
        <f>PasteBBM!AF53</f>
        <v>0.864019</v>
      </c>
    </row>
    <row r="54">
      <c r="A54" s="5">
        <v>53.0</v>
      </c>
      <c r="C54" t="str">
        <f>PasteBBM!H54</f>
        <v>Lauri Markkanen</v>
      </c>
      <c r="D54" t="str">
        <f>IFERROR(REPLACE(PasteBBM!J54,FIND("/",PasteBBM!J54,1),1,","),PasteBBM!J54)</f>
        <v>F</v>
      </c>
      <c r="E54" t="str">
        <f>PasteBBM!I54</f>
        <v>UTA</v>
      </c>
      <c r="F54">
        <f>PasteBBM!T54</f>
        <v>53</v>
      </c>
      <c r="G54">
        <f>PasteBBM!W54</f>
        <v>31</v>
      </c>
      <c r="H54">
        <f>PasteBBM!AD54*PasteBBM!AE54</f>
        <v>7.492270957</v>
      </c>
      <c r="I54">
        <f>PasteBBM!AD54</f>
        <v>0.457836</v>
      </c>
      <c r="J54">
        <f>PasteBBM!AF54*PasteBBM!AG54</f>
        <v>3.469434164</v>
      </c>
      <c r="K54">
        <f>PasteBBM!AF54</f>
        <v>0.886981</v>
      </c>
      <c r="L54">
        <f>PasteBBM!Y54</f>
        <v>3.411132</v>
      </c>
      <c r="M54">
        <f>PasteBBM!X54</f>
        <v>21.86509</v>
      </c>
      <c r="N54">
        <f>PasteBBM!Z54</f>
        <v>5.65434</v>
      </c>
      <c r="O54">
        <f>PasteBBM!AA54</f>
        <v>1.796038</v>
      </c>
      <c r="P54">
        <f>PasteBBM!AB54</f>
        <v>0.729811</v>
      </c>
      <c r="Q54">
        <f>PasteBBM!AC54</f>
        <v>0.399811</v>
      </c>
      <c r="R54">
        <f>PasteBBM!AH54</f>
        <v>1.46566</v>
      </c>
      <c r="S54">
        <f>PasteBBM!AD54</f>
        <v>0.457836</v>
      </c>
      <c r="T54">
        <f>PasteBBM!AF54</f>
        <v>0.886981</v>
      </c>
    </row>
    <row r="55">
      <c r="A55" s="5">
        <v>54.0</v>
      </c>
      <c r="C55" t="str">
        <f>PasteBBM!H55</f>
        <v>Franz Wagner</v>
      </c>
      <c r="D55" t="str">
        <f>IFERROR(REPLACE(PasteBBM!J55,FIND("/",PasteBBM!J55,1),1,","),PasteBBM!J55)</f>
        <v>F</v>
      </c>
      <c r="E55" t="str">
        <f>PasteBBM!I55</f>
        <v>ORL</v>
      </c>
      <c r="F55">
        <f>PasteBBM!T55</f>
        <v>73</v>
      </c>
      <c r="G55">
        <f>PasteBBM!W55</f>
        <v>34</v>
      </c>
      <c r="H55">
        <f>PasteBBM!AD55*PasteBBM!AE55</f>
        <v>8.088214285</v>
      </c>
      <c r="I55">
        <f>PasteBBM!AD55</f>
        <v>0.485499</v>
      </c>
      <c r="J55">
        <f>PasteBBM!AF55*PasteBBM!AG55</f>
        <v>3.03328772</v>
      </c>
      <c r="K55">
        <f>PasteBBM!AF55</f>
        <v>0.866993</v>
      </c>
      <c r="L55">
        <f>PasteBBM!Y55</f>
        <v>1.599315</v>
      </c>
      <c r="M55">
        <f>PasteBBM!X55</f>
        <v>20.80904</v>
      </c>
      <c r="N55">
        <f>PasteBBM!Z55</f>
        <v>5.761644</v>
      </c>
      <c r="O55">
        <f>PasteBBM!AA55</f>
        <v>3.817945</v>
      </c>
      <c r="P55">
        <f>PasteBBM!AB55</f>
        <v>1.107397</v>
      </c>
      <c r="Q55">
        <f>PasteBBM!AC55</f>
        <v>0.278219</v>
      </c>
      <c r="R55">
        <f>PasteBBM!AH55</f>
        <v>1.804795</v>
      </c>
      <c r="S55">
        <f>PasteBBM!AD55</f>
        <v>0.485499</v>
      </c>
      <c r="T55">
        <f>PasteBBM!AF55</f>
        <v>0.866993</v>
      </c>
    </row>
    <row r="56">
      <c r="A56" s="5">
        <v>55.0</v>
      </c>
      <c r="C56" t="str">
        <f>PasteBBM!H56</f>
        <v>Ja Morant</v>
      </c>
      <c r="D56" t="str">
        <f>IFERROR(REPLACE(PasteBBM!J56,FIND("/",PasteBBM!J56,1),1,","),PasteBBM!J56)</f>
        <v>G</v>
      </c>
      <c r="E56" t="str">
        <f>PasteBBM!I56</f>
        <v>MEM</v>
      </c>
      <c r="F56">
        <f>PasteBBM!T56</f>
        <v>60</v>
      </c>
      <c r="G56">
        <f>PasteBBM!W56</f>
        <v>33</v>
      </c>
      <c r="H56">
        <f>PasteBBM!AD56*PasteBBM!AE56</f>
        <v>9.731160427</v>
      </c>
      <c r="I56">
        <f>PasteBBM!AD56</f>
        <v>0.469307</v>
      </c>
      <c r="J56">
        <f>PasteBBM!AF56*PasteBBM!AG56</f>
        <v>5.53550039</v>
      </c>
      <c r="K56">
        <f>PasteBBM!AF56</f>
        <v>0.808988</v>
      </c>
      <c r="L56">
        <f>PasteBBM!Y56</f>
        <v>2.123333</v>
      </c>
      <c r="M56">
        <f>PasteBBM!X56</f>
        <v>27.12117</v>
      </c>
      <c r="N56">
        <f>PasteBBM!Z56</f>
        <v>5.148</v>
      </c>
      <c r="O56">
        <f>PasteBBM!AA56</f>
        <v>7.7935</v>
      </c>
      <c r="P56">
        <f>PasteBBM!AB56</f>
        <v>1.144</v>
      </c>
      <c r="Q56">
        <f>PasteBBM!AC56</f>
        <v>0.284667</v>
      </c>
      <c r="R56">
        <f>PasteBBM!AH56</f>
        <v>3.703333</v>
      </c>
      <c r="S56">
        <f>PasteBBM!AD56</f>
        <v>0.469307</v>
      </c>
      <c r="T56">
        <f>PasteBBM!AF56</f>
        <v>0.808988</v>
      </c>
    </row>
    <row r="57">
      <c r="A57" s="5">
        <v>56.0</v>
      </c>
      <c r="C57" t="str">
        <f>PasteBBM!H57</f>
        <v>Paul George</v>
      </c>
      <c r="D57" t="str">
        <f>IFERROR(REPLACE(PasteBBM!J57,FIND("/",PasteBBM!J57,1),1,","),PasteBBM!J57)</f>
        <v>F</v>
      </c>
      <c r="E57" t="str">
        <f>PasteBBM!I57</f>
        <v>PHI</v>
      </c>
      <c r="F57">
        <f>PasteBBM!T57</f>
        <v>53</v>
      </c>
      <c r="G57">
        <f>PasteBBM!W57</f>
        <v>32</v>
      </c>
      <c r="H57">
        <f>PasteBBM!AD57*PasteBBM!AE57</f>
        <v>6.213016156</v>
      </c>
      <c r="I57">
        <f>PasteBBM!AD57</f>
        <v>0.448288</v>
      </c>
      <c r="J57">
        <f>PasteBBM!AF57*PasteBBM!AG57</f>
        <v>1.75679277</v>
      </c>
      <c r="K57">
        <f>PasteBBM!AF57</f>
        <v>0.844995</v>
      </c>
      <c r="L57">
        <f>PasteBBM!Y57</f>
        <v>2.455849</v>
      </c>
      <c r="M57">
        <f>PasteBBM!X57</f>
        <v>16.63868</v>
      </c>
      <c r="N57">
        <f>PasteBBM!Z57</f>
        <v>5.016038</v>
      </c>
      <c r="O57">
        <f>PasteBBM!AA57</f>
        <v>3.901509</v>
      </c>
      <c r="P57">
        <f>PasteBBM!AB57</f>
        <v>1.639623</v>
      </c>
      <c r="Q57">
        <f>PasteBBM!AC57</f>
        <v>0.530189</v>
      </c>
      <c r="R57">
        <f>PasteBBM!AH57</f>
        <v>2.318491</v>
      </c>
      <c r="S57">
        <f>PasteBBM!AD57</f>
        <v>0.448288</v>
      </c>
      <c r="T57">
        <f>PasteBBM!AF57</f>
        <v>0.844995</v>
      </c>
    </row>
    <row r="58">
      <c r="A58" s="5">
        <v>57.0</v>
      </c>
      <c r="C58" t="str">
        <f>PasteBBM!H58</f>
        <v>Immanuel Quickley</v>
      </c>
      <c r="D58" t="str">
        <f>IFERROR(REPLACE(PasteBBM!J58,FIND("/",PasteBBM!J58,1),1,","),PasteBBM!J58)</f>
        <v>G</v>
      </c>
      <c r="E58" t="str">
        <f>PasteBBM!I58</f>
        <v>TOR</v>
      </c>
      <c r="F58">
        <f>PasteBBM!T58</f>
        <v>73</v>
      </c>
      <c r="G58">
        <f>PasteBBM!W58</f>
        <v>32</v>
      </c>
      <c r="H58">
        <f>PasteBBM!AD58*PasteBBM!AE58</f>
        <v>5.879728692</v>
      </c>
      <c r="I58">
        <f>PasteBBM!AD58</f>
        <v>0.436883</v>
      </c>
      <c r="J58">
        <f>PasteBBM!AF58*PasteBBM!AG58</f>
        <v>3.065342913</v>
      </c>
      <c r="K58">
        <f>PasteBBM!AF58</f>
        <v>0.876018</v>
      </c>
      <c r="L58">
        <f>PasteBBM!Y58</f>
        <v>2.901644</v>
      </c>
      <c r="M58">
        <f>PasteBBM!X58</f>
        <v>17.72644</v>
      </c>
      <c r="N58">
        <f>PasteBBM!Z58</f>
        <v>4.463288</v>
      </c>
      <c r="O58">
        <f>PasteBBM!AA58</f>
        <v>6.24863</v>
      </c>
      <c r="P58">
        <f>PasteBBM!AB58</f>
        <v>0.96137</v>
      </c>
      <c r="Q58">
        <f>PasteBBM!AC58</f>
        <v>0.13589</v>
      </c>
      <c r="R58">
        <f>PasteBBM!AH58</f>
        <v>1.716712</v>
      </c>
      <c r="S58">
        <f>PasteBBM!AD58</f>
        <v>0.436883</v>
      </c>
      <c r="T58">
        <f>PasteBBM!AF58</f>
        <v>0.876018</v>
      </c>
    </row>
    <row r="59">
      <c r="A59" s="5">
        <v>58.0</v>
      </c>
      <c r="C59" t="str">
        <f>PasteBBM!H59</f>
        <v>Tari Eason</v>
      </c>
      <c r="D59" t="str">
        <f>IFERROR(REPLACE(PasteBBM!J59,FIND("/",PasteBBM!J59,1),1,","),PasteBBM!J59)</f>
        <v>F</v>
      </c>
      <c r="E59" t="str">
        <f>PasteBBM!I59</f>
        <v>HOU</v>
      </c>
      <c r="F59">
        <f>PasteBBM!T59</f>
        <v>64</v>
      </c>
      <c r="G59">
        <f>PasteBBM!W59</f>
        <v>27</v>
      </c>
      <c r="H59">
        <f>PasteBBM!AD59*PasteBBM!AE59</f>
        <v>5.465626683</v>
      </c>
      <c r="I59">
        <f>PasteBBM!AD59</f>
        <v>0.493378</v>
      </c>
      <c r="J59">
        <f>PasteBBM!AF59*PasteBBM!AG59</f>
        <v>1.33296963</v>
      </c>
      <c r="K59">
        <f>PasteBBM!AF59</f>
        <v>0.752028</v>
      </c>
      <c r="L59">
        <f>PasteBBM!Y59</f>
        <v>1.240781</v>
      </c>
      <c r="M59">
        <f>PasteBBM!X59</f>
        <v>13.505</v>
      </c>
      <c r="N59">
        <f>PasteBBM!Z59</f>
        <v>7.044688</v>
      </c>
      <c r="O59">
        <f>PasteBBM!AA59</f>
        <v>1.57625</v>
      </c>
      <c r="P59">
        <f>PasteBBM!AB59</f>
        <v>1.533906</v>
      </c>
      <c r="Q59">
        <f>PasteBBM!AC59</f>
        <v>0.854219</v>
      </c>
      <c r="R59">
        <f>PasteBBM!AH59</f>
        <v>1.252344</v>
      </c>
      <c r="S59">
        <f>PasteBBM!AD59</f>
        <v>0.493378</v>
      </c>
      <c r="T59">
        <f>PasteBBM!AF59</f>
        <v>0.752028</v>
      </c>
    </row>
    <row r="60">
      <c r="A60" s="5">
        <v>59.0</v>
      </c>
      <c r="C60" t="str">
        <f>PasteBBM!H60</f>
        <v>Zion Williamson</v>
      </c>
      <c r="D60" t="str">
        <f>IFERROR(REPLACE(PasteBBM!J60,FIND("/",PasteBBM!J60,1),1,","),PasteBBM!J60)</f>
        <v>F</v>
      </c>
      <c r="E60" t="str">
        <f>PasteBBM!I60</f>
        <v>NOR</v>
      </c>
      <c r="F60">
        <f>PasteBBM!T60</f>
        <v>58</v>
      </c>
      <c r="G60">
        <f>PasteBBM!W60</f>
        <v>32</v>
      </c>
      <c r="H60">
        <f>PasteBBM!AD60*PasteBBM!AE60</f>
        <v>10.91137763</v>
      </c>
      <c r="I60">
        <f>PasteBBM!AD60</f>
        <v>0.578747</v>
      </c>
      <c r="J60">
        <f>PasteBBM!AF60*PasteBBM!AG60</f>
        <v>5.504656025</v>
      </c>
      <c r="K60">
        <f>PasteBBM!AF60</f>
        <v>0.679009</v>
      </c>
      <c r="L60">
        <f>PasteBBM!Y60</f>
        <v>0.157241</v>
      </c>
      <c r="M60">
        <f>PasteBBM!X60</f>
        <v>27.48466</v>
      </c>
      <c r="N60">
        <f>PasteBBM!Z60</f>
        <v>7.07</v>
      </c>
      <c r="O60">
        <f>PasteBBM!AA60</f>
        <v>5.992586</v>
      </c>
      <c r="P60">
        <f>PasteBBM!AB60</f>
        <v>1.212069</v>
      </c>
      <c r="Q60">
        <f>PasteBBM!AC60</f>
        <v>0.875345</v>
      </c>
      <c r="R60">
        <f>PasteBBM!AH60</f>
        <v>3.139483</v>
      </c>
      <c r="S60">
        <f>PasteBBM!AD60</f>
        <v>0.578747</v>
      </c>
      <c r="T60">
        <f>PasteBBM!AF60</f>
        <v>0.679009</v>
      </c>
    </row>
    <row r="61">
      <c r="A61" s="5">
        <v>60.0</v>
      </c>
      <c r="C61" t="str">
        <f>PasteBBM!H61</f>
        <v>Coby White</v>
      </c>
      <c r="D61" t="str">
        <f>IFERROR(REPLACE(PasteBBM!J61,FIND("/",PasteBBM!J61,1),1,","),PasteBBM!J61)</f>
        <v>G</v>
      </c>
      <c r="E61" t="str">
        <f>PasteBBM!I61</f>
        <v>CHI</v>
      </c>
      <c r="F61">
        <f>PasteBBM!T61</f>
        <v>73</v>
      </c>
      <c r="G61">
        <f>PasteBBM!W61</f>
        <v>33</v>
      </c>
      <c r="H61">
        <f>PasteBBM!AD61*PasteBBM!AE61</f>
        <v>7.221650064</v>
      </c>
      <c r="I61">
        <f>PasteBBM!AD61</f>
        <v>0.463321</v>
      </c>
      <c r="J61">
        <f>PasteBBM!AF61*PasteBBM!AG61</f>
        <v>5.21219309</v>
      </c>
      <c r="K61">
        <f>PasteBBM!AF61</f>
        <v>0.87999</v>
      </c>
      <c r="L61">
        <f>PasteBBM!Y61</f>
        <v>2.823836</v>
      </c>
      <c r="M61">
        <f>PasteBBM!X61</f>
        <v>22.47932</v>
      </c>
      <c r="N61">
        <f>PasteBBM!Z61</f>
        <v>4.29</v>
      </c>
      <c r="O61">
        <f>PasteBBM!AA61</f>
        <v>4.256575</v>
      </c>
      <c r="P61">
        <f>PasteBBM!AB61</f>
        <v>0.855205</v>
      </c>
      <c r="Q61">
        <f>PasteBBM!AC61</f>
        <v>0.214932</v>
      </c>
      <c r="R61">
        <f>PasteBBM!AH61</f>
        <v>2.430959</v>
      </c>
      <c r="S61">
        <f>PasteBBM!AD61</f>
        <v>0.463321</v>
      </c>
      <c r="T61">
        <f>PasteBBM!AF61</f>
        <v>0.87999</v>
      </c>
    </row>
    <row r="62">
      <c r="A62" s="5">
        <v>61.0</v>
      </c>
      <c r="C62" t="str">
        <f>PasteBBM!H62</f>
        <v>Deandre Ayton</v>
      </c>
      <c r="D62" t="str">
        <f>IFERROR(REPLACE(PasteBBM!J62,FIND("/",PasteBBM!J62,1),1,","),PasteBBM!J62)</f>
        <v>C</v>
      </c>
      <c r="E62" t="str">
        <f>PasteBBM!I62</f>
        <v>LAL</v>
      </c>
      <c r="F62">
        <f>PasteBBM!T62</f>
        <v>68</v>
      </c>
      <c r="G62">
        <f>PasteBBM!W62</f>
        <v>32</v>
      </c>
      <c r="H62">
        <f>PasteBBM!AD62*PasteBBM!AE62</f>
        <v>6.68484941</v>
      </c>
      <c r="I62">
        <f>PasteBBM!AD62</f>
        <v>0.574801</v>
      </c>
      <c r="J62">
        <f>PasteBBM!AF62*PasteBBM!AG62</f>
        <v>1.386176867</v>
      </c>
      <c r="K62">
        <f>PasteBBM!AF62</f>
        <v>0.744962</v>
      </c>
      <c r="L62">
        <f>PasteBBM!Y62</f>
        <v>0.093088</v>
      </c>
      <c r="M62">
        <f>PasteBBM!X62</f>
        <v>14.84897</v>
      </c>
      <c r="N62">
        <f>PasteBBM!Z62</f>
        <v>10.64926</v>
      </c>
      <c r="O62">
        <f>PasteBBM!AA62</f>
        <v>1.567941</v>
      </c>
      <c r="P62">
        <f>PasteBBM!AB62</f>
        <v>0.856765</v>
      </c>
      <c r="Q62">
        <f>PasteBBM!AC62</f>
        <v>0.974265</v>
      </c>
      <c r="R62">
        <f>PasteBBM!AH62</f>
        <v>1.567941</v>
      </c>
      <c r="S62">
        <f>PasteBBM!AD62</f>
        <v>0.574801</v>
      </c>
      <c r="T62">
        <f>PasteBBM!AF62</f>
        <v>0.744962</v>
      </c>
    </row>
    <row r="63">
      <c r="A63" s="5">
        <v>62.0</v>
      </c>
      <c r="C63" t="str">
        <f>PasteBBM!H63</f>
        <v>Desmond Bane</v>
      </c>
      <c r="D63" t="str">
        <f>IFERROR(REPLACE(PasteBBM!J63,FIND("/",PasteBBM!J63,1),1,","),PasteBBM!J63)</f>
        <v>G,F</v>
      </c>
      <c r="E63" t="str">
        <f>PasteBBM!I63</f>
        <v>ORL</v>
      </c>
      <c r="F63">
        <f>PasteBBM!T63</f>
        <v>68</v>
      </c>
      <c r="G63">
        <f>PasteBBM!W63</f>
        <v>34</v>
      </c>
      <c r="H63">
        <f>PasteBBM!AD63*PasteBBM!AE63</f>
        <v>6.735153656</v>
      </c>
      <c r="I63">
        <f>PasteBBM!AD63</f>
        <v>0.485113</v>
      </c>
      <c r="J63">
        <f>PasteBBM!AF63*PasteBBM!AG63</f>
        <v>2.09588134</v>
      </c>
      <c r="K63">
        <f>PasteBBM!AF63</f>
        <v>0.88803</v>
      </c>
      <c r="L63">
        <f>PasteBBM!Y63</f>
        <v>2.480147</v>
      </c>
      <c r="M63">
        <f>PasteBBM!X63</f>
        <v>18.04632</v>
      </c>
      <c r="N63">
        <f>PasteBBM!Z63</f>
        <v>4.512059</v>
      </c>
      <c r="O63">
        <f>PasteBBM!AA63</f>
        <v>4.165</v>
      </c>
      <c r="P63">
        <f>PasteBBM!AB63</f>
        <v>1.043235</v>
      </c>
      <c r="Q63">
        <f>PasteBBM!AC63</f>
        <v>0.346618</v>
      </c>
      <c r="R63">
        <f>PasteBBM!AH63</f>
        <v>1.943676</v>
      </c>
      <c r="S63">
        <f>PasteBBM!AD63</f>
        <v>0.485113</v>
      </c>
      <c r="T63">
        <f>PasteBBM!AF63</f>
        <v>0.88803</v>
      </c>
    </row>
    <row r="64">
      <c r="A64" s="5">
        <v>63.0</v>
      </c>
      <c r="C64" t="str">
        <f>PasteBBM!H64</f>
        <v>Jalen Brunson</v>
      </c>
      <c r="D64" t="str">
        <f>IFERROR(REPLACE(PasteBBM!J64,FIND("/",PasteBBM!J64,1),1,","),PasteBBM!J64)</f>
        <v>G</v>
      </c>
      <c r="E64" t="str">
        <f>PasteBBM!I64</f>
        <v>NYK</v>
      </c>
      <c r="F64">
        <f>PasteBBM!T64</f>
        <v>68</v>
      </c>
      <c r="G64">
        <f>PasteBBM!W64</f>
        <v>35</v>
      </c>
      <c r="H64">
        <f>PasteBBM!AD64*PasteBBM!AE64</f>
        <v>8.608090212</v>
      </c>
      <c r="I64">
        <f>PasteBBM!AD64</f>
        <v>0.482759</v>
      </c>
      <c r="J64">
        <f>PasteBBM!AF64*PasteBBM!AG64</f>
        <v>5.385147837</v>
      </c>
      <c r="K64">
        <f>PasteBBM!AF64</f>
        <v>0.82301</v>
      </c>
      <c r="L64">
        <f>PasteBBM!Y64</f>
        <v>2.247647</v>
      </c>
      <c r="M64">
        <f>PasteBBM!X64</f>
        <v>24.84897</v>
      </c>
      <c r="N64">
        <f>PasteBBM!Z64</f>
        <v>2.815294</v>
      </c>
      <c r="O64">
        <f>PasteBBM!AA64</f>
        <v>6.713382</v>
      </c>
      <c r="P64">
        <f>PasteBBM!AB64</f>
        <v>0.933676</v>
      </c>
      <c r="Q64">
        <f>PasteBBM!AC64</f>
        <v>0.144853</v>
      </c>
      <c r="R64">
        <f>PasteBBM!AH64</f>
        <v>2.606765</v>
      </c>
      <c r="S64">
        <f>PasteBBM!AD64</f>
        <v>0.482759</v>
      </c>
      <c r="T64">
        <f>PasteBBM!AF64</f>
        <v>0.82301</v>
      </c>
    </row>
    <row r="65">
      <c r="A65" s="5">
        <v>64.0</v>
      </c>
      <c r="C65" t="str">
        <f>PasteBBM!H65</f>
        <v>Isaiah Hartenstein</v>
      </c>
      <c r="D65" t="str">
        <f>IFERROR(REPLACE(PasteBBM!J65,FIND("/",PasteBBM!J65,1),1,","),PasteBBM!J65)</f>
        <v>C</v>
      </c>
      <c r="E65" t="str">
        <f>PasteBBM!I65</f>
        <v>OKC</v>
      </c>
      <c r="F65">
        <f>PasteBBM!T65</f>
        <v>68</v>
      </c>
      <c r="G65">
        <f>PasteBBM!W65</f>
        <v>27</v>
      </c>
      <c r="H65">
        <f>PasteBBM!AD65*PasteBBM!AE65</f>
        <v>4.813974151</v>
      </c>
      <c r="I65">
        <f>PasteBBM!AD65</f>
        <v>0.599334</v>
      </c>
      <c r="J65">
        <f>PasteBBM!AF65*PasteBBM!AG65</f>
        <v>1.013528581</v>
      </c>
      <c r="K65">
        <f>PasteBBM!AF65</f>
        <v>0.700976</v>
      </c>
      <c r="L65">
        <f>PasteBBM!Y65</f>
        <v>0.062941</v>
      </c>
      <c r="M65">
        <f>PasteBBM!X65</f>
        <v>10.70441</v>
      </c>
      <c r="N65">
        <f>PasteBBM!Z65</f>
        <v>9.466912</v>
      </c>
      <c r="O65">
        <f>PasteBBM!AA65</f>
        <v>3.4425</v>
      </c>
      <c r="P65">
        <f>PasteBBM!AB65</f>
        <v>0.911618</v>
      </c>
      <c r="Q65">
        <f>PasteBBM!AC65</f>
        <v>1.095</v>
      </c>
      <c r="R65">
        <f>PasteBBM!AH65</f>
        <v>1.549118</v>
      </c>
      <c r="S65">
        <f>PasteBBM!AD65</f>
        <v>0.599334</v>
      </c>
      <c r="T65">
        <f>PasteBBM!AF65</f>
        <v>0.700976</v>
      </c>
    </row>
    <row r="66">
      <c r="A66" s="5">
        <v>65.0</v>
      </c>
      <c r="C66" t="str">
        <f>PasteBBM!H66</f>
        <v>Jarrett Allen</v>
      </c>
      <c r="D66" t="str">
        <f>IFERROR(REPLACE(PasteBBM!J66,FIND("/",PasteBBM!J66,1),1,","),PasteBBM!J66)</f>
        <v>C</v>
      </c>
      <c r="E66" t="str">
        <f>PasteBBM!I66</f>
        <v>CLE</v>
      </c>
      <c r="F66">
        <f>PasteBBM!T66</f>
        <v>77</v>
      </c>
      <c r="G66">
        <f>PasteBBM!W66</f>
        <v>28</v>
      </c>
      <c r="H66">
        <f>PasteBBM!AD66*PasteBBM!AE66</f>
        <v>5.59402666</v>
      </c>
      <c r="I66">
        <f>PasteBBM!AD66</f>
        <v>0.683118</v>
      </c>
      <c r="J66">
        <f>PasteBBM!AF66*PasteBBM!AG66</f>
        <v>2.325842688</v>
      </c>
      <c r="K66">
        <f>PasteBBM!AF66</f>
        <v>0.709998</v>
      </c>
      <c r="L66">
        <f>PasteBBM!Y66</f>
        <v>0</v>
      </c>
      <c r="M66">
        <f>PasteBBM!X66</f>
        <v>13.5139</v>
      </c>
      <c r="N66">
        <f>PasteBBM!Z66</f>
        <v>9.24987</v>
      </c>
      <c r="O66">
        <f>PasteBBM!AA66</f>
        <v>1.941688</v>
      </c>
      <c r="P66">
        <f>PasteBBM!AB66</f>
        <v>0.824805</v>
      </c>
      <c r="Q66">
        <f>PasteBBM!AC66</f>
        <v>0.825065</v>
      </c>
      <c r="R66">
        <f>PasteBBM!AH66</f>
        <v>1.237662</v>
      </c>
      <c r="S66">
        <f>PasteBBM!AD66</f>
        <v>0.683118</v>
      </c>
      <c r="T66">
        <f>PasteBBM!AF66</f>
        <v>0.709998</v>
      </c>
    </row>
    <row r="67">
      <c r="A67" s="5">
        <v>66.0</v>
      </c>
      <c r="C67" t="str">
        <f>PasteBBM!H67</f>
        <v>Keegan Murray</v>
      </c>
      <c r="D67" t="str">
        <f>IFERROR(REPLACE(PasteBBM!J67,FIND("/",PasteBBM!J67,1),1,","),PasteBBM!J67)</f>
        <v>F</v>
      </c>
      <c r="E67" t="str">
        <f>PasteBBM!I67</f>
        <v>SAC</v>
      </c>
      <c r="F67">
        <f>PasteBBM!T67</f>
        <v>77</v>
      </c>
      <c r="G67">
        <f>PasteBBM!W67</f>
        <v>34</v>
      </c>
      <c r="H67">
        <f>PasteBBM!AD67*PasteBBM!AE67</f>
        <v>4.90260359</v>
      </c>
      <c r="I67">
        <f>PasteBBM!AD67</f>
        <v>0.469411</v>
      </c>
      <c r="J67">
        <f>PasteBBM!AF67*PasteBBM!AG67</f>
        <v>0.5319477842</v>
      </c>
      <c r="K67">
        <f>PasteBBM!AF67</f>
        <v>0.848912</v>
      </c>
      <c r="L67">
        <f>PasteBBM!Y67</f>
        <v>2.393766</v>
      </c>
      <c r="M67">
        <f>PasteBBM!X67</f>
        <v>12.73091</v>
      </c>
      <c r="N67">
        <f>PasteBBM!Z67</f>
        <v>6.183766</v>
      </c>
      <c r="O67">
        <f>PasteBBM!AA67</f>
        <v>1.453247</v>
      </c>
      <c r="P67">
        <f>PasteBBM!AB67</f>
        <v>0.827013</v>
      </c>
      <c r="Q67">
        <f>PasteBBM!AC67</f>
        <v>0.95987</v>
      </c>
      <c r="R67">
        <f>PasteBBM!AH67</f>
        <v>0.685844</v>
      </c>
      <c r="S67">
        <f>PasteBBM!AD67</f>
        <v>0.469411</v>
      </c>
      <c r="T67">
        <f>PasteBBM!AF67</f>
        <v>0.848912</v>
      </c>
    </row>
    <row r="68">
      <c r="A68" s="5">
        <v>67.0</v>
      </c>
      <c r="C68" t="str">
        <f>PasteBBM!H68</f>
        <v>De'Aaron Fox</v>
      </c>
      <c r="D68" t="str">
        <f>IFERROR(REPLACE(PasteBBM!J68,FIND("/",PasteBBM!J68,1),1,","),PasteBBM!J68)</f>
        <v>G</v>
      </c>
      <c r="E68" t="str">
        <f>PasteBBM!I68</f>
        <v>SAS</v>
      </c>
      <c r="F68">
        <f>PasteBBM!T68</f>
        <v>68</v>
      </c>
      <c r="G68">
        <f>PasteBBM!W68</f>
        <v>34</v>
      </c>
      <c r="H68">
        <f>PasteBBM!AD68*PasteBBM!AE68</f>
        <v>7.486904109</v>
      </c>
      <c r="I68">
        <f>PasteBBM!AD68</f>
        <v>0.454485</v>
      </c>
      <c r="J68">
        <f>PasteBBM!AF68*PasteBBM!AG68</f>
        <v>3.321027616</v>
      </c>
      <c r="K68">
        <f>PasteBBM!AF68</f>
        <v>0.840016</v>
      </c>
      <c r="L68">
        <f>PasteBBM!Y68</f>
        <v>1.665441</v>
      </c>
      <c r="M68">
        <f>PasteBBM!X68</f>
        <v>19.96029</v>
      </c>
      <c r="N68">
        <f>PasteBBM!Z68</f>
        <v>4.118235</v>
      </c>
      <c r="O68">
        <f>PasteBBM!AA68</f>
        <v>6.5025</v>
      </c>
      <c r="P68">
        <f>PasteBBM!AB68</f>
        <v>1.228235</v>
      </c>
      <c r="Q68">
        <f>PasteBBM!AC68</f>
        <v>0.435294</v>
      </c>
      <c r="R68">
        <f>PasteBBM!AH68</f>
        <v>2.528824</v>
      </c>
      <c r="S68">
        <f>PasteBBM!AD68</f>
        <v>0.454485</v>
      </c>
      <c r="T68">
        <f>PasteBBM!AF68</f>
        <v>0.840016</v>
      </c>
    </row>
    <row r="69">
      <c r="A69" s="5">
        <v>68.0</v>
      </c>
      <c r="C69" t="str">
        <f>PasteBBM!H69</f>
        <v>Miles Bridges</v>
      </c>
      <c r="D69" t="str">
        <f>IFERROR(REPLACE(PasteBBM!J69,FIND("/",PasteBBM!J69,1),1,","),PasteBBM!J69)</f>
        <v>F</v>
      </c>
      <c r="E69" t="str">
        <f>PasteBBM!I69</f>
        <v>CHA</v>
      </c>
      <c r="F69">
        <f>PasteBBM!T69</f>
        <v>66</v>
      </c>
      <c r="G69">
        <f>PasteBBM!W69</f>
        <v>33</v>
      </c>
      <c r="H69">
        <f>PasteBBM!AD69*PasteBBM!AE69</f>
        <v>7.073187629</v>
      </c>
      <c r="I69">
        <f>PasteBBM!AD69</f>
        <v>0.443477</v>
      </c>
      <c r="J69">
        <f>PasteBBM!AF69*PasteBBM!AG69</f>
        <v>2.591060238</v>
      </c>
      <c r="K69">
        <f>PasteBBM!AF69</f>
        <v>0.855007</v>
      </c>
      <c r="L69">
        <f>PasteBBM!Y69</f>
        <v>2.304394</v>
      </c>
      <c r="M69">
        <f>PasteBBM!X69</f>
        <v>19.04182</v>
      </c>
      <c r="N69">
        <f>PasteBBM!Z69</f>
        <v>7.287576</v>
      </c>
      <c r="O69">
        <f>PasteBBM!AA69</f>
        <v>3.712576</v>
      </c>
      <c r="P69">
        <f>PasteBBM!AB69</f>
        <v>0.693333</v>
      </c>
      <c r="Q69">
        <f>PasteBBM!AC69</f>
        <v>0.75197</v>
      </c>
      <c r="R69">
        <f>PasteBBM!AH69</f>
        <v>1.925</v>
      </c>
      <c r="S69">
        <f>PasteBBM!AD69</f>
        <v>0.443477</v>
      </c>
      <c r="T69">
        <f>PasteBBM!AF69</f>
        <v>0.855007</v>
      </c>
    </row>
    <row r="70">
      <c r="A70" s="5">
        <v>69.0</v>
      </c>
      <c r="C70" t="str">
        <f>PasteBBM!H70</f>
        <v>Jalen Duren</v>
      </c>
      <c r="D70" t="str">
        <f>IFERROR(REPLACE(PasteBBM!J70,FIND("/",PasteBBM!J70,1),1,","),PasteBBM!J70)</f>
        <v>C</v>
      </c>
      <c r="E70" t="str">
        <f>PasteBBM!I70</f>
        <v>DET</v>
      </c>
      <c r="F70">
        <f>PasteBBM!T70</f>
        <v>73</v>
      </c>
      <c r="G70">
        <f>PasteBBM!W70</f>
        <v>27</v>
      </c>
      <c r="H70">
        <f>PasteBBM!AD70*PasteBBM!AE70</f>
        <v>5.032469296</v>
      </c>
      <c r="I70">
        <f>PasteBBM!AD70</f>
        <v>0.681451</v>
      </c>
      <c r="J70">
        <f>PasteBBM!AF70*PasteBBM!AG70</f>
        <v>2.503837078</v>
      </c>
      <c r="K70">
        <f>PasteBBM!AF70</f>
        <v>0.678018</v>
      </c>
      <c r="L70">
        <f>PasteBBM!Y70</f>
        <v>0.006712</v>
      </c>
      <c r="M70">
        <f>PasteBBM!X70</f>
        <v>12.57548</v>
      </c>
      <c r="N70">
        <f>PasteBBM!Z70</f>
        <v>10.73753</v>
      </c>
      <c r="O70">
        <f>PasteBBM!AA70</f>
        <v>2.853699</v>
      </c>
      <c r="P70">
        <f>PasteBBM!AB70</f>
        <v>0.796849</v>
      </c>
      <c r="Q70">
        <f>PasteBBM!AC70</f>
        <v>1.078219</v>
      </c>
      <c r="R70">
        <f>PasteBBM!AH70</f>
        <v>1.759452</v>
      </c>
      <c r="S70">
        <f>PasteBBM!AD70</f>
        <v>0.681451</v>
      </c>
      <c r="T70">
        <f>PasteBBM!AF70</f>
        <v>0.678018</v>
      </c>
    </row>
    <row r="71">
      <c r="A71" s="5">
        <v>70.0</v>
      </c>
      <c r="C71" t="str">
        <f>PasteBBM!H71</f>
        <v>Darius Garland</v>
      </c>
      <c r="D71" t="str">
        <f>IFERROR(REPLACE(PasteBBM!J71,FIND("/",PasteBBM!J71,1),1,","),PasteBBM!J71)</f>
        <v>G</v>
      </c>
      <c r="E71" t="str">
        <f>PasteBBM!I71</f>
        <v>CLE</v>
      </c>
      <c r="F71">
        <f>PasteBBM!T71</f>
        <v>56</v>
      </c>
      <c r="G71">
        <f>PasteBBM!W71</f>
        <v>30</v>
      </c>
      <c r="H71">
        <f>PasteBBM!AD71*PasteBBM!AE71</f>
        <v>7.010891222</v>
      </c>
      <c r="I71">
        <f>PasteBBM!AD71</f>
        <v>0.458946</v>
      </c>
      <c r="J71">
        <f>PasteBBM!AF71*PasteBBM!AG71</f>
        <v>2.715536363</v>
      </c>
      <c r="K71">
        <f>PasteBBM!AF71</f>
        <v>0.856974</v>
      </c>
      <c r="L71">
        <f>PasteBBM!Y71</f>
        <v>2.715357</v>
      </c>
      <c r="M71">
        <f>PasteBBM!X71</f>
        <v>19.45268</v>
      </c>
      <c r="N71">
        <f>PasteBBM!Z71</f>
        <v>2.588036</v>
      </c>
      <c r="O71">
        <f>PasteBBM!AA71</f>
        <v>6.3125</v>
      </c>
      <c r="P71">
        <f>PasteBBM!AB71</f>
        <v>1.252857</v>
      </c>
      <c r="Q71">
        <f>PasteBBM!AC71</f>
        <v>0.126964</v>
      </c>
      <c r="R71">
        <f>PasteBBM!AH71</f>
        <v>2.535893</v>
      </c>
      <c r="S71">
        <f>PasteBBM!AD71</f>
        <v>0.458946</v>
      </c>
      <c r="T71">
        <f>PasteBBM!AF71</f>
        <v>0.856974</v>
      </c>
    </row>
    <row r="72">
      <c r="A72" s="5">
        <v>71.0</v>
      </c>
      <c r="C72" t="str">
        <f>PasteBBM!H72</f>
        <v>Deni Avdija</v>
      </c>
      <c r="D72" t="str">
        <f>IFERROR(REPLACE(PasteBBM!J72,FIND("/",PasteBBM!J72,1),1,","),PasteBBM!J72)</f>
        <v>G,F</v>
      </c>
      <c r="E72" t="str">
        <f>PasteBBM!I72</f>
        <v>POR</v>
      </c>
      <c r="F72">
        <f>PasteBBM!T72</f>
        <v>73</v>
      </c>
      <c r="G72">
        <f>PasteBBM!W72</f>
        <v>33</v>
      </c>
      <c r="H72">
        <f>PasteBBM!AD72*PasteBBM!AE72</f>
        <v>7.43068027</v>
      </c>
      <c r="I72">
        <f>PasteBBM!AD72</f>
        <v>0.477298</v>
      </c>
      <c r="J72">
        <f>PasteBBM!AF72*PasteBBM!AG72</f>
        <v>5.047670827</v>
      </c>
      <c r="K72">
        <f>PasteBBM!AF72</f>
        <v>0.771993</v>
      </c>
      <c r="L72">
        <f>PasteBBM!Y72</f>
        <v>2.328904</v>
      </c>
      <c r="M72">
        <f>PasteBBM!X72</f>
        <v>22.23795</v>
      </c>
      <c r="N72">
        <f>PasteBBM!Z72</f>
        <v>8.344932</v>
      </c>
      <c r="O72">
        <f>PasteBBM!AA72</f>
        <v>4.658767</v>
      </c>
      <c r="P72">
        <f>PasteBBM!AB72</f>
        <v>1.054795</v>
      </c>
      <c r="Q72">
        <f>PasteBBM!AC72</f>
        <v>0.42</v>
      </c>
      <c r="R72">
        <f>PasteBBM!AH72</f>
        <v>3.29589</v>
      </c>
      <c r="S72">
        <f>PasteBBM!AD72</f>
        <v>0.477298</v>
      </c>
      <c r="T72">
        <f>PasteBBM!AF72</f>
        <v>0.771993</v>
      </c>
    </row>
    <row r="73">
      <c r="A73" s="5">
        <v>72.0</v>
      </c>
      <c r="C73" t="str">
        <f>PasteBBM!H73</f>
        <v>Matas Buzelis</v>
      </c>
      <c r="D73" t="str">
        <f>IFERROR(REPLACE(PasteBBM!J73,FIND("/",PasteBBM!J73,1),1,","),PasteBBM!J73)</f>
        <v>F</v>
      </c>
      <c r="E73" t="str">
        <f>PasteBBM!I73</f>
        <v>CHI</v>
      </c>
      <c r="F73">
        <f>PasteBBM!T73</f>
        <v>73</v>
      </c>
      <c r="G73">
        <f>PasteBBM!W73</f>
        <v>30</v>
      </c>
      <c r="H73">
        <f>PasteBBM!AD73*PasteBBM!AE73</f>
        <v>5.54342997</v>
      </c>
      <c r="I73">
        <f>PasteBBM!AD73</f>
        <v>0.479121</v>
      </c>
      <c r="J73">
        <f>PasteBBM!AF73*PasteBBM!AG73</f>
        <v>2.366028511</v>
      </c>
      <c r="K73">
        <f>PasteBBM!AF73</f>
        <v>0.817997</v>
      </c>
      <c r="L73">
        <f>PasteBBM!Y73</f>
        <v>2.104795</v>
      </c>
      <c r="M73">
        <f>PasteBBM!X73</f>
        <v>15.55767</v>
      </c>
      <c r="N73">
        <f>PasteBBM!Z73</f>
        <v>5.72</v>
      </c>
      <c r="O73">
        <f>PasteBBM!AA73</f>
        <v>2.08</v>
      </c>
      <c r="P73">
        <f>PasteBBM!AB73</f>
        <v>0.78</v>
      </c>
      <c r="Q73">
        <f>PasteBBM!AC73</f>
        <v>1.494932</v>
      </c>
      <c r="R73">
        <f>PasteBBM!AH73</f>
        <v>1.885068</v>
      </c>
      <c r="S73">
        <f>PasteBBM!AD73</f>
        <v>0.479121</v>
      </c>
      <c r="T73">
        <f>PasteBBM!AF73</f>
        <v>0.817997</v>
      </c>
    </row>
    <row r="74">
      <c r="A74" s="5">
        <v>73.0</v>
      </c>
      <c r="C74" t="str">
        <f>PasteBBM!H74</f>
        <v>Cam Johnson</v>
      </c>
      <c r="D74" t="str">
        <f>IFERROR(REPLACE(PasteBBM!J74,FIND("/",PasteBBM!J74,1),1,","),PasteBBM!J74)</f>
        <v>F</v>
      </c>
      <c r="E74" t="str">
        <f>PasteBBM!I74</f>
        <v>DEN</v>
      </c>
      <c r="F74">
        <f>PasteBBM!T74</f>
        <v>68</v>
      </c>
      <c r="G74">
        <f>PasteBBM!W74</f>
        <v>32</v>
      </c>
      <c r="H74">
        <f>PasteBBM!AD74*PasteBBM!AE74</f>
        <v>5.485003954</v>
      </c>
      <c r="I74">
        <f>PasteBBM!AD74</f>
        <v>0.465492</v>
      </c>
      <c r="J74">
        <f>PasteBBM!AF74*PasteBBM!AG74</f>
        <v>2.062059603</v>
      </c>
      <c r="K74">
        <f>PasteBBM!AF74</f>
        <v>0.875008</v>
      </c>
      <c r="L74">
        <f>PasteBBM!Y74</f>
        <v>2.806765</v>
      </c>
      <c r="M74">
        <f>PasteBBM!X74</f>
        <v>15.83882</v>
      </c>
      <c r="N74">
        <f>PasteBBM!Z74</f>
        <v>4.578676</v>
      </c>
      <c r="O74">
        <f>PasteBBM!AA74</f>
        <v>2.558676</v>
      </c>
      <c r="P74">
        <f>PasteBBM!AB74</f>
        <v>1.015441</v>
      </c>
      <c r="Q74">
        <f>PasteBBM!AC74</f>
        <v>0.469559</v>
      </c>
      <c r="R74">
        <f>PasteBBM!AH74</f>
        <v>1.481324</v>
      </c>
      <c r="S74">
        <f>PasteBBM!AD74</f>
        <v>0.465492</v>
      </c>
      <c r="T74">
        <f>PasteBBM!AF74</f>
        <v>0.875008</v>
      </c>
    </row>
    <row r="75">
      <c r="A75" s="5">
        <v>74.0</v>
      </c>
      <c r="C75" t="str">
        <f>PasteBBM!H75</f>
        <v>Michael Porter Jr.</v>
      </c>
      <c r="D75" t="str">
        <f>IFERROR(REPLACE(PasteBBM!J75,FIND("/",PasteBBM!J75,1),1,","),PasteBBM!J75)</f>
        <v>F</v>
      </c>
      <c r="E75" t="str">
        <f>PasteBBM!I75</f>
        <v>BKN</v>
      </c>
      <c r="F75">
        <f>PasteBBM!T75</f>
        <v>57</v>
      </c>
      <c r="G75">
        <f>PasteBBM!W75</f>
        <v>32</v>
      </c>
      <c r="H75">
        <f>PasteBBM!AD75*PasteBBM!AE75</f>
        <v>7.053859421</v>
      </c>
      <c r="I75">
        <f>PasteBBM!AD75</f>
        <v>0.468182</v>
      </c>
      <c r="J75">
        <f>PasteBBM!AF75*PasteBBM!AG75</f>
        <v>2.610351023</v>
      </c>
      <c r="K75">
        <f>PasteBBM!AF75</f>
        <v>0.825007</v>
      </c>
      <c r="L75">
        <f>PasteBBM!Y75</f>
        <v>2.973684</v>
      </c>
      <c r="M75">
        <f>PasteBBM!X75</f>
        <v>19.69175</v>
      </c>
      <c r="N75">
        <f>PasteBBM!Z75</f>
        <v>7</v>
      </c>
      <c r="O75">
        <f>PasteBBM!AA75</f>
        <v>1.887193</v>
      </c>
      <c r="P75">
        <f>PasteBBM!AB75</f>
        <v>0.59386</v>
      </c>
      <c r="Q75">
        <f>PasteBBM!AC75</f>
        <v>0.537018</v>
      </c>
      <c r="R75">
        <f>PasteBBM!AH75</f>
        <v>1.533333</v>
      </c>
      <c r="S75">
        <f>PasteBBM!AD75</f>
        <v>0.468182</v>
      </c>
      <c r="T75">
        <f>PasteBBM!AF75</f>
        <v>0.825007</v>
      </c>
    </row>
    <row r="76">
      <c r="A76" s="5">
        <v>75.0</v>
      </c>
      <c r="C76" t="str">
        <f>PasteBBM!H76</f>
        <v>Tobias Harris</v>
      </c>
      <c r="D76" t="str">
        <f>IFERROR(REPLACE(PasteBBM!J76,FIND("/",PasteBBM!J76,1),1,","),PasteBBM!J76)</f>
        <v>F</v>
      </c>
      <c r="E76" t="str">
        <f>PasteBBM!I76</f>
        <v>DET</v>
      </c>
      <c r="F76">
        <f>PasteBBM!T76</f>
        <v>73</v>
      </c>
      <c r="G76">
        <f>PasteBBM!W76</f>
        <v>31</v>
      </c>
      <c r="H76">
        <f>PasteBBM!AD76*PasteBBM!AE76</f>
        <v>5.24369535</v>
      </c>
      <c r="I76">
        <f>PasteBBM!AD76</f>
        <v>0.502441</v>
      </c>
      <c r="J76">
        <f>PasteBBM!AF76*PasteBBM!AG76</f>
        <v>1.864930818</v>
      </c>
      <c r="K76">
        <f>PasteBBM!AF76</f>
        <v>0.850981</v>
      </c>
      <c r="L76">
        <f>PasteBBM!Y76</f>
        <v>1.189726</v>
      </c>
      <c r="M76">
        <f>PasteBBM!X76</f>
        <v>13.54205</v>
      </c>
      <c r="N76">
        <f>PasteBBM!Z76</f>
        <v>5.544521</v>
      </c>
      <c r="O76">
        <f>PasteBBM!AA76</f>
        <v>2.021918</v>
      </c>
      <c r="P76">
        <f>PasteBBM!AB76</f>
        <v>1.108904</v>
      </c>
      <c r="Q76">
        <f>PasteBBM!AC76</f>
        <v>0.717534</v>
      </c>
      <c r="R76">
        <f>PasteBBM!AH76</f>
        <v>1.108904</v>
      </c>
      <c r="S76">
        <f>PasteBBM!AD76</f>
        <v>0.502441</v>
      </c>
      <c r="T76">
        <f>PasteBBM!AF76</f>
        <v>0.850981</v>
      </c>
    </row>
    <row r="77">
      <c r="A77" s="5">
        <v>76.0</v>
      </c>
      <c r="C77" t="str">
        <f>PasteBBM!H77</f>
        <v>Bradley Beal</v>
      </c>
      <c r="D77" t="str">
        <f>IFERROR(REPLACE(PasteBBM!J77,FIND("/",PasteBBM!J77,1),1,","),PasteBBM!J77)</f>
        <v>G</v>
      </c>
      <c r="E77" t="str">
        <f>PasteBBM!I77</f>
        <v>LAC</v>
      </c>
      <c r="F77">
        <f>PasteBBM!T77</f>
        <v>63</v>
      </c>
      <c r="G77">
        <f>PasteBBM!W77</f>
        <v>32</v>
      </c>
      <c r="H77">
        <f>PasteBBM!AD77*PasteBBM!AE77</f>
        <v>6.670311657</v>
      </c>
      <c r="I77">
        <f>PasteBBM!AD77</f>
        <v>0.491198</v>
      </c>
      <c r="J77">
        <f>PasteBBM!AF77*PasteBBM!AG77</f>
        <v>2.260794986</v>
      </c>
      <c r="K77">
        <f>PasteBBM!AF77</f>
        <v>0.830012</v>
      </c>
      <c r="L77">
        <f>PasteBBM!Y77</f>
        <v>2.102222</v>
      </c>
      <c r="M77">
        <f>PasteBBM!X77</f>
        <v>17.70365</v>
      </c>
      <c r="N77">
        <f>PasteBBM!Z77</f>
        <v>3.362698</v>
      </c>
      <c r="O77">
        <f>PasteBBM!AA77</f>
        <v>3.492063</v>
      </c>
      <c r="P77">
        <f>PasteBBM!AB77</f>
        <v>1.036508</v>
      </c>
      <c r="Q77">
        <f>PasteBBM!AC77</f>
        <v>0.516667</v>
      </c>
      <c r="R77">
        <f>PasteBBM!AH77</f>
        <v>1.616667</v>
      </c>
      <c r="S77">
        <f>PasteBBM!AD77</f>
        <v>0.491198</v>
      </c>
      <c r="T77">
        <f>PasteBBM!AF77</f>
        <v>0.830012</v>
      </c>
    </row>
    <row r="78">
      <c r="A78" s="5">
        <v>77.0</v>
      </c>
      <c r="C78" t="str">
        <f>PasteBBM!H78</f>
        <v>Alexandre Sarr</v>
      </c>
      <c r="D78" t="str">
        <f>IFERROR(REPLACE(PasteBBM!J78,FIND("/",PasteBBM!J78,1),1,","),PasteBBM!J78)</f>
        <v>F,C</v>
      </c>
      <c r="E78" t="str">
        <f>PasteBBM!I78</f>
        <v>WAS</v>
      </c>
      <c r="F78">
        <f>PasteBBM!T78</f>
        <v>73</v>
      </c>
      <c r="G78">
        <f>PasteBBM!W78</f>
        <v>31</v>
      </c>
      <c r="H78">
        <f>PasteBBM!AD78*PasteBBM!AE78</f>
        <v>6.314658379</v>
      </c>
      <c r="I78">
        <f>PasteBBM!AD78</f>
        <v>0.427608</v>
      </c>
      <c r="J78">
        <f>PasteBBM!AF78*PasteBBM!AG78</f>
        <v>2.695066913</v>
      </c>
      <c r="K78">
        <f>PasteBBM!AF78</f>
        <v>0.729991</v>
      </c>
      <c r="L78">
        <f>PasteBBM!Y78</f>
        <v>1.937534</v>
      </c>
      <c r="M78">
        <f>PasteBBM!X78</f>
        <v>17.26192</v>
      </c>
      <c r="N78">
        <f>PasteBBM!Z78</f>
        <v>7.916027</v>
      </c>
      <c r="O78">
        <f>PasteBBM!AA78</f>
        <v>3.259589</v>
      </c>
      <c r="P78">
        <f>PasteBBM!AB78</f>
        <v>0.748493</v>
      </c>
      <c r="Q78">
        <f>PasteBBM!AC78</f>
        <v>1.796027</v>
      </c>
      <c r="R78">
        <f>PasteBBM!AH78</f>
        <v>2.036164</v>
      </c>
      <c r="S78">
        <f>PasteBBM!AD78</f>
        <v>0.427608</v>
      </c>
      <c r="T78">
        <f>PasteBBM!AF78</f>
        <v>0.729991</v>
      </c>
    </row>
    <row r="79">
      <c r="A79" s="5">
        <v>78.0</v>
      </c>
      <c r="C79" t="str">
        <f>PasteBBM!H79</f>
        <v>Cason Wallace</v>
      </c>
      <c r="D79" t="str">
        <f>IFERROR(REPLACE(PasteBBM!J79,FIND("/",PasteBBM!J79,1),1,","),PasteBBM!J79)</f>
        <v>G,F</v>
      </c>
      <c r="E79" t="str">
        <f>PasteBBM!I79</f>
        <v>OKC</v>
      </c>
      <c r="F79">
        <f>PasteBBM!T79</f>
        <v>73</v>
      </c>
      <c r="G79">
        <f>PasteBBM!W79</f>
        <v>28</v>
      </c>
      <c r="H79">
        <f>PasteBBM!AD79*PasteBBM!AE79</f>
        <v>3.908491185</v>
      </c>
      <c r="I79">
        <f>PasteBBM!AD79</f>
        <v>0.505295</v>
      </c>
      <c r="J79">
        <f>PasteBBM!AF79*PasteBBM!AG79</f>
        <v>0.6172607037</v>
      </c>
      <c r="K79">
        <f>PasteBBM!AF79</f>
        <v>0.797946</v>
      </c>
      <c r="L79">
        <f>PasteBBM!Y79</f>
        <v>1.197397</v>
      </c>
      <c r="M79">
        <f>PasteBBM!X79</f>
        <v>9.631644</v>
      </c>
      <c r="N79">
        <f>PasteBBM!Z79</f>
        <v>3.093973</v>
      </c>
      <c r="O79">
        <f>PasteBBM!AA79</f>
        <v>2.677534</v>
      </c>
      <c r="P79">
        <f>PasteBBM!AB79</f>
        <v>1.833562</v>
      </c>
      <c r="Q79">
        <f>PasteBBM!AC79</f>
        <v>0.418082</v>
      </c>
      <c r="R79">
        <f>PasteBBM!AH79</f>
        <v>1.014795</v>
      </c>
      <c r="S79">
        <f>PasteBBM!AD79</f>
        <v>0.505295</v>
      </c>
      <c r="T79">
        <f>PasteBBM!AF79</f>
        <v>0.797946</v>
      </c>
    </row>
    <row r="80">
      <c r="A80" s="5">
        <v>79.0</v>
      </c>
      <c r="C80" t="str">
        <f>PasteBBM!H80</f>
        <v>Jaylen Brown</v>
      </c>
      <c r="D80" t="str">
        <f>IFERROR(REPLACE(PasteBBM!J80,FIND("/",PasteBBM!J80,1),1,","),PasteBBM!J80)</f>
        <v>G,F</v>
      </c>
      <c r="E80" t="str">
        <f>PasteBBM!I80</f>
        <v>BOS</v>
      </c>
      <c r="F80">
        <f>PasteBBM!T80</f>
        <v>54</v>
      </c>
      <c r="G80">
        <f>PasteBBM!W80</f>
        <v>33</v>
      </c>
      <c r="H80">
        <f>PasteBBM!AD80*PasteBBM!AE80</f>
        <v>9.054074137</v>
      </c>
      <c r="I80">
        <f>PasteBBM!AD80</f>
        <v>0.471803</v>
      </c>
      <c r="J80">
        <f>PasteBBM!AF80*PasteBBM!AG80</f>
        <v>4.521113998</v>
      </c>
      <c r="K80">
        <f>PasteBBM!AF80</f>
        <v>0.759993</v>
      </c>
      <c r="L80">
        <f>PasteBBM!Y80</f>
        <v>1.963148</v>
      </c>
      <c r="M80">
        <f>PasteBBM!X80</f>
        <v>24.59241</v>
      </c>
      <c r="N80">
        <f>PasteBBM!Z80</f>
        <v>6.514815</v>
      </c>
      <c r="O80">
        <f>PasteBBM!AA80</f>
        <v>5.240185</v>
      </c>
      <c r="P80">
        <f>PasteBBM!AB80</f>
        <v>1.062222</v>
      </c>
      <c r="Q80">
        <f>PasteBBM!AC80</f>
        <v>0.353889</v>
      </c>
      <c r="R80">
        <f>PasteBBM!AH80</f>
        <v>2.832593</v>
      </c>
      <c r="S80">
        <f>PasteBBM!AD80</f>
        <v>0.471803</v>
      </c>
      <c r="T80">
        <f>PasteBBM!AF80</f>
        <v>0.759993</v>
      </c>
    </row>
    <row r="81">
      <c r="A81" s="5">
        <v>80.0</v>
      </c>
      <c r="C81" t="str">
        <f>PasteBBM!H81</f>
        <v>Kel'el Ware</v>
      </c>
      <c r="D81" t="str">
        <f>IFERROR(REPLACE(PasteBBM!J81,FIND("/",PasteBBM!J81,1),1,","),PasteBBM!J81)</f>
        <v>C</v>
      </c>
      <c r="E81" t="str">
        <f>PasteBBM!I81</f>
        <v>MIA</v>
      </c>
      <c r="F81">
        <f>PasteBBM!T81</f>
        <v>68</v>
      </c>
      <c r="G81">
        <f>PasteBBM!W81</f>
        <v>26</v>
      </c>
      <c r="H81">
        <f>PasteBBM!AD81*PasteBBM!AE81</f>
        <v>4.746468588</v>
      </c>
      <c r="I81">
        <f>PasteBBM!AD81</f>
        <v>0.562368</v>
      </c>
      <c r="J81">
        <f>PasteBBM!AF81*PasteBBM!AG81</f>
        <v>0.9772066357</v>
      </c>
      <c r="K81">
        <f>PasteBBM!AF81</f>
        <v>0.68105</v>
      </c>
      <c r="L81">
        <f>PasteBBM!Y81</f>
        <v>0.616765</v>
      </c>
      <c r="M81">
        <f>PasteBBM!X81</f>
        <v>11.08691</v>
      </c>
      <c r="N81">
        <f>PasteBBM!Z81</f>
        <v>9.555</v>
      </c>
      <c r="O81">
        <f>PasteBBM!AA81</f>
        <v>1.327059</v>
      </c>
      <c r="P81">
        <f>PasteBBM!AB81</f>
        <v>0.6975</v>
      </c>
      <c r="Q81">
        <f>PasteBBM!AC81</f>
        <v>1.212647</v>
      </c>
      <c r="R81">
        <f>PasteBBM!AH81</f>
        <v>1.055588</v>
      </c>
      <c r="S81">
        <f>PasteBBM!AD81</f>
        <v>0.562368</v>
      </c>
      <c r="T81">
        <f>PasteBBM!AF81</f>
        <v>0.68105</v>
      </c>
    </row>
    <row r="82">
      <c r="A82" s="5">
        <v>81.0</v>
      </c>
      <c r="C82" t="str">
        <f>PasteBBM!H82</f>
        <v>Pascal Siakam</v>
      </c>
      <c r="D82" t="str">
        <f>IFERROR(REPLACE(PasteBBM!J82,FIND("/",PasteBBM!J82,1),1,","),PasteBBM!J82)</f>
        <v>F</v>
      </c>
      <c r="E82" t="str">
        <f>PasteBBM!I82</f>
        <v>IND</v>
      </c>
      <c r="F82">
        <f>PasteBBM!T82</f>
        <v>73</v>
      </c>
      <c r="G82">
        <f>PasteBBM!W82</f>
        <v>33</v>
      </c>
      <c r="H82">
        <f>PasteBBM!AD82*PasteBBM!AE82</f>
        <v>8.390412108</v>
      </c>
      <c r="I82">
        <f>PasteBBM!AD82</f>
        <v>0.4932</v>
      </c>
      <c r="J82">
        <f>PasteBBM!AF82*PasteBBM!AG82</f>
        <v>3.935887984</v>
      </c>
      <c r="K82">
        <f>PasteBBM!AF82</f>
        <v>0.722999</v>
      </c>
      <c r="L82">
        <f>PasteBBM!Y82</f>
        <v>1.548082</v>
      </c>
      <c r="M82">
        <f>PasteBBM!X82</f>
        <v>22.26479</v>
      </c>
      <c r="N82">
        <f>PasteBBM!Z82</f>
        <v>6.943699</v>
      </c>
      <c r="O82">
        <f>PasteBBM!AA82</f>
        <v>5.138356</v>
      </c>
      <c r="P82">
        <f>PasteBBM!AB82</f>
        <v>0.908082</v>
      </c>
      <c r="Q82">
        <f>PasteBBM!AC82</f>
        <v>0.486027</v>
      </c>
      <c r="R82">
        <f>PasteBBM!AH82</f>
        <v>2.222055</v>
      </c>
      <c r="S82">
        <f>PasteBBM!AD82</f>
        <v>0.4932</v>
      </c>
      <c r="T82">
        <f>PasteBBM!AF82</f>
        <v>0.722999</v>
      </c>
    </row>
    <row r="83">
      <c r="A83" s="5">
        <v>82.0</v>
      </c>
      <c r="C83" t="str">
        <f>PasteBBM!H83</f>
        <v>Christian Braun</v>
      </c>
      <c r="D83" t="str">
        <f>IFERROR(REPLACE(PasteBBM!J83,FIND("/",PasteBBM!J83,1),1,","),PasteBBM!J83)</f>
        <v>G,F</v>
      </c>
      <c r="E83" t="str">
        <f>PasteBBM!I83</f>
        <v>DEN</v>
      </c>
      <c r="F83">
        <f>PasteBBM!T83</f>
        <v>73</v>
      </c>
      <c r="G83">
        <f>PasteBBM!W83</f>
        <v>32</v>
      </c>
      <c r="H83">
        <f>PasteBBM!AD83*PasteBBM!AE83</f>
        <v>5.49629633</v>
      </c>
      <c r="I83">
        <f>PasteBBM!AD83</f>
        <v>0.551526</v>
      </c>
      <c r="J83">
        <f>PasteBBM!AF83*PasteBBM!AG83</f>
        <v>2.020548201</v>
      </c>
      <c r="K83">
        <f>PasteBBM!AF83</f>
        <v>0.833993</v>
      </c>
      <c r="L83">
        <f>PasteBBM!Y83</f>
        <v>1.074247</v>
      </c>
      <c r="M83">
        <f>PasteBBM!X83</f>
        <v>14.0874</v>
      </c>
      <c r="N83">
        <f>PasteBBM!Z83</f>
        <v>5.05</v>
      </c>
      <c r="O83">
        <f>PasteBBM!AA83</f>
        <v>3.164658</v>
      </c>
      <c r="P83">
        <f>PasteBBM!AB83</f>
        <v>0.875342</v>
      </c>
      <c r="Q83">
        <f>PasteBBM!AC83</f>
        <v>0.340685</v>
      </c>
      <c r="R83">
        <f>PasteBBM!AH83</f>
        <v>0.952329</v>
      </c>
      <c r="S83">
        <f>PasteBBM!AD83</f>
        <v>0.551526</v>
      </c>
      <c r="T83">
        <f>PasteBBM!AF83</f>
        <v>0.833993</v>
      </c>
    </row>
    <row r="84">
      <c r="A84" s="5">
        <v>83.0</v>
      </c>
      <c r="C84" t="str">
        <f>PasteBBM!H84</f>
        <v>Devin Vassell</v>
      </c>
      <c r="D84" t="str">
        <f>IFERROR(REPLACE(PasteBBM!J84,FIND("/",PasteBBM!J84,1),1,","),PasteBBM!J84)</f>
        <v>G,F</v>
      </c>
      <c r="E84" t="str">
        <f>PasteBBM!I84</f>
        <v>SAS</v>
      </c>
      <c r="F84">
        <f>PasteBBM!T84</f>
        <v>68</v>
      </c>
      <c r="G84">
        <f>PasteBBM!W84</f>
        <v>29</v>
      </c>
      <c r="H84">
        <f>PasteBBM!AD84*PasteBBM!AE84</f>
        <v>5.490005927</v>
      </c>
      <c r="I84">
        <f>PasteBBM!AD84</f>
        <v>0.454526</v>
      </c>
      <c r="J84">
        <f>PasteBBM!AF84*PasteBBM!AG84</f>
        <v>0.9830875497</v>
      </c>
      <c r="K84">
        <f>PasteBBM!AF84</f>
        <v>0.813953</v>
      </c>
      <c r="L84">
        <f>PasteBBM!Y84</f>
        <v>2.610735</v>
      </c>
      <c r="M84">
        <f>PasteBBM!X84</f>
        <v>14.57382</v>
      </c>
      <c r="N84">
        <f>PasteBBM!Z84</f>
        <v>4.005588</v>
      </c>
      <c r="O84">
        <f>PasteBBM!AA84</f>
        <v>2.280147</v>
      </c>
      <c r="P84">
        <f>PasteBBM!AB84</f>
        <v>1.270147</v>
      </c>
      <c r="Q84">
        <f>PasteBBM!AC84</f>
        <v>0.436912</v>
      </c>
      <c r="R84">
        <f>PasteBBM!AH84</f>
        <v>1.183382</v>
      </c>
      <c r="S84">
        <f>PasteBBM!AD84</f>
        <v>0.454526</v>
      </c>
      <c r="T84">
        <f>PasteBBM!AF84</f>
        <v>0.813953</v>
      </c>
    </row>
    <row r="85">
      <c r="A85" s="5">
        <v>84.0</v>
      </c>
      <c r="C85" t="str">
        <f>PasteBBM!H85</f>
        <v>Jrue Holiday</v>
      </c>
      <c r="D85" t="str">
        <f>IFERROR(REPLACE(PasteBBM!J85,FIND("/",PasteBBM!J85,1),1,","),PasteBBM!J85)</f>
        <v>G</v>
      </c>
      <c r="E85" t="str">
        <f>PasteBBM!I85</f>
        <v>POR</v>
      </c>
      <c r="F85">
        <f>PasteBBM!T85</f>
        <v>61</v>
      </c>
      <c r="G85">
        <f>PasteBBM!W85</f>
        <v>31</v>
      </c>
      <c r="H85">
        <f>PasteBBM!AD85*PasteBBM!AE85</f>
        <v>4.600653779</v>
      </c>
      <c r="I85">
        <f>PasteBBM!AD85</f>
        <v>0.436481</v>
      </c>
      <c r="J85">
        <f>PasteBBM!AF85*PasteBBM!AG85</f>
        <v>1.01098308</v>
      </c>
      <c r="K85">
        <f>PasteBBM!AF85</f>
        <v>0.869939</v>
      </c>
      <c r="L85">
        <f>PasteBBM!Y85</f>
        <v>2.04459</v>
      </c>
      <c r="M85">
        <f>PasteBBM!X85</f>
        <v>12.25689</v>
      </c>
      <c r="N85">
        <f>PasteBBM!Z85</f>
        <v>4.611311</v>
      </c>
      <c r="O85">
        <f>PasteBBM!AA85</f>
        <v>5.27</v>
      </c>
      <c r="P85">
        <f>PasteBBM!AB85</f>
        <v>1.187541</v>
      </c>
      <c r="Q85">
        <f>PasteBBM!AC85</f>
        <v>0.526557</v>
      </c>
      <c r="R85">
        <f>PasteBBM!AH85</f>
        <v>1.712787</v>
      </c>
      <c r="S85">
        <f>PasteBBM!AD85</f>
        <v>0.436481</v>
      </c>
      <c r="T85">
        <f>PasteBBM!AF85</f>
        <v>0.869939</v>
      </c>
    </row>
    <row r="86">
      <c r="A86" s="5">
        <v>85.0</v>
      </c>
      <c r="C86" t="str">
        <f>PasteBBM!H86</f>
        <v>Alperen Sengun</v>
      </c>
      <c r="D86" t="str">
        <f>IFERROR(REPLACE(PasteBBM!J86,FIND("/",PasteBBM!J86,1),1,","),PasteBBM!J86)</f>
        <v>C</v>
      </c>
      <c r="E86" t="str">
        <f>PasteBBM!I86</f>
        <v>HOU</v>
      </c>
      <c r="F86">
        <f>PasteBBM!T86</f>
        <v>73</v>
      </c>
      <c r="G86">
        <f>PasteBBM!W86</f>
        <v>32</v>
      </c>
      <c r="H86">
        <f>PasteBBM!AD86*PasteBBM!AE86</f>
        <v>8.416845506</v>
      </c>
      <c r="I86">
        <f>PasteBBM!AD86</f>
        <v>0.525203</v>
      </c>
      <c r="J86">
        <f>PasteBBM!AF86*PasteBBM!AG86</f>
        <v>4.603835655</v>
      </c>
      <c r="K86">
        <f>PasteBBM!AF86</f>
        <v>0.684007</v>
      </c>
      <c r="L86">
        <f>PasteBBM!Y86</f>
        <v>0.259589</v>
      </c>
      <c r="M86">
        <f>PasteBBM!X86</f>
        <v>21.69712</v>
      </c>
      <c r="N86">
        <f>PasteBBM!Z86</f>
        <v>9.897945</v>
      </c>
      <c r="O86">
        <f>PasteBBM!AA86</f>
        <v>5.252055</v>
      </c>
      <c r="P86">
        <f>PasteBBM!AB86</f>
        <v>1.01</v>
      </c>
      <c r="Q86">
        <f>PasteBBM!AC86</f>
        <v>0.81137</v>
      </c>
      <c r="R86">
        <f>PasteBBM!AH86</f>
        <v>2.635342</v>
      </c>
      <c r="S86">
        <f>PasteBBM!AD86</f>
        <v>0.525203</v>
      </c>
      <c r="T86">
        <f>PasteBBM!AF86</f>
        <v>0.684007</v>
      </c>
    </row>
    <row r="87">
      <c r="A87" s="5">
        <v>86.0</v>
      </c>
      <c r="C87" t="str">
        <f>PasteBBM!H87</f>
        <v>Paolo Banchero</v>
      </c>
      <c r="D87" t="str">
        <f>IFERROR(REPLACE(PasteBBM!J87,FIND("/",PasteBBM!J87,1),1,","),PasteBBM!J87)</f>
        <v>F</v>
      </c>
      <c r="E87" t="str">
        <f>PasteBBM!I87</f>
        <v>ORL</v>
      </c>
      <c r="F87">
        <f>PasteBBM!T87</f>
        <v>73</v>
      </c>
      <c r="G87">
        <f>PasteBBM!W87</f>
        <v>35</v>
      </c>
      <c r="H87">
        <f>PasteBBM!AD87*PasteBBM!AE87</f>
        <v>9.10081185</v>
      </c>
      <c r="I87">
        <f>PasteBBM!AD87</f>
        <v>0.468228</v>
      </c>
      <c r="J87">
        <f>PasteBBM!AF87*PasteBBM!AG87</f>
        <v>6.006712862</v>
      </c>
      <c r="K87">
        <f>PasteBBM!AF87</f>
        <v>0.755002</v>
      </c>
      <c r="L87">
        <f>PasteBBM!Y87</f>
        <v>1.899589</v>
      </c>
      <c r="M87">
        <f>PasteBBM!X87</f>
        <v>26.10795</v>
      </c>
      <c r="N87">
        <f>PasteBBM!Z87</f>
        <v>7.860411</v>
      </c>
      <c r="O87">
        <f>PasteBBM!AA87</f>
        <v>4.716301</v>
      </c>
      <c r="P87">
        <f>PasteBBM!AB87</f>
        <v>0.785205</v>
      </c>
      <c r="Q87">
        <f>PasteBBM!AC87</f>
        <v>0.571644</v>
      </c>
      <c r="R87">
        <f>PasteBBM!AH87</f>
        <v>2.715479</v>
      </c>
      <c r="S87">
        <f>PasteBBM!AD87</f>
        <v>0.468228</v>
      </c>
      <c r="T87">
        <f>PasteBBM!AF87</f>
        <v>0.755002</v>
      </c>
    </row>
    <row r="88">
      <c r="A88" s="5">
        <v>87.0</v>
      </c>
      <c r="C88" t="str">
        <f>PasteBBM!H88</f>
        <v>Norman Powell</v>
      </c>
      <c r="D88" t="str">
        <f>IFERROR(REPLACE(PasteBBM!J88,FIND("/",PasteBBM!J88,1),1,","),PasteBBM!J88)</f>
        <v>G,F</v>
      </c>
      <c r="E88" t="str">
        <f>PasteBBM!I88</f>
        <v>MIA</v>
      </c>
      <c r="F88">
        <f>PasteBBM!T88</f>
        <v>68</v>
      </c>
      <c r="G88">
        <f>PasteBBM!W88</f>
        <v>34</v>
      </c>
      <c r="H88">
        <f>PasteBBM!AD88*PasteBBM!AE88</f>
        <v>7.064271932</v>
      </c>
      <c r="I88">
        <f>PasteBBM!AD88</f>
        <v>0.48002</v>
      </c>
      <c r="J88">
        <f>PasteBBM!AF88*PasteBBM!AG88</f>
        <v>3.194559394</v>
      </c>
      <c r="K88">
        <f>PasteBBM!AF88</f>
        <v>0.80399</v>
      </c>
      <c r="L88">
        <f>PasteBBM!Y88</f>
        <v>2.721324</v>
      </c>
      <c r="M88">
        <f>PasteBBM!X88</f>
        <v>20.04441</v>
      </c>
      <c r="N88">
        <f>PasteBBM!Z88</f>
        <v>3.470882</v>
      </c>
      <c r="O88">
        <f>PasteBBM!AA88</f>
        <v>1.995</v>
      </c>
      <c r="P88">
        <f>PasteBBM!AB88</f>
        <v>1.193235</v>
      </c>
      <c r="Q88">
        <f>PasteBBM!AC88</f>
        <v>0.137794</v>
      </c>
      <c r="R88">
        <f>PasteBBM!AH88</f>
        <v>1.586324</v>
      </c>
      <c r="S88">
        <f>PasteBBM!AD88</f>
        <v>0.48002</v>
      </c>
      <c r="T88">
        <f>PasteBBM!AF88</f>
        <v>0.80399</v>
      </c>
    </row>
    <row r="89">
      <c r="A89" s="5">
        <v>88.0</v>
      </c>
      <c r="C89" t="str">
        <f>PasteBBM!H89</f>
        <v>Kyrie Irving</v>
      </c>
      <c r="D89" t="str">
        <f>IFERROR(REPLACE(PasteBBM!J89,FIND("/",PasteBBM!J89,1),1,","),PasteBBM!J89)</f>
        <v>G</v>
      </c>
      <c r="E89" t="str">
        <f>PasteBBM!I89</f>
        <v>DAL</v>
      </c>
      <c r="F89">
        <f>PasteBBM!T89</f>
        <v>10</v>
      </c>
      <c r="G89">
        <f>PasteBBM!W89</f>
        <v>28</v>
      </c>
      <c r="H89">
        <f>PasteBBM!AD89*PasteBBM!AE89</f>
        <v>6.734006651</v>
      </c>
      <c r="I89">
        <f>PasteBBM!AD89</f>
        <v>0.453499</v>
      </c>
      <c r="J89">
        <f>PasteBBM!AF89*PasteBBM!AG89</f>
        <v>2.683999752</v>
      </c>
      <c r="K89">
        <f>PasteBBM!AF89</f>
        <v>0.904008</v>
      </c>
      <c r="L89">
        <f>PasteBBM!Y89</f>
        <v>2.257</v>
      </c>
      <c r="M89">
        <f>PasteBBM!X89</f>
        <v>18.409</v>
      </c>
      <c r="N89">
        <f>PasteBBM!Z89</f>
        <v>3.653</v>
      </c>
      <c r="O89">
        <f>PasteBBM!AA89</f>
        <v>3.067</v>
      </c>
      <c r="P89">
        <f>PasteBBM!AB89</f>
        <v>1.021</v>
      </c>
      <c r="Q89">
        <f>PasteBBM!AC89</f>
        <v>0.424</v>
      </c>
      <c r="R89">
        <f>PasteBBM!AH89</f>
        <v>1.747</v>
      </c>
      <c r="S89">
        <f>PasteBBM!AD89</f>
        <v>0.453499</v>
      </c>
      <c r="T89">
        <f>PasteBBM!AF89</f>
        <v>0.904008</v>
      </c>
    </row>
    <row r="90">
      <c r="A90" s="5">
        <v>89.0</v>
      </c>
      <c r="C90" t="str">
        <f>PasteBBM!H90</f>
        <v>Shaedon Sharpe</v>
      </c>
      <c r="D90" t="str">
        <f>IFERROR(REPLACE(PasteBBM!J90,FIND("/",PasteBBM!J90,1),1,","),PasteBBM!J90)</f>
        <v>G,F</v>
      </c>
      <c r="E90" t="str">
        <f>PasteBBM!I90</f>
        <v>POR</v>
      </c>
      <c r="F90">
        <f>PasteBBM!T90</f>
        <v>68</v>
      </c>
      <c r="G90">
        <f>PasteBBM!W90</f>
        <v>33</v>
      </c>
      <c r="H90">
        <f>PasteBBM!AD90*PasteBBM!AE90</f>
        <v>8.556473658</v>
      </c>
      <c r="I90">
        <f>PasteBBM!AD90</f>
        <v>0.467503</v>
      </c>
      <c r="J90">
        <f>PasteBBM!AF90*PasteBBM!AG90</f>
        <v>3.605586222</v>
      </c>
      <c r="K90">
        <f>PasteBBM!AF90</f>
        <v>0.788005</v>
      </c>
      <c r="L90">
        <f>PasteBBM!Y90</f>
        <v>2.597206</v>
      </c>
      <c r="M90">
        <f>PasteBBM!X90</f>
        <v>23.31574</v>
      </c>
      <c r="N90">
        <f>PasteBBM!Z90</f>
        <v>5.329559</v>
      </c>
      <c r="O90">
        <f>PasteBBM!AA90</f>
        <v>3.366029</v>
      </c>
      <c r="P90">
        <f>PasteBBM!AB90</f>
        <v>0.984559</v>
      </c>
      <c r="Q90">
        <f>PasteBBM!AC90</f>
        <v>0.21</v>
      </c>
      <c r="R90">
        <f>PasteBBM!AH90</f>
        <v>2.240147</v>
      </c>
      <c r="S90">
        <f>PasteBBM!AD90</f>
        <v>0.467503</v>
      </c>
      <c r="T90">
        <f>PasteBBM!AF90</f>
        <v>0.788005</v>
      </c>
    </row>
    <row r="91">
      <c r="A91" s="5">
        <v>90.0</v>
      </c>
      <c r="C91" t="str">
        <f>PasteBBM!H91</f>
        <v>Cooper Flagg</v>
      </c>
      <c r="D91" t="str">
        <f>IFERROR(REPLACE(PasteBBM!J91,FIND("/",PasteBBM!J91,1),1,","),PasteBBM!J91)</f>
        <v>G,F</v>
      </c>
      <c r="E91" t="str">
        <f>PasteBBM!I91</f>
        <v>DAL</v>
      </c>
      <c r="F91">
        <f>PasteBBM!T91</f>
        <v>73</v>
      </c>
      <c r="G91">
        <f>PasteBBM!W91</f>
        <v>34</v>
      </c>
      <c r="H91">
        <f>PasteBBM!AD91*PasteBBM!AE91</f>
        <v>6.396979459</v>
      </c>
      <c r="I91">
        <f>PasteBBM!AD91</f>
        <v>0.429869</v>
      </c>
      <c r="J91">
        <f>PasteBBM!AF91*PasteBBM!AG91</f>
        <v>3.773427</v>
      </c>
      <c r="K91">
        <f>PasteBBM!AF91</f>
        <v>0.817996</v>
      </c>
      <c r="L91">
        <f>PasteBBM!Y91</f>
        <v>1.85</v>
      </c>
      <c r="M91">
        <f>PasteBBM!X91</f>
        <v>18.4174</v>
      </c>
      <c r="N91">
        <f>PasteBBM!Z91</f>
        <v>5.937945</v>
      </c>
      <c r="O91">
        <f>PasteBBM!AA91</f>
        <v>4.292466</v>
      </c>
      <c r="P91">
        <f>PasteBBM!AB91</f>
        <v>1.287808</v>
      </c>
      <c r="Q91">
        <f>PasteBBM!AC91</f>
        <v>1.001644</v>
      </c>
      <c r="R91">
        <f>PasteBBM!AH91</f>
        <v>3.147808</v>
      </c>
      <c r="S91">
        <f>PasteBBM!AD91</f>
        <v>0.429869</v>
      </c>
      <c r="T91">
        <f>PasteBBM!AF91</f>
        <v>0.817996</v>
      </c>
    </row>
    <row r="92">
      <c r="A92" s="5">
        <v>91.0</v>
      </c>
      <c r="C92" t="str">
        <f>PasteBBM!H92</f>
        <v>Dereck Lively II</v>
      </c>
      <c r="D92" t="str">
        <f>IFERROR(REPLACE(PasteBBM!J92,FIND("/",PasteBBM!J92,1),1,","),PasteBBM!J92)</f>
        <v>C</v>
      </c>
      <c r="E92" t="str">
        <f>PasteBBM!I92</f>
        <v>DAL</v>
      </c>
      <c r="F92">
        <f>PasteBBM!T92</f>
        <v>61</v>
      </c>
      <c r="G92">
        <f>PasteBBM!W92</f>
        <v>24</v>
      </c>
      <c r="H92">
        <f>PasteBBM!AD92*PasteBBM!AE92</f>
        <v>3.980000665</v>
      </c>
      <c r="I92">
        <f>PasteBBM!AD92</f>
        <v>0.72299</v>
      </c>
      <c r="J92">
        <f>PasteBBM!AF92*PasteBBM!AG92</f>
        <v>1.198196561</v>
      </c>
      <c r="K92">
        <f>PasteBBM!AF92</f>
        <v>0.67203</v>
      </c>
      <c r="L92">
        <f>PasteBBM!Y92</f>
        <v>0</v>
      </c>
      <c r="M92">
        <f>PasteBBM!X92</f>
        <v>9.158197</v>
      </c>
      <c r="N92">
        <f>PasteBBM!Z92</f>
        <v>7.827541</v>
      </c>
      <c r="O92">
        <f>PasteBBM!AA92</f>
        <v>1.90377</v>
      </c>
      <c r="P92">
        <f>PasteBBM!AB92</f>
        <v>0.610492</v>
      </c>
      <c r="Q92">
        <f>PasteBBM!AC92</f>
        <v>1.508197</v>
      </c>
      <c r="R92">
        <f>PasteBBM!AH92</f>
        <v>1.056393</v>
      </c>
      <c r="S92">
        <f>PasteBBM!AD92</f>
        <v>0.72299</v>
      </c>
      <c r="T92">
        <f>PasteBBM!AF92</f>
        <v>0.67203</v>
      </c>
    </row>
    <row r="93">
      <c r="A93" s="5">
        <v>92.0</v>
      </c>
      <c r="C93" t="str">
        <f>PasteBBM!H93</f>
        <v>Josh Hart</v>
      </c>
      <c r="D93" t="str">
        <f>IFERROR(REPLACE(PasteBBM!J93,FIND("/",PasteBBM!J93,1),1,","),PasteBBM!J93)</f>
        <v>G,F</v>
      </c>
      <c r="E93" t="str">
        <f>PasteBBM!I93</f>
        <v>NYK</v>
      </c>
      <c r="F93">
        <f>PasteBBM!T93</f>
        <v>73</v>
      </c>
      <c r="G93">
        <f>PasteBBM!W93</f>
        <v>33</v>
      </c>
      <c r="H93">
        <f>PasteBBM!AD93*PasteBBM!AE93</f>
        <v>4.54164477</v>
      </c>
      <c r="I93">
        <f>PasteBBM!AD93</f>
        <v>0.49429</v>
      </c>
      <c r="J93">
        <f>PasteBBM!AF93*PasteBBM!AG93</f>
        <v>1.720546585</v>
      </c>
      <c r="K93">
        <f>PasteBBM!AF93</f>
        <v>0.742975</v>
      </c>
      <c r="L93">
        <f>PasteBBM!Y93</f>
        <v>0.923288</v>
      </c>
      <c r="M93">
        <f>PasteBBM!X93</f>
        <v>11.72712</v>
      </c>
      <c r="N93">
        <f>PasteBBM!Z93</f>
        <v>7.486849</v>
      </c>
      <c r="O93">
        <f>PasteBBM!AA93</f>
        <v>4.696301</v>
      </c>
      <c r="P93">
        <f>PasteBBM!AB93</f>
        <v>1.225068</v>
      </c>
      <c r="Q93">
        <f>PasteBBM!AC93</f>
        <v>0.276027</v>
      </c>
      <c r="R93">
        <f>PasteBBM!AH93</f>
        <v>1.565479</v>
      </c>
      <c r="S93">
        <f>PasteBBM!AD93</f>
        <v>0.49429</v>
      </c>
      <c r="T93">
        <f>PasteBBM!AF93</f>
        <v>0.742975</v>
      </c>
    </row>
    <row r="94">
      <c r="A94" s="5">
        <v>93.0</v>
      </c>
      <c r="C94" t="str">
        <f>PasteBBM!H94</f>
        <v>Jordan Poole</v>
      </c>
      <c r="D94" t="str">
        <f>IFERROR(REPLACE(PasteBBM!J94,FIND("/",PasteBBM!J94,1),1,","),PasteBBM!J94)</f>
        <v>G</v>
      </c>
      <c r="E94" t="str">
        <f>PasteBBM!I94</f>
        <v>NOR</v>
      </c>
      <c r="F94">
        <f>PasteBBM!T94</f>
        <v>68</v>
      </c>
      <c r="G94">
        <f>PasteBBM!W94</f>
        <v>31</v>
      </c>
      <c r="H94">
        <f>PasteBBM!AD94*PasteBBM!AE94</f>
        <v>6.525143903</v>
      </c>
      <c r="I94">
        <f>PasteBBM!AD94</f>
        <v>0.43492</v>
      </c>
      <c r="J94">
        <f>PasteBBM!AF94*PasteBBM!AG94</f>
        <v>2.697498606</v>
      </c>
      <c r="K94">
        <f>PasteBBM!AF94</f>
        <v>0.89899</v>
      </c>
      <c r="L94">
        <f>PasteBBM!Y94</f>
        <v>3.177794</v>
      </c>
      <c r="M94">
        <f>PasteBBM!X94</f>
        <v>18.92559</v>
      </c>
      <c r="N94">
        <f>PasteBBM!Z94</f>
        <v>2.935294</v>
      </c>
      <c r="O94">
        <f>PasteBBM!AA94</f>
        <v>4.305147</v>
      </c>
      <c r="P94">
        <f>PasteBBM!AB94</f>
        <v>1.196324</v>
      </c>
      <c r="Q94">
        <f>PasteBBM!AC94</f>
        <v>0.326176</v>
      </c>
      <c r="R94">
        <f>PasteBBM!AH94</f>
        <v>2.739559</v>
      </c>
      <c r="S94">
        <f>PasteBBM!AD94</f>
        <v>0.43492</v>
      </c>
      <c r="T94">
        <f>PasteBBM!AF94</f>
        <v>0.89899</v>
      </c>
    </row>
    <row r="95">
      <c r="A95" s="5">
        <v>94.0</v>
      </c>
      <c r="C95" t="str">
        <f>PasteBBM!H95</f>
        <v>Aaron Nesmith</v>
      </c>
      <c r="D95" t="str">
        <f>IFERROR(REPLACE(PasteBBM!J95,FIND("/",PasteBBM!J95,1),1,","),PasteBBM!J95)</f>
        <v>F</v>
      </c>
      <c r="E95" t="str">
        <f>PasteBBM!I95</f>
        <v>IND</v>
      </c>
      <c r="F95">
        <f>PasteBBM!T95</f>
        <v>68</v>
      </c>
      <c r="G95">
        <f>PasteBBM!W95</f>
        <v>29</v>
      </c>
      <c r="H95">
        <f>PasteBBM!AD95*PasteBBM!AE95</f>
        <v>5.186026655</v>
      </c>
      <c r="I95">
        <f>PasteBBM!AD95</f>
        <v>0.47477</v>
      </c>
      <c r="J95">
        <f>PasteBBM!AF95*PasteBBM!AG95</f>
        <v>2.228234621</v>
      </c>
      <c r="K95">
        <f>PasteBBM!AF95</f>
        <v>0.849994</v>
      </c>
      <c r="L95">
        <f>PasteBBM!Y95</f>
        <v>2.294412</v>
      </c>
      <c r="M95">
        <f>PasteBBM!X95</f>
        <v>14.89471</v>
      </c>
      <c r="N95">
        <f>PasteBBM!Z95</f>
        <v>4.454559</v>
      </c>
      <c r="O95">
        <f>PasteBBM!AA95</f>
        <v>2.013676</v>
      </c>
      <c r="P95">
        <f>PasteBBM!AB95</f>
        <v>0.976324</v>
      </c>
      <c r="Q95">
        <f>PasteBBM!AC95</f>
        <v>0.483088</v>
      </c>
      <c r="R95">
        <f>PasteBBM!AH95</f>
        <v>1.220441</v>
      </c>
      <c r="S95">
        <f>PasteBBM!AD95</f>
        <v>0.47477</v>
      </c>
      <c r="T95">
        <f>PasteBBM!AF95</f>
        <v>0.849994</v>
      </c>
    </row>
    <row r="96">
      <c r="A96" s="5">
        <v>95.0</v>
      </c>
      <c r="C96" t="str">
        <f>PasteBBM!H96</f>
        <v>Brandin Podziemski</v>
      </c>
      <c r="D96" t="str">
        <f>IFERROR(REPLACE(PasteBBM!J96,FIND("/",PasteBBM!J96,1),1,","),PasteBBM!J96)</f>
        <v>G,F</v>
      </c>
      <c r="E96" t="str">
        <f>PasteBBM!I96</f>
        <v>GSW</v>
      </c>
      <c r="F96">
        <f>PasteBBM!T96</f>
        <v>68</v>
      </c>
      <c r="G96">
        <f>PasteBBM!W96</f>
        <v>29</v>
      </c>
      <c r="H96">
        <f>PasteBBM!AD96*PasteBBM!AE96</f>
        <v>5.405583142</v>
      </c>
      <c r="I96">
        <f>PasteBBM!AD96</f>
        <v>0.451894</v>
      </c>
      <c r="J96">
        <f>PasteBBM!AF96*PasteBBM!AG96</f>
        <v>1.565881712</v>
      </c>
      <c r="K96">
        <f>PasteBBM!AF96</f>
        <v>0.769976</v>
      </c>
      <c r="L96">
        <f>PasteBBM!Y96</f>
        <v>2.332647</v>
      </c>
      <c r="M96">
        <f>PasteBBM!X96</f>
        <v>14.70971</v>
      </c>
      <c r="N96">
        <f>PasteBBM!Z96</f>
        <v>5.502794</v>
      </c>
      <c r="O96">
        <f>PasteBBM!AA96</f>
        <v>3.469118</v>
      </c>
      <c r="P96">
        <f>PasteBBM!AB96</f>
        <v>1.143235</v>
      </c>
      <c r="Q96">
        <f>PasteBBM!AC96</f>
        <v>0.178676</v>
      </c>
      <c r="R96">
        <f>PasteBBM!AH96</f>
        <v>1.251912</v>
      </c>
      <c r="S96">
        <f>PasteBBM!AD96</f>
        <v>0.451894</v>
      </c>
      <c r="T96">
        <f>PasteBBM!AF96</f>
        <v>0.769976</v>
      </c>
    </row>
    <row r="97">
      <c r="A97" s="5">
        <v>96.0</v>
      </c>
      <c r="C97" t="str">
        <f>PasteBBM!H97</f>
        <v>Donte DiVincenzo</v>
      </c>
      <c r="D97" t="str">
        <f>IFERROR(REPLACE(PasteBBM!J97,FIND("/",PasteBBM!J97,1),1,","),PasteBBM!J97)</f>
        <v>G</v>
      </c>
      <c r="E97" t="str">
        <f>PasteBBM!I97</f>
        <v>MIN</v>
      </c>
      <c r="F97">
        <f>PasteBBM!T97</f>
        <v>68</v>
      </c>
      <c r="G97">
        <f>PasteBBM!W97</f>
        <v>28</v>
      </c>
      <c r="H97">
        <f>PasteBBM!AD97*PasteBBM!AE97</f>
        <v>4.734408715</v>
      </c>
      <c r="I97">
        <f>PasteBBM!AD97</f>
        <v>0.426993</v>
      </c>
      <c r="J97">
        <f>PasteBBM!AF97*PasteBBM!AG97</f>
        <v>0.7844115642</v>
      </c>
      <c r="K97">
        <f>PasteBBM!AF97</f>
        <v>0.78603</v>
      </c>
      <c r="L97">
        <f>PasteBBM!Y97</f>
        <v>3.161471</v>
      </c>
      <c r="M97">
        <f>PasteBBM!X97</f>
        <v>13.41471</v>
      </c>
      <c r="N97">
        <f>PasteBBM!Z97</f>
        <v>4.0425</v>
      </c>
      <c r="O97">
        <f>PasteBBM!AA97</f>
        <v>4.215735</v>
      </c>
      <c r="P97">
        <f>PasteBBM!AB97</f>
        <v>1.226029</v>
      </c>
      <c r="Q97">
        <f>PasteBBM!AC97</f>
        <v>0.344118</v>
      </c>
      <c r="R97">
        <f>PasteBBM!AH97</f>
        <v>1.790294</v>
      </c>
      <c r="S97">
        <f>PasteBBM!AD97</f>
        <v>0.426993</v>
      </c>
      <c r="T97">
        <f>PasteBBM!AF97</f>
        <v>0.78603</v>
      </c>
    </row>
    <row r="98">
      <c r="A98" s="5">
        <v>97.0</v>
      </c>
      <c r="C98" t="str">
        <f>PasteBBM!H98</f>
        <v>Isaiah Jackson</v>
      </c>
      <c r="D98" t="str">
        <f>IFERROR(REPLACE(PasteBBM!J98,FIND("/",PasteBBM!J98,1),1,","),PasteBBM!J98)</f>
        <v>C</v>
      </c>
      <c r="E98" t="str">
        <f>PasteBBM!I98</f>
        <v>IND</v>
      </c>
      <c r="F98">
        <f>PasteBBM!T98</f>
        <v>55</v>
      </c>
      <c r="G98">
        <f>PasteBBM!W98</f>
        <v>24</v>
      </c>
      <c r="H98">
        <f>PasteBBM!AD98*PasteBBM!AE98</f>
        <v>4.000545192</v>
      </c>
      <c r="I98">
        <f>PasteBBM!AD98</f>
        <v>0.582506</v>
      </c>
      <c r="J98">
        <f>PasteBBM!AF98*PasteBBM!AG98</f>
        <v>2.234181913</v>
      </c>
      <c r="K98">
        <f>PasteBBM!AF98</f>
        <v>0.677996</v>
      </c>
      <c r="L98">
        <f>PasteBBM!Y98</f>
        <v>0.050182</v>
      </c>
      <c r="M98">
        <f>PasteBBM!X98</f>
        <v>10.28545</v>
      </c>
      <c r="N98">
        <f>PasteBBM!Z98</f>
        <v>6.868</v>
      </c>
      <c r="O98">
        <f>PasteBBM!AA98</f>
        <v>1.399455</v>
      </c>
      <c r="P98">
        <f>PasteBBM!AB98</f>
        <v>0.943636</v>
      </c>
      <c r="Q98">
        <f>PasteBBM!AC98</f>
        <v>1.926727</v>
      </c>
      <c r="R98">
        <f>PasteBBM!AH98</f>
        <v>1.189455</v>
      </c>
      <c r="S98">
        <f>PasteBBM!AD98</f>
        <v>0.582506</v>
      </c>
      <c r="T98">
        <f>PasteBBM!AF98</f>
        <v>0.677996</v>
      </c>
    </row>
    <row r="99">
      <c r="A99" s="5">
        <v>98.0</v>
      </c>
      <c r="C99" t="str">
        <f>PasteBBM!H99</f>
        <v>Jaden McDaniels</v>
      </c>
      <c r="D99" t="str">
        <f>IFERROR(REPLACE(PasteBBM!J99,FIND("/",PasteBBM!J99,1),1,","),PasteBBM!J99)</f>
        <v>F</v>
      </c>
      <c r="E99" t="str">
        <f>PasteBBM!I99</f>
        <v>MIN</v>
      </c>
      <c r="F99">
        <f>PasteBBM!T99</f>
        <v>73</v>
      </c>
      <c r="G99">
        <f>PasteBBM!W99</f>
        <v>31</v>
      </c>
      <c r="H99">
        <f>PasteBBM!AD99*PasteBBM!AE99</f>
        <v>5.038770546</v>
      </c>
      <c r="I99">
        <f>PasteBBM!AD99</f>
        <v>0.495621</v>
      </c>
      <c r="J99">
        <f>PasteBBM!AF99*PasteBBM!AG99</f>
        <v>1.309178526</v>
      </c>
      <c r="K99">
        <f>PasteBBM!AF99</f>
        <v>0.813016</v>
      </c>
      <c r="L99">
        <f>PasteBBM!Y99</f>
        <v>1.046301</v>
      </c>
      <c r="M99">
        <f>PasteBBM!X99</f>
        <v>12.43301</v>
      </c>
      <c r="N99">
        <f>PasteBBM!Z99</f>
        <v>5.306849</v>
      </c>
      <c r="O99">
        <f>PasteBBM!AA99</f>
        <v>1.854247</v>
      </c>
      <c r="P99">
        <f>PasteBBM!AB99</f>
        <v>1.086986</v>
      </c>
      <c r="Q99">
        <f>PasteBBM!AC99</f>
        <v>0.898904</v>
      </c>
      <c r="R99">
        <f>PasteBBM!AH99</f>
        <v>1.155068</v>
      </c>
      <c r="S99">
        <f>PasteBBM!AD99</f>
        <v>0.495621</v>
      </c>
      <c r="T99">
        <f>PasteBBM!AF99</f>
        <v>0.813016</v>
      </c>
    </row>
    <row r="100">
      <c r="A100" s="5">
        <v>99.0</v>
      </c>
      <c r="C100" t="str">
        <f>PasteBBM!H100</f>
        <v>Donovan Clingan</v>
      </c>
      <c r="D100" t="str">
        <f>IFERROR(REPLACE(PasteBBM!J100,FIND("/",PasteBBM!J100,1),1,","),PasteBBM!J100)</f>
        <v>C</v>
      </c>
      <c r="E100" t="str">
        <f>PasteBBM!I100</f>
        <v>POR</v>
      </c>
      <c r="F100">
        <f>PasteBBM!T100</f>
        <v>68</v>
      </c>
      <c r="G100">
        <f>PasteBBM!W100</f>
        <v>27</v>
      </c>
      <c r="H100">
        <f>PasteBBM!AD100*PasteBBM!AE100</f>
        <v>4.620439995</v>
      </c>
      <c r="I100">
        <f>PasteBBM!AD100</f>
        <v>0.559216</v>
      </c>
      <c r="J100">
        <f>PasteBBM!AF100*PasteBBM!AG100</f>
        <v>1.578675785</v>
      </c>
      <c r="K100">
        <f>PasteBBM!AF100</f>
        <v>0.579018</v>
      </c>
      <c r="L100">
        <f>PasteBBM!Y100</f>
        <v>0.3125</v>
      </c>
      <c r="M100">
        <f>PasteBBM!X100</f>
        <v>11.13206</v>
      </c>
      <c r="N100">
        <f>PasteBBM!Z100</f>
        <v>10.3275</v>
      </c>
      <c r="O100">
        <f>PasteBBM!AA100</f>
        <v>1.861176</v>
      </c>
      <c r="P100">
        <f>PasteBBM!AB100</f>
        <v>0.71</v>
      </c>
      <c r="Q100">
        <f>PasteBBM!AC100</f>
        <v>1.721176</v>
      </c>
      <c r="R100">
        <f>PasteBBM!AH100</f>
        <v>1.410882</v>
      </c>
      <c r="S100">
        <f>PasteBBM!AD100</f>
        <v>0.559216</v>
      </c>
      <c r="T100">
        <f>PasteBBM!AF100</f>
        <v>0.579018</v>
      </c>
    </row>
    <row r="101">
      <c r="A101" s="5">
        <v>100.0</v>
      </c>
      <c r="C101" t="str">
        <f>PasteBBM!H101</f>
        <v>Mikal Bridges</v>
      </c>
      <c r="D101" t="str">
        <f>IFERROR(REPLACE(PasteBBM!J101,FIND("/",PasteBBM!J101,1),1,","),PasteBBM!J101)</f>
        <v>G,F</v>
      </c>
      <c r="E101" t="str">
        <f>PasteBBM!I101</f>
        <v>NYK</v>
      </c>
      <c r="F101">
        <f>PasteBBM!T101</f>
        <v>80</v>
      </c>
      <c r="G101">
        <f>PasteBBM!W101</f>
        <v>36</v>
      </c>
      <c r="H101">
        <f>PasteBBM!AD101*PasteBBM!AE101</f>
        <v>6.791002708</v>
      </c>
      <c r="I101">
        <f>PasteBBM!AD101</f>
        <v>0.502544</v>
      </c>
      <c r="J101">
        <f>PasteBBM!AF101*PasteBBM!AG101</f>
        <v>1.2738755</v>
      </c>
      <c r="K101">
        <f>PasteBBM!AF101</f>
        <v>0.856963</v>
      </c>
      <c r="L101">
        <f>PasteBBM!Y101</f>
        <v>1.641125</v>
      </c>
      <c r="M101">
        <f>PasteBBM!X101</f>
        <v>16.497</v>
      </c>
      <c r="N101">
        <f>PasteBBM!Z101</f>
        <v>2.97</v>
      </c>
      <c r="O101">
        <f>PasteBBM!AA101</f>
        <v>4.35975</v>
      </c>
      <c r="P101">
        <f>PasteBBM!AB101</f>
        <v>0.89575</v>
      </c>
      <c r="Q101">
        <f>PasteBBM!AC101</f>
        <v>0.51775</v>
      </c>
      <c r="R101">
        <f>PasteBBM!AH101</f>
        <v>1.702375</v>
      </c>
      <c r="S101">
        <f>PasteBBM!AD101</f>
        <v>0.502544</v>
      </c>
      <c r="T101">
        <f>PasteBBM!AF101</f>
        <v>0.856963</v>
      </c>
    </row>
    <row r="102">
      <c r="A102" s="5">
        <v>101.0</v>
      </c>
      <c r="C102" t="str">
        <f>PasteBBM!H102</f>
        <v>Reed Sheppard</v>
      </c>
      <c r="D102" t="str">
        <f>IFERROR(REPLACE(PasteBBM!J102,FIND("/",PasteBBM!J102,1),1,","),PasteBBM!J102)</f>
        <v>G</v>
      </c>
      <c r="E102" t="str">
        <f>PasteBBM!I102</f>
        <v>HOU</v>
      </c>
      <c r="F102">
        <f>PasteBBM!T102</f>
        <v>73</v>
      </c>
      <c r="G102">
        <f>PasteBBM!W102</f>
        <v>27</v>
      </c>
      <c r="H102">
        <f>PasteBBM!AD102*PasteBBM!AE102</f>
        <v>4.311236079</v>
      </c>
      <c r="I102">
        <f>PasteBBM!AD102</f>
        <v>0.399386</v>
      </c>
      <c r="J102">
        <f>PasteBBM!AF102*PasteBBM!AG102</f>
        <v>0.8741100049</v>
      </c>
      <c r="K102">
        <f>PasteBBM!AF102</f>
        <v>0.809772</v>
      </c>
      <c r="L102">
        <f>PasteBBM!Y102</f>
        <v>2.369178</v>
      </c>
      <c r="M102">
        <f>PasteBBM!X102</f>
        <v>11.86575</v>
      </c>
      <c r="N102">
        <f>PasteBBM!Z102</f>
        <v>3.232192</v>
      </c>
      <c r="O102">
        <f>PasteBBM!AA102</f>
        <v>4.20411</v>
      </c>
      <c r="P102">
        <f>PasteBBM!AB102</f>
        <v>1.533973</v>
      </c>
      <c r="Q102">
        <f>PasteBBM!AC102</f>
        <v>0.636438</v>
      </c>
      <c r="R102">
        <f>PasteBBM!AH102</f>
        <v>1.817945</v>
      </c>
      <c r="S102">
        <f>PasteBBM!AD102</f>
        <v>0.399386</v>
      </c>
      <c r="T102">
        <f>PasteBBM!AF102</f>
        <v>0.809772</v>
      </c>
    </row>
    <row r="103">
      <c r="A103" s="5">
        <v>102.0</v>
      </c>
      <c r="C103" t="str">
        <f>PasteBBM!H103</f>
        <v>John Collins</v>
      </c>
      <c r="D103" t="str">
        <f>IFERROR(REPLACE(PasteBBM!J103,FIND("/",PasteBBM!J103,1),1,","),PasteBBM!J103)</f>
        <v>F</v>
      </c>
      <c r="E103" t="str">
        <f>PasteBBM!I103</f>
        <v>LAC</v>
      </c>
      <c r="F103">
        <f>PasteBBM!T103</f>
        <v>73</v>
      </c>
      <c r="G103">
        <f>PasteBBM!W103</f>
        <v>29</v>
      </c>
      <c r="H103">
        <f>PasteBBM!AD103*PasteBBM!AE103</f>
        <v>5.94589575</v>
      </c>
      <c r="I103">
        <f>PasteBBM!AD103</f>
        <v>0.557461</v>
      </c>
      <c r="J103">
        <f>PasteBBM!AF103*PasteBBM!AG103</f>
        <v>2.19712358</v>
      </c>
      <c r="K103">
        <f>PasteBBM!AF103</f>
        <v>0.823992</v>
      </c>
      <c r="L103">
        <f>PasteBBM!Y103</f>
        <v>1.094247</v>
      </c>
      <c r="M103">
        <f>PasteBBM!X103</f>
        <v>15.18315</v>
      </c>
      <c r="N103">
        <f>PasteBBM!Z103</f>
        <v>6.446438</v>
      </c>
      <c r="O103">
        <f>PasteBBM!AA103</f>
        <v>1.230685</v>
      </c>
      <c r="P103">
        <f>PasteBBM!AB103</f>
        <v>0.644658</v>
      </c>
      <c r="Q103">
        <f>PasteBBM!AC103</f>
        <v>0.761918</v>
      </c>
      <c r="R103">
        <f>PasteBBM!AH103</f>
        <v>1.465068</v>
      </c>
      <c r="S103">
        <f>PasteBBM!AD103</f>
        <v>0.557461</v>
      </c>
      <c r="T103">
        <f>PasteBBM!AF103</f>
        <v>0.823992</v>
      </c>
    </row>
    <row r="104">
      <c r="A104" s="5">
        <v>103.0</v>
      </c>
      <c r="C104" t="str">
        <f>PasteBBM!H104</f>
        <v>Herb Jones</v>
      </c>
      <c r="D104" t="str">
        <f>IFERROR(REPLACE(PasteBBM!J104,FIND("/",PasteBBM!J104,1),1,","),PasteBBM!J104)</f>
        <v>F</v>
      </c>
      <c r="E104" t="str">
        <f>PasteBBM!I104</f>
        <v>NOR</v>
      </c>
      <c r="F104">
        <f>PasteBBM!T104</f>
        <v>73</v>
      </c>
      <c r="G104">
        <f>PasteBBM!W104</f>
        <v>33</v>
      </c>
      <c r="H104">
        <f>PasteBBM!AD104*PasteBBM!AE104</f>
        <v>3.777668896</v>
      </c>
      <c r="I104">
        <f>PasteBBM!AD104</f>
        <v>0.45336</v>
      </c>
      <c r="J104">
        <f>PasteBBM!AF104*PasteBBM!AG104</f>
        <v>1.692602914</v>
      </c>
      <c r="K104">
        <f>PasteBBM!AF104</f>
        <v>0.845028</v>
      </c>
      <c r="L104">
        <f>PasteBBM!Y104</f>
        <v>1.004932</v>
      </c>
      <c r="M104">
        <f>PasteBBM!X104</f>
        <v>10.25288</v>
      </c>
      <c r="N104">
        <f>PasteBBM!Z104</f>
        <v>4.027397</v>
      </c>
      <c r="O104">
        <f>PasteBBM!AA104</f>
        <v>3.062329</v>
      </c>
      <c r="P104">
        <f>PasteBBM!AB104</f>
        <v>1.737671</v>
      </c>
      <c r="Q104">
        <f>PasteBBM!AC104</f>
        <v>0.555068</v>
      </c>
      <c r="R104">
        <f>PasteBBM!AH104</f>
        <v>1.73589</v>
      </c>
      <c r="S104">
        <f>PasteBBM!AD104</f>
        <v>0.45336</v>
      </c>
      <c r="T104">
        <f>PasteBBM!AF104</f>
        <v>0.845028</v>
      </c>
    </row>
    <row r="105">
      <c r="A105" s="5">
        <v>104.0</v>
      </c>
      <c r="C105" t="str">
        <f>PasteBBM!H105</f>
        <v>Bobby Portis</v>
      </c>
      <c r="D105" t="str">
        <f>IFERROR(REPLACE(PasteBBM!J105,FIND("/",PasteBBM!J105,1),1,","),PasteBBM!J105)</f>
        <v>F,C</v>
      </c>
      <c r="E105" t="str">
        <f>PasteBBM!I105</f>
        <v>MIL</v>
      </c>
      <c r="F105">
        <f>PasteBBM!T105</f>
        <v>73</v>
      </c>
      <c r="G105">
        <f>PasteBBM!W105</f>
        <v>25</v>
      </c>
      <c r="H105">
        <f>PasteBBM!AD105*PasteBBM!AE105</f>
        <v>5.592461534</v>
      </c>
      <c r="I105">
        <f>PasteBBM!AD105</f>
        <v>0.474593</v>
      </c>
      <c r="J105">
        <f>PasteBBM!AF105*PasteBBM!AG105</f>
        <v>1.244657201</v>
      </c>
      <c r="K105">
        <f>PasteBBM!AF105</f>
        <v>0.820036</v>
      </c>
      <c r="L105">
        <f>PasteBBM!Y105</f>
        <v>1.353288</v>
      </c>
      <c r="M105">
        <f>PasteBBM!X105</f>
        <v>13.78288</v>
      </c>
      <c r="N105">
        <f>PasteBBM!Z105</f>
        <v>7.890685</v>
      </c>
      <c r="O105">
        <f>PasteBBM!AA105</f>
        <v>2.209315</v>
      </c>
      <c r="P105">
        <f>PasteBBM!AB105</f>
        <v>0.784658</v>
      </c>
      <c r="Q105">
        <f>PasteBBM!AC105</f>
        <v>0.475068</v>
      </c>
      <c r="R105">
        <f>PasteBBM!AH105</f>
        <v>1.108082</v>
      </c>
      <c r="S105">
        <f>PasteBBM!AD105</f>
        <v>0.474593</v>
      </c>
      <c r="T105">
        <f>PasteBBM!AF105</f>
        <v>0.820036</v>
      </c>
    </row>
    <row r="106">
      <c r="A106" s="5">
        <v>105.0</v>
      </c>
      <c r="C106" t="str">
        <f>PasteBBM!H106</f>
        <v>Andrew Wiggins</v>
      </c>
      <c r="D106" t="str">
        <f>IFERROR(REPLACE(PasteBBM!J106,FIND("/",PasteBBM!J106,1),1,","),PasteBBM!J106)</f>
        <v>G,F</v>
      </c>
      <c r="E106" t="str">
        <f>PasteBBM!I106</f>
        <v>MIA</v>
      </c>
      <c r="F106">
        <f>PasteBBM!T106</f>
        <v>68</v>
      </c>
      <c r="G106">
        <f>PasteBBM!W106</f>
        <v>33</v>
      </c>
      <c r="H106">
        <f>PasteBBM!AD106*PasteBBM!AE106</f>
        <v>6.577202868</v>
      </c>
      <c r="I106">
        <f>PasteBBM!AD106</f>
        <v>0.44985</v>
      </c>
      <c r="J106">
        <f>PasteBBM!AF106*PasteBBM!AG106</f>
        <v>3.48382377</v>
      </c>
      <c r="K106">
        <f>PasteBBM!AF106</f>
        <v>0.759003</v>
      </c>
      <c r="L106">
        <f>PasteBBM!Y106</f>
        <v>2.253971</v>
      </c>
      <c r="M106">
        <f>PasteBBM!X106</f>
        <v>18.89221</v>
      </c>
      <c r="N106">
        <f>PasteBBM!Z106</f>
        <v>4.918382</v>
      </c>
      <c r="O106">
        <f>PasteBBM!AA106</f>
        <v>3.368824</v>
      </c>
      <c r="P106">
        <f>PasteBBM!AB106</f>
        <v>1.086471</v>
      </c>
      <c r="Q106">
        <f>PasteBBM!AC106</f>
        <v>0.871176</v>
      </c>
      <c r="R106">
        <f>PasteBBM!AH106</f>
        <v>2.290735</v>
      </c>
      <c r="S106">
        <f>PasteBBM!AD106</f>
        <v>0.44985</v>
      </c>
      <c r="T106">
        <f>PasteBBM!AF106</f>
        <v>0.759003</v>
      </c>
    </row>
    <row r="107">
      <c r="A107" s="5">
        <v>106.0</v>
      </c>
      <c r="C107" t="str">
        <f>PasteBBM!H107</f>
        <v>Julius Randle</v>
      </c>
      <c r="D107" t="str">
        <f>IFERROR(REPLACE(PasteBBM!J107,FIND("/",PasteBBM!J107,1),1,","),PasteBBM!J107)</f>
        <v>F</v>
      </c>
      <c r="E107" t="str">
        <f>PasteBBM!I107</f>
        <v>MIN</v>
      </c>
      <c r="F107">
        <f>PasteBBM!T107</f>
        <v>68</v>
      </c>
      <c r="G107">
        <f>PasteBBM!W107</f>
        <v>33</v>
      </c>
      <c r="H107">
        <f>PasteBBM!AD107*PasteBBM!AE107</f>
        <v>6.931473588</v>
      </c>
      <c r="I107">
        <f>PasteBBM!AD107</f>
        <v>0.487284</v>
      </c>
      <c r="J107">
        <f>PasteBBM!AF107*PasteBBM!AG107</f>
        <v>3.62794095</v>
      </c>
      <c r="K107">
        <f>PasteBBM!AF107</f>
        <v>0.796989</v>
      </c>
      <c r="L107">
        <f>PasteBBM!Y107</f>
        <v>1.692794</v>
      </c>
      <c r="M107">
        <f>PasteBBM!X107</f>
        <v>19.18368</v>
      </c>
      <c r="N107">
        <f>PasteBBM!Z107</f>
        <v>7.418824</v>
      </c>
      <c r="O107">
        <f>PasteBBM!AA107</f>
        <v>5.376912</v>
      </c>
      <c r="P107">
        <f>PasteBBM!AB107</f>
        <v>0.754706</v>
      </c>
      <c r="Q107">
        <f>PasteBBM!AC107</f>
        <v>0.270735</v>
      </c>
      <c r="R107">
        <f>PasteBBM!AH107</f>
        <v>2.994706</v>
      </c>
      <c r="S107">
        <f>PasteBBM!AD107</f>
        <v>0.487284</v>
      </c>
      <c r="T107">
        <f>PasteBBM!AF107</f>
        <v>0.796989</v>
      </c>
    </row>
    <row r="108">
      <c r="A108" s="5">
        <v>107.0</v>
      </c>
      <c r="C108" t="str">
        <f>PasteBBM!H108</f>
        <v>Robert Williams</v>
      </c>
      <c r="D108" t="str">
        <f>IFERROR(REPLACE(PasteBBM!J108,FIND("/",PasteBBM!J108,1),1,","),PasteBBM!J108)</f>
        <v>C</v>
      </c>
      <c r="E108" t="str">
        <f>PasteBBM!I108</f>
        <v>POR</v>
      </c>
      <c r="F108">
        <f>PasteBBM!T108</f>
        <v>44</v>
      </c>
      <c r="G108">
        <f>PasteBBM!W108</f>
        <v>21</v>
      </c>
      <c r="H108">
        <f>PasteBBM!AD108*PasteBBM!AE108</f>
        <v>2.987274344</v>
      </c>
      <c r="I108">
        <f>PasteBBM!AD108</f>
        <v>0.643746</v>
      </c>
      <c r="J108">
        <f>PasteBBM!AF108*PasteBBM!AG108</f>
        <v>0.6988634987</v>
      </c>
      <c r="K108">
        <f>PasteBBM!AF108</f>
        <v>0.752938</v>
      </c>
      <c r="L108">
        <f>PasteBBM!Y108</f>
        <v>0.025227</v>
      </c>
      <c r="M108">
        <f>PasteBBM!X108</f>
        <v>6.698636</v>
      </c>
      <c r="N108">
        <f>PasteBBM!Z108</f>
        <v>7.14</v>
      </c>
      <c r="O108">
        <f>PasteBBM!AA108</f>
        <v>1.2925</v>
      </c>
      <c r="P108">
        <f>PasteBBM!AB108</f>
        <v>0.748636</v>
      </c>
      <c r="Q108">
        <f>PasteBBM!AC108</f>
        <v>1.529318</v>
      </c>
      <c r="R108">
        <f>PasteBBM!AH108</f>
        <v>0.898636</v>
      </c>
      <c r="S108">
        <f>PasteBBM!AD108</f>
        <v>0.643746</v>
      </c>
      <c r="T108">
        <f>PasteBBM!AF108</f>
        <v>0.752938</v>
      </c>
    </row>
    <row r="109">
      <c r="A109" s="5">
        <v>108.0</v>
      </c>
      <c r="C109" t="str">
        <f>PasteBBM!H109</f>
        <v>Naz Reid</v>
      </c>
      <c r="D109" t="str">
        <f>IFERROR(REPLACE(PasteBBM!J109,FIND("/",PasteBBM!J109,1),1,","),PasteBBM!J109)</f>
        <v>F,C</v>
      </c>
      <c r="E109" t="str">
        <f>PasteBBM!I109</f>
        <v>MIN</v>
      </c>
      <c r="F109">
        <f>PasteBBM!T109</f>
        <v>73</v>
      </c>
      <c r="G109">
        <f>PasteBBM!W109</f>
        <v>27</v>
      </c>
      <c r="H109">
        <f>PasteBBM!AD109*PasteBBM!AE109</f>
        <v>5.230826098</v>
      </c>
      <c r="I109">
        <f>PasteBBM!AD109</f>
        <v>0.465002</v>
      </c>
      <c r="J109">
        <f>PasteBBM!AF109*PasteBBM!AG109</f>
        <v>1.254794676</v>
      </c>
      <c r="K109">
        <f>PasteBBM!AF109</f>
        <v>0.757025</v>
      </c>
      <c r="L109">
        <f>PasteBBM!Y109</f>
        <v>2.13726</v>
      </c>
      <c r="M109">
        <f>PasteBBM!X109</f>
        <v>13.8537</v>
      </c>
      <c r="N109">
        <f>PasteBBM!Z109</f>
        <v>6.07</v>
      </c>
      <c r="O109">
        <f>PasteBBM!AA109</f>
        <v>2.61726</v>
      </c>
      <c r="P109">
        <f>PasteBBM!AB109</f>
        <v>0.660959</v>
      </c>
      <c r="Q109">
        <f>PasteBBM!AC109</f>
        <v>0.897397</v>
      </c>
      <c r="R109">
        <f>PasteBBM!AH109</f>
        <v>1.344658</v>
      </c>
      <c r="S109">
        <f>PasteBBM!AD109</f>
        <v>0.465002</v>
      </c>
      <c r="T109">
        <f>PasteBBM!AF109</f>
        <v>0.757025</v>
      </c>
    </row>
    <row r="110">
      <c r="A110" s="5">
        <v>109.0</v>
      </c>
      <c r="C110" t="str">
        <f>PasteBBM!H110</f>
        <v>Matisse Thybulle</v>
      </c>
      <c r="D110" t="str">
        <f>IFERROR(REPLACE(PasteBBM!J110,FIND("/",PasteBBM!J110,1),1,","),PasteBBM!J110)</f>
        <v>G,F</v>
      </c>
      <c r="E110" t="str">
        <f>PasteBBM!I110</f>
        <v>POR</v>
      </c>
      <c r="F110">
        <f>PasteBBM!T110</f>
        <v>68</v>
      </c>
      <c r="G110">
        <f>PasteBBM!W110</f>
        <v>23</v>
      </c>
      <c r="H110">
        <f>PasteBBM!AD110*PasteBBM!AE110</f>
        <v>2.94911632</v>
      </c>
      <c r="I110">
        <f>PasteBBM!AD110</f>
        <v>0.440476</v>
      </c>
      <c r="J110">
        <f>PasteBBM!AF110*PasteBBM!AG110</f>
        <v>0.5186763727</v>
      </c>
      <c r="K110">
        <f>PasteBBM!AF110</f>
        <v>0.646089</v>
      </c>
      <c r="L110">
        <f>PasteBBM!Y110</f>
        <v>1.346176</v>
      </c>
      <c r="M110">
        <f>PasteBBM!X110</f>
        <v>7.763088</v>
      </c>
      <c r="N110">
        <f>PasteBBM!Z110</f>
        <v>3.079118</v>
      </c>
      <c r="O110">
        <f>PasteBBM!AA110</f>
        <v>1.368529</v>
      </c>
      <c r="P110">
        <f>PasteBBM!AB110</f>
        <v>1.808382</v>
      </c>
      <c r="Q110">
        <f>PasteBBM!AC110</f>
        <v>0.684412</v>
      </c>
      <c r="R110">
        <f>PasteBBM!AH110</f>
        <v>0.684412</v>
      </c>
      <c r="S110">
        <f>PasteBBM!AD110</f>
        <v>0.440476</v>
      </c>
      <c r="T110">
        <f>PasteBBM!AF110</f>
        <v>0.646089</v>
      </c>
    </row>
    <row r="111">
      <c r="A111" s="5">
        <v>110.0</v>
      </c>
      <c r="C111" t="str">
        <f>PasteBBM!H111</f>
        <v>Jalen Suggs</v>
      </c>
      <c r="D111" t="str">
        <f>IFERROR(REPLACE(PasteBBM!J111,FIND("/",PasteBBM!J111,1),1,","),PasteBBM!J111)</f>
        <v>G</v>
      </c>
      <c r="E111" t="str">
        <f>PasteBBM!I111</f>
        <v>ORL</v>
      </c>
      <c r="F111">
        <f>PasteBBM!T111</f>
        <v>61</v>
      </c>
      <c r="G111">
        <f>PasteBBM!W111</f>
        <v>30</v>
      </c>
      <c r="H111">
        <f>PasteBBM!AD111*PasteBBM!AE111</f>
        <v>4.469502965</v>
      </c>
      <c r="I111">
        <f>PasteBBM!AD111</f>
        <v>0.419407</v>
      </c>
      <c r="J111">
        <f>PasteBBM!AF111*PasteBBM!AG111</f>
        <v>2.085901027</v>
      </c>
      <c r="K111">
        <f>PasteBBM!AF111</f>
        <v>0.836005</v>
      </c>
      <c r="L111">
        <f>PasteBBM!Y111</f>
        <v>1.747869</v>
      </c>
      <c r="M111">
        <f>PasteBBM!X111</f>
        <v>12.77279</v>
      </c>
      <c r="N111">
        <f>PasteBBM!Z111</f>
        <v>3.858689</v>
      </c>
      <c r="O111">
        <f>PasteBBM!AA111</f>
        <v>3.307541</v>
      </c>
      <c r="P111">
        <f>PasteBBM!AB111</f>
        <v>1.486066</v>
      </c>
      <c r="Q111">
        <f>PasteBBM!AC111</f>
        <v>0.851311</v>
      </c>
      <c r="R111">
        <f>PasteBBM!AH111</f>
        <v>2.26623</v>
      </c>
      <c r="S111">
        <f>PasteBBM!AD111</f>
        <v>0.419407</v>
      </c>
      <c r="T111">
        <f>PasteBBM!AF111</f>
        <v>0.836005</v>
      </c>
    </row>
    <row r="112">
      <c r="A112" s="5">
        <v>111.0</v>
      </c>
      <c r="C112" t="str">
        <f>PasteBBM!H112</f>
        <v>Cam Whitmore</v>
      </c>
      <c r="D112" t="str">
        <f>IFERROR(REPLACE(PasteBBM!J112,FIND("/",PasteBBM!J112,1),1,","),PasteBBM!J112)</f>
        <v>F</v>
      </c>
      <c r="E112" t="str">
        <f>PasteBBM!I112</f>
        <v>WAS</v>
      </c>
      <c r="F112">
        <f>PasteBBM!T112</f>
        <v>68</v>
      </c>
      <c r="G112">
        <f>PasteBBM!W112</f>
        <v>26</v>
      </c>
      <c r="H112">
        <f>PasteBBM!AD112*PasteBBM!AE112</f>
        <v>5.870736075</v>
      </c>
      <c r="I112">
        <f>PasteBBM!AD112</f>
        <v>0.4575</v>
      </c>
      <c r="J112">
        <f>PasteBBM!AF112*PasteBBM!AG112</f>
        <v>2.545588521</v>
      </c>
      <c r="K112">
        <f>PasteBBM!AF112</f>
        <v>0.762992</v>
      </c>
      <c r="L112">
        <f>PasteBBM!Y112</f>
        <v>2.183971</v>
      </c>
      <c r="M112">
        <f>PasteBBM!X112</f>
        <v>16.47103</v>
      </c>
      <c r="N112">
        <f>PasteBBM!Z112</f>
        <v>5.300147</v>
      </c>
      <c r="O112">
        <f>PasteBBM!AA112</f>
        <v>1.952647</v>
      </c>
      <c r="P112">
        <f>PasteBBM!AB112</f>
        <v>1.014265</v>
      </c>
      <c r="Q112">
        <f>PasteBBM!AC112</f>
        <v>0.481618</v>
      </c>
      <c r="R112">
        <f>PasteBBM!AH112</f>
        <v>1.346324</v>
      </c>
      <c r="S112">
        <f>PasteBBM!AD112</f>
        <v>0.4575</v>
      </c>
      <c r="T112">
        <f>PasteBBM!AF112</f>
        <v>0.762992</v>
      </c>
    </row>
    <row r="113">
      <c r="A113" s="5">
        <v>112.0</v>
      </c>
      <c r="C113" t="str">
        <f>PasteBBM!H113</f>
        <v>Aaron Gordon</v>
      </c>
      <c r="D113" t="str">
        <f>IFERROR(REPLACE(PasteBBM!J113,FIND("/",PasteBBM!J113,1),1,","),PasteBBM!J113)</f>
        <v>F</v>
      </c>
      <c r="E113" t="str">
        <f>PasteBBM!I113</f>
        <v>DEN</v>
      </c>
      <c r="F113">
        <f>PasteBBM!T113</f>
        <v>68</v>
      </c>
      <c r="G113">
        <f>PasteBBM!W113</f>
        <v>32</v>
      </c>
      <c r="H113">
        <f>PasteBBM!AD113*PasteBBM!AE113</f>
        <v>5.74838027</v>
      </c>
      <c r="I113">
        <f>PasteBBM!AD113</f>
        <v>0.530243</v>
      </c>
      <c r="J113">
        <f>PasteBBM!AF113*PasteBBM!AG113</f>
        <v>3.108383809</v>
      </c>
      <c r="K113">
        <f>PasteBBM!AF113</f>
        <v>0.79901</v>
      </c>
      <c r="L113">
        <f>PasteBBM!Y113</f>
        <v>1.287059</v>
      </c>
      <c r="M113">
        <f>PasteBBM!X113</f>
        <v>15.89221</v>
      </c>
      <c r="N113">
        <f>PasteBBM!Z113</f>
        <v>6.06</v>
      </c>
      <c r="O113">
        <f>PasteBBM!AA113</f>
        <v>3.913382</v>
      </c>
      <c r="P113">
        <f>PasteBBM!AB113</f>
        <v>0.547059</v>
      </c>
      <c r="Q113">
        <f>PasteBBM!AC113</f>
        <v>0.333235</v>
      </c>
      <c r="R113">
        <f>PasteBBM!AH113</f>
        <v>1.601765</v>
      </c>
      <c r="S113">
        <f>PasteBBM!AD113</f>
        <v>0.530243</v>
      </c>
      <c r="T113">
        <f>PasteBBM!AF113</f>
        <v>0.79901</v>
      </c>
    </row>
    <row r="114">
      <c r="A114" s="5">
        <v>113.0</v>
      </c>
      <c r="C114" t="str">
        <f>PasteBBM!H114</f>
        <v>Kyle Filipowski</v>
      </c>
      <c r="D114" t="str">
        <f>IFERROR(REPLACE(PasteBBM!J114,FIND("/",PasteBBM!J114,1),1,","),PasteBBM!J114)</f>
        <v>F,C</v>
      </c>
      <c r="E114" t="str">
        <f>PasteBBM!I114</f>
        <v>UTA</v>
      </c>
      <c r="F114">
        <f>PasteBBM!T114</f>
        <v>73</v>
      </c>
      <c r="G114">
        <f>PasteBBM!W114</f>
        <v>26</v>
      </c>
      <c r="H114">
        <f>PasteBBM!AD114*PasteBBM!AE114</f>
        <v>5.344388521</v>
      </c>
      <c r="I114">
        <f>PasteBBM!AD114</f>
        <v>0.515023</v>
      </c>
      <c r="J114">
        <f>PasteBBM!AF114*PasteBBM!AG114</f>
        <v>1.623014281</v>
      </c>
      <c r="K114">
        <f>PasteBBM!AF114</f>
        <v>0.680021</v>
      </c>
      <c r="L114">
        <f>PasteBBM!Y114</f>
        <v>1.469452</v>
      </c>
      <c r="M114">
        <f>PasteBBM!X114</f>
        <v>13.78123</v>
      </c>
      <c r="N114">
        <f>PasteBBM!Z114</f>
        <v>7.922466</v>
      </c>
      <c r="O114">
        <f>PasteBBM!AA114</f>
        <v>2.008493</v>
      </c>
      <c r="P114">
        <f>PasteBBM!AB114</f>
        <v>0.829863</v>
      </c>
      <c r="Q114">
        <f>PasteBBM!AC114</f>
        <v>0.613699</v>
      </c>
      <c r="R114">
        <f>PasteBBM!AH114</f>
        <v>1.450548</v>
      </c>
      <c r="S114">
        <f>PasteBBM!AD114</f>
        <v>0.515023</v>
      </c>
      <c r="T114">
        <f>PasteBBM!AF114</f>
        <v>0.680021</v>
      </c>
    </row>
    <row r="115">
      <c r="A115" s="5">
        <v>114.0</v>
      </c>
      <c r="C115" t="str">
        <f>PasteBBM!H115</f>
        <v>Nicolas Claxton</v>
      </c>
      <c r="D115" t="str">
        <f>IFERROR(REPLACE(PasteBBM!J115,FIND("/",PasteBBM!J115,1),1,","),PasteBBM!J115)</f>
        <v>C</v>
      </c>
      <c r="E115" t="str">
        <f>PasteBBM!I115</f>
        <v>BKN</v>
      </c>
      <c r="F115">
        <f>PasteBBM!T115</f>
        <v>60</v>
      </c>
      <c r="G115">
        <f>PasteBBM!W115</f>
        <v>27</v>
      </c>
      <c r="H115">
        <f>PasteBBM!AD115*PasteBBM!AE115</f>
        <v>5.22983019</v>
      </c>
      <c r="I115">
        <f>PasteBBM!AD115</f>
        <v>0.588503</v>
      </c>
      <c r="J115">
        <f>PasteBBM!AF115*PasteBBM!AG115</f>
        <v>1.280332678</v>
      </c>
      <c r="K115">
        <f>PasteBBM!AF115</f>
        <v>0.536003</v>
      </c>
      <c r="L115">
        <f>PasteBBM!Y115</f>
        <v>0.069333</v>
      </c>
      <c r="M115">
        <f>PasteBBM!X115</f>
        <v>11.80933</v>
      </c>
      <c r="N115">
        <f>PasteBBM!Z115</f>
        <v>7.593833</v>
      </c>
      <c r="O115">
        <f>PasteBBM!AA115</f>
        <v>2.081333</v>
      </c>
      <c r="P115">
        <f>PasteBBM!AB115</f>
        <v>0.7875</v>
      </c>
      <c r="Q115">
        <f>PasteBBM!AC115</f>
        <v>1.577833</v>
      </c>
      <c r="R115">
        <f>PasteBBM!AH115</f>
        <v>1.181167</v>
      </c>
      <c r="S115">
        <f>PasteBBM!AD115</f>
        <v>0.588503</v>
      </c>
      <c r="T115">
        <f>PasteBBM!AF115</f>
        <v>0.536003</v>
      </c>
    </row>
    <row r="116">
      <c r="A116" s="5">
        <v>115.0</v>
      </c>
      <c r="C116" t="str">
        <f>PasteBBM!H116</f>
        <v>De'Andre Hunter</v>
      </c>
      <c r="D116" t="str">
        <f>IFERROR(REPLACE(PasteBBM!J116,FIND("/",PasteBBM!J116,1),1,","),PasteBBM!J116)</f>
        <v>F</v>
      </c>
      <c r="E116" t="str">
        <f>PasteBBM!I116</f>
        <v>CLE</v>
      </c>
      <c r="F116">
        <f>PasteBBM!T116</f>
        <v>68</v>
      </c>
      <c r="G116">
        <f>PasteBBM!W116</f>
        <v>31</v>
      </c>
      <c r="H116">
        <f>PasteBBM!AD116*PasteBBM!AE116</f>
        <v>5.799562456</v>
      </c>
      <c r="I116">
        <f>PasteBBM!AD116</f>
        <v>0.463077</v>
      </c>
      <c r="J116">
        <f>PasteBBM!AF116*PasteBBM!AG116</f>
        <v>2.361912653</v>
      </c>
      <c r="K116">
        <f>PasteBBM!AF116</f>
        <v>0.819983</v>
      </c>
      <c r="L116">
        <f>PasteBBM!Y116</f>
        <v>2.471912</v>
      </c>
      <c r="M116">
        <f>PasteBBM!X116</f>
        <v>16.43294</v>
      </c>
      <c r="N116">
        <f>PasteBBM!Z116</f>
        <v>5.218382</v>
      </c>
      <c r="O116">
        <f>PasteBBM!AA116</f>
        <v>1.790294</v>
      </c>
      <c r="P116">
        <f>PasteBBM!AB116</f>
        <v>0.800147</v>
      </c>
      <c r="Q116">
        <f>PasteBBM!AC116</f>
        <v>0.391324</v>
      </c>
      <c r="R116">
        <f>PasteBBM!AH116</f>
        <v>1.4175</v>
      </c>
      <c r="S116">
        <f>PasteBBM!AD116</f>
        <v>0.463077</v>
      </c>
      <c r="T116">
        <f>PasteBBM!AF116</f>
        <v>0.819983</v>
      </c>
    </row>
    <row r="117">
      <c r="A117" s="5">
        <v>116.0</v>
      </c>
      <c r="C117" t="str">
        <f>PasteBBM!H117</f>
        <v>Sam Hauser</v>
      </c>
      <c r="D117" t="str">
        <f>IFERROR(REPLACE(PasteBBM!J117,FIND("/",PasteBBM!J117,1),1,","),PasteBBM!J117)</f>
        <v>F</v>
      </c>
      <c r="E117" t="str">
        <f>PasteBBM!I117</f>
        <v>BOS</v>
      </c>
      <c r="F117">
        <f>PasteBBM!T117</f>
        <v>62</v>
      </c>
      <c r="G117">
        <f>PasteBBM!W117</f>
        <v>27</v>
      </c>
      <c r="H117">
        <f>PasteBBM!AD117*PasteBBM!AE117</f>
        <v>4.102907869</v>
      </c>
      <c r="I117">
        <f>PasteBBM!AD117</f>
        <v>0.434489</v>
      </c>
      <c r="J117">
        <f>PasteBBM!AF117*PasteBBM!AG117</f>
        <v>0.6069355947</v>
      </c>
      <c r="K117">
        <f>PasteBBM!AF117</f>
        <v>0.918029</v>
      </c>
      <c r="L117">
        <f>PasteBBM!Y117</f>
        <v>3.13629</v>
      </c>
      <c r="M117">
        <f>PasteBBM!X117</f>
        <v>11.94903</v>
      </c>
      <c r="N117">
        <f>PasteBBM!Z117</f>
        <v>4.750806</v>
      </c>
      <c r="O117">
        <f>PasteBBM!AA117</f>
        <v>1.680161</v>
      </c>
      <c r="P117">
        <f>PasteBBM!AB117</f>
        <v>0.713387</v>
      </c>
      <c r="Q117">
        <f>PasteBBM!AC117</f>
        <v>0.285</v>
      </c>
      <c r="R117">
        <f>PasteBBM!AH117</f>
        <v>0.579355</v>
      </c>
      <c r="S117">
        <f>PasteBBM!AD117</f>
        <v>0.434489</v>
      </c>
      <c r="T117">
        <f>PasteBBM!AF117</f>
        <v>0.918029</v>
      </c>
    </row>
    <row r="118">
      <c r="A118" s="5">
        <v>117.0</v>
      </c>
      <c r="C118" t="str">
        <f>PasteBBM!H118</f>
        <v>DeMar DeRozan</v>
      </c>
      <c r="D118" t="str">
        <f>IFERROR(REPLACE(PasteBBM!J118,FIND("/",PasteBBM!J118,1),1,","),PasteBBM!J118)</f>
        <v>F</v>
      </c>
      <c r="E118" t="str">
        <f>PasteBBM!I118</f>
        <v>SAC</v>
      </c>
      <c r="F118">
        <f>PasteBBM!T118</f>
        <v>73</v>
      </c>
      <c r="G118">
        <f>PasteBBM!W118</f>
        <v>35</v>
      </c>
      <c r="H118">
        <f>PasteBBM!AD118*PasteBBM!AE118</f>
        <v>7.84781215</v>
      </c>
      <c r="I118">
        <f>PasteBBM!AD118</f>
        <v>0.462299</v>
      </c>
      <c r="J118">
        <f>PasteBBM!AF118*PasteBBM!AG118</f>
        <v>4.797947446</v>
      </c>
      <c r="K118">
        <f>PasteBBM!AF118</f>
        <v>0.840009</v>
      </c>
      <c r="L118">
        <f>PasteBBM!Y118</f>
        <v>1.232329</v>
      </c>
      <c r="M118">
        <f>PasteBBM!X118</f>
        <v>21.72589</v>
      </c>
      <c r="N118">
        <f>PasteBBM!Z118</f>
        <v>3.74863</v>
      </c>
      <c r="O118">
        <f>PasteBBM!AA118</f>
        <v>4.102329</v>
      </c>
      <c r="P118">
        <f>PasteBBM!AB118</f>
        <v>0.491918</v>
      </c>
      <c r="Q118">
        <f>PasteBBM!AC118</f>
        <v>0.355342</v>
      </c>
      <c r="R118">
        <f>PasteBBM!AH118</f>
        <v>1.207123</v>
      </c>
      <c r="S118">
        <f>PasteBBM!AD118</f>
        <v>0.462299</v>
      </c>
      <c r="T118">
        <f>PasteBBM!AF118</f>
        <v>0.840009</v>
      </c>
    </row>
    <row r="119">
      <c r="A119" s="5">
        <v>118.0</v>
      </c>
      <c r="C119" t="str">
        <f>PasteBBM!H119</f>
        <v>Mitchell Robinson</v>
      </c>
      <c r="D119" t="str">
        <f>IFERROR(REPLACE(PasteBBM!J119,FIND("/",PasteBBM!J119,1),1,","),PasteBBM!J119)</f>
        <v>C</v>
      </c>
      <c r="E119" t="str">
        <f>PasteBBM!I119</f>
        <v>NYK</v>
      </c>
      <c r="F119">
        <f>PasteBBM!T119</f>
        <v>68</v>
      </c>
      <c r="G119">
        <f>PasteBBM!W119</f>
        <v>24</v>
      </c>
      <c r="H119">
        <f>PasteBBM!AD119*PasteBBM!AE119</f>
        <v>3.126030783</v>
      </c>
      <c r="I119">
        <f>PasteBBM!AD119</f>
        <v>0.657908</v>
      </c>
      <c r="J119">
        <f>PasteBBM!AF119*PasteBBM!AG119</f>
        <v>0.9995589336</v>
      </c>
      <c r="K119">
        <f>PasteBBM!AF119</f>
        <v>0.51302</v>
      </c>
      <c r="L119">
        <f>PasteBBM!Y119</f>
        <v>0</v>
      </c>
      <c r="M119">
        <f>PasteBBM!X119</f>
        <v>7.251618</v>
      </c>
      <c r="N119">
        <f>PasteBBM!Z119</f>
        <v>8.464559</v>
      </c>
      <c r="O119">
        <f>PasteBBM!AA119</f>
        <v>0.770588</v>
      </c>
      <c r="P119">
        <f>PasteBBM!AB119</f>
        <v>0.99</v>
      </c>
      <c r="Q119">
        <f>PasteBBM!AC119</f>
        <v>1.485</v>
      </c>
      <c r="R119">
        <f>PasteBBM!AH119</f>
        <v>0.736912</v>
      </c>
      <c r="S119">
        <f>PasteBBM!AD119</f>
        <v>0.657908</v>
      </c>
      <c r="T119">
        <f>PasteBBM!AF119</f>
        <v>0.51302</v>
      </c>
    </row>
    <row r="120">
      <c r="A120" s="5">
        <v>119.0</v>
      </c>
      <c r="C120" t="str">
        <f>PasteBBM!H120</f>
        <v>Lonzo Ball</v>
      </c>
      <c r="D120" t="str">
        <f>IFERROR(REPLACE(PasteBBM!J120,FIND("/",PasteBBM!J120,1),1,","),PasteBBM!J120)</f>
        <v>G</v>
      </c>
      <c r="E120" t="str">
        <f>PasteBBM!I120</f>
        <v>CLE</v>
      </c>
      <c r="F120">
        <f>PasteBBM!T120</f>
        <v>54</v>
      </c>
      <c r="G120">
        <f>PasteBBM!W120</f>
        <v>24</v>
      </c>
      <c r="H120">
        <f>PasteBBM!AD120*PasteBBM!AE120</f>
        <v>2.946480496</v>
      </c>
      <c r="I120">
        <f>PasteBBM!AD120</f>
        <v>0.383897</v>
      </c>
      <c r="J120">
        <f>PasteBBM!AF120*PasteBBM!AG120</f>
        <v>0.5637037228</v>
      </c>
      <c r="K120">
        <f>PasteBBM!AF120</f>
        <v>0.815867</v>
      </c>
      <c r="L120">
        <f>PasteBBM!Y120</f>
        <v>2.183148</v>
      </c>
      <c r="M120">
        <f>PasteBBM!X120</f>
        <v>8.639815</v>
      </c>
      <c r="N120">
        <f>PasteBBM!Z120</f>
        <v>3.737037</v>
      </c>
      <c r="O120">
        <f>PasteBBM!AA120</f>
        <v>3.428148</v>
      </c>
      <c r="P120">
        <f>PasteBBM!AB120</f>
        <v>1.389259</v>
      </c>
      <c r="Q120">
        <f>PasteBBM!AC120</f>
        <v>0.510556</v>
      </c>
      <c r="R120">
        <f>PasteBBM!AH120</f>
        <v>1.161481</v>
      </c>
      <c r="S120">
        <f>PasteBBM!AD120</f>
        <v>0.383897</v>
      </c>
      <c r="T120">
        <f>PasteBBM!AF120</f>
        <v>0.815867</v>
      </c>
    </row>
    <row r="121">
      <c r="A121" s="5">
        <v>120.0</v>
      </c>
      <c r="C121" t="str">
        <f>PasteBBM!H121</f>
        <v>Alex Caruso</v>
      </c>
      <c r="D121" t="str">
        <f>IFERROR(REPLACE(PasteBBM!J121,FIND("/",PasteBBM!J121,1),1,","),PasteBBM!J121)</f>
        <v>G,F</v>
      </c>
      <c r="E121" t="str">
        <f>PasteBBM!I121</f>
        <v>OKC</v>
      </c>
      <c r="F121">
        <f>PasteBBM!T121</f>
        <v>55</v>
      </c>
      <c r="G121">
        <f>PasteBBM!W121</f>
        <v>19</v>
      </c>
      <c r="H121">
        <f>PasteBBM!AD121*PasteBBM!AE121</f>
        <v>2.774911345</v>
      </c>
      <c r="I121">
        <f>PasteBBM!AD121</f>
        <v>0.461297</v>
      </c>
      <c r="J121">
        <f>PasteBBM!AF121*PasteBBM!AG121</f>
        <v>0.9878183181</v>
      </c>
      <c r="K121">
        <f>PasteBBM!AF121</f>
        <v>0.821067</v>
      </c>
      <c r="L121">
        <f>PasteBBM!Y121</f>
        <v>1.157455</v>
      </c>
      <c r="M121">
        <f>PasteBBM!X121</f>
        <v>7.695091</v>
      </c>
      <c r="N121">
        <f>PasteBBM!Z121</f>
        <v>2.826182</v>
      </c>
      <c r="O121">
        <f>PasteBBM!AA121</f>
        <v>2.498</v>
      </c>
      <c r="P121">
        <f>PasteBBM!AB121</f>
        <v>1.453455</v>
      </c>
      <c r="Q121">
        <f>PasteBBM!AC121</f>
        <v>0.569636</v>
      </c>
      <c r="R121">
        <f>PasteBBM!AH121</f>
        <v>0.646</v>
      </c>
      <c r="S121">
        <f>PasteBBM!AD121</f>
        <v>0.461297</v>
      </c>
      <c r="T121">
        <f>PasteBBM!AF121</f>
        <v>0.821067</v>
      </c>
    </row>
    <row r="122">
      <c r="A122" s="5">
        <v>121.0</v>
      </c>
      <c r="C122" t="str">
        <f>PasteBBM!H122</f>
        <v>Zach LaVine</v>
      </c>
      <c r="D122" t="str">
        <f>IFERROR(REPLACE(PasteBBM!J122,FIND("/",PasteBBM!J122,1),1,","),PasteBBM!J122)</f>
        <v>G,F</v>
      </c>
      <c r="E122" t="str">
        <f>PasteBBM!I122</f>
        <v>SAC</v>
      </c>
      <c r="F122">
        <f>PasteBBM!T122</f>
        <v>73</v>
      </c>
      <c r="G122">
        <f>PasteBBM!W122</f>
        <v>35</v>
      </c>
      <c r="H122">
        <f>PasteBBM!AD122*PasteBBM!AE122</f>
        <v>8.038360045</v>
      </c>
      <c r="I122">
        <f>PasteBBM!AD122</f>
        <v>0.494131</v>
      </c>
      <c r="J122">
        <f>PasteBBM!AF122*PasteBBM!AG122</f>
        <v>2.345068117</v>
      </c>
      <c r="K122">
        <f>PasteBBM!AF122</f>
        <v>0.847979</v>
      </c>
      <c r="L122">
        <f>PasteBBM!Y122</f>
        <v>2.791096</v>
      </c>
      <c r="M122">
        <f>PasteBBM!X122</f>
        <v>21.21288</v>
      </c>
      <c r="N122">
        <f>PasteBBM!Z122</f>
        <v>3.324247</v>
      </c>
      <c r="O122">
        <f>PasteBBM!AA122</f>
        <v>3.395068</v>
      </c>
      <c r="P122">
        <f>PasteBBM!AB122</f>
        <v>0.631644</v>
      </c>
      <c r="Q122">
        <f>PasteBBM!AC122</f>
        <v>0.071096</v>
      </c>
      <c r="R122">
        <f>PasteBBM!AH122</f>
        <v>2.263288</v>
      </c>
      <c r="S122">
        <f>PasteBBM!AD122</f>
        <v>0.494131</v>
      </c>
      <c r="T122">
        <f>PasteBBM!AF122</f>
        <v>0.847979</v>
      </c>
    </row>
    <row r="123">
      <c r="A123" s="5">
        <v>122.0</v>
      </c>
      <c r="C123" t="str">
        <f>PasteBBM!H123</f>
        <v>Andrew Nembhard</v>
      </c>
      <c r="D123" t="str">
        <f>IFERROR(REPLACE(PasteBBM!J123,FIND("/",PasteBBM!J123,1),1,","),PasteBBM!J123)</f>
        <v>G</v>
      </c>
      <c r="E123" t="str">
        <f>PasteBBM!I123</f>
        <v>IND</v>
      </c>
      <c r="F123">
        <f>PasteBBM!T123</f>
        <v>68</v>
      </c>
      <c r="G123">
        <f>PasteBBM!W123</f>
        <v>32</v>
      </c>
      <c r="H123">
        <f>PasteBBM!AD123*PasteBBM!AE123</f>
        <v>4.749408221</v>
      </c>
      <c r="I123">
        <f>PasteBBM!AD123</f>
        <v>0.446404</v>
      </c>
      <c r="J123">
        <f>PasteBBM!AF123*PasteBBM!AG123</f>
        <v>2.451616834</v>
      </c>
      <c r="K123">
        <f>PasteBBM!AF123</f>
        <v>0.823015</v>
      </c>
      <c r="L123">
        <f>PasteBBM!Y123</f>
        <v>1.446912</v>
      </c>
      <c r="M123">
        <f>PasteBBM!X123</f>
        <v>13.39735</v>
      </c>
      <c r="N123">
        <f>PasteBBM!Z123</f>
        <v>3.501324</v>
      </c>
      <c r="O123">
        <f>PasteBBM!AA123</f>
        <v>6.666029</v>
      </c>
      <c r="P123">
        <f>PasteBBM!AB123</f>
        <v>1.212059</v>
      </c>
      <c r="Q123">
        <f>PasteBBM!AC123</f>
        <v>0.199706</v>
      </c>
      <c r="R123">
        <f>PasteBBM!AH123</f>
        <v>2.222059</v>
      </c>
      <c r="S123">
        <f>PasteBBM!AD123</f>
        <v>0.446404</v>
      </c>
      <c r="T123">
        <f>PasteBBM!AF123</f>
        <v>0.823015</v>
      </c>
    </row>
    <row r="124">
      <c r="A124" s="5">
        <v>123.0</v>
      </c>
      <c r="C124" t="str">
        <f>PasteBBM!H124</f>
        <v>Neemias Queta</v>
      </c>
      <c r="D124" t="str">
        <f>IFERROR(REPLACE(PasteBBM!J124,FIND("/",PasteBBM!J124,1),1,","),PasteBBM!J124)</f>
        <v>C</v>
      </c>
      <c r="E124" t="str">
        <f>PasteBBM!I124</f>
        <v>BOS</v>
      </c>
      <c r="F124">
        <f>PasteBBM!T124</f>
        <v>68</v>
      </c>
      <c r="G124">
        <f>PasteBBM!W124</f>
        <v>22</v>
      </c>
      <c r="H124">
        <f>PasteBBM!AD124*PasteBBM!AE124</f>
        <v>4.011473343</v>
      </c>
      <c r="I124">
        <f>PasteBBM!AD124</f>
        <v>0.620251</v>
      </c>
      <c r="J124">
        <f>PasteBBM!AF124*PasteBBM!AG124</f>
        <v>1.549263693</v>
      </c>
      <c r="K124">
        <f>PasteBBM!AF124</f>
        <v>0.759991</v>
      </c>
      <c r="L124">
        <f>PasteBBM!Y124</f>
        <v>0.079265</v>
      </c>
      <c r="M124">
        <f>PasteBBM!X124</f>
        <v>9.651471</v>
      </c>
      <c r="N124">
        <f>PasteBBM!Z124</f>
        <v>7.553382</v>
      </c>
      <c r="O124">
        <f>PasteBBM!AA124</f>
        <v>1.510735</v>
      </c>
      <c r="P124">
        <f>PasteBBM!AB124</f>
        <v>0.594559</v>
      </c>
      <c r="Q124">
        <f>PasteBBM!AC124</f>
        <v>1.239265</v>
      </c>
      <c r="R124">
        <f>PasteBBM!AH124</f>
        <v>1.180147</v>
      </c>
      <c r="S124">
        <f>PasteBBM!AD124</f>
        <v>0.620251</v>
      </c>
      <c r="T124">
        <f>PasteBBM!AF124</f>
        <v>0.759991</v>
      </c>
    </row>
    <row r="125">
      <c r="A125" s="5">
        <v>124.0</v>
      </c>
      <c r="C125" t="str">
        <f>PasteBBM!H125</f>
        <v>Brandon Ingram</v>
      </c>
      <c r="D125" t="str">
        <f>IFERROR(REPLACE(PasteBBM!J125,FIND("/",PasteBBM!J125,1),1,","),PasteBBM!J125)</f>
        <v>F</v>
      </c>
      <c r="E125" t="str">
        <f>PasteBBM!I125</f>
        <v>TOR</v>
      </c>
      <c r="F125">
        <f>PasteBBM!T125</f>
        <v>61</v>
      </c>
      <c r="G125">
        <f>PasteBBM!W125</f>
        <v>33</v>
      </c>
      <c r="H125">
        <f>PasteBBM!AD125*PasteBBM!AE125</f>
        <v>7.167384919</v>
      </c>
      <c r="I125">
        <f>PasteBBM!AD125</f>
        <v>0.468587</v>
      </c>
      <c r="J125">
        <f>PasteBBM!AF125*PasteBBM!AG125</f>
        <v>2.944590103</v>
      </c>
      <c r="K125">
        <f>PasteBBM!AF125</f>
        <v>0.836999</v>
      </c>
      <c r="L125">
        <f>PasteBBM!Y125</f>
        <v>1.749672</v>
      </c>
      <c r="M125">
        <f>PasteBBM!X125</f>
        <v>19.02902</v>
      </c>
      <c r="N125">
        <f>PasteBBM!Z125</f>
        <v>5.523443</v>
      </c>
      <c r="O125">
        <f>PasteBBM!AA125</f>
        <v>4.744426</v>
      </c>
      <c r="P125">
        <f>PasteBBM!AB125</f>
        <v>0.708197</v>
      </c>
      <c r="Q125">
        <f>PasteBBM!AC125</f>
        <v>0.566557</v>
      </c>
      <c r="R125">
        <f>PasteBBM!AH125</f>
        <v>2.832459</v>
      </c>
      <c r="S125">
        <f>PasteBBM!AD125</f>
        <v>0.468587</v>
      </c>
      <c r="T125">
        <f>PasteBBM!AF125</f>
        <v>0.836999</v>
      </c>
    </row>
    <row r="126">
      <c r="A126" s="5">
        <v>125.0</v>
      </c>
      <c r="C126" t="str">
        <f>PasteBBM!H126</f>
        <v>Santi Aldama</v>
      </c>
      <c r="D126" t="str">
        <f>IFERROR(REPLACE(PasteBBM!J126,FIND("/",PasteBBM!J126,1),1,","),PasteBBM!J126)</f>
        <v>F,C</v>
      </c>
      <c r="E126" t="str">
        <f>PasteBBM!I126</f>
        <v>MEM</v>
      </c>
      <c r="F126">
        <f>PasteBBM!T126</f>
        <v>73</v>
      </c>
      <c r="G126">
        <f>PasteBBM!W126</f>
        <v>28</v>
      </c>
      <c r="H126">
        <f>PasteBBM!AD126*PasteBBM!AE126</f>
        <v>4.756992234</v>
      </c>
      <c r="I126">
        <f>PasteBBM!AD126</f>
        <v>0.448072</v>
      </c>
      <c r="J126">
        <f>PasteBBM!AF126*PasteBBM!AG126</f>
        <v>1.1271238</v>
      </c>
      <c r="K126">
        <f>PasteBBM!AF126</f>
        <v>0.663014</v>
      </c>
      <c r="L126">
        <f>PasteBBM!Y126</f>
        <v>2.103973</v>
      </c>
      <c r="M126">
        <f>PasteBBM!X126</f>
        <v>12.74507</v>
      </c>
      <c r="N126">
        <f>PasteBBM!Z126</f>
        <v>6.127397</v>
      </c>
      <c r="O126">
        <f>PasteBBM!AA126</f>
        <v>3.336712</v>
      </c>
      <c r="P126">
        <f>PasteBBM!AB126</f>
        <v>0.849726</v>
      </c>
      <c r="Q126">
        <f>PasteBBM!AC126</f>
        <v>0.606438</v>
      </c>
      <c r="R126">
        <f>PasteBBM!AH126</f>
        <v>1.273973</v>
      </c>
      <c r="S126">
        <f>PasteBBM!AD126</f>
        <v>0.448072</v>
      </c>
      <c r="T126">
        <f>PasteBBM!AF126</f>
        <v>0.663014</v>
      </c>
    </row>
    <row r="127">
      <c r="A127" s="5">
        <v>126.0</v>
      </c>
      <c r="C127" t="str">
        <f>PasteBBM!H127</f>
        <v>Kevin Huerter</v>
      </c>
      <c r="D127" t="str">
        <f>IFERROR(REPLACE(PasteBBM!J127,FIND("/",PasteBBM!J127,1),1,","),PasteBBM!J127)</f>
        <v>G</v>
      </c>
      <c r="E127" t="str">
        <f>PasteBBM!I127</f>
        <v>CHI</v>
      </c>
      <c r="F127">
        <f>PasteBBM!T127</f>
        <v>68</v>
      </c>
      <c r="G127">
        <f>PasteBBM!W127</f>
        <v>27</v>
      </c>
      <c r="H127">
        <f>PasteBBM!AD127*PasteBBM!AE127</f>
        <v>4.853676619</v>
      </c>
      <c r="I127">
        <f>PasteBBM!AD127</f>
        <v>0.466113</v>
      </c>
      <c r="J127">
        <f>PasteBBM!AF127*PasteBBM!AG127</f>
        <v>0.5822057762</v>
      </c>
      <c r="K127">
        <f>PasteBBM!AF127</f>
        <v>0.733012</v>
      </c>
      <c r="L127">
        <f>PasteBBM!Y127</f>
        <v>2.538824</v>
      </c>
      <c r="M127">
        <f>PasteBBM!X127</f>
        <v>12.82838</v>
      </c>
      <c r="N127">
        <f>PasteBBM!Z127</f>
        <v>3.2175</v>
      </c>
      <c r="O127">
        <f>PasteBBM!AA127</f>
        <v>2.500735</v>
      </c>
      <c r="P127">
        <f>PasteBBM!AB127</f>
        <v>1.023088</v>
      </c>
      <c r="Q127">
        <f>PasteBBM!AC127</f>
        <v>0.357353</v>
      </c>
      <c r="R127">
        <f>PasteBBM!AH127</f>
        <v>1.128824</v>
      </c>
      <c r="S127">
        <f>PasteBBM!AD127</f>
        <v>0.466113</v>
      </c>
      <c r="T127">
        <f>PasteBBM!AF127</f>
        <v>0.733012</v>
      </c>
    </row>
    <row r="128">
      <c r="A128" s="5">
        <v>127.0</v>
      </c>
      <c r="C128" t="str">
        <f>PasteBBM!H128</f>
        <v>Draymond Green</v>
      </c>
      <c r="D128" t="str">
        <f>IFERROR(REPLACE(PasteBBM!J128,FIND("/",PasteBBM!J128,1),1,","),PasteBBM!J128)</f>
        <v>F,C</v>
      </c>
      <c r="E128" t="str">
        <f>PasteBBM!I128</f>
        <v>GSW</v>
      </c>
      <c r="F128">
        <f>PasteBBM!T128</f>
        <v>68</v>
      </c>
      <c r="G128">
        <f>PasteBBM!W128</f>
        <v>29</v>
      </c>
      <c r="H128">
        <f>PasteBBM!AD128*PasteBBM!AE128</f>
        <v>3.126032602</v>
      </c>
      <c r="I128">
        <f>PasteBBM!AD128</f>
        <v>0.411559</v>
      </c>
      <c r="J128">
        <f>PasteBBM!AF128*PasteBBM!AG128</f>
        <v>1.346470864</v>
      </c>
      <c r="K128">
        <f>PasteBBM!AF128</f>
        <v>0.708998</v>
      </c>
      <c r="L128">
        <f>PasteBBM!Y128</f>
        <v>1.165</v>
      </c>
      <c r="M128">
        <f>PasteBBM!X128</f>
        <v>8.763529</v>
      </c>
      <c r="N128">
        <f>PasteBBM!Z128</f>
        <v>5.921471</v>
      </c>
      <c r="O128">
        <f>PasteBBM!AA128</f>
        <v>5.921471</v>
      </c>
      <c r="P128">
        <f>PasteBBM!AB128</f>
        <v>1.375735</v>
      </c>
      <c r="Q128">
        <f>PasteBBM!AC128</f>
        <v>0.837353</v>
      </c>
      <c r="R128">
        <f>PasteBBM!AH128</f>
        <v>2.518529</v>
      </c>
      <c r="S128">
        <f>PasteBBM!AD128</f>
        <v>0.411559</v>
      </c>
      <c r="T128">
        <f>PasteBBM!AF128</f>
        <v>0.708998</v>
      </c>
    </row>
    <row r="129">
      <c r="A129" s="5">
        <v>128.0</v>
      </c>
      <c r="C129" t="str">
        <f>PasteBBM!H129</f>
        <v>Al Horford</v>
      </c>
      <c r="D129" t="str">
        <f>IFERROR(REPLACE(PasteBBM!J129,FIND("/",PasteBBM!J129,1),1,","),PasteBBM!J129)</f>
        <v>F,C</v>
      </c>
      <c r="E129" t="str">
        <f>PasteBBM!I129</f>
        <v>GSW</v>
      </c>
      <c r="F129">
        <f>PasteBBM!T129</f>
        <v>53</v>
      </c>
      <c r="G129">
        <f>PasteBBM!W129</f>
        <v>28</v>
      </c>
      <c r="H129">
        <f>PasteBBM!AD129*PasteBBM!AE129</f>
        <v>3.293396539</v>
      </c>
      <c r="I129">
        <f>PasteBBM!AD129</f>
        <v>0.438634</v>
      </c>
      <c r="J129">
        <f>PasteBBM!AF129*PasteBBM!AG129</f>
        <v>0.3828299079</v>
      </c>
      <c r="K129">
        <f>PasteBBM!AF129</f>
        <v>0.850021</v>
      </c>
      <c r="L129">
        <f>PasteBBM!Y129</f>
        <v>1.85434</v>
      </c>
      <c r="M129">
        <f>PasteBBM!X129</f>
        <v>8.823962</v>
      </c>
      <c r="N129">
        <f>PasteBBM!Z129</f>
        <v>6.52566</v>
      </c>
      <c r="O129">
        <f>PasteBBM!AA129</f>
        <v>2.540943</v>
      </c>
      <c r="P129">
        <f>PasteBBM!AB129</f>
        <v>0.575849</v>
      </c>
      <c r="Q129">
        <f>PasteBBM!AC129</f>
        <v>0.867925</v>
      </c>
      <c r="R129">
        <f>PasteBBM!AH129</f>
        <v>0.866226</v>
      </c>
      <c r="S129">
        <f>PasteBBM!AD129</f>
        <v>0.438634</v>
      </c>
      <c r="T129">
        <f>PasteBBM!AF129</f>
        <v>0.850021</v>
      </c>
    </row>
    <row r="130">
      <c r="A130" s="5">
        <v>129.0</v>
      </c>
      <c r="C130" t="str">
        <f>PasteBBM!H130</f>
        <v>Jalen Green</v>
      </c>
      <c r="D130" t="str">
        <f>IFERROR(REPLACE(PasteBBM!J130,FIND("/",PasteBBM!J130,1),1,","),PasteBBM!J130)</f>
        <v>G</v>
      </c>
      <c r="E130" t="str">
        <f>PasteBBM!I130</f>
        <v>PHO</v>
      </c>
      <c r="F130">
        <f>PasteBBM!T130</f>
        <v>77</v>
      </c>
      <c r="G130">
        <f>PasteBBM!W130</f>
        <v>35</v>
      </c>
      <c r="H130">
        <f>PasteBBM!AD130*PasteBBM!AE130</f>
        <v>7.555714309</v>
      </c>
      <c r="I130">
        <f>PasteBBM!AD130</f>
        <v>0.42896</v>
      </c>
      <c r="J130">
        <f>PasteBBM!AF130*PasteBBM!AG130</f>
        <v>3.642857901</v>
      </c>
      <c r="K130">
        <f>PasteBBM!AF130</f>
        <v>0.765996</v>
      </c>
      <c r="L130">
        <f>PasteBBM!Y130</f>
        <v>2.884416</v>
      </c>
      <c r="M130">
        <f>PasteBBM!X130</f>
        <v>21.6387</v>
      </c>
      <c r="N130">
        <f>PasteBBM!Z130</f>
        <v>5.053117</v>
      </c>
      <c r="O130">
        <f>PasteBBM!AA130</f>
        <v>5.341818</v>
      </c>
      <c r="P130">
        <f>PasteBBM!AB130</f>
        <v>0.878831</v>
      </c>
      <c r="Q130">
        <f>PasteBBM!AC130</f>
        <v>0.357403</v>
      </c>
      <c r="R130">
        <f>PasteBBM!AH130</f>
        <v>2.887532</v>
      </c>
      <c r="S130">
        <f>PasteBBM!AD130</f>
        <v>0.42896</v>
      </c>
      <c r="T130">
        <f>PasteBBM!AF130</f>
        <v>0.765996</v>
      </c>
    </row>
    <row r="131">
      <c r="A131" s="5">
        <v>130.0</v>
      </c>
      <c r="C131" t="str">
        <f>PasteBBM!H131</f>
        <v>Daniel Gafford</v>
      </c>
      <c r="D131" t="str">
        <f>IFERROR(REPLACE(PasteBBM!J131,FIND("/",PasteBBM!J131,1),1,","),PasteBBM!J131)</f>
        <v>C</v>
      </c>
      <c r="E131" t="str">
        <f>PasteBBM!I131</f>
        <v>DAL</v>
      </c>
      <c r="F131">
        <f>PasteBBM!T131</f>
        <v>68</v>
      </c>
      <c r="G131">
        <f>PasteBBM!W131</f>
        <v>21</v>
      </c>
      <c r="H131">
        <f>PasteBBM!AD131*PasteBBM!AE131</f>
        <v>3.9586785</v>
      </c>
      <c r="I131">
        <f>PasteBBM!AD131</f>
        <v>0.694505</v>
      </c>
      <c r="J131">
        <f>PasteBBM!AF131*PasteBBM!AG131</f>
        <v>1.786618002</v>
      </c>
      <c r="K131">
        <f>PasteBBM!AF131</f>
        <v>0.680998</v>
      </c>
      <c r="L131">
        <f>PasteBBM!Y131</f>
        <v>0</v>
      </c>
      <c r="M131">
        <f>PasteBBM!X131</f>
        <v>9.703971</v>
      </c>
      <c r="N131">
        <f>PasteBBM!Z131</f>
        <v>6.318824</v>
      </c>
      <c r="O131">
        <f>PasteBBM!AA131</f>
        <v>1.368382</v>
      </c>
      <c r="P131">
        <f>PasteBBM!AB131</f>
        <v>0.48</v>
      </c>
      <c r="Q131">
        <f>PasteBBM!AC131</f>
        <v>1.590735</v>
      </c>
      <c r="R131">
        <f>PasteBBM!AH131</f>
        <v>0.972059</v>
      </c>
      <c r="S131">
        <f>PasteBBM!AD131</f>
        <v>0.694505</v>
      </c>
      <c r="T131">
        <f>PasteBBM!AF131</f>
        <v>0.680998</v>
      </c>
    </row>
    <row r="132">
      <c r="A132" s="5">
        <v>131.0</v>
      </c>
      <c r="C132" t="str">
        <f>PasteBBM!H132</f>
        <v>T.J. McConnell</v>
      </c>
      <c r="D132" t="str">
        <f>IFERROR(REPLACE(PasteBBM!J132,FIND("/",PasteBBM!J132,1),1,","),PasteBBM!J132)</f>
        <v>G</v>
      </c>
      <c r="E132" t="str">
        <f>PasteBBM!I132</f>
        <v>IND</v>
      </c>
      <c r="F132">
        <f>PasteBBM!T132</f>
        <v>73</v>
      </c>
      <c r="G132">
        <f>PasteBBM!W132</f>
        <v>24</v>
      </c>
      <c r="H132">
        <f>PasteBBM!AD132*PasteBBM!AE132</f>
        <v>5.030819181</v>
      </c>
      <c r="I132">
        <f>PasteBBM!AD132</f>
        <v>0.518861</v>
      </c>
      <c r="J132">
        <f>PasteBBM!AF132*PasteBBM!AG132</f>
        <v>0.9105471959</v>
      </c>
      <c r="K132">
        <f>PasteBBM!AF132</f>
        <v>0.730038</v>
      </c>
      <c r="L132">
        <f>PasteBBM!Y132</f>
        <v>0.317671</v>
      </c>
      <c r="M132">
        <f>PasteBBM!X132</f>
        <v>11.28986</v>
      </c>
      <c r="N132">
        <f>PasteBBM!Z132</f>
        <v>3.232055</v>
      </c>
      <c r="O132">
        <f>PasteBBM!AA132</f>
        <v>6.982466</v>
      </c>
      <c r="P132">
        <f>PasteBBM!AB132</f>
        <v>1.262466</v>
      </c>
      <c r="Q132">
        <f>PasteBBM!AC132</f>
        <v>0.295479</v>
      </c>
      <c r="R132">
        <f>PasteBBM!AH132</f>
        <v>2.070548</v>
      </c>
      <c r="S132">
        <f>PasteBBM!AD132</f>
        <v>0.518861</v>
      </c>
      <c r="T132">
        <f>PasteBBM!AF132</f>
        <v>0.730038</v>
      </c>
    </row>
    <row r="133">
      <c r="A133" s="5">
        <v>132.0</v>
      </c>
      <c r="C133" t="str">
        <f>PasteBBM!H133</f>
        <v>Scotty Pippen Jr.</v>
      </c>
      <c r="D133" t="str">
        <f>IFERROR(REPLACE(PasteBBM!J133,FIND("/",PasteBBM!J133,1),1,","),PasteBBM!J133)</f>
        <v>G</v>
      </c>
      <c r="E133" t="str">
        <f>PasteBBM!I133</f>
        <v>MEM</v>
      </c>
      <c r="F133">
        <f>PasteBBM!T133</f>
        <v>73</v>
      </c>
      <c r="G133">
        <f>PasteBBM!W133</f>
        <v>25</v>
      </c>
      <c r="H133">
        <f>PasteBBM!AD133*PasteBBM!AE133</f>
        <v>4.317668539</v>
      </c>
      <c r="I133">
        <f>PasteBBM!AD133</f>
        <v>0.468865</v>
      </c>
      <c r="J133">
        <f>PasteBBM!AF133*PasteBBM!AG133</f>
        <v>2.096985751</v>
      </c>
      <c r="K133">
        <f>PasteBBM!AF133</f>
        <v>0.721021</v>
      </c>
      <c r="L133">
        <f>PasteBBM!Y133</f>
        <v>1.403151</v>
      </c>
      <c r="M133">
        <f>PasteBBM!X133</f>
        <v>12.13548</v>
      </c>
      <c r="N133">
        <f>PasteBBM!Z133</f>
        <v>3.520822</v>
      </c>
      <c r="O133">
        <f>PasteBBM!AA133</f>
        <v>4.875068</v>
      </c>
      <c r="P133">
        <f>PasteBBM!AB133</f>
        <v>1.408356</v>
      </c>
      <c r="Q133">
        <f>PasteBBM!AC133</f>
        <v>0.478219</v>
      </c>
      <c r="R133">
        <f>PasteBBM!AH133</f>
        <v>2.024795</v>
      </c>
      <c r="S133">
        <f>PasteBBM!AD133</f>
        <v>0.468865</v>
      </c>
      <c r="T133">
        <f>PasteBBM!AF133</f>
        <v>0.721021</v>
      </c>
    </row>
    <row r="134">
      <c r="A134" s="5">
        <v>133.0</v>
      </c>
      <c r="C134" t="str">
        <f>PasteBBM!H134</f>
        <v>Chris Boucher</v>
      </c>
      <c r="D134" t="str">
        <f>IFERROR(REPLACE(PasteBBM!J134,FIND("/",PasteBBM!J134,1),1,","),PasteBBM!J134)</f>
        <v>F</v>
      </c>
      <c r="E134" t="str">
        <f>PasteBBM!I134</f>
        <v>BOS</v>
      </c>
      <c r="F134">
        <f>PasteBBM!T134</f>
        <v>77</v>
      </c>
      <c r="G134">
        <f>PasteBBM!W134</f>
        <v>24</v>
      </c>
      <c r="H134">
        <f>PasteBBM!AD134*PasteBBM!AE134</f>
        <v>4.440387144</v>
      </c>
      <c r="I134">
        <f>PasteBBM!AD134</f>
        <v>0.481692</v>
      </c>
      <c r="J134">
        <f>PasteBBM!AF134*PasteBBM!AG134</f>
        <v>1.513766125</v>
      </c>
      <c r="K134">
        <f>PasteBBM!AF134</f>
        <v>0.781967</v>
      </c>
      <c r="L134">
        <f>PasteBBM!Y134</f>
        <v>1.692468</v>
      </c>
      <c r="M134">
        <f>PasteBBM!X134</f>
        <v>12.08701</v>
      </c>
      <c r="N134">
        <f>PasteBBM!Z134</f>
        <v>6.746494</v>
      </c>
      <c r="O134">
        <f>PasteBBM!AA134</f>
        <v>0.909091</v>
      </c>
      <c r="P134">
        <f>PasteBBM!AB134</f>
        <v>0.641039</v>
      </c>
      <c r="Q134">
        <f>PasteBBM!AC134</f>
        <v>0.669481</v>
      </c>
      <c r="R134">
        <f>PasteBBM!AH134</f>
        <v>0.859351</v>
      </c>
      <c r="S134">
        <f>PasteBBM!AD134</f>
        <v>0.481692</v>
      </c>
      <c r="T134">
        <f>PasteBBM!AF134</f>
        <v>0.781967</v>
      </c>
    </row>
    <row r="135">
      <c r="A135" s="5">
        <v>134.0</v>
      </c>
      <c r="C135" t="str">
        <f>PasteBBM!H135</f>
        <v>Kevin Porter Jr.</v>
      </c>
      <c r="D135" t="str">
        <f>IFERROR(REPLACE(PasteBBM!J135,FIND("/",PasteBBM!J135,1),1,","),PasteBBM!J135)</f>
        <v>G</v>
      </c>
      <c r="E135" t="str">
        <f>PasteBBM!I135</f>
        <v>MIL</v>
      </c>
      <c r="F135">
        <f>PasteBBM!T135</f>
        <v>73</v>
      </c>
      <c r="G135">
        <f>PasteBBM!W135</f>
        <v>28</v>
      </c>
      <c r="H135">
        <f>PasteBBM!AD135*PasteBBM!AE135</f>
        <v>5.250965315</v>
      </c>
      <c r="I135">
        <f>PasteBBM!AD135</f>
        <v>0.461765</v>
      </c>
      <c r="J135">
        <f>PasteBBM!AF135*PasteBBM!AG135</f>
        <v>3.684109231</v>
      </c>
      <c r="K135">
        <f>PasteBBM!AF135</f>
        <v>0.809987</v>
      </c>
      <c r="L135">
        <f>PasteBBM!Y135</f>
        <v>1.126712</v>
      </c>
      <c r="M135">
        <f>PasteBBM!X135</f>
        <v>15.31274</v>
      </c>
      <c r="N135">
        <f>PasteBBM!Z135</f>
        <v>5.184658</v>
      </c>
      <c r="O135">
        <f>PasteBBM!AA135</f>
        <v>5.656027</v>
      </c>
      <c r="P135">
        <f>PasteBBM!AB135</f>
        <v>1.178356</v>
      </c>
      <c r="Q135">
        <f>PasteBBM!AC135</f>
        <v>0.171644</v>
      </c>
      <c r="R135">
        <f>PasteBBM!AH135</f>
        <v>2.710137</v>
      </c>
      <c r="S135">
        <f>PasteBBM!AD135</f>
        <v>0.461765</v>
      </c>
      <c r="T135">
        <f>PasteBBM!AF135</f>
        <v>0.809987</v>
      </c>
    </row>
    <row r="136">
      <c r="A136" s="5">
        <v>135.0</v>
      </c>
      <c r="C136" t="str">
        <f>PasteBBM!H136</f>
        <v>Kelly Oubre</v>
      </c>
      <c r="D136" t="str">
        <f>IFERROR(REPLACE(PasteBBM!J136,FIND("/",PasteBBM!J136,1),1,","),PasteBBM!J136)</f>
        <v>F</v>
      </c>
      <c r="E136" t="str">
        <f>PasteBBM!I136</f>
        <v>PHI</v>
      </c>
      <c r="F136">
        <f>PasteBBM!T136</f>
        <v>73</v>
      </c>
      <c r="G136">
        <f>PasteBBM!W136</f>
        <v>33</v>
      </c>
      <c r="H136">
        <f>PasteBBM!AD136*PasteBBM!AE136</f>
        <v>4.999041032</v>
      </c>
      <c r="I136">
        <f>PasteBBM!AD136</f>
        <v>0.470829</v>
      </c>
      <c r="J136">
        <f>PasteBBM!AF136*PasteBBM!AG136</f>
        <v>2.044247643</v>
      </c>
      <c r="K136">
        <f>PasteBBM!AF136</f>
        <v>0.763013</v>
      </c>
      <c r="L136">
        <f>PasteBBM!Y136</f>
        <v>1.124795</v>
      </c>
      <c r="M136">
        <f>PasteBBM!X136</f>
        <v>13.16712</v>
      </c>
      <c r="N136">
        <f>PasteBBM!Z136</f>
        <v>4.764384</v>
      </c>
      <c r="O136">
        <f>PasteBBM!AA136</f>
        <v>1.497397</v>
      </c>
      <c r="P136">
        <f>PasteBBM!AB136</f>
        <v>1.361233</v>
      </c>
      <c r="Q136">
        <f>PasteBBM!AC136</f>
        <v>0.48274</v>
      </c>
      <c r="R136">
        <f>PasteBBM!AH136</f>
        <v>1.307671</v>
      </c>
      <c r="S136">
        <f>PasteBBM!AD136</f>
        <v>0.470829</v>
      </c>
      <c r="T136">
        <f>PasteBBM!AF136</f>
        <v>0.763013</v>
      </c>
    </row>
    <row r="137">
      <c r="A137" s="5">
        <v>136.0</v>
      </c>
      <c r="C137" t="str">
        <f>PasteBBM!H137</f>
        <v>Quentin Grimes</v>
      </c>
      <c r="D137" t="str">
        <f>IFERROR(REPLACE(PasteBBM!J137,FIND("/",PasteBBM!J137,1),1,","),PasteBBM!J137)</f>
        <v>G,F</v>
      </c>
      <c r="E137" t="str">
        <f>PasteBBM!I137</f>
        <v>PHI</v>
      </c>
      <c r="F137">
        <f>PasteBBM!T137</f>
        <v>68</v>
      </c>
      <c r="G137">
        <f>PasteBBM!W137</f>
        <v>28</v>
      </c>
      <c r="H137">
        <f>PasteBBM!AD137*PasteBBM!AE137</f>
        <v>4.450445893</v>
      </c>
      <c r="I137">
        <f>PasteBBM!AD137</f>
        <v>0.453338</v>
      </c>
      <c r="J137">
        <f>PasteBBM!AF137*PasteBBM!AG137</f>
        <v>1.562646657</v>
      </c>
      <c r="K137">
        <f>PasteBBM!AF137</f>
        <v>0.757971</v>
      </c>
      <c r="L137">
        <f>PasteBBM!Y137</f>
        <v>2.393971</v>
      </c>
      <c r="M137">
        <f>PasteBBM!X137</f>
        <v>12.8575</v>
      </c>
      <c r="N137">
        <f>PasteBBM!Z137</f>
        <v>4.215735</v>
      </c>
      <c r="O137">
        <f>PasteBBM!AA137</f>
        <v>2.656471</v>
      </c>
      <c r="P137">
        <f>PasteBBM!AB137</f>
        <v>1.055294</v>
      </c>
      <c r="Q137">
        <f>PasteBBM!AC137</f>
        <v>0.355441</v>
      </c>
      <c r="R137">
        <f>PasteBBM!AH137</f>
        <v>1.443824</v>
      </c>
      <c r="S137">
        <f>PasteBBM!AD137</f>
        <v>0.453338</v>
      </c>
      <c r="T137">
        <f>PasteBBM!AF137</f>
        <v>0.757971</v>
      </c>
    </row>
    <row r="138">
      <c r="A138" s="5">
        <v>137.0</v>
      </c>
      <c r="C138" t="str">
        <f>PasteBBM!H138</f>
        <v>Taylor Hendricks</v>
      </c>
      <c r="D138" t="str">
        <f>IFERROR(REPLACE(PasteBBM!J138,FIND("/",PasteBBM!J138,1),1,","),PasteBBM!J138)</f>
        <v>F</v>
      </c>
      <c r="E138" t="str">
        <f>PasteBBM!I138</f>
        <v>UTA</v>
      </c>
      <c r="F138">
        <f>PasteBBM!T138</f>
        <v>61</v>
      </c>
      <c r="G138">
        <f>PasteBBM!W138</f>
        <v>26</v>
      </c>
      <c r="H138">
        <f>PasteBBM!AD138*PasteBBM!AE138</f>
        <v>2.906067744</v>
      </c>
      <c r="I138">
        <f>PasteBBM!AD138</f>
        <v>0.423453</v>
      </c>
      <c r="J138">
        <f>PasteBBM!AF138*PasteBBM!AG138</f>
        <v>0.8111477763</v>
      </c>
      <c r="K138">
        <f>PasteBBM!AF138</f>
        <v>0.788024</v>
      </c>
      <c r="L138">
        <f>PasteBBM!Y138</f>
        <v>1.561475</v>
      </c>
      <c r="M138">
        <f>PasteBBM!X138</f>
        <v>8.184754</v>
      </c>
      <c r="N138">
        <f>PasteBBM!Z138</f>
        <v>5.300164</v>
      </c>
      <c r="O138">
        <f>PasteBBM!AA138</f>
        <v>0.977377</v>
      </c>
      <c r="P138">
        <f>PasteBBM!AB138</f>
        <v>0.959672</v>
      </c>
      <c r="Q138">
        <f>PasteBBM!AC138</f>
        <v>1.115902</v>
      </c>
      <c r="R138">
        <f>PasteBBM!AH138</f>
        <v>0.831639</v>
      </c>
      <c r="S138">
        <f>PasteBBM!AD138</f>
        <v>0.423453</v>
      </c>
      <c r="T138">
        <f>PasteBBM!AF138</f>
        <v>0.788024</v>
      </c>
    </row>
    <row r="139">
      <c r="A139" s="5">
        <v>138.0</v>
      </c>
      <c r="C139" t="str">
        <f>PasteBBM!H139</f>
        <v>Khris Middleton</v>
      </c>
      <c r="D139" t="str">
        <f>IFERROR(REPLACE(PasteBBM!J139,FIND("/",PasteBBM!J139,1),1,","),PasteBBM!J139)</f>
        <v>F</v>
      </c>
      <c r="E139" t="str">
        <f>PasteBBM!I139</f>
        <v>WAS</v>
      </c>
      <c r="F139">
        <f>PasteBBM!T139</f>
        <v>49</v>
      </c>
      <c r="G139">
        <f>PasteBBM!W139</f>
        <v>25</v>
      </c>
      <c r="H139">
        <f>PasteBBM!AD139*PasteBBM!AE139</f>
        <v>4.835923477</v>
      </c>
      <c r="I139">
        <f>PasteBBM!AD139</f>
        <v>0.484611</v>
      </c>
      <c r="J139">
        <f>PasteBBM!AF139*PasteBBM!AG139</f>
        <v>2.132856301</v>
      </c>
      <c r="K139">
        <f>PasteBBM!AF139</f>
        <v>0.855027</v>
      </c>
      <c r="L139">
        <f>PasteBBM!Y139</f>
        <v>1.436939</v>
      </c>
      <c r="M139">
        <f>PasteBBM!X139</f>
        <v>13.24163</v>
      </c>
      <c r="N139">
        <f>PasteBBM!Z139</f>
        <v>4.291633</v>
      </c>
      <c r="O139">
        <f>PasteBBM!AA139</f>
        <v>4.770408</v>
      </c>
      <c r="P139">
        <f>PasteBBM!AB139</f>
        <v>0.858367</v>
      </c>
      <c r="Q139">
        <f>PasteBBM!AC139</f>
        <v>0.214082</v>
      </c>
      <c r="R139">
        <f>PasteBBM!AH139</f>
        <v>1.926939</v>
      </c>
      <c r="S139">
        <f>PasteBBM!AD139</f>
        <v>0.484611</v>
      </c>
      <c r="T139">
        <f>PasteBBM!AF139</f>
        <v>0.855027</v>
      </c>
    </row>
    <row r="140">
      <c r="A140" s="5">
        <v>139.0</v>
      </c>
      <c r="C140" t="str">
        <f>PasteBBM!H140</f>
        <v>Kyshawn George</v>
      </c>
      <c r="D140" t="str">
        <f>IFERROR(REPLACE(PasteBBM!J140,FIND("/",PasteBBM!J140,1),1,","),PasteBBM!J140)</f>
        <v>F</v>
      </c>
      <c r="E140" t="str">
        <f>PasteBBM!I140</f>
        <v>WAS</v>
      </c>
      <c r="F140">
        <f>PasteBBM!T140</f>
        <v>68</v>
      </c>
      <c r="G140">
        <f>PasteBBM!W140</f>
        <v>28</v>
      </c>
      <c r="H140">
        <f>PasteBBM!AD140*PasteBBM!AE140</f>
        <v>3.575437644</v>
      </c>
      <c r="I140">
        <f>PasteBBM!AD140</f>
        <v>0.422027</v>
      </c>
      <c r="J140">
        <f>PasteBBM!AF140*PasteBBM!AG140</f>
        <v>1.287793786</v>
      </c>
      <c r="K140">
        <f>PasteBBM!AF140</f>
        <v>0.760024</v>
      </c>
      <c r="L140">
        <f>PasteBBM!Y140</f>
        <v>1.693676</v>
      </c>
      <c r="M140">
        <f>PasteBBM!X140</f>
        <v>10.13235</v>
      </c>
      <c r="N140">
        <f>PasteBBM!Z140</f>
        <v>5.167206</v>
      </c>
      <c r="O140">
        <f>PasteBBM!AA140</f>
        <v>3.004118</v>
      </c>
      <c r="P140">
        <f>PasteBBM!AB140</f>
        <v>1.140147</v>
      </c>
      <c r="Q140">
        <f>PasteBBM!AC140</f>
        <v>0.660882</v>
      </c>
      <c r="R140">
        <f>PasteBBM!AH140</f>
        <v>1.563235</v>
      </c>
      <c r="S140">
        <f>PasteBBM!AD140</f>
        <v>0.422027</v>
      </c>
      <c r="T140">
        <f>PasteBBM!AF140</f>
        <v>0.760024</v>
      </c>
    </row>
    <row r="141">
      <c r="A141" s="5">
        <v>140.0</v>
      </c>
      <c r="C141" t="str">
        <f>PasteBBM!H141</f>
        <v>Grayson Allen</v>
      </c>
      <c r="D141" t="str">
        <f>IFERROR(REPLACE(PasteBBM!J141,FIND("/",PasteBBM!J141,1),1,","),PasteBBM!J141)</f>
        <v>G</v>
      </c>
      <c r="E141" t="str">
        <f>PasteBBM!I141</f>
        <v>PHO</v>
      </c>
      <c r="F141">
        <f>PasteBBM!T141</f>
        <v>73</v>
      </c>
      <c r="G141">
        <f>PasteBBM!W141</f>
        <v>27</v>
      </c>
      <c r="H141">
        <f>PasteBBM!AD141*PasteBBM!AE141</f>
        <v>3.902327115</v>
      </c>
      <c r="I141">
        <f>PasteBBM!AD141</f>
        <v>0.455071</v>
      </c>
      <c r="J141">
        <f>PasteBBM!AF141*PasteBBM!AG141</f>
        <v>1.509041555</v>
      </c>
      <c r="K141">
        <f>PasteBBM!AF141</f>
        <v>0.823996</v>
      </c>
      <c r="L141">
        <f>PasteBBM!Y141</f>
        <v>2.337671</v>
      </c>
      <c r="M141">
        <f>PasteBBM!X141</f>
        <v>11.65137</v>
      </c>
      <c r="N141">
        <f>PasteBBM!Z141</f>
        <v>3.062877</v>
      </c>
      <c r="O141">
        <f>PasteBBM!AA141</f>
        <v>3.174247</v>
      </c>
      <c r="P141">
        <f>PasteBBM!AB141</f>
        <v>0.956301</v>
      </c>
      <c r="Q141">
        <f>PasteBBM!AC141</f>
        <v>0.331918</v>
      </c>
      <c r="R141">
        <f>PasteBBM!AH141</f>
        <v>1.392192</v>
      </c>
      <c r="S141">
        <f>PasteBBM!AD141</f>
        <v>0.455071</v>
      </c>
      <c r="T141">
        <f>PasteBBM!AF141</f>
        <v>0.823996</v>
      </c>
    </row>
    <row r="142">
      <c r="A142" s="5">
        <v>141.0</v>
      </c>
      <c r="C142" t="str">
        <f>PasteBBM!H142</f>
        <v>Dejounte Murray</v>
      </c>
      <c r="D142" t="str">
        <f>IFERROR(REPLACE(PasteBBM!J142,FIND("/",PasteBBM!J142,1),1,","),PasteBBM!J142)</f>
        <v>G</v>
      </c>
      <c r="E142" t="str">
        <f>PasteBBM!I142</f>
        <v>NOR</v>
      </c>
      <c r="F142">
        <f>PasteBBM!T142</f>
        <v>25</v>
      </c>
      <c r="G142">
        <f>PasteBBM!W142</f>
        <v>26</v>
      </c>
      <c r="H142">
        <f>PasteBBM!AD142*PasteBBM!AE142</f>
        <v>4.944802582</v>
      </c>
      <c r="I142">
        <f>PasteBBM!AD142</f>
        <v>0.410889</v>
      </c>
      <c r="J142">
        <f>PasteBBM!AF142*PasteBBM!AG142</f>
        <v>2.056800586</v>
      </c>
      <c r="K142">
        <f>PasteBBM!AF142</f>
        <v>0.799938</v>
      </c>
      <c r="L142">
        <f>PasteBBM!Y142</f>
        <v>1.6608</v>
      </c>
      <c r="M142">
        <f>PasteBBM!X142</f>
        <v>13.6072</v>
      </c>
      <c r="N142">
        <f>PasteBBM!Z142</f>
        <v>5.088</v>
      </c>
      <c r="O142">
        <f>PasteBBM!AA142</f>
        <v>5.0956</v>
      </c>
      <c r="P142">
        <f>PasteBBM!AB142</f>
        <v>1.2036</v>
      </c>
      <c r="Q142">
        <f>PasteBBM!AC142</f>
        <v>0.282</v>
      </c>
      <c r="R142">
        <f>PasteBBM!AH142</f>
        <v>2.1884</v>
      </c>
      <c r="S142">
        <f>PasteBBM!AD142</f>
        <v>0.410889</v>
      </c>
      <c r="T142">
        <f>PasteBBM!AF142</f>
        <v>0.799938</v>
      </c>
    </row>
    <row r="143">
      <c r="A143" s="5">
        <v>142.0</v>
      </c>
      <c r="C143" t="str">
        <f>PasteBBM!H143</f>
        <v>Gary Trent</v>
      </c>
      <c r="D143" t="str">
        <f>IFERROR(REPLACE(PasteBBM!J143,FIND("/",PasteBBM!J143,1),1,","),PasteBBM!J143)</f>
        <v>G,F</v>
      </c>
      <c r="E143" t="str">
        <f>PasteBBM!I143</f>
        <v>MIL</v>
      </c>
      <c r="F143">
        <f>PasteBBM!T143</f>
        <v>73</v>
      </c>
      <c r="G143">
        <f>PasteBBM!W143</f>
        <v>29</v>
      </c>
      <c r="H143">
        <f>PasteBBM!AD143*PasteBBM!AE143</f>
        <v>4.15301165</v>
      </c>
      <c r="I143">
        <f>PasteBBM!AD143</f>
        <v>0.430743</v>
      </c>
      <c r="J143">
        <f>PasteBBM!AF143*PasteBBM!AG143</f>
        <v>1.612054715</v>
      </c>
      <c r="K143">
        <f>PasteBBM!AF143</f>
        <v>0.836033</v>
      </c>
      <c r="L143">
        <f>PasteBBM!Y143</f>
        <v>2.513562</v>
      </c>
      <c r="M143">
        <f>PasteBBM!X143</f>
        <v>12.43164</v>
      </c>
      <c r="N143">
        <f>PasteBBM!Z143</f>
        <v>2.623836</v>
      </c>
      <c r="O143">
        <f>PasteBBM!AA143</f>
        <v>1.550548</v>
      </c>
      <c r="P143">
        <f>PasteBBM!AB143</f>
        <v>1.105616</v>
      </c>
      <c r="Q143">
        <f>PasteBBM!AC143</f>
        <v>0.060822</v>
      </c>
      <c r="R143">
        <f>PasteBBM!AH143</f>
        <v>0.608082</v>
      </c>
      <c r="S143">
        <f>PasteBBM!AD143</f>
        <v>0.430743</v>
      </c>
      <c r="T143">
        <f>PasteBBM!AF143</f>
        <v>0.836033</v>
      </c>
    </row>
    <row r="144">
      <c r="A144" s="5">
        <v>143.0</v>
      </c>
      <c r="C144" t="str">
        <f>PasteBBM!H144</f>
        <v>Luguentz Dort</v>
      </c>
      <c r="D144" t="str">
        <f>IFERROR(REPLACE(PasteBBM!J144,FIND("/",PasteBBM!J144,1),1,","),PasteBBM!J144)</f>
        <v>F</v>
      </c>
      <c r="E144" t="str">
        <f>PasteBBM!I144</f>
        <v>OKC</v>
      </c>
      <c r="F144">
        <f>PasteBBM!T144</f>
        <v>73</v>
      </c>
      <c r="G144">
        <f>PasteBBM!W144</f>
        <v>29</v>
      </c>
      <c r="H144">
        <f>PasteBBM!AD144*PasteBBM!AE144</f>
        <v>3.375613137</v>
      </c>
      <c r="I144">
        <f>PasteBBM!AD144</f>
        <v>0.42136</v>
      </c>
      <c r="J144">
        <f>PasteBBM!AF144*PasteBBM!AG144</f>
        <v>0.4117807979</v>
      </c>
      <c r="K144">
        <f>PasteBBM!AF144</f>
        <v>0.744981</v>
      </c>
      <c r="L144">
        <f>PasteBBM!Y144</f>
        <v>2.292466</v>
      </c>
      <c r="M144">
        <f>PasteBBM!X144</f>
        <v>9.455479</v>
      </c>
      <c r="N144">
        <f>PasteBBM!Z144</f>
        <v>3.943973</v>
      </c>
      <c r="O144">
        <f>PasteBBM!AA144</f>
        <v>1.417397</v>
      </c>
      <c r="P144">
        <f>PasteBBM!AB144</f>
        <v>1.099452</v>
      </c>
      <c r="Q144">
        <f>PasteBBM!AC144</f>
        <v>0.49589</v>
      </c>
      <c r="R144">
        <f>PasteBBM!AH144</f>
        <v>0.805068</v>
      </c>
      <c r="S144">
        <f>PasteBBM!AD144</f>
        <v>0.42136</v>
      </c>
      <c r="T144">
        <f>PasteBBM!AF144</f>
        <v>0.744981</v>
      </c>
    </row>
    <row r="145">
      <c r="A145" s="5">
        <v>144.0</v>
      </c>
      <c r="C145" t="str">
        <f>PasteBBM!H145</f>
        <v>Cam Thomas</v>
      </c>
      <c r="D145" t="str">
        <f>IFERROR(REPLACE(PasteBBM!J145,FIND("/",PasteBBM!J145,1),1,","),PasteBBM!J145)</f>
        <v>G,F</v>
      </c>
      <c r="E145" t="str">
        <f>PasteBBM!I145</f>
        <v>BKN</v>
      </c>
      <c r="F145">
        <f>PasteBBM!T145</f>
        <v>59</v>
      </c>
      <c r="G145">
        <f>PasteBBM!W145</f>
        <v>28</v>
      </c>
      <c r="H145">
        <f>PasteBBM!AD145*PasteBBM!AE145</f>
        <v>7.402206798</v>
      </c>
      <c r="I145">
        <f>PasteBBM!AD145</f>
        <v>0.425829</v>
      </c>
      <c r="J145">
        <f>PasteBBM!AF145*PasteBBM!AG145</f>
        <v>5.01372708</v>
      </c>
      <c r="K145">
        <f>PasteBBM!AF145</f>
        <v>0.874996</v>
      </c>
      <c r="L145">
        <f>PasteBBM!Y145</f>
        <v>2.430339</v>
      </c>
      <c r="M145">
        <f>PasteBBM!X145</f>
        <v>22.24847</v>
      </c>
      <c r="N145">
        <f>PasteBBM!Z145</f>
        <v>2.974915</v>
      </c>
      <c r="O145">
        <f>PasteBBM!AA145</f>
        <v>3.61661</v>
      </c>
      <c r="P145">
        <f>PasteBBM!AB145</f>
        <v>0.582881</v>
      </c>
      <c r="Q145">
        <f>PasteBBM!AC145</f>
        <v>0.11678</v>
      </c>
      <c r="R145">
        <f>PasteBBM!AH145</f>
        <v>2.042542</v>
      </c>
      <c r="S145">
        <f>PasteBBM!AD145</f>
        <v>0.425829</v>
      </c>
      <c r="T145">
        <f>PasteBBM!AF145</f>
        <v>0.874996</v>
      </c>
    </row>
    <row r="146">
      <c r="A146" s="5">
        <v>145.0</v>
      </c>
      <c r="C146" t="str">
        <f>PasteBBM!H146</f>
        <v>Bennedict Mathurin</v>
      </c>
      <c r="D146" t="str">
        <f>IFERROR(REPLACE(PasteBBM!J146,FIND("/",PasteBBM!J146,1),1,","),PasteBBM!J146)</f>
        <v>G,F</v>
      </c>
      <c r="E146" t="str">
        <f>PasteBBM!I146</f>
        <v>IND</v>
      </c>
      <c r="F146">
        <f>PasteBBM!T146</f>
        <v>68</v>
      </c>
      <c r="G146">
        <f>PasteBBM!W146</f>
        <v>32</v>
      </c>
      <c r="H146">
        <f>PasteBBM!AD146*PasteBBM!AE146</f>
        <v>6.133976978</v>
      </c>
      <c r="I146">
        <f>PasteBBM!AD146</f>
        <v>0.450974</v>
      </c>
      <c r="J146">
        <f>PasteBBM!AF146*PasteBBM!AG146</f>
        <v>5.590144541</v>
      </c>
      <c r="K146">
        <f>PasteBBM!AF146</f>
        <v>0.822009</v>
      </c>
      <c r="L146">
        <f>PasteBBM!Y146</f>
        <v>1.623382</v>
      </c>
      <c r="M146">
        <f>PasteBBM!X146</f>
        <v>19.48147</v>
      </c>
      <c r="N146">
        <f>PasteBBM!Z146</f>
        <v>5.453971</v>
      </c>
      <c r="O146">
        <f>PasteBBM!AA146</f>
        <v>2.558676</v>
      </c>
      <c r="P146">
        <f>PasteBBM!AB146</f>
        <v>0.758971</v>
      </c>
      <c r="Q146">
        <f>PasteBBM!AC146</f>
        <v>0.331176</v>
      </c>
      <c r="R146">
        <f>PasteBBM!AH146</f>
        <v>2.154706</v>
      </c>
      <c r="S146">
        <f>PasteBBM!AD146</f>
        <v>0.450974</v>
      </c>
      <c r="T146">
        <f>PasteBBM!AF146</f>
        <v>0.822009</v>
      </c>
    </row>
    <row r="147">
      <c r="A147" s="5">
        <v>146.0</v>
      </c>
      <c r="C147" t="str">
        <f>PasteBBM!H147</f>
        <v>Ty Jerome</v>
      </c>
      <c r="D147" t="str">
        <f>IFERROR(REPLACE(PasteBBM!J147,FIND("/",PasteBBM!J147,1),1,","),PasteBBM!J147)</f>
        <v>G,F</v>
      </c>
      <c r="E147" t="str">
        <f>PasteBBM!I147</f>
        <v>MEM</v>
      </c>
      <c r="F147">
        <f>PasteBBM!T147</f>
        <v>73</v>
      </c>
      <c r="G147">
        <f>PasteBBM!W147</f>
        <v>22</v>
      </c>
      <c r="H147">
        <f>PasteBBM!AD147*PasteBBM!AE147</f>
        <v>4.660680847</v>
      </c>
      <c r="I147">
        <f>PasteBBM!AD147</f>
        <v>0.476933</v>
      </c>
      <c r="J147">
        <f>PasteBBM!AF147*PasteBBM!AG147</f>
        <v>1.93780756</v>
      </c>
      <c r="K147">
        <f>PasteBBM!AF147</f>
        <v>0.868972</v>
      </c>
      <c r="L147">
        <f>PasteBBM!Y147</f>
        <v>1.496438</v>
      </c>
      <c r="M147">
        <f>PasteBBM!X147</f>
        <v>12.75562</v>
      </c>
      <c r="N147">
        <f>PasteBBM!Z147</f>
        <v>2.716986</v>
      </c>
      <c r="O147">
        <f>PasteBBM!AA147</f>
        <v>4.051644</v>
      </c>
      <c r="P147">
        <f>PasteBBM!AB147</f>
        <v>1.091233</v>
      </c>
      <c r="Q147">
        <f>PasteBBM!AC147</f>
        <v>0.047808</v>
      </c>
      <c r="R147">
        <f>PasteBBM!AH147</f>
        <v>1.620685</v>
      </c>
      <c r="S147">
        <f>PasteBBM!AD147</f>
        <v>0.476933</v>
      </c>
      <c r="T147">
        <f>PasteBBM!AF147</f>
        <v>0.868972</v>
      </c>
    </row>
    <row r="148">
      <c r="A148" s="5">
        <v>147.0</v>
      </c>
      <c r="C148" t="str">
        <f>PasteBBM!H148</f>
        <v>Keon Ellis</v>
      </c>
      <c r="D148" t="str">
        <f>IFERROR(REPLACE(PasteBBM!J148,FIND("/",PasteBBM!J148,1),1,","),PasteBBM!J148)</f>
        <v>G</v>
      </c>
      <c r="E148" t="str">
        <f>PasteBBM!I148</f>
        <v>SAC</v>
      </c>
      <c r="F148">
        <f>PasteBBM!T148</f>
        <v>73</v>
      </c>
      <c r="G148">
        <f>PasteBBM!W148</f>
        <v>23</v>
      </c>
      <c r="H148">
        <f>PasteBBM!AD148*PasteBBM!AE148</f>
        <v>2.14369849</v>
      </c>
      <c r="I148">
        <f>PasteBBM!AD148</f>
        <v>0.44344</v>
      </c>
      <c r="J148">
        <f>PasteBBM!AF148*PasteBBM!AG148</f>
        <v>0.6090412243</v>
      </c>
      <c r="K148">
        <f>PasteBBM!AF148</f>
        <v>0.819086</v>
      </c>
      <c r="L148">
        <f>PasteBBM!Y148</f>
        <v>1.41863</v>
      </c>
      <c r="M148">
        <f>PasteBBM!X148</f>
        <v>6.315068</v>
      </c>
      <c r="N148">
        <f>PasteBBM!Z148</f>
        <v>2.509863</v>
      </c>
      <c r="O148">
        <f>PasteBBM!AA148</f>
        <v>1.400548</v>
      </c>
      <c r="P148">
        <f>PasteBBM!AB148</f>
        <v>1.394384</v>
      </c>
      <c r="Q148">
        <f>PasteBBM!AC148</f>
        <v>0.707808</v>
      </c>
      <c r="R148">
        <f>PasteBBM!AH148</f>
        <v>0.743699</v>
      </c>
      <c r="S148">
        <f>PasteBBM!AD148</f>
        <v>0.44344</v>
      </c>
      <c r="T148">
        <f>PasteBBM!AF148</f>
        <v>0.819086</v>
      </c>
    </row>
    <row r="149">
      <c r="A149" s="5">
        <v>148.0</v>
      </c>
      <c r="C149" t="str">
        <f>PasteBBM!H149</f>
        <v>Obi Toppin</v>
      </c>
      <c r="D149" t="str">
        <f>IFERROR(REPLACE(PasteBBM!J149,FIND("/",PasteBBM!J149,1),1,","),PasteBBM!J149)</f>
        <v>F</v>
      </c>
      <c r="E149" t="str">
        <f>PasteBBM!I149</f>
        <v>IND</v>
      </c>
      <c r="F149">
        <f>PasteBBM!T149</f>
        <v>77</v>
      </c>
      <c r="G149">
        <f>PasteBBM!W149</f>
        <v>24</v>
      </c>
      <c r="H149">
        <f>PasteBBM!AD149*PasteBBM!AE149</f>
        <v>5.064284695</v>
      </c>
      <c r="I149">
        <f>PasteBBM!AD149</f>
        <v>0.522329</v>
      </c>
      <c r="J149">
        <f>PasteBBM!AF149*PasteBBM!AG149</f>
        <v>1.547791401</v>
      </c>
      <c r="K149">
        <f>PasteBBM!AF149</f>
        <v>0.76202</v>
      </c>
      <c r="L149">
        <f>PasteBBM!Y149</f>
        <v>1.759221</v>
      </c>
      <c r="M149">
        <f>PasteBBM!X149</f>
        <v>13.43558</v>
      </c>
      <c r="N149">
        <f>PasteBBM!Z149</f>
        <v>5.05</v>
      </c>
      <c r="O149">
        <f>PasteBBM!AA149</f>
        <v>2.373506</v>
      </c>
      <c r="P149">
        <f>PasteBBM!AB149</f>
        <v>0.555455</v>
      </c>
      <c r="Q149">
        <f>PasteBBM!AC149</f>
        <v>0.446883</v>
      </c>
      <c r="R149">
        <f>PasteBBM!AH149</f>
        <v>1.312987</v>
      </c>
      <c r="S149">
        <f>PasteBBM!AD149</f>
        <v>0.522329</v>
      </c>
      <c r="T149">
        <f>PasteBBM!AF149</f>
        <v>0.76202</v>
      </c>
    </row>
    <row r="150">
      <c r="A150" s="5">
        <v>149.0</v>
      </c>
      <c r="C150" t="str">
        <f>PasteBBM!H150</f>
        <v>Zaccharie Risacher</v>
      </c>
      <c r="D150" t="str">
        <f>IFERROR(REPLACE(PasteBBM!J150,FIND("/",PasteBBM!J150,1),1,","),PasteBBM!J150)</f>
        <v>F</v>
      </c>
      <c r="E150" t="str">
        <f>PasteBBM!I150</f>
        <v>ATL</v>
      </c>
      <c r="F150">
        <f>PasteBBM!T150</f>
        <v>77</v>
      </c>
      <c r="G150">
        <f>PasteBBM!W150</f>
        <v>30</v>
      </c>
      <c r="H150">
        <f>PasteBBM!AD150*PasteBBM!AE150</f>
        <v>6.45817841</v>
      </c>
      <c r="I150">
        <f>PasteBBM!AD150</f>
        <v>0.499267</v>
      </c>
      <c r="J150">
        <f>PasteBBM!AF150*PasteBBM!AG150</f>
        <v>1.619611445</v>
      </c>
      <c r="K150">
        <f>PasteBBM!AF150</f>
        <v>0.683006</v>
      </c>
      <c r="L150">
        <f>PasteBBM!Y150</f>
        <v>2.316234</v>
      </c>
      <c r="M150">
        <f>PasteBBM!X150</f>
        <v>16.85221</v>
      </c>
      <c r="N150">
        <f>PasteBBM!Z150</f>
        <v>3.9</v>
      </c>
      <c r="O150">
        <f>PasteBBM!AA150</f>
        <v>1.537143</v>
      </c>
      <c r="P150">
        <f>PasteBBM!AB150</f>
        <v>0.788701</v>
      </c>
      <c r="Q150">
        <f>PasteBBM!AC150</f>
        <v>0.454935</v>
      </c>
      <c r="R150">
        <f>PasteBBM!AH150</f>
        <v>1.364935</v>
      </c>
      <c r="S150">
        <f>PasteBBM!AD150</f>
        <v>0.499267</v>
      </c>
      <c r="T150">
        <f>PasteBBM!AF150</f>
        <v>0.683006</v>
      </c>
    </row>
    <row r="151">
      <c r="A151" s="5">
        <v>150.0</v>
      </c>
      <c r="C151" t="str">
        <f>PasteBBM!H151</f>
        <v>C.J. McCollum</v>
      </c>
      <c r="D151" t="str">
        <f>IFERROR(REPLACE(PasteBBM!J151,FIND("/",PasteBBM!J151,1),1,","),PasteBBM!J151)</f>
        <v>G</v>
      </c>
      <c r="E151" t="str">
        <f>PasteBBM!I151</f>
        <v>WAS</v>
      </c>
      <c r="F151">
        <f>PasteBBM!T151</f>
        <v>57</v>
      </c>
      <c r="G151">
        <f>PasteBBM!W151</f>
        <v>30</v>
      </c>
      <c r="H151">
        <f>PasteBBM!AD151*PasteBBM!AE151</f>
        <v>7.049126774</v>
      </c>
      <c r="I151">
        <f>PasteBBM!AD151</f>
        <v>0.438001</v>
      </c>
      <c r="J151">
        <f>PasteBBM!AF151*PasteBBM!AG151</f>
        <v>2.478422252</v>
      </c>
      <c r="K151">
        <f>PasteBBM!AF151</f>
        <v>0.76999</v>
      </c>
      <c r="L151">
        <f>PasteBBM!Y151</f>
        <v>2.874386</v>
      </c>
      <c r="M151">
        <f>PasteBBM!X151</f>
        <v>19.45105</v>
      </c>
      <c r="N151">
        <f>PasteBBM!Z151</f>
        <v>3.862456</v>
      </c>
      <c r="O151">
        <f>PasteBBM!AA151</f>
        <v>4.699298</v>
      </c>
      <c r="P151">
        <f>PasteBBM!AB151</f>
        <v>0.694737</v>
      </c>
      <c r="Q151">
        <f>PasteBBM!AC151</f>
        <v>0.391228</v>
      </c>
      <c r="R151">
        <f>PasteBBM!AH151</f>
        <v>2.38193</v>
      </c>
      <c r="S151">
        <f>PasteBBM!AD151</f>
        <v>0.438001</v>
      </c>
      <c r="T151">
        <f>PasteBBM!AF151</f>
        <v>0.76999</v>
      </c>
    </row>
    <row r="152">
      <c r="A152" s="5">
        <v>151.0</v>
      </c>
      <c r="C152" t="str">
        <f>PasteBBM!H152</f>
        <v>Goga Bitadze</v>
      </c>
      <c r="D152" t="str">
        <f>IFERROR(REPLACE(PasteBBM!J152,FIND("/",PasteBBM!J152,1),1,","),PasteBBM!J152)</f>
        <v>C</v>
      </c>
      <c r="E152" t="str">
        <f>PasteBBM!I152</f>
        <v>ORL</v>
      </c>
      <c r="F152">
        <f>PasteBBM!T152</f>
        <v>68</v>
      </c>
      <c r="G152">
        <f>PasteBBM!W152</f>
        <v>21</v>
      </c>
      <c r="H152">
        <f>PasteBBM!AD152*PasteBBM!AE152</f>
        <v>2.883674362</v>
      </c>
      <c r="I152">
        <f>PasteBBM!AD152</f>
        <v>0.600416</v>
      </c>
      <c r="J152">
        <f>PasteBBM!AF152*PasteBBM!AG152</f>
        <v>1.302941352</v>
      </c>
      <c r="K152">
        <f>PasteBBM!AF152</f>
        <v>0.669994</v>
      </c>
      <c r="L152">
        <f>PasteBBM!Y152</f>
        <v>0.102794</v>
      </c>
      <c r="M152">
        <f>PasteBBM!X152</f>
        <v>7.173088</v>
      </c>
      <c r="N152">
        <f>PasteBBM!Z152</f>
        <v>6.431176</v>
      </c>
      <c r="O152">
        <f>PasteBBM!AA152</f>
        <v>1.715</v>
      </c>
      <c r="P152">
        <f>PasteBBM!AB152</f>
        <v>0.723676</v>
      </c>
      <c r="Q152">
        <f>PasteBBM!AC152</f>
        <v>1.329118</v>
      </c>
      <c r="R152">
        <f>PasteBBM!AH152</f>
        <v>0.900441</v>
      </c>
      <c r="S152">
        <f>PasteBBM!AD152</f>
        <v>0.600416</v>
      </c>
      <c r="T152">
        <f>PasteBBM!AF152</f>
        <v>0.669994</v>
      </c>
    </row>
    <row r="153">
      <c r="A153" s="5">
        <v>152.0</v>
      </c>
      <c r="C153" t="str">
        <f>PasteBBM!H153</f>
        <v>Anfernee Simons</v>
      </c>
      <c r="D153" t="str">
        <f>IFERROR(REPLACE(PasteBBM!J153,FIND("/",PasteBBM!J153,1),1,","),PasteBBM!J153)</f>
        <v>G</v>
      </c>
      <c r="E153" t="str">
        <f>PasteBBM!I153</f>
        <v>BOS</v>
      </c>
      <c r="F153">
        <f>PasteBBM!T153</f>
        <v>61</v>
      </c>
      <c r="G153">
        <f>PasteBBM!W153</f>
        <v>30</v>
      </c>
      <c r="H153">
        <f>PasteBBM!AD153*PasteBBM!AE153</f>
        <v>6.42475816</v>
      </c>
      <c r="I153">
        <f>PasteBBM!AD153</f>
        <v>0.426504</v>
      </c>
      <c r="J153">
        <f>PasteBBM!AF153*PasteBBM!AG153</f>
        <v>2.428687914</v>
      </c>
      <c r="K153">
        <f>PasteBBM!AF153</f>
        <v>0.900991</v>
      </c>
      <c r="L153">
        <f>PasteBBM!Y153</f>
        <v>3.131803</v>
      </c>
      <c r="M153">
        <f>PasteBBM!X153</f>
        <v>18.41</v>
      </c>
      <c r="N153">
        <f>PasteBBM!Z153</f>
        <v>2.510656</v>
      </c>
      <c r="O153">
        <f>PasteBBM!AA153</f>
        <v>5.021311</v>
      </c>
      <c r="P153">
        <f>PasteBBM!AB153</f>
        <v>0.64377</v>
      </c>
      <c r="Q153">
        <f>PasteBBM!AC153</f>
        <v>0.06459</v>
      </c>
      <c r="R153">
        <f>PasteBBM!AH153</f>
        <v>2.381803</v>
      </c>
      <c r="S153">
        <f>PasteBBM!AD153</f>
        <v>0.426504</v>
      </c>
      <c r="T153">
        <f>PasteBBM!AF153</f>
        <v>0.900991</v>
      </c>
    </row>
    <row r="154">
      <c r="A154" s="5">
        <v>153.0</v>
      </c>
      <c r="C154" t="str">
        <f>PasteBBM!H154</f>
        <v>Caris LeVert</v>
      </c>
      <c r="D154" t="str">
        <f>IFERROR(REPLACE(PasteBBM!J154,FIND("/",PasteBBM!J154,1),1,","),PasteBBM!J154)</f>
        <v>G,F</v>
      </c>
      <c r="E154" t="str">
        <f>PasteBBM!I154</f>
        <v>DET</v>
      </c>
      <c r="F154">
        <f>PasteBBM!T154</f>
        <v>68</v>
      </c>
      <c r="G154">
        <f>PasteBBM!W154</f>
        <v>28</v>
      </c>
      <c r="H154">
        <f>PasteBBM!AD154*PasteBBM!AE154</f>
        <v>4.755296234</v>
      </c>
      <c r="I154">
        <f>PasteBBM!AD154</f>
        <v>0.448395</v>
      </c>
      <c r="J154">
        <f>PasteBBM!AF154*PasteBBM!AG154</f>
        <v>1.9094129</v>
      </c>
      <c r="K154">
        <f>PasteBBM!AF154</f>
        <v>0.73298</v>
      </c>
      <c r="L154">
        <f>PasteBBM!Y154</f>
        <v>1.781618</v>
      </c>
      <c r="M154">
        <f>PasteBBM!X154</f>
        <v>13.20162</v>
      </c>
      <c r="N154">
        <f>PasteBBM!Z154</f>
        <v>3.711765</v>
      </c>
      <c r="O154">
        <f>PasteBBM!AA154</f>
        <v>3.181471</v>
      </c>
      <c r="P154">
        <f>PasteBBM!AB154</f>
        <v>1.015882</v>
      </c>
      <c r="Q154">
        <f>PasteBBM!AC154</f>
        <v>0.412353</v>
      </c>
      <c r="R154">
        <f>PasteBBM!AH154</f>
        <v>1.178382</v>
      </c>
      <c r="S154">
        <f>PasteBBM!AD154</f>
        <v>0.448395</v>
      </c>
      <c r="T154">
        <f>PasteBBM!AF154</f>
        <v>0.73298</v>
      </c>
    </row>
    <row r="155">
      <c r="A155" s="5">
        <v>154.0</v>
      </c>
      <c r="C155" t="str">
        <f>PasteBBM!H155</f>
        <v>Buddy Hield</v>
      </c>
      <c r="D155" t="str">
        <f>IFERROR(REPLACE(PasteBBM!J155,FIND("/",PasteBBM!J155,1),1,","),PasteBBM!J155)</f>
        <v>G,F</v>
      </c>
      <c r="E155" t="str">
        <f>PasteBBM!I155</f>
        <v>GSW</v>
      </c>
      <c r="F155">
        <f>PasteBBM!T155</f>
        <v>77</v>
      </c>
      <c r="G155">
        <f>PasteBBM!W155</f>
        <v>23</v>
      </c>
      <c r="H155">
        <f>PasteBBM!AD155*PasteBBM!AE155</f>
        <v>4.211042729</v>
      </c>
      <c r="I155">
        <f>PasteBBM!AD155</f>
        <v>0.433015</v>
      </c>
      <c r="J155">
        <f>PasteBBM!AF155*PasteBBM!AG155</f>
        <v>0.7453249407</v>
      </c>
      <c r="K155">
        <f>PasteBBM!AF155</f>
        <v>0.842979</v>
      </c>
      <c r="L155">
        <f>PasteBBM!Y155</f>
        <v>2.832468</v>
      </c>
      <c r="M155">
        <f>PasteBBM!X155</f>
        <v>11.99987</v>
      </c>
      <c r="N155">
        <f>PasteBBM!Z155</f>
        <v>3.225714</v>
      </c>
      <c r="O155">
        <f>PasteBBM!AA155</f>
        <v>1.423117</v>
      </c>
      <c r="P155">
        <f>PasteBBM!AB155</f>
        <v>0.859091</v>
      </c>
      <c r="Q155">
        <f>PasteBBM!AC155</f>
        <v>0.283506</v>
      </c>
      <c r="R155">
        <f>PasteBBM!AH155</f>
        <v>0.806494</v>
      </c>
      <c r="S155">
        <f>PasteBBM!AD155</f>
        <v>0.433015</v>
      </c>
      <c r="T155">
        <f>PasteBBM!AF155</f>
        <v>0.842979</v>
      </c>
    </row>
    <row r="156">
      <c r="A156" s="5">
        <v>155.0</v>
      </c>
      <c r="C156" t="str">
        <f>PasteBBM!H156</f>
        <v>Kentavious Caldwell-Pope</v>
      </c>
      <c r="D156" t="str">
        <f>IFERROR(REPLACE(PasteBBM!J156,FIND("/",PasteBBM!J156,1),1,","),PasteBBM!J156)</f>
        <v>G,F</v>
      </c>
      <c r="E156" t="str">
        <f>PasteBBM!I156</f>
        <v>MEM</v>
      </c>
      <c r="F156">
        <f>PasteBBM!T156</f>
        <v>77</v>
      </c>
      <c r="G156">
        <f>PasteBBM!W156</f>
        <v>28</v>
      </c>
      <c r="H156">
        <f>PasteBBM!AD156*PasteBBM!AE156</f>
        <v>3.17662072</v>
      </c>
      <c r="I156">
        <f>PasteBBM!AD156</f>
        <v>0.436349</v>
      </c>
      <c r="J156">
        <f>PasteBBM!AF156*PasteBBM!AG156</f>
        <v>1.133117203</v>
      </c>
      <c r="K156">
        <f>PasteBBM!AF156</f>
        <v>0.869977</v>
      </c>
      <c r="L156">
        <f>PasteBBM!Y156</f>
        <v>1.835714</v>
      </c>
      <c r="M156">
        <f>PasteBBM!X156</f>
        <v>9.322078</v>
      </c>
      <c r="N156">
        <f>PasteBBM!Z156</f>
        <v>2.669351</v>
      </c>
      <c r="O156">
        <f>PasteBBM!AA156</f>
        <v>1.880649</v>
      </c>
      <c r="P156">
        <f>PasteBBM!AB156</f>
        <v>1.148442</v>
      </c>
      <c r="Q156">
        <f>PasteBBM!AC156</f>
        <v>0.364935</v>
      </c>
      <c r="R156">
        <f>PasteBBM!AH156</f>
        <v>0.79026</v>
      </c>
      <c r="S156">
        <f>PasteBBM!AD156</f>
        <v>0.436349</v>
      </c>
      <c r="T156">
        <f>PasteBBM!AF156</f>
        <v>0.869977</v>
      </c>
    </row>
    <row r="157">
      <c r="A157" s="5">
        <v>156.0</v>
      </c>
      <c r="C157" t="str">
        <f>PasteBBM!H157</f>
        <v>Jay Huff</v>
      </c>
      <c r="D157" t="str">
        <f>IFERROR(REPLACE(PasteBBM!J157,FIND("/",PasteBBM!J157,1),1,","),PasteBBM!J157)</f>
        <v>C</v>
      </c>
      <c r="E157" t="str">
        <f>PasteBBM!I157</f>
        <v>IND</v>
      </c>
      <c r="F157">
        <f>PasteBBM!T157</f>
        <v>68</v>
      </c>
      <c r="G157">
        <f>PasteBBM!W157</f>
        <v>22</v>
      </c>
      <c r="H157">
        <f>PasteBBM!AD157*PasteBBM!AE157</f>
        <v>3.453528113</v>
      </c>
      <c r="I157">
        <f>PasteBBM!AD157</f>
        <v>0.490804</v>
      </c>
      <c r="J157">
        <f>PasteBBM!AF157*PasteBBM!AG157</f>
        <v>0.7536765822</v>
      </c>
      <c r="K157">
        <f>PasteBBM!AF157</f>
        <v>0.823955</v>
      </c>
      <c r="L157">
        <f>PasteBBM!Y157</f>
        <v>1.536765</v>
      </c>
      <c r="M157">
        <f>PasteBBM!X157</f>
        <v>9.1975</v>
      </c>
      <c r="N157">
        <f>PasteBBM!Z157</f>
        <v>4.443971</v>
      </c>
      <c r="O157">
        <f>PasteBBM!AA157</f>
        <v>1.018382</v>
      </c>
      <c r="P157">
        <f>PasteBBM!AB157</f>
        <v>0.554412</v>
      </c>
      <c r="Q157">
        <f>PasteBBM!AC157</f>
        <v>1.203529</v>
      </c>
      <c r="R157">
        <f>PasteBBM!AH157</f>
        <v>0.8875</v>
      </c>
      <c r="S157">
        <f>PasteBBM!AD157</f>
        <v>0.490804</v>
      </c>
      <c r="T157">
        <f>PasteBBM!AF157</f>
        <v>0.823955</v>
      </c>
    </row>
    <row r="158">
      <c r="A158" s="5">
        <v>157.0</v>
      </c>
      <c r="C158" t="str">
        <f>PasteBBM!H158</f>
        <v>Malik Monk</v>
      </c>
      <c r="D158" t="str">
        <f>IFERROR(REPLACE(PasteBBM!J158,FIND("/",PasteBBM!J158,1),1,","),PasteBBM!J158)</f>
        <v>G</v>
      </c>
      <c r="E158" t="str">
        <f>PasteBBM!I158</f>
        <v>SAC</v>
      </c>
      <c r="F158">
        <f>PasteBBM!T158</f>
        <v>68</v>
      </c>
      <c r="G158">
        <f>PasteBBM!W158</f>
        <v>27</v>
      </c>
      <c r="H158">
        <f>PasteBBM!AD158*PasteBBM!AE158</f>
        <v>5.554415287</v>
      </c>
      <c r="I158">
        <f>PasteBBM!AD158</f>
        <v>0.462743</v>
      </c>
      <c r="J158">
        <f>PasteBBM!AF158*PasteBBM!AG158</f>
        <v>1.803676119</v>
      </c>
      <c r="K158">
        <f>PasteBBM!AF158</f>
        <v>0.838002</v>
      </c>
      <c r="L158">
        <f>PasteBBM!Y158</f>
        <v>1.971618</v>
      </c>
      <c r="M158">
        <f>PasteBBM!X158</f>
        <v>14.88412</v>
      </c>
      <c r="N158">
        <f>PasteBBM!Z158</f>
        <v>3.11</v>
      </c>
      <c r="O158">
        <f>PasteBBM!AA158</f>
        <v>4.365</v>
      </c>
      <c r="P158">
        <f>PasteBBM!AB158</f>
        <v>0.737206</v>
      </c>
      <c r="Q158">
        <f>PasteBBM!AC158</f>
        <v>0.502794</v>
      </c>
      <c r="R158">
        <f>PasteBBM!AH158</f>
        <v>2.073382</v>
      </c>
      <c r="S158">
        <f>PasteBBM!AD158</f>
        <v>0.462743</v>
      </c>
      <c r="T158">
        <f>PasteBBM!AF158</f>
        <v>0.838002</v>
      </c>
    </row>
    <row r="159">
      <c r="A159" s="5">
        <v>158.0</v>
      </c>
      <c r="C159" t="str">
        <f>PasteBBM!H159</f>
        <v>Aaron Wiggins</v>
      </c>
      <c r="D159" t="str">
        <f>IFERROR(REPLACE(PasteBBM!J159,FIND("/",PasteBBM!J159,1),1,","),PasteBBM!J159)</f>
        <v>G,F</v>
      </c>
      <c r="E159" t="str">
        <f>PasteBBM!I159</f>
        <v>OKC</v>
      </c>
      <c r="F159">
        <f>PasteBBM!T159</f>
        <v>73</v>
      </c>
      <c r="G159">
        <f>PasteBBM!W159</f>
        <v>22</v>
      </c>
      <c r="H159">
        <f>PasteBBM!AD159*PasteBBM!AE159</f>
        <v>4.834385572</v>
      </c>
      <c r="I159">
        <f>PasteBBM!AD159</f>
        <v>0.492403</v>
      </c>
      <c r="J159">
        <f>PasteBBM!AF159*PasteBBM!AG159</f>
        <v>1.211918399</v>
      </c>
      <c r="K159">
        <f>PasteBBM!AF159</f>
        <v>0.822977</v>
      </c>
      <c r="L159">
        <f>PasteBBM!Y159</f>
        <v>1.837808</v>
      </c>
      <c r="M159">
        <f>PasteBBM!X159</f>
        <v>12.71849</v>
      </c>
      <c r="N159">
        <f>PasteBBM!Z159</f>
        <v>3.693288</v>
      </c>
      <c r="O159">
        <f>PasteBBM!AA159</f>
        <v>1.716164</v>
      </c>
      <c r="P159">
        <f>PasteBBM!AB159</f>
        <v>0.784247</v>
      </c>
      <c r="Q159">
        <f>PasteBBM!AC159</f>
        <v>0.235753</v>
      </c>
      <c r="R159">
        <f>PasteBBM!AH159</f>
        <v>0.894521</v>
      </c>
      <c r="S159">
        <f>PasteBBM!AD159</f>
        <v>0.492403</v>
      </c>
      <c r="T159">
        <f>PasteBBM!AF159</f>
        <v>0.822977</v>
      </c>
    </row>
    <row r="160">
      <c r="A160" s="5">
        <v>159.0</v>
      </c>
      <c r="C160" t="str">
        <f>PasteBBM!H160</f>
        <v>Jabari Smith Jr.</v>
      </c>
      <c r="D160" t="str">
        <f>IFERROR(REPLACE(PasteBBM!J160,FIND("/",PasteBBM!J160,1),1,","),PasteBBM!J160)</f>
        <v>F</v>
      </c>
      <c r="E160" t="str">
        <f>PasteBBM!I160</f>
        <v>HOU</v>
      </c>
      <c r="F160">
        <f>PasteBBM!T160</f>
        <v>70</v>
      </c>
      <c r="G160">
        <f>PasteBBM!W160</f>
        <v>28</v>
      </c>
      <c r="H160">
        <f>PasteBBM!AD160*PasteBBM!AE160</f>
        <v>4.765572601</v>
      </c>
      <c r="I160">
        <f>PasteBBM!AD160</f>
        <v>0.446872</v>
      </c>
      <c r="J160">
        <f>PasteBBM!AF160*PasteBBM!AG160</f>
        <v>1.748857471</v>
      </c>
      <c r="K160">
        <f>PasteBBM!AF160</f>
        <v>0.820015</v>
      </c>
      <c r="L160">
        <f>PasteBBM!Y160</f>
        <v>1.990571</v>
      </c>
      <c r="M160">
        <f>PasteBBM!X160</f>
        <v>13.27057</v>
      </c>
      <c r="N160">
        <f>PasteBBM!Z160</f>
        <v>7.07</v>
      </c>
      <c r="O160">
        <f>PasteBBM!AA160</f>
        <v>1.105143</v>
      </c>
      <c r="P160">
        <f>PasteBBM!AB160</f>
        <v>0.468857</v>
      </c>
      <c r="Q160">
        <f>PasteBBM!AC160</f>
        <v>0.530286</v>
      </c>
      <c r="R160">
        <f>PasteBBM!AH160</f>
        <v>1.122714</v>
      </c>
      <c r="S160">
        <f>PasteBBM!AD160</f>
        <v>0.446872</v>
      </c>
      <c r="T160">
        <f>PasteBBM!AF160</f>
        <v>0.820015</v>
      </c>
    </row>
    <row r="161">
      <c r="A161" s="5">
        <v>160.0</v>
      </c>
      <c r="C161" t="str">
        <f>PasteBBM!H161</f>
        <v>Adem Bona</v>
      </c>
      <c r="D161" t="str">
        <f>IFERROR(REPLACE(PasteBBM!J161,FIND("/",PasteBBM!J161,1),1,","),PasteBBM!J161)</f>
        <v>C</v>
      </c>
      <c r="E161" t="str">
        <f>PasteBBM!I161</f>
        <v>PHI</v>
      </c>
      <c r="F161">
        <f>PasteBBM!T161</f>
        <v>66</v>
      </c>
      <c r="G161">
        <f>PasteBBM!W161</f>
        <v>22</v>
      </c>
      <c r="H161">
        <f>PasteBBM!AD161*PasteBBM!AE161</f>
        <v>3.432577379</v>
      </c>
      <c r="I161">
        <f>PasteBBM!AD161</f>
        <v>0.713611</v>
      </c>
      <c r="J161">
        <f>PasteBBM!AF161*PasteBBM!AG161</f>
        <v>1.289091076</v>
      </c>
      <c r="K161">
        <f>PasteBBM!AF161</f>
        <v>0.670027</v>
      </c>
      <c r="L161">
        <f>PasteBBM!Y161</f>
        <v>0.008182</v>
      </c>
      <c r="M161">
        <f>PasteBBM!X161</f>
        <v>8.162424</v>
      </c>
      <c r="N161">
        <f>PasteBBM!Z161</f>
        <v>5.944091</v>
      </c>
      <c r="O161">
        <f>PasteBBM!AA161</f>
        <v>0.619848</v>
      </c>
      <c r="P161">
        <f>PasteBBM!AB161</f>
        <v>0.629697</v>
      </c>
      <c r="Q161">
        <f>PasteBBM!AC161</f>
        <v>1.733182</v>
      </c>
      <c r="R161">
        <f>PasteBBM!AH161</f>
        <v>1.503939</v>
      </c>
      <c r="S161">
        <f>PasteBBM!AD161</f>
        <v>0.713611</v>
      </c>
      <c r="T161">
        <f>PasteBBM!AF161</f>
        <v>0.670027</v>
      </c>
    </row>
    <row r="162">
      <c r="A162" s="5">
        <v>161.0</v>
      </c>
      <c r="C162" t="str">
        <f>PasteBBM!H162</f>
        <v>D'Angelo Russell</v>
      </c>
      <c r="D162" t="str">
        <f>IFERROR(REPLACE(PasteBBM!J162,FIND("/",PasteBBM!J162,1),1,","),PasteBBM!J162)</f>
        <v>G</v>
      </c>
      <c r="E162" t="str">
        <f>PasteBBM!I162</f>
        <v>DAL</v>
      </c>
      <c r="F162">
        <f>PasteBBM!T162</f>
        <v>73</v>
      </c>
      <c r="G162">
        <f>PasteBBM!W162</f>
        <v>27</v>
      </c>
      <c r="H162">
        <f>PasteBBM!AD162*PasteBBM!AE162</f>
        <v>4.465207371</v>
      </c>
      <c r="I162">
        <f>PasteBBM!AD162</f>
        <v>0.418053</v>
      </c>
      <c r="J162">
        <f>PasteBBM!AF162*PasteBBM!AG162</f>
        <v>1.682328516</v>
      </c>
      <c r="K162">
        <f>PasteBBM!AF162</f>
        <v>0.829013</v>
      </c>
      <c r="L162">
        <f>PasteBBM!Y162</f>
        <v>2.306986</v>
      </c>
      <c r="M162">
        <f>PasteBBM!X162</f>
        <v>12.91973</v>
      </c>
      <c r="N162">
        <f>PasteBBM!Z162</f>
        <v>2.499726</v>
      </c>
      <c r="O162">
        <f>PasteBBM!AA162</f>
        <v>5.635205</v>
      </c>
      <c r="P162">
        <f>PasteBBM!AB162</f>
        <v>0.852192</v>
      </c>
      <c r="Q162">
        <f>PasteBBM!AC162</f>
        <v>0.451918</v>
      </c>
      <c r="R162">
        <f>PasteBBM!AH162</f>
        <v>2.035342</v>
      </c>
      <c r="S162">
        <f>PasteBBM!AD162</f>
        <v>0.418053</v>
      </c>
      <c r="T162">
        <f>PasteBBM!AF162</f>
        <v>0.829013</v>
      </c>
    </row>
    <row r="163">
      <c r="A163" s="5">
        <v>162.0</v>
      </c>
      <c r="C163" t="str">
        <f>PasteBBM!H163</f>
        <v>Davion Mitchell</v>
      </c>
      <c r="D163" t="str">
        <f>IFERROR(REPLACE(PasteBBM!J163,FIND("/",PasteBBM!J163,1),1,","),PasteBBM!J163)</f>
        <v>G</v>
      </c>
      <c r="E163" t="str">
        <f>PasteBBM!I163</f>
        <v>MIA</v>
      </c>
      <c r="F163">
        <f>PasteBBM!T163</f>
        <v>73</v>
      </c>
      <c r="G163">
        <f>PasteBBM!W163</f>
        <v>30</v>
      </c>
      <c r="H163">
        <f>PasteBBM!AD163*PasteBBM!AE163</f>
        <v>3.283974659</v>
      </c>
      <c r="I163">
        <f>PasteBBM!AD163</f>
        <v>0.470345</v>
      </c>
      <c r="J163">
        <f>PasteBBM!AF163*PasteBBM!AG163</f>
        <v>0.9367117405</v>
      </c>
      <c r="K163">
        <f>PasteBBM!AF163</f>
        <v>0.70604</v>
      </c>
      <c r="L163">
        <f>PasteBBM!Y163</f>
        <v>1.06137</v>
      </c>
      <c r="M163">
        <f>PasteBBM!X163</f>
        <v>8.566027</v>
      </c>
      <c r="N163">
        <f>PasteBBM!Z163</f>
        <v>2.817534</v>
      </c>
      <c r="O163">
        <f>PasteBBM!AA163</f>
        <v>5.88</v>
      </c>
      <c r="P163">
        <f>PasteBBM!AB163</f>
        <v>1.347534</v>
      </c>
      <c r="Q163">
        <f>PasteBBM!AC163</f>
        <v>0.25137</v>
      </c>
      <c r="R163">
        <f>PasteBBM!AH163</f>
        <v>1.815753</v>
      </c>
      <c r="S163">
        <f>PasteBBM!AD163</f>
        <v>0.470345</v>
      </c>
      <c r="T163">
        <f>PasteBBM!AF163</f>
        <v>0.70604</v>
      </c>
    </row>
    <row r="164">
      <c r="A164" s="5">
        <v>163.0</v>
      </c>
      <c r="C164" t="str">
        <f>PasteBBM!H164</f>
        <v>Bilal Coulibaly</v>
      </c>
      <c r="D164" t="str">
        <f>IFERROR(REPLACE(PasteBBM!J164,FIND("/",PasteBBM!J164,1),1,","),PasteBBM!J164)</f>
        <v>F</v>
      </c>
      <c r="E164" t="str">
        <f>PasteBBM!I164</f>
        <v>WAS</v>
      </c>
      <c r="F164">
        <f>PasteBBM!T164</f>
        <v>63</v>
      </c>
      <c r="G164">
        <f>PasteBBM!W164</f>
        <v>31</v>
      </c>
      <c r="H164">
        <f>PasteBBM!AD164*PasteBBM!AE164</f>
        <v>4.630788348</v>
      </c>
      <c r="I164">
        <f>PasteBBM!AD164</f>
        <v>0.446249</v>
      </c>
      <c r="J164">
        <f>PasteBBM!AF164*PasteBBM!AG164</f>
        <v>2.260954147</v>
      </c>
      <c r="K164">
        <f>PasteBBM!AF164</f>
        <v>0.729004</v>
      </c>
      <c r="L164">
        <f>PasteBBM!Y164</f>
        <v>1.154444</v>
      </c>
      <c r="M164">
        <f>PasteBBM!X164</f>
        <v>12.67698</v>
      </c>
      <c r="N164">
        <f>PasteBBM!Z164</f>
        <v>4.989048</v>
      </c>
      <c r="O164">
        <f>PasteBBM!AA164</f>
        <v>3.592063</v>
      </c>
      <c r="P164">
        <f>PasteBBM!AB164</f>
        <v>1.194603</v>
      </c>
      <c r="Q164">
        <f>PasteBBM!AC164</f>
        <v>0.666349</v>
      </c>
      <c r="R164">
        <f>PasteBBM!AH164</f>
        <v>1.998254</v>
      </c>
      <c r="S164">
        <f>PasteBBM!AD164</f>
        <v>0.446249</v>
      </c>
      <c r="T164">
        <f>PasteBBM!AF164</f>
        <v>0.729004</v>
      </c>
    </row>
    <row r="165">
      <c r="A165" s="5">
        <v>164.0</v>
      </c>
      <c r="C165" t="str">
        <f>PasteBBM!H165</f>
        <v>Ryan Dunn</v>
      </c>
      <c r="D165" t="str">
        <f>IFERROR(REPLACE(PasteBBM!J165,FIND("/",PasteBBM!J165,1),1,","),PasteBBM!J165)</f>
        <v>F</v>
      </c>
      <c r="E165" t="str">
        <f>PasteBBM!I165</f>
        <v>PHO</v>
      </c>
      <c r="F165">
        <f>PasteBBM!T165</f>
        <v>73</v>
      </c>
      <c r="G165">
        <f>PasteBBM!W165</f>
        <v>26</v>
      </c>
      <c r="H165">
        <f>PasteBBM!AD165*PasteBBM!AE165</f>
        <v>3.779864672</v>
      </c>
      <c r="I165">
        <f>PasteBBM!AD165</f>
        <v>0.393764</v>
      </c>
      <c r="J165">
        <f>PasteBBM!AF165*PasteBBM!AG165</f>
        <v>0.5978085806</v>
      </c>
      <c r="K165">
        <f>PasteBBM!AF165</f>
        <v>0.518968</v>
      </c>
      <c r="L165">
        <f>PasteBBM!Y165</f>
        <v>1.803288</v>
      </c>
      <c r="M165">
        <f>PasteBBM!X165</f>
        <v>9.960822</v>
      </c>
      <c r="N165">
        <f>PasteBBM!Z165</f>
        <v>5.737808</v>
      </c>
      <c r="O165">
        <f>PasteBBM!AA165</f>
        <v>0.857945</v>
      </c>
      <c r="P165">
        <f>PasteBBM!AB165</f>
        <v>1.286986</v>
      </c>
      <c r="Q165">
        <f>PasteBBM!AC165</f>
        <v>0.677534</v>
      </c>
      <c r="R165">
        <f>PasteBBM!AH165</f>
        <v>0.73274</v>
      </c>
      <c r="S165">
        <f>PasteBBM!AD165</f>
        <v>0.393764</v>
      </c>
      <c r="T165">
        <f>PasteBBM!AF165</f>
        <v>0.518968</v>
      </c>
    </row>
    <row r="166">
      <c r="A166" s="5">
        <v>165.0</v>
      </c>
      <c r="C166" t="str">
        <f>PasteBBM!H166</f>
        <v>Jerami Grant</v>
      </c>
      <c r="D166" t="str">
        <f>IFERROR(REPLACE(PasteBBM!J166,FIND("/",PasteBBM!J166,1),1,","),PasteBBM!J166)</f>
        <v>F</v>
      </c>
      <c r="E166" t="str">
        <f>PasteBBM!I166</f>
        <v>POR</v>
      </c>
      <c r="F166">
        <f>PasteBBM!T166</f>
        <v>57</v>
      </c>
      <c r="G166">
        <f>PasteBBM!W166</f>
        <v>30</v>
      </c>
      <c r="H166">
        <f>PasteBBM!AD166*PasteBBM!AE166</f>
        <v>4.651755067</v>
      </c>
      <c r="I166">
        <f>PasteBBM!AD166</f>
        <v>0.388123</v>
      </c>
      <c r="J166">
        <f>PasteBBM!AF166*PasteBBM!AG166</f>
        <v>2.673682398</v>
      </c>
      <c r="K166">
        <f>PasteBBM!AF166</f>
        <v>0.858011</v>
      </c>
      <c r="L166">
        <f>PasteBBM!Y166</f>
        <v>2.362456</v>
      </c>
      <c r="M166">
        <f>PasteBBM!X166</f>
        <v>14.33965</v>
      </c>
      <c r="N166">
        <f>PasteBBM!Z166</f>
        <v>3.251228</v>
      </c>
      <c r="O166">
        <f>PasteBBM!AA166</f>
        <v>1.784912</v>
      </c>
      <c r="P166">
        <f>PasteBBM!AB166</f>
        <v>0.826842</v>
      </c>
      <c r="Q166">
        <f>PasteBBM!AC166</f>
        <v>0.83</v>
      </c>
      <c r="R166">
        <f>PasteBBM!AH166</f>
        <v>1.404386</v>
      </c>
      <c r="S166">
        <f>PasteBBM!AD166</f>
        <v>0.388123</v>
      </c>
      <c r="T166">
        <f>PasteBBM!AF166</f>
        <v>0.858011</v>
      </c>
    </row>
    <row r="167">
      <c r="A167" s="5">
        <v>166.0</v>
      </c>
      <c r="C167" t="str">
        <f>PasteBBM!H167</f>
        <v>Josh Minott</v>
      </c>
      <c r="D167" t="str">
        <f>IFERROR(REPLACE(PasteBBM!J167,FIND("/",PasteBBM!J167,1),1,","),PasteBBM!J167)</f>
        <v>F</v>
      </c>
      <c r="E167" t="str">
        <f>PasteBBM!I167</f>
        <v>BOS</v>
      </c>
      <c r="F167">
        <f>PasteBBM!T167</f>
        <v>73</v>
      </c>
      <c r="G167">
        <f>PasteBBM!W167</f>
        <v>17</v>
      </c>
      <c r="H167">
        <f>PasteBBM!AD167*PasteBBM!AE167</f>
        <v>2.943696735</v>
      </c>
      <c r="I167">
        <f>PasteBBM!AD167</f>
        <v>0.492009</v>
      </c>
      <c r="J167">
        <f>PasteBBM!AF167*PasteBBM!AG167</f>
        <v>1.278766992</v>
      </c>
      <c r="K167">
        <f>PasteBBM!AF167</f>
        <v>0.842129</v>
      </c>
      <c r="L167">
        <f>PasteBBM!Y167</f>
        <v>1.034932</v>
      </c>
      <c r="M167">
        <f>PasteBBM!X167</f>
        <v>8.201096</v>
      </c>
      <c r="N167">
        <f>PasteBBM!Z167</f>
        <v>3.550959</v>
      </c>
      <c r="O167">
        <f>PasteBBM!AA167</f>
        <v>1.153425</v>
      </c>
      <c r="P167">
        <f>PasteBBM!AB167</f>
        <v>0.948493</v>
      </c>
      <c r="Q167">
        <f>PasteBBM!AC167</f>
        <v>0.736301</v>
      </c>
      <c r="R167">
        <f>PasteBBM!AH167</f>
        <v>0.717534</v>
      </c>
      <c r="S167">
        <f>PasteBBM!AD167</f>
        <v>0.492009</v>
      </c>
      <c r="T167">
        <f>PasteBBM!AF167</f>
        <v>0.842129</v>
      </c>
    </row>
    <row r="168">
      <c r="A168" s="5">
        <v>167.0</v>
      </c>
      <c r="C168" t="str">
        <f>PasteBBM!H168</f>
        <v>Wendell Carter Jr.</v>
      </c>
      <c r="D168" t="str">
        <f>IFERROR(REPLACE(PasteBBM!J168,FIND("/",PasteBBM!J168,1),1,","),PasteBBM!J168)</f>
        <v>C</v>
      </c>
      <c r="E168" t="str">
        <f>PasteBBM!I168</f>
        <v>ORL</v>
      </c>
      <c r="F168">
        <f>PasteBBM!T168</f>
        <v>68</v>
      </c>
      <c r="G168">
        <f>PasteBBM!W168</f>
        <v>27</v>
      </c>
      <c r="H168">
        <f>PasteBBM!AD168*PasteBBM!AE168</f>
        <v>3.408384437</v>
      </c>
      <c r="I168">
        <f>PasteBBM!AD168</f>
        <v>0.498602</v>
      </c>
      <c r="J168">
        <f>PasteBBM!AF168*PasteBBM!AG168</f>
        <v>1.237205664</v>
      </c>
      <c r="K168">
        <f>PasteBBM!AF168</f>
        <v>0.72401</v>
      </c>
      <c r="L168">
        <f>PasteBBM!Y168</f>
        <v>0.743676</v>
      </c>
      <c r="M168">
        <f>PasteBBM!X168</f>
        <v>8.797647</v>
      </c>
      <c r="N168">
        <f>PasteBBM!Z168</f>
        <v>7.166176</v>
      </c>
      <c r="O168">
        <f>PasteBBM!AA168</f>
        <v>1.598676</v>
      </c>
      <c r="P168">
        <f>PasteBBM!AB168</f>
        <v>0.831618</v>
      </c>
      <c r="Q168">
        <f>PasteBBM!AC168</f>
        <v>0.716618</v>
      </c>
      <c r="R168">
        <f>PasteBBM!AH168</f>
        <v>1.212794</v>
      </c>
      <c r="S168">
        <f>PasteBBM!AD168</f>
        <v>0.498602</v>
      </c>
      <c r="T168">
        <f>PasteBBM!AF168</f>
        <v>0.72401</v>
      </c>
    </row>
    <row r="169">
      <c r="A169" s="5">
        <v>168.0</v>
      </c>
      <c r="C169" t="str">
        <f>PasteBBM!H169</f>
        <v>Dillon Brooks</v>
      </c>
      <c r="D169" t="str">
        <f>IFERROR(REPLACE(PasteBBM!J169,FIND("/",PasteBBM!J169,1),1,","),PasteBBM!J169)</f>
        <v>G,F</v>
      </c>
      <c r="E169" t="str">
        <f>PasteBBM!I169</f>
        <v>PHO</v>
      </c>
      <c r="F169">
        <f>PasteBBM!T169</f>
        <v>73</v>
      </c>
      <c r="G169">
        <f>PasteBBM!W169</f>
        <v>31</v>
      </c>
      <c r="H169">
        <f>PasteBBM!AD169*PasteBBM!AE169</f>
        <v>5.080963365</v>
      </c>
      <c r="I169">
        <f>PasteBBM!AD169</f>
        <v>0.429553</v>
      </c>
      <c r="J169">
        <f>PasteBBM!AF169*PasteBBM!AG169</f>
        <v>1.516027996</v>
      </c>
      <c r="K169">
        <f>PasteBBM!AF169</f>
        <v>0.801028</v>
      </c>
      <c r="L169">
        <f>PasteBBM!Y169</f>
        <v>2.45274</v>
      </c>
      <c r="M169">
        <f>PasteBBM!X169</f>
        <v>14.13068</v>
      </c>
      <c r="N169">
        <f>PasteBBM!Z169</f>
        <v>3.452603</v>
      </c>
      <c r="O169">
        <f>PasteBBM!AA169</f>
        <v>2.685342</v>
      </c>
      <c r="P169">
        <f>PasteBBM!AB169</f>
        <v>0.959041</v>
      </c>
      <c r="Q169">
        <f>PasteBBM!AC169</f>
        <v>0.192192</v>
      </c>
      <c r="R169">
        <f>PasteBBM!AH169</f>
        <v>1.470548</v>
      </c>
      <c r="S169">
        <f>PasteBBM!AD169</f>
        <v>0.429553</v>
      </c>
      <c r="T169">
        <f>PasteBBM!AF169</f>
        <v>0.801028</v>
      </c>
    </row>
    <row r="170">
      <c r="A170" s="5">
        <v>169.0</v>
      </c>
      <c r="C170" t="str">
        <f>PasteBBM!H170</f>
        <v>Sam Merrill</v>
      </c>
      <c r="D170" t="str">
        <f>IFERROR(REPLACE(PasteBBM!J170,FIND("/",PasteBBM!J170,1),1,","),PasteBBM!J170)</f>
        <v>G</v>
      </c>
      <c r="E170" t="str">
        <f>PasteBBM!I170</f>
        <v>CLE</v>
      </c>
      <c r="F170">
        <f>PasteBBM!T170</f>
        <v>73</v>
      </c>
      <c r="G170">
        <f>PasteBBM!W170</f>
        <v>23</v>
      </c>
      <c r="H170">
        <f>PasteBBM!AD170*PasteBBM!AE170</f>
        <v>3.3013697</v>
      </c>
      <c r="I170">
        <f>PasteBBM!AD170</f>
        <v>0.421071</v>
      </c>
      <c r="J170">
        <f>PasteBBM!AF170*PasteBBM!AG170</f>
        <v>0.2154790623</v>
      </c>
      <c r="K170">
        <f>PasteBBM!AF170</f>
        <v>0.916133</v>
      </c>
      <c r="L170">
        <f>PasteBBM!Y170</f>
        <v>2.766575</v>
      </c>
      <c r="M170">
        <f>PasteBBM!X170</f>
        <v>9.584795</v>
      </c>
      <c r="N170">
        <f>PasteBBM!Z170</f>
        <v>2.661781</v>
      </c>
      <c r="O170">
        <f>PasteBBM!AA170</f>
        <v>1.973014</v>
      </c>
      <c r="P170">
        <f>PasteBBM!AB170</f>
        <v>0.836849</v>
      </c>
      <c r="Q170">
        <f>PasteBBM!AC170</f>
        <v>0.191644</v>
      </c>
      <c r="R170">
        <f>PasteBBM!AH170</f>
        <v>0.527671</v>
      </c>
      <c r="S170">
        <f>PasteBBM!AD170</f>
        <v>0.421071</v>
      </c>
      <c r="T170">
        <f>PasteBBM!AF170</f>
        <v>0.916133</v>
      </c>
    </row>
    <row r="171">
      <c r="A171" s="5">
        <v>170.0</v>
      </c>
      <c r="C171" t="str">
        <f>PasteBBM!H171</f>
        <v>Ziaire Williams</v>
      </c>
      <c r="D171" t="str">
        <f>IFERROR(REPLACE(PasteBBM!J171,FIND("/",PasteBBM!J171,1),1,","),PasteBBM!J171)</f>
        <v>F</v>
      </c>
      <c r="E171" t="str">
        <f>PasteBBM!I171</f>
        <v>BKN</v>
      </c>
      <c r="F171">
        <f>PasteBBM!T171</f>
        <v>68</v>
      </c>
      <c r="G171">
        <f>PasteBBM!W171</f>
        <v>26</v>
      </c>
      <c r="H171">
        <f>PasteBBM!AD171*PasteBBM!AE171</f>
        <v>4.031621454</v>
      </c>
      <c r="I171">
        <f>PasteBBM!AD171</f>
        <v>0.420521</v>
      </c>
      <c r="J171">
        <f>PasteBBM!AF171*PasteBBM!AG171</f>
        <v>1.580000825</v>
      </c>
      <c r="K171">
        <f>PasteBBM!AF171</f>
        <v>0.82399</v>
      </c>
      <c r="L171">
        <f>PasteBBM!Y171</f>
        <v>2.120147</v>
      </c>
      <c r="M171">
        <f>PasteBBM!X171</f>
        <v>11.76338</v>
      </c>
      <c r="N171">
        <f>PasteBBM!Z171</f>
        <v>3.9</v>
      </c>
      <c r="O171">
        <f>PasteBBM!AA171</f>
        <v>1.191618</v>
      </c>
      <c r="P171">
        <f>PasteBBM!AB171</f>
        <v>0.975</v>
      </c>
      <c r="Q171">
        <f>PasteBBM!AC171</f>
        <v>0.435882</v>
      </c>
      <c r="R171">
        <f>PasteBBM!AH171</f>
        <v>1.083382</v>
      </c>
      <c r="S171">
        <f>PasteBBM!AD171</f>
        <v>0.420521</v>
      </c>
      <c r="T171">
        <f>PasteBBM!AF171</f>
        <v>0.82399</v>
      </c>
    </row>
    <row r="172">
      <c r="A172" s="5">
        <v>171.0</v>
      </c>
      <c r="C172" t="str">
        <f>PasteBBM!H172</f>
        <v>Isaiah Stewart</v>
      </c>
      <c r="D172" t="str">
        <f>IFERROR(REPLACE(PasteBBM!J172,FIND("/",PasteBBM!J172,1),1,","),PasteBBM!J172)</f>
        <v>C</v>
      </c>
      <c r="E172" t="str">
        <f>PasteBBM!I172</f>
        <v>DET</v>
      </c>
      <c r="F172">
        <f>PasteBBM!T172</f>
        <v>73</v>
      </c>
      <c r="G172">
        <f>PasteBBM!W172</f>
        <v>22</v>
      </c>
      <c r="H172">
        <f>PasteBBM!AD172*PasteBBM!AE172</f>
        <v>2.834929203</v>
      </c>
      <c r="I172">
        <f>PasteBBM!AD172</f>
        <v>0.583253</v>
      </c>
      <c r="J172">
        <f>PasteBBM!AF172*PasteBBM!AG172</f>
        <v>0.9543831244</v>
      </c>
      <c r="K172">
        <f>PasteBBM!AF172</f>
        <v>0.739047</v>
      </c>
      <c r="L172">
        <f>PasteBBM!Y172</f>
        <v>0.30411</v>
      </c>
      <c r="M172">
        <f>PasteBBM!X172</f>
        <v>6.928356</v>
      </c>
      <c r="N172">
        <f>PasteBBM!Z172</f>
        <v>5.647534</v>
      </c>
      <c r="O172">
        <f>PasteBBM!AA172</f>
        <v>1.527671</v>
      </c>
      <c r="P172">
        <f>PasteBBM!AB172</f>
        <v>0.375068</v>
      </c>
      <c r="Q172">
        <f>PasteBBM!AC172</f>
        <v>1.573973</v>
      </c>
      <c r="R172">
        <f>PasteBBM!AH172</f>
        <v>0.965616</v>
      </c>
      <c r="S172">
        <f>PasteBBM!AD172</f>
        <v>0.583253</v>
      </c>
      <c r="T172">
        <f>PasteBBM!AF172</f>
        <v>0.739047</v>
      </c>
    </row>
    <row r="173">
      <c r="A173" s="5">
        <v>172.0</v>
      </c>
      <c r="C173" t="str">
        <f>PasteBBM!H173</f>
        <v>Chris Paul</v>
      </c>
      <c r="D173" t="str">
        <f>IFERROR(REPLACE(PasteBBM!J173,FIND("/",PasteBBM!J173,1),1,","),PasteBBM!J173)</f>
        <v>G</v>
      </c>
      <c r="E173" t="str">
        <f>PasteBBM!I173</f>
        <v>LAC</v>
      </c>
      <c r="F173">
        <f>PasteBBM!T173</f>
        <v>58</v>
      </c>
      <c r="G173">
        <f>PasteBBM!W173</f>
        <v>24</v>
      </c>
      <c r="H173">
        <f>PasteBBM!AD173*PasteBBM!AE173</f>
        <v>2.594311819</v>
      </c>
      <c r="I173">
        <f>PasteBBM!AD173</f>
        <v>0.424589</v>
      </c>
      <c r="J173">
        <f>PasteBBM!AF173*PasteBBM!AG173</f>
        <v>0.5279303208</v>
      </c>
      <c r="K173">
        <f>PasteBBM!AF173</f>
        <v>0.863995</v>
      </c>
      <c r="L173">
        <f>PasteBBM!Y173</f>
        <v>1.517414</v>
      </c>
      <c r="M173">
        <f>PasteBBM!X173</f>
        <v>7.233966</v>
      </c>
      <c r="N173">
        <f>PasteBBM!Z173</f>
        <v>3.055517</v>
      </c>
      <c r="O173">
        <f>PasteBBM!AA173</f>
        <v>5.043966</v>
      </c>
      <c r="P173">
        <f>PasteBBM!AB173</f>
        <v>1.012241</v>
      </c>
      <c r="Q173">
        <f>PasteBBM!AC173</f>
        <v>0.243448</v>
      </c>
      <c r="R173">
        <f>PasteBBM!AH173</f>
        <v>1.313966</v>
      </c>
      <c r="S173">
        <f>PasteBBM!AD173</f>
        <v>0.424589</v>
      </c>
      <c r="T173">
        <f>PasteBBM!AF173</f>
        <v>0.863995</v>
      </c>
    </row>
    <row r="174">
      <c r="A174" s="5">
        <v>173.0</v>
      </c>
      <c r="C174" t="str">
        <f>PasteBBM!H174</f>
        <v>Ayo Dosunmu</v>
      </c>
      <c r="D174" t="str">
        <f>IFERROR(REPLACE(PasteBBM!J174,FIND("/",PasteBBM!J174,1),1,","),PasteBBM!J174)</f>
        <v>G,F</v>
      </c>
      <c r="E174" t="str">
        <f>PasteBBM!I174</f>
        <v>CHI</v>
      </c>
      <c r="F174">
        <f>PasteBBM!T174</f>
        <v>68</v>
      </c>
      <c r="G174">
        <f>PasteBBM!W174</f>
        <v>26</v>
      </c>
      <c r="H174">
        <f>PasteBBM!AD174*PasteBBM!AE174</f>
        <v>4.512209807</v>
      </c>
      <c r="I174">
        <f>PasteBBM!AD174</f>
        <v>0.506948</v>
      </c>
      <c r="J174">
        <f>PasteBBM!AF174*PasteBBM!AG174</f>
        <v>1.069706143</v>
      </c>
      <c r="K174">
        <f>PasteBBM!AF174</f>
        <v>0.790051</v>
      </c>
      <c r="L174">
        <f>PasteBBM!Y174</f>
        <v>1.364853</v>
      </c>
      <c r="M174">
        <f>PasteBBM!X174</f>
        <v>11.45897</v>
      </c>
      <c r="N174">
        <f>PasteBBM!Z174</f>
        <v>2.760294</v>
      </c>
      <c r="O174">
        <f>PasteBBM!AA174</f>
        <v>3.603235</v>
      </c>
      <c r="P174">
        <f>PasteBBM!AB174</f>
        <v>0.873824</v>
      </c>
      <c r="Q174">
        <f>PasteBBM!AC174</f>
        <v>0.345</v>
      </c>
      <c r="R174">
        <f>PasteBBM!AH174</f>
        <v>1.521029</v>
      </c>
      <c r="S174">
        <f>PasteBBM!AD174</f>
        <v>0.506948</v>
      </c>
      <c r="T174">
        <f>PasteBBM!AF174</f>
        <v>0.790051</v>
      </c>
    </row>
    <row r="175">
      <c r="A175" s="5">
        <v>174.0</v>
      </c>
      <c r="C175" t="str">
        <f>PasteBBM!H175</f>
        <v>Day'Ron Sharpe</v>
      </c>
      <c r="D175" t="str">
        <f>IFERROR(REPLACE(PasteBBM!J175,FIND("/",PasteBBM!J175,1),1,","),PasteBBM!J175)</f>
        <v>C</v>
      </c>
      <c r="E175" t="str">
        <f>PasteBBM!I175</f>
        <v>BKN</v>
      </c>
      <c r="F175">
        <f>PasteBBM!T175</f>
        <v>68</v>
      </c>
      <c r="G175">
        <f>PasteBBM!W175</f>
        <v>19</v>
      </c>
      <c r="H175">
        <f>PasteBBM!AD175*PasteBBM!AE175</f>
        <v>3.72911929</v>
      </c>
      <c r="I175">
        <f>PasteBBM!AD175</f>
        <v>0.529218</v>
      </c>
      <c r="J175">
        <f>PasteBBM!AF175*PasteBBM!AG175</f>
        <v>0.8788234433</v>
      </c>
      <c r="K175">
        <f>PasteBBM!AF175</f>
        <v>0.69295</v>
      </c>
      <c r="L175">
        <f>PasteBBM!Y175</f>
        <v>0.304412</v>
      </c>
      <c r="M175">
        <f>PasteBBM!X175</f>
        <v>8.641471</v>
      </c>
      <c r="N175">
        <f>PasteBBM!Z175</f>
        <v>7.3625</v>
      </c>
      <c r="O175">
        <f>PasteBBM!AA175</f>
        <v>1.903971</v>
      </c>
      <c r="P175">
        <f>PasteBBM!AB175</f>
        <v>0.593824</v>
      </c>
      <c r="Q175">
        <f>PasteBBM!AC175</f>
        <v>0.940735</v>
      </c>
      <c r="R175">
        <f>PasteBBM!AH175</f>
        <v>1.266618</v>
      </c>
      <c r="S175">
        <f>PasteBBM!AD175</f>
        <v>0.529218</v>
      </c>
      <c r="T175">
        <f>PasteBBM!AF175</f>
        <v>0.69295</v>
      </c>
    </row>
    <row r="176">
      <c r="A176" s="5">
        <v>175.0</v>
      </c>
      <c r="C176" t="str">
        <f>PasteBBM!H176</f>
        <v>Larry Nance Jr.</v>
      </c>
      <c r="D176" t="str">
        <f>IFERROR(REPLACE(PasteBBM!J176,FIND("/",PasteBBM!J176,1),1,","),PasteBBM!J176)</f>
        <v>F,C</v>
      </c>
      <c r="E176" t="str">
        <f>PasteBBM!I176</f>
        <v>CLE</v>
      </c>
      <c r="F176">
        <f>PasteBBM!T176</f>
        <v>59</v>
      </c>
      <c r="G176">
        <f>PasteBBM!W176</f>
        <v>22</v>
      </c>
      <c r="H176">
        <f>PasteBBM!AD176*PasteBBM!AE176</f>
        <v>2.957118397</v>
      </c>
      <c r="I176">
        <f>PasteBBM!AD176</f>
        <v>0.476707</v>
      </c>
      <c r="J176">
        <f>PasteBBM!AF176*PasteBBM!AG176</f>
        <v>0.4627121008</v>
      </c>
      <c r="K176">
        <f>PasteBBM!AF176</f>
        <v>0.745902</v>
      </c>
      <c r="L176">
        <f>PasteBBM!Y176</f>
        <v>0.89322</v>
      </c>
      <c r="M176">
        <f>PasteBBM!X176</f>
        <v>7.270169</v>
      </c>
      <c r="N176">
        <f>PasteBBM!Z176</f>
        <v>4.767966</v>
      </c>
      <c r="O176">
        <f>PasteBBM!AA176</f>
        <v>1.897966</v>
      </c>
      <c r="P176">
        <f>PasteBBM!AB176</f>
        <v>1.030169</v>
      </c>
      <c r="Q176">
        <f>PasteBBM!AC176</f>
        <v>0.413729</v>
      </c>
      <c r="R176">
        <f>PasteBBM!AH176</f>
        <v>0.782203</v>
      </c>
      <c r="S176">
        <f>PasteBBM!AD176</f>
        <v>0.476707</v>
      </c>
      <c r="T176">
        <f>PasteBBM!AF176</f>
        <v>0.745902</v>
      </c>
    </row>
    <row r="177">
      <c r="A177" s="5">
        <v>176.0</v>
      </c>
      <c r="C177" t="str">
        <f>PasteBBM!H177</f>
        <v>Ben Sheppard</v>
      </c>
      <c r="D177" t="str">
        <f>IFERROR(REPLACE(PasteBBM!J177,FIND("/",PasteBBM!J177,1),1,","),PasteBBM!J177)</f>
        <v>G</v>
      </c>
      <c r="E177" t="str">
        <f>PasteBBM!I177</f>
        <v>IND</v>
      </c>
      <c r="F177">
        <f>PasteBBM!T177</f>
        <v>73</v>
      </c>
      <c r="G177">
        <f>PasteBBM!W177</f>
        <v>24</v>
      </c>
      <c r="H177">
        <f>PasteBBM!AD177*PasteBBM!AE177</f>
        <v>3.003421741</v>
      </c>
      <c r="I177">
        <f>PasteBBM!AD177</f>
        <v>0.437345</v>
      </c>
      <c r="J177">
        <f>PasteBBM!AF177*PasteBBM!AG177</f>
        <v>0.8538355231</v>
      </c>
      <c r="K177">
        <f>PasteBBM!AF177</f>
        <v>0.888018</v>
      </c>
      <c r="L177">
        <f>PasteBBM!Y177</f>
        <v>1.66726</v>
      </c>
      <c r="M177">
        <f>PasteBBM!X177</f>
        <v>8.527945</v>
      </c>
      <c r="N177">
        <f>PasteBBM!Z177</f>
        <v>4.04</v>
      </c>
      <c r="O177">
        <f>PasteBBM!AA177</f>
        <v>2.171507</v>
      </c>
      <c r="P177">
        <f>PasteBBM!AB177</f>
        <v>0.833562</v>
      </c>
      <c r="Q177">
        <f>PasteBBM!AC177</f>
        <v>0.247671</v>
      </c>
      <c r="R177">
        <f>PasteBBM!AH177</f>
        <v>0.706986</v>
      </c>
      <c r="S177">
        <f>PasteBBM!AD177</f>
        <v>0.437345</v>
      </c>
      <c r="T177">
        <f>PasteBBM!AF177</f>
        <v>0.888018</v>
      </c>
    </row>
    <row r="178">
      <c r="A178" s="5">
        <v>177.0</v>
      </c>
      <c r="C178" t="str">
        <f>PasteBBM!H178</f>
        <v>Scoot Henderson</v>
      </c>
      <c r="D178" t="str">
        <f>IFERROR(REPLACE(PasteBBM!J178,FIND("/",PasteBBM!J178,1),1,","),PasteBBM!J178)</f>
        <v>G</v>
      </c>
      <c r="E178" t="str">
        <f>PasteBBM!I178</f>
        <v>POR</v>
      </c>
      <c r="F178">
        <f>PasteBBM!T178</f>
        <v>51</v>
      </c>
      <c r="G178">
        <f>PasteBBM!W178</f>
        <v>31</v>
      </c>
      <c r="H178">
        <f>PasteBBM!AD178*PasteBBM!AE178</f>
        <v>5.773920027</v>
      </c>
      <c r="I178">
        <f>PasteBBM!AD178</f>
        <v>0.433899</v>
      </c>
      <c r="J178">
        <f>PasteBBM!AF178*PasteBBM!AG178</f>
        <v>2.809609223</v>
      </c>
      <c r="K178">
        <f>PasteBBM!AF178</f>
        <v>0.782023</v>
      </c>
      <c r="L178">
        <f>PasteBBM!Y178</f>
        <v>2.28902</v>
      </c>
      <c r="M178">
        <f>PasteBBM!X178</f>
        <v>16.64647</v>
      </c>
      <c r="N178">
        <f>PasteBBM!Z178</f>
        <v>3.491373</v>
      </c>
      <c r="O178">
        <f>PasteBBM!AA178</f>
        <v>6.531176</v>
      </c>
      <c r="P178">
        <f>PasteBBM!AB178</f>
        <v>0.988039</v>
      </c>
      <c r="Q178">
        <f>PasteBBM!AC178</f>
        <v>0.193529</v>
      </c>
      <c r="R178">
        <f>PasteBBM!AH178</f>
        <v>3.301961</v>
      </c>
      <c r="S178">
        <f>PasteBBM!AD178</f>
        <v>0.433899</v>
      </c>
      <c r="T178">
        <f>PasteBBM!AF178</f>
        <v>0.782023</v>
      </c>
    </row>
    <row r="179">
      <c r="A179" s="5">
        <v>178.0</v>
      </c>
      <c r="C179" t="str">
        <f>PasteBBM!H179</f>
        <v>Nikola Jovic</v>
      </c>
      <c r="D179" t="str">
        <f>IFERROR(REPLACE(PasteBBM!J179,FIND("/",PasteBBM!J179,1),1,","),PasteBBM!J179)</f>
        <v>F</v>
      </c>
      <c r="E179" t="str">
        <f>PasteBBM!I179</f>
        <v>MIA</v>
      </c>
      <c r="F179">
        <f>PasteBBM!T179</f>
        <v>68</v>
      </c>
      <c r="G179">
        <f>PasteBBM!W179</f>
        <v>26</v>
      </c>
      <c r="H179">
        <f>PasteBBM!AD179*PasteBBM!AE179</f>
        <v>3.651033238</v>
      </c>
      <c r="I179">
        <f>PasteBBM!AD179</f>
        <v>0.464708</v>
      </c>
      <c r="J179">
        <f>PasteBBM!AF179*PasteBBM!AG179</f>
        <v>1.042059171</v>
      </c>
      <c r="K179">
        <f>PasteBBM!AF179</f>
        <v>0.828966</v>
      </c>
      <c r="L179">
        <f>PasteBBM!Y179</f>
        <v>1.708676</v>
      </c>
      <c r="M179">
        <f>PasteBBM!X179</f>
        <v>10.05279</v>
      </c>
      <c r="N179">
        <f>PasteBBM!Z179</f>
        <v>4.299706</v>
      </c>
      <c r="O179">
        <f>PasteBBM!AA179</f>
        <v>3.025735</v>
      </c>
      <c r="P179">
        <f>PasteBBM!AB179</f>
        <v>0.828235</v>
      </c>
      <c r="Q179">
        <f>PasteBBM!AC179</f>
        <v>0.323529</v>
      </c>
      <c r="R179">
        <f>PasteBBM!AH179</f>
        <v>1.539412</v>
      </c>
      <c r="S179">
        <f>PasteBBM!AD179</f>
        <v>0.464708</v>
      </c>
      <c r="T179">
        <f>PasteBBM!AF179</f>
        <v>0.828966</v>
      </c>
    </row>
    <row r="180">
      <c r="A180" s="5">
        <v>179.0</v>
      </c>
      <c r="C180" t="str">
        <f>PasteBBM!H180</f>
        <v>R.J. Barrett</v>
      </c>
      <c r="D180" t="str">
        <f>IFERROR(REPLACE(PasteBBM!J180,FIND("/",PasteBBM!J180,1),1,","),PasteBBM!J180)</f>
        <v>G,F</v>
      </c>
      <c r="E180" t="str">
        <f>PasteBBM!I180</f>
        <v>TOR</v>
      </c>
      <c r="F180">
        <f>PasteBBM!T180</f>
        <v>73</v>
      </c>
      <c r="G180">
        <f>PasteBBM!W180</f>
        <v>31</v>
      </c>
      <c r="H180">
        <f>PasteBBM!AD180*PasteBBM!AE180</f>
        <v>6.628761379</v>
      </c>
      <c r="I180">
        <f>PasteBBM!AD180</f>
        <v>0.461318</v>
      </c>
      <c r="J180">
        <f>PasteBBM!AF180*PasteBBM!AG180</f>
        <v>2.836301339</v>
      </c>
      <c r="K180">
        <f>PasteBBM!AF180</f>
        <v>0.704995</v>
      </c>
      <c r="L180">
        <f>PasteBBM!Y180</f>
        <v>1.590822</v>
      </c>
      <c r="M180">
        <f>PasteBBM!X180</f>
        <v>17.68466</v>
      </c>
      <c r="N180">
        <f>PasteBBM!Z180</f>
        <v>5.986849</v>
      </c>
      <c r="O180">
        <f>PasteBBM!AA180</f>
        <v>3.991233</v>
      </c>
      <c r="P180">
        <f>PasteBBM!AB180</f>
        <v>0.797671</v>
      </c>
      <c r="Q180">
        <f>PasteBBM!AC180</f>
        <v>0.266164</v>
      </c>
      <c r="R180">
        <f>PasteBBM!AH180</f>
        <v>2.062192</v>
      </c>
      <c r="S180">
        <f>PasteBBM!AD180</f>
        <v>0.461318</v>
      </c>
      <c r="T180">
        <f>PasteBBM!AF180</f>
        <v>0.704995</v>
      </c>
    </row>
    <row r="181">
      <c r="A181" s="5">
        <v>180.0</v>
      </c>
      <c r="C181" t="str">
        <f>PasteBBM!H181</f>
        <v>Dorian Finney-Smith</v>
      </c>
      <c r="D181" t="str">
        <f>IFERROR(REPLACE(PasteBBM!J181,FIND("/",PasteBBM!J181,1),1,","),PasteBBM!J181)</f>
        <v>F</v>
      </c>
      <c r="E181" t="str">
        <f>PasteBBM!I181</f>
        <v>HOU</v>
      </c>
      <c r="F181">
        <f>PasteBBM!T181</f>
        <v>73</v>
      </c>
      <c r="G181">
        <f>PasteBBM!W181</f>
        <v>30</v>
      </c>
      <c r="H181">
        <f>PasteBBM!AD181*PasteBBM!AE181</f>
        <v>3.474660462</v>
      </c>
      <c r="I181">
        <f>PasteBBM!AD181</f>
        <v>0.423442</v>
      </c>
      <c r="J181">
        <f>PasteBBM!AF181*PasteBBM!AG181</f>
        <v>0.4135622238</v>
      </c>
      <c r="K181">
        <f>PasteBBM!AF181</f>
        <v>0.72001</v>
      </c>
      <c r="L181">
        <f>PasteBBM!Y181</f>
        <v>2.227534</v>
      </c>
      <c r="M181">
        <f>PasteBBM!X181</f>
        <v>9.590411</v>
      </c>
      <c r="N181">
        <f>PasteBBM!Z181</f>
        <v>3.787534</v>
      </c>
      <c r="O181">
        <f>PasteBBM!AA181</f>
        <v>1.325616</v>
      </c>
      <c r="P181">
        <f>PasteBBM!AB181</f>
        <v>0.98589</v>
      </c>
      <c r="Q181">
        <f>PasteBBM!AC181</f>
        <v>0.384795</v>
      </c>
      <c r="R181">
        <f>PasteBBM!AH181</f>
        <v>0.959726</v>
      </c>
      <c r="S181">
        <f>PasteBBM!AD181</f>
        <v>0.423442</v>
      </c>
      <c r="T181">
        <f>PasteBBM!AF181</f>
        <v>0.72001</v>
      </c>
    </row>
    <row r="182">
      <c r="A182" s="5">
        <v>181.0</v>
      </c>
      <c r="C182" t="str">
        <f>PasteBBM!H182</f>
        <v>Moussa Diabate</v>
      </c>
      <c r="D182" t="str">
        <f>IFERROR(REPLACE(PasteBBM!J182,FIND("/",PasteBBM!J182,1),1,","),PasteBBM!J182)</f>
        <v>C</v>
      </c>
      <c r="E182" t="str">
        <f>PasteBBM!I182</f>
        <v>CHA</v>
      </c>
      <c r="F182">
        <f>PasteBBM!T182</f>
        <v>73</v>
      </c>
      <c r="G182">
        <f>PasteBBM!W182</f>
        <v>22</v>
      </c>
      <c r="H182">
        <f>PasteBBM!AD182*PasteBBM!AE182</f>
        <v>3.724245917</v>
      </c>
      <c r="I182">
        <f>PasteBBM!AD182</f>
        <v>0.620212</v>
      </c>
      <c r="J182">
        <f>PasteBBM!AF182*PasteBBM!AG182</f>
        <v>1.74027392</v>
      </c>
      <c r="K182">
        <f>PasteBBM!AF182</f>
        <v>0.64</v>
      </c>
      <c r="L182">
        <f>PasteBBM!Y182</f>
        <v>0.032466</v>
      </c>
      <c r="M182">
        <f>PasteBBM!X182</f>
        <v>9.221233</v>
      </c>
      <c r="N182">
        <f>PasteBBM!Z182</f>
        <v>7.562466</v>
      </c>
      <c r="O182">
        <f>PasteBBM!AA182</f>
        <v>0.916712</v>
      </c>
      <c r="P182">
        <f>PasteBBM!AB182</f>
        <v>0.897808</v>
      </c>
      <c r="Q182">
        <f>PasteBBM!AC182</f>
        <v>0.641644</v>
      </c>
      <c r="R182">
        <f>PasteBBM!AH182</f>
        <v>1.083151</v>
      </c>
      <c r="S182">
        <f>PasteBBM!AD182</f>
        <v>0.620212</v>
      </c>
      <c r="T182">
        <f>PasteBBM!AF182</f>
        <v>0.64</v>
      </c>
    </row>
    <row r="183">
      <c r="A183" s="5">
        <v>182.0</v>
      </c>
      <c r="C183" t="str">
        <f>PasteBBM!H183</f>
        <v>Dennis Schroder</v>
      </c>
      <c r="D183" t="str">
        <f>IFERROR(REPLACE(PasteBBM!J183,FIND("/",PasteBBM!J183,1),1,","),PasteBBM!J183)</f>
        <v>G</v>
      </c>
      <c r="E183" t="str">
        <f>PasteBBM!I183</f>
        <v>SAC</v>
      </c>
      <c r="F183">
        <f>PasteBBM!T183</f>
        <v>73</v>
      </c>
      <c r="G183">
        <f>PasteBBM!W183</f>
        <v>31</v>
      </c>
      <c r="H183">
        <f>PasteBBM!AD183*PasteBBM!AE183</f>
        <v>4.490136016</v>
      </c>
      <c r="I183">
        <f>PasteBBM!AD183</f>
        <v>0.409561</v>
      </c>
      <c r="J183">
        <f>PasteBBM!AF183*PasteBBM!AG183</f>
        <v>2.710000985</v>
      </c>
      <c r="K183">
        <f>PasteBBM!AF183</f>
        <v>0.823983</v>
      </c>
      <c r="L183">
        <f>PasteBBM!Y183</f>
        <v>1.514795</v>
      </c>
      <c r="M183">
        <f>PasteBBM!X183</f>
        <v>13.20507</v>
      </c>
      <c r="N183">
        <f>PasteBBM!Z183</f>
        <v>3.006986</v>
      </c>
      <c r="O183">
        <f>PasteBBM!AA183</f>
        <v>6.230137</v>
      </c>
      <c r="P183">
        <f>PasteBBM!AB183</f>
        <v>0.814384</v>
      </c>
      <c r="Q183">
        <f>PasteBBM!AC183</f>
        <v>0.184521</v>
      </c>
      <c r="R183">
        <f>PasteBBM!AH183</f>
        <v>1.850822</v>
      </c>
      <c r="S183">
        <f>PasteBBM!AD183</f>
        <v>0.409561</v>
      </c>
      <c r="T183">
        <f>PasteBBM!AF183</f>
        <v>0.823983</v>
      </c>
    </row>
    <row r="184">
      <c r="A184" s="5">
        <v>183.0</v>
      </c>
      <c r="C184" t="str">
        <f>PasteBBM!H184</f>
        <v>Jalen Smith</v>
      </c>
      <c r="D184" t="str">
        <f>IFERROR(REPLACE(PasteBBM!J184,FIND("/",PasteBBM!J184,1),1,","),PasteBBM!J184)</f>
        <v>C</v>
      </c>
      <c r="E184" t="str">
        <f>PasteBBM!I184</f>
        <v>CHI</v>
      </c>
      <c r="F184">
        <f>PasteBBM!T184</f>
        <v>59</v>
      </c>
      <c r="G184">
        <f>PasteBBM!W184</f>
        <v>17</v>
      </c>
      <c r="H184">
        <f>PasteBBM!AD184*PasteBBM!AE184</f>
        <v>3.56932291</v>
      </c>
      <c r="I184">
        <f>PasteBBM!AD184</f>
        <v>0.499502</v>
      </c>
      <c r="J184">
        <f>PasteBBM!AF184*PasteBBM!AG184</f>
        <v>0.9535598183</v>
      </c>
      <c r="K184">
        <f>PasteBBM!AF184</f>
        <v>0.784987</v>
      </c>
      <c r="L184">
        <f>PasteBBM!Y184</f>
        <v>1.094068</v>
      </c>
      <c r="M184">
        <f>PasteBBM!X184</f>
        <v>9.186271</v>
      </c>
      <c r="N184">
        <f>PasteBBM!Z184</f>
        <v>6.482712</v>
      </c>
      <c r="O184">
        <f>PasteBBM!AA184</f>
        <v>1.17678</v>
      </c>
      <c r="P184">
        <f>PasteBBM!AB184</f>
        <v>0.297966</v>
      </c>
      <c r="Q184">
        <f>PasteBBM!AC184</f>
        <v>0.732034</v>
      </c>
      <c r="R184">
        <f>PasteBBM!AH184</f>
        <v>0.589322</v>
      </c>
      <c r="S184">
        <f>PasteBBM!AD184</f>
        <v>0.499502</v>
      </c>
      <c r="T184">
        <f>PasteBBM!AF184</f>
        <v>0.784987</v>
      </c>
    </row>
    <row r="185">
      <c r="A185" s="5">
        <v>184.0</v>
      </c>
      <c r="C185" t="str">
        <f>PasteBBM!H185</f>
        <v>Keyonte George</v>
      </c>
      <c r="D185" t="str">
        <f>IFERROR(REPLACE(PasteBBM!J185,FIND("/",PasteBBM!J185,1),1,","),PasteBBM!J185)</f>
        <v>G</v>
      </c>
      <c r="E185" t="str">
        <f>PasteBBM!I185</f>
        <v>UTA</v>
      </c>
      <c r="F185">
        <f>PasteBBM!T185</f>
        <v>68</v>
      </c>
      <c r="G185">
        <f>PasteBBM!W185</f>
        <v>30</v>
      </c>
      <c r="H185">
        <f>PasteBBM!AD185*PasteBBM!AE185</f>
        <v>5.72823086</v>
      </c>
      <c r="I185">
        <f>PasteBBM!AD185</f>
        <v>0.410038</v>
      </c>
      <c r="J185">
        <f>PasteBBM!AF185*PasteBBM!AG185</f>
        <v>3.474266323</v>
      </c>
      <c r="K185">
        <f>PasteBBM!AF185</f>
        <v>0.829006</v>
      </c>
      <c r="L185">
        <f>PasteBBM!Y185</f>
        <v>2.700588</v>
      </c>
      <c r="M185">
        <f>PasteBBM!X185</f>
        <v>17.63132</v>
      </c>
      <c r="N185">
        <f>PasteBBM!Z185</f>
        <v>3.3475</v>
      </c>
      <c r="O185">
        <f>PasteBBM!AA185</f>
        <v>4.506176</v>
      </c>
      <c r="P185">
        <f>PasteBBM!AB185</f>
        <v>0.574559</v>
      </c>
      <c r="Q185">
        <f>PasteBBM!AC185</f>
        <v>0.129412</v>
      </c>
      <c r="R185">
        <f>PasteBBM!AH185</f>
        <v>2.06</v>
      </c>
      <c r="S185">
        <f>PasteBBM!AD185</f>
        <v>0.410038</v>
      </c>
      <c r="T185">
        <f>PasteBBM!AF185</f>
        <v>0.829006</v>
      </c>
    </row>
    <row r="186">
      <c r="A186" s="5">
        <v>185.0</v>
      </c>
      <c r="C186" t="str">
        <f>PasteBBM!H186</f>
        <v>Rui Hachimura</v>
      </c>
      <c r="D186" t="str">
        <f>IFERROR(REPLACE(PasteBBM!J186,FIND("/",PasteBBM!J186,1),1,","),PasteBBM!J186)</f>
        <v>F</v>
      </c>
      <c r="E186" t="str">
        <f>PasteBBM!I186</f>
        <v>LAL</v>
      </c>
      <c r="F186">
        <f>PasteBBM!T186</f>
        <v>73</v>
      </c>
      <c r="G186">
        <f>PasteBBM!W186</f>
        <v>29</v>
      </c>
      <c r="H186">
        <f>PasteBBM!AD186*PasteBBM!AE186</f>
        <v>4.514105866</v>
      </c>
      <c r="I186">
        <f>PasteBBM!AD186</f>
        <v>0.508259</v>
      </c>
      <c r="J186">
        <f>PasteBBM!AF186*PasteBBM!AG186</f>
        <v>1.117260873</v>
      </c>
      <c r="K186">
        <f>PasteBBM!AF186</f>
        <v>0.739975</v>
      </c>
      <c r="L186">
        <f>PasteBBM!Y186</f>
        <v>1.546712</v>
      </c>
      <c r="M186">
        <f>PasteBBM!X186</f>
        <v>11.69219</v>
      </c>
      <c r="N186">
        <f>PasteBBM!Z186</f>
        <v>4.203836</v>
      </c>
      <c r="O186">
        <f>PasteBBM!AA186</f>
        <v>1.006575</v>
      </c>
      <c r="P186">
        <f>PasteBBM!AB186</f>
        <v>0.582466</v>
      </c>
      <c r="Q186">
        <f>PasteBBM!AC186</f>
        <v>0.359178</v>
      </c>
      <c r="R186">
        <f>PasteBBM!AH186</f>
        <v>0.592055</v>
      </c>
      <c r="S186">
        <f>PasteBBM!AD186</f>
        <v>0.508259</v>
      </c>
      <c r="T186">
        <f>PasteBBM!AF186</f>
        <v>0.739975</v>
      </c>
    </row>
    <row r="187">
      <c r="A187" s="5">
        <v>186.0</v>
      </c>
      <c r="C187" t="str">
        <f>PasteBBM!H187</f>
        <v>Brook Lopez</v>
      </c>
      <c r="D187" t="str">
        <f>IFERROR(REPLACE(PasteBBM!J187,FIND("/",PasteBBM!J187,1),1,","),PasteBBM!J187)</f>
        <v>C</v>
      </c>
      <c r="E187" t="str">
        <f>PasteBBM!I187</f>
        <v>LAC</v>
      </c>
      <c r="F187">
        <f>PasteBBM!T187</f>
        <v>73</v>
      </c>
      <c r="G187">
        <f>PasteBBM!W187</f>
        <v>21</v>
      </c>
      <c r="H187">
        <f>PasteBBM!AD187*PasteBBM!AE187</f>
        <v>3.489451863</v>
      </c>
      <c r="I187">
        <f>PasteBBM!AD187</f>
        <v>0.507592</v>
      </c>
      <c r="J187">
        <f>PasteBBM!AF187*PasteBBM!AG187</f>
        <v>1.031780641</v>
      </c>
      <c r="K187">
        <f>PasteBBM!AF187</f>
        <v>0.838006</v>
      </c>
      <c r="L187">
        <f>PasteBBM!Y187</f>
        <v>1.169452</v>
      </c>
      <c r="M187">
        <f>PasteBBM!X187</f>
        <v>9.180137</v>
      </c>
      <c r="N187">
        <f>PasteBBM!Z187</f>
        <v>3.310137</v>
      </c>
      <c r="O187">
        <f>PasteBBM!AA187</f>
        <v>1.004521</v>
      </c>
      <c r="P187">
        <f>PasteBBM!AB187</f>
        <v>0.317534</v>
      </c>
      <c r="Q187">
        <f>PasteBBM!AC187</f>
        <v>1.315616</v>
      </c>
      <c r="R187">
        <f>PasteBBM!AH187</f>
        <v>0.704384</v>
      </c>
      <c r="S187">
        <f>PasteBBM!AD187</f>
        <v>0.507592</v>
      </c>
      <c r="T187">
        <f>PasteBBM!AF187</f>
        <v>0.838006</v>
      </c>
    </row>
    <row r="188">
      <c r="A188" s="5">
        <v>187.0</v>
      </c>
      <c r="C188" t="str">
        <f>PasteBBM!H188</f>
        <v>Jaylen Wells</v>
      </c>
      <c r="D188" t="str">
        <f>IFERROR(REPLACE(PasteBBM!J188,FIND("/",PasteBBM!J188,1),1,","),PasteBBM!J188)</f>
        <v>G,F</v>
      </c>
      <c r="E188" t="str">
        <f>PasteBBM!I188</f>
        <v>MEM</v>
      </c>
      <c r="F188">
        <f>PasteBBM!T188</f>
        <v>73</v>
      </c>
      <c r="G188">
        <f>PasteBBM!W188</f>
        <v>29</v>
      </c>
      <c r="H188">
        <f>PasteBBM!AD188*PasteBBM!AE188</f>
        <v>3.847257414</v>
      </c>
      <c r="I188">
        <f>PasteBBM!AD188</f>
        <v>0.437379</v>
      </c>
      <c r="J188">
        <f>PasteBBM!AF188*PasteBBM!AG188</f>
        <v>1.847261138</v>
      </c>
      <c r="K188">
        <f>PasteBBM!AF188</f>
        <v>0.839978</v>
      </c>
      <c r="L188">
        <f>PasteBBM!Y188</f>
        <v>2.028356</v>
      </c>
      <c r="M188">
        <f>PasteBBM!X188</f>
        <v>11.57014</v>
      </c>
      <c r="N188">
        <f>PasteBBM!Z188</f>
        <v>4.398356</v>
      </c>
      <c r="O188">
        <f>PasteBBM!AA188</f>
        <v>2.262055</v>
      </c>
      <c r="P188">
        <f>PasteBBM!AB188</f>
        <v>0.635068</v>
      </c>
      <c r="Q188">
        <f>PasteBBM!AC188</f>
        <v>0.124795</v>
      </c>
      <c r="R188">
        <f>PasteBBM!AH188</f>
        <v>1.005342</v>
      </c>
      <c r="S188">
        <f>PasteBBM!AD188</f>
        <v>0.437379</v>
      </c>
      <c r="T188">
        <f>PasteBBM!AF188</f>
        <v>0.839978</v>
      </c>
    </row>
    <row r="189">
      <c r="A189" s="5">
        <v>188.0</v>
      </c>
      <c r="C189" t="str">
        <f>PasteBBM!H189</f>
        <v>Jaden Ivey</v>
      </c>
      <c r="D189" t="str">
        <f>IFERROR(REPLACE(PasteBBM!J189,FIND("/",PasteBBM!J189,1),1,","),PasteBBM!J189)</f>
        <v>G</v>
      </c>
      <c r="E189" t="str">
        <f>PasteBBM!I189</f>
        <v>DET</v>
      </c>
      <c r="F189">
        <f>PasteBBM!T189</f>
        <v>68</v>
      </c>
      <c r="G189">
        <f>PasteBBM!W189</f>
        <v>32</v>
      </c>
      <c r="H189">
        <f>PasteBBM!AD189*PasteBBM!AE189</f>
        <v>6.606615679</v>
      </c>
      <c r="I189">
        <f>PasteBBM!AD189</f>
        <v>0.446003</v>
      </c>
      <c r="J189">
        <f>PasteBBM!AF189*PasteBBM!AG189</f>
        <v>3.507793859</v>
      </c>
      <c r="K189">
        <f>PasteBBM!AF189</f>
        <v>0.739995</v>
      </c>
      <c r="L189">
        <f>PasteBBM!Y189</f>
        <v>2.082794</v>
      </c>
      <c r="M189">
        <f>PasteBBM!X189</f>
        <v>18.80382</v>
      </c>
      <c r="N189">
        <f>PasteBBM!Z189</f>
        <v>4.04</v>
      </c>
      <c r="O189">
        <f>PasteBBM!AA189</f>
        <v>4.309265</v>
      </c>
      <c r="P189">
        <f>PasteBBM!AB189</f>
        <v>0.955735</v>
      </c>
      <c r="Q189">
        <f>PasteBBM!AC189</f>
        <v>0.400294</v>
      </c>
      <c r="R189">
        <f>PasteBBM!AH189</f>
        <v>2.760735</v>
      </c>
      <c r="S189">
        <f>PasteBBM!AD189</f>
        <v>0.446003</v>
      </c>
      <c r="T189">
        <f>PasteBBM!AF189</f>
        <v>0.739995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s>
  <sheetData>
    <row r="1">
      <c r="A1" s="204" t="s">
        <v>1330</v>
      </c>
      <c r="B1" s="204" t="s">
        <v>1331</v>
      </c>
      <c r="C1" s="204" t="s">
        <v>1332</v>
      </c>
      <c r="D1" s="204" t="s">
        <v>1333</v>
      </c>
      <c r="E1" s="204" t="s">
        <v>1334</v>
      </c>
      <c r="F1" s="204" t="s">
        <v>1335</v>
      </c>
      <c r="G1" s="204" t="s">
        <v>1336</v>
      </c>
      <c r="H1" s="204" t="s">
        <v>1337</v>
      </c>
      <c r="I1" s="204" t="s">
        <v>149</v>
      </c>
      <c r="J1" s="204" t="s">
        <v>154</v>
      </c>
      <c r="K1" s="204" t="s">
        <v>1338</v>
      </c>
      <c r="L1" s="204" t="s">
        <v>1339</v>
      </c>
      <c r="M1" s="204" t="s">
        <v>1340</v>
      </c>
      <c r="N1" s="204" t="s">
        <v>1341</v>
      </c>
      <c r="O1" s="204" t="s">
        <v>1342</v>
      </c>
      <c r="P1" s="204" t="s">
        <v>1343</v>
      </c>
      <c r="Q1" s="204" t="s">
        <v>1344</v>
      </c>
      <c r="R1" s="204" t="s">
        <v>1345</v>
      </c>
      <c r="S1" s="204" t="s">
        <v>1346</v>
      </c>
      <c r="T1" s="204" t="s">
        <v>1347</v>
      </c>
      <c r="U1" s="204" t="s">
        <v>1348</v>
      </c>
      <c r="V1" s="204" t="s">
        <v>1349</v>
      </c>
      <c r="W1" s="204" t="s">
        <v>1350</v>
      </c>
      <c r="X1" s="204" t="s">
        <v>1351</v>
      </c>
      <c r="Y1" s="204" t="s">
        <v>1352</v>
      </c>
      <c r="Z1" s="204" t="s">
        <v>1353</v>
      </c>
      <c r="AA1" s="204" t="s">
        <v>1354</v>
      </c>
      <c r="AB1" s="204" t="s">
        <v>1355</v>
      </c>
      <c r="AC1" s="204" t="s">
        <v>1356</v>
      </c>
      <c r="AD1" s="204" t="s">
        <v>1357</v>
      </c>
      <c r="AE1" s="204" t="s">
        <v>57</v>
      </c>
      <c r="AF1" s="204" t="s">
        <v>1358</v>
      </c>
      <c r="AG1" s="204" t="s">
        <v>61</v>
      </c>
      <c r="AH1" s="204" t="s">
        <v>1359</v>
      </c>
      <c r="AI1" s="204" t="s">
        <v>1360</v>
      </c>
      <c r="AJ1" s="204" t="s">
        <v>1361</v>
      </c>
      <c r="AK1" s="204" t="s">
        <v>1362</v>
      </c>
      <c r="AL1" s="204" t="s">
        <v>1363</v>
      </c>
      <c r="AM1" s="204" t="s">
        <v>1364</v>
      </c>
      <c r="AN1" s="204" t="s">
        <v>1365</v>
      </c>
      <c r="AO1" s="204" t="s">
        <v>1366</v>
      </c>
      <c r="AP1" s="204" t="s">
        <v>1367</v>
      </c>
      <c r="AQ1" s="204" t="s">
        <v>1368</v>
      </c>
      <c r="AR1" s="204" t="s">
        <v>1369</v>
      </c>
    </row>
    <row r="2">
      <c r="A2" s="205">
        <v>1.0</v>
      </c>
      <c r="B2" s="206"/>
      <c r="C2" s="206"/>
      <c r="D2" s="205">
        <v>1.187104</v>
      </c>
      <c r="E2" s="205">
        <v>-0.01282</v>
      </c>
      <c r="F2" s="205">
        <v>0.081821</v>
      </c>
      <c r="G2" s="206"/>
      <c r="H2" s="207" t="s">
        <v>1370</v>
      </c>
      <c r="I2" s="207" t="s">
        <v>1371</v>
      </c>
      <c r="J2" s="207" t="s">
        <v>34</v>
      </c>
      <c r="K2" s="207" t="s">
        <v>1372</v>
      </c>
      <c r="L2" s="206"/>
      <c r="M2" s="207" t="s">
        <v>1373</v>
      </c>
      <c r="N2" s="208"/>
      <c r="O2" s="206"/>
      <c r="P2" s="208"/>
      <c r="Q2" s="207">
        <v>4.0</v>
      </c>
      <c r="R2" s="207" t="s">
        <v>1374</v>
      </c>
      <c r="S2" s="207" t="s">
        <v>1375</v>
      </c>
      <c r="T2" s="205">
        <v>73.0</v>
      </c>
      <c r="U2" s="205">
        <v>14.0</v>
      </c>
      <c r="V2" s="206"/>
      <c r="W2" s="205">
        <v>34.0</v>
      </c>
      <c r="X2" s="205">
        <v>25.83918</v>
      </c>
      <c r="Y2" s="205">
        <v>3.049863</v>
      </c>
      <c r="Z2" s="205">
        <v>11.92123</v>
      </c>
      <c r="AA2" s="205">
        <v>3.829315</v>
      </c>
      <c r="AB2" s="205">
        <v>1.158356</v>
      </c>
      <c r="AC2" s="205">
        <v>3.901507</v>
      </c>
      <c r="AD2" s="205">
        <v>0.491121</v>
      </c>
      <c r="AE2" s="205">
        <v>18.56808</v>
      </c>
      <c r="AF2" s="205">
        <v>0.816988</v>
      </c>
      <c r="AG2" s="205">
        <v>5.570411</v>
      </c>
      <c r="AH2" s="205">
        <v>2.745479</v>
      </c>
      <c r="AI2" s="205">
        <v>29.66744</v>
      </c>
      <c r="AJ2" s="205">
        <v>1.545589</v>
      </c>
      <c r="AK2" s="205">
        <v>1.246126</v>
      </c>
      <c r="AL2" s="205">
        <v>2.377016</v>
      </c>
      <c r="AM2" s="205">
        <v>0.016961</v>
      </c>
      <c r="AN2" s="205">
        <v>0.420487</v>
      </c>
      <c r="AO2" s="205">
        <v>5.683759</v>
      </c>
      <c r="AP2" s="205">
        <v>0.070223</v>
      </c>
      <c r="AQ2" s="205">
        <v>0.391048</v>
      </c>
      <c r="AR2" s="205">
        <v>-1.06727</v>
      </c>
    </row>
    <row r="3">
      <c r="A3" s="205">
        <v>2.0</v>
      </c>
      <c r="B3" s="206"/>
      <c r="C3" s="206"/>
      <c r="D3" s="205">
        <v>1.022351</v>
      </c>
      <c r="E3" s="205">
        <v>0.002139</v>
      </c>
      <c r="F3" s="205">
        <v>-0.23413</v>
      </c>
      <c r="G3" s="206"/>
      <c r="H3" s="207" t="s">
        <v>1376</v>
      </c>
      <c r="I3" s="207" t="s">
        <v>42</v>
      </c>
      <c r="J3" s="207" t="s">
        <v>34</v>
      </c>
      <c r="K3" s="207" t="s">
        <v>1377</v>
      </c>
      <c r="L3" s="206"/>
      <c r="M3" s="207" t="s">
        <v>1373</v>
      </c>
      <c r="N3" s="206"/>
      <c r="O3" s="206"/>
      <c r="P3" s="208"/>
      <c r="Q3" s="207">
        <v>5.0</v>
      </c>
      <c r="R3" s="207" t="s">
        <v>1374</v>
      </c>
      <c r="S3" s="207" t="s">
        <v>1375</v>
      </c>
      <c r="T3" s="205">
        <v>73.0</v>
      </c>
      <c r="U3" s="205">
        <v>16.0</v>
      </c>
      <c r="V3" s="206"/>
      <c r="W3" s="205">
        <v>34.0</v>
      </c>
      <c r="X3" s="205">
        <v>27.67616</v>
      </c>
      <c r="Y3" s="205">
        <v>1.596849</v>
      </c>
      <c r="Z3" s="205">
        <v>12.16205</v>
      </c>
      <c r="AA3" s="205">
        <v>8.994658</v>
      </c>
      <c r="AB3" s="205">
        <v>1.430822</v>
      </c>
      <c r="AC3" s="205">
        <v>0.715479</v>
      </c>
      <c r="AD3" s="205">
        <v>0.585091</v>
      </c>
      <c r="AE3" s="205">
        <v>17.74247</v>
      </c>
      <c r="AF3" s="205">
        <v>0.810004</v>
      </c>
      <c r="AG3" s="205">
        <v>6.564658</v>
      </c>
      <c r="AH3" s="205">
        <v>3.115342</v>
      </c>
      <c r="AI3" s="205">
        <v>30.11898</v>
      </c>
      <c r="AJ3" s="205">
        <v>1.868021</v>
      </c>
      <c r="AK3" s="205">
        <v>-0.15078</v>
      </c>
      <c r="AL3" s="205">
        <v>2.475089</v>
      </c>
      <c r="AM3" s="205">
        <v>2.523595</v>
      </c>
      <c r="AN3" s="205">
        <v>1.221224</v>
      </c>
      <c r="AO3" s="205">
        <v>-0.05442</v>
      </c>
      <c r="AP3" s="205">
        <v>2.537778</v>
      </c>
      <c r="AQ3" s="205">
        <v>0.318504</v>
      </c>
      <c r="AR3" s="205">
        <v>-1.53785</v>
      </c>
    </row>
    <row r="4">
      <c r="A4" s="205">
        <v>3.0</v>
      </c>
      <c r="B4" s="206"/>
      <c r="C4" s="206"/>
      <c r="D4" s="205">
        <v>0.856965</v>
      </c>
      <c r="E4" s="205">
        <v>0.001654</v>
      </c>
      <c r="F4" s="205">
        <v>0.481401</v>
      </c>
      <c r="G4" s="206"/>
      <c r="H4" s="207" t="s">
        <v>1378</v>
      </c>
      <c r="I4" s="207" t="s">
        <v>58</v>
      </c>
      <c r="J4" s="207" t="s">
        <v>1379</v>
      </c>
      <c r="K4" s="207" t="s">
        <v>1380</v>
      </c>
      <c r="L4" s="206"/>
      <c r="M4" s="207" t="s">
        <v>1373</v>
      </c>
      <c r="N4" s="208"/>
      <c r="O4" s="206"/>
      <c r="P4" s="208"/>
      <c r="Q4" s="207">
        <v>5.0</v>
      </c>
      <c r="R4" s="207" t="s">
        <v>1381</v>
      </c>
      <c r="S4" s="207" t="s">
        <v>1375</v>
      </c>
      <c r="T4" s="205">
        <v>73.0</v>
      </c>
      <c r="U4" s="205">
        <v>13.0</v>
      </c>
      <c r="V4" s="206"/>
      <c r="W4" s="205">
        <v>33.0</v>
      </c>
      <c r="X4" s="205">
        <v>30.51822</v>
      </c>
      <c r="Y4" s="205">
        <v>1.935479</v>
      </c>
      <c r="Z4" s="205">
        <v>4.558082</v>
      </c>
      <c r="AA4" s="205">
        <v>6.030685</v>
      </c>
      <c r="AB4" s="205">
        <v>1.462877</v>
      </c>
      <c r="AC4" s="205">
        <v>0.91589</v>
      </c>
      <c r="AD4" s="205">
        <v>0.505971</v>
      </c>
      <c r="AE4" s="205">
        <v>21.03753</v>
      </c>
      <c r="AF4" s="205">
        <v>0.889004</v>
      </c>
      <c r="AG4" s="205">
        <v>8.204658</v>
      </c>
      <c r="AH4" s="205">
        <v>1.823288</v>
      </c>
      <c r="AI4" s="205">
        <v>34.4184</v>
      </c>
      <c r="AJ4" s="205">
        <v>2.366864</v>
      </c>
      <c r="AK4" s="205">
        <v>0.174777</v>
      </c>
      <c r="AL4" s="205">
        <v>-0.62158</v>
      </c>
      <c r="AM4" s="205">
        <v>1.08524</v>
      </c>
      <c r="AN4" s="205">
        <v>1.315428</v>
      </c>
      <c r="AO4" s="205">
        <v>0.306527</v>
      </c>
      <c r="AP4" s="205">
        <v>0.541607</v>
      </c>
      <c r="AQ4" s="205">
        <v>2.43778</v>
      </c>
      <c r="AR4" s="205">
        <v>0.106037</v>
      </c>
    </row>
    <row r="5">
      <c r="A5" s="205">
        <v>4.0</v>
      </c>
      <c r="B5" s="206"/>
      <c r="C5" s="206"/>
      <c r="D5" s="205">
        <v>0.525033</v>
      </c>
      <c r="E5" s="205">
        <v>0.003857</v>
      </c>
      <c r="F5" s="205">
        <v>-0.42927</v>
      </c>
      <c r="G5" s="206"/>
      <c r="H5" s="207" t="s">
        <v>1382</v>
      </c>
      <c r="I5" s="207" t="s">
        <v>75</v>
      </c>
      <c r="J5" s="207" t="s">
        <v>1379</v>
      </c>
      <c r="K5" s="207" t="s">
        <v>1383</v>
      </c>
      <c r="L5" s="206"/>
      <c r="M5" s="207" t="s">
        <v>1384</v>
      </c>
      <c r="N5" s="207" t="s">
        <v>1385</v>
      </c>
      <c r="O5" s="206"/>
      <c r="P5" s="208"/>
      <c r="Q5" s="207">
        <v>5.0</v>
      </c>
      <c r="R5" s="207" t="s">
        <v>1381</v>
      </c>
      <c r="S5" s="207" t="s">
        <v>1375</v>
      </c>
      <c r="T5" s="205">
        <v>68.0</v>
      </c>
      <c r="U5" s="205">
        <v>14.0</v>
      </c>
      <c r="V5" s="206"/>
      <c r="W5" s="205">
        <v>36.0</v>
      </c>
      <c r="X5" s="205">
        <v>29.94368</v>
      </c>
      <c r="Y5" s="205">
        <v>3.678088</v>
      </c>
      <c r="Z5" s="205">
        <v>7.791029</v>
      </c>
      <c r="AA5" s="205">
        <v>7.497059</v>
      </c>
      <c r="AB5" s="205">
        <v>1.47</v>
      </c>
      <c r="AC5" s="205">
        <v>0.44</v>
      </c>
      <c r="AD5" s="205">
        <v>0.468707</v>
      </c>
      <c r="AE5" s="205">
        <v>20.43294</v>
      </c>
      <c r="AF5" s="205">
        <v>0.791004</v>
      </c>
      <c r="AG5" s="205">
        <v>8.990441</v>
      </c>
      <c r="AH5" s="205">
        <v>3.454559</v>
      </c>
      <c r="AI5" s="205">
        <v>34.42202</v>
      </c>
      <c r="AJ5" s="205">
        <v>2.266019</v>
      </c>
      <c r="AK5" s="205">
        <v>1.850091</v>
      </c>
      <c r="AL5" s="205">
        <v>0.695018</v>
      </c>
      <c r="AM5" s="205">
        <v>1.796841</v>
      </c>
      <c r="AN5" s="205">
        <v>1.336362</v>
      </c>
      <c r="AO5" s="205">
        <v>-0.55057</v>
      </c>
      <c r="AP5" s="205">
        <v>-0.60198</v>
      </c>
      <c r="AQ5" s="205">
        <v>-0.09705</v>
      </c>
      <c r="AR5" s="205">
        <v>-1.96944</v>
      </c>
    </row>
    <row r="6">
      <c r="A6" s="205">
        <v>5.0</v>
      </c>
      <c r="B6" s="206"/>
      <c r="C6" s="206"/>
      <c r="D6" s="205">
        <v>0.514796</v>
      </c>
      <c r="E6" s="205">
        <v>-4.6E-4</v>
      </c>
      <c r="F6" s="205">
        <v>-0.12262</v>
      </c>
      <c r="G6" s="206"/>
      <c r="H6" s="207" t="s">
        <v>1386</v>
      </c>
      <c r="I6" s="207" t="s">
        <v>103</v>
      </c>
      <c r="J6" s="207" t="s">
        <v>1387</v>
      </c>
      <c r="K6" s="207" t="s">
        <v>1388</v>
      </c>
      <c r="L6" s="207" t="s">
        <v>1389</v>
      </c>
      <c r="M6" s="207" t="s">
        <v>1384</v>
      </c>
      <c r="N6" s="208"/>
      <c r="O6" s="206"/>
      <c r="P6" s="208"/>
      <c r="Q6" s="207">
        <v>2.0</v>
      </c>
      <c r="R6" s="207" t="s">
        <v>1390</v>
      </c>
      <c r="S6" s="207" t="s">
        <v>1375</v>
      </c>
      <c r="T6" s="205">
        <v>60.0</v>
      </c>
      <c r="U6" s="205">
        <v>15.0</v>
      </c>
      <c r="V6" s="206"/>
      <c r="W6" s="205">
        <v>34.0</v>
      </c>
      <c r="X6" s="205">
        <v>24.568</v>
      </c>
      <c r="Y6" s="205">
        <v>2.273333</v>
      </c>
      <c r="Z6" s="205">
        <v>6.321167</v>
      </c>
      <c r="AA6" s="205">
        <v>3.1605</v>
      </c>
      <c r="AB6" s="205">
        <v>1.653333</v>
      </c>
      <c r="AC6" s="205">
        <v>0.617167</v>
      </c>
      <c r="AD6" s="205">
        <v>0.504101</v>
      </c>
      <c r="AE6" s="205">
        <v>18.75717</v>
      </c>
      <c r="AF6" s="205">
        <v>0.859017</v>
      </c>
      <c r="AG6" s="205">
        <v>3.939</v>
      </c>
      <c r="AH6" s="205">
        <v>1.786333</v>
      </c>
      <c r="AI6" s="205">
        <v>29.25714</v>
      </c>
      <c r="AJ6" s="205">
        <v>1.322469</v>
      </c>
      <c r="AK6" s="205">
        <v>0.499584</v>
      </c>
      <c r="AL6" s="205">
        <v>0.096426</v>
      </c>
      <c r="AM6" s="205">
        <v>-0.3076</v>
      </c>
      <c r="AN6" s="205">
        <v>1.875152</v>
      </c>
      <c r="AO6" s="205">
        <v>-0.23149</v>
      </c>
      <c r="AP6" s="205">
        <v>0.431608</v>
      </c>
      <c r="AQ6" s="205">
        <v>0.793961</v>
      </c>
      <c r="AR6" s="205">
        <v>0.153054</v>
      </c>
    </row>
    <row r="7">
      <c r="A7" s="205">
        <v>6.0</v>
      </c>
      <c r="B7" s="206"/>
      <c r="C7" s="206"/>
      <c r="D7" s="205">
        <v>0.406115</v>
      </c>
      <c r="E7" s="205">
        <v>0.010525</v>
      </c>
      <c r="F7" s="205">
        <v>0.342012</v>
      </c>
      <c r="G7" s="206"/>
      <c r="H7" s="207" t="s">
        <v>1391</v>
      </c>
      <c r="I7" s="207" t="s">
        <v>1392</v>
      </c>
      <c r="J7" s="207" t="s">
        <v>1379</v>
      </c>
      <c r="K7" s="206"/>
      <c r="L7" s="206"/>
      <c r="M7" s="207" t="s">
        <v>1384</v>
      </c>
      <c r="N7" s="208"/>
      <c r="O7" s="206"/>
      <c r="P7" s="208"/>
      <c r="Q7" s="207">
        <v>5.0</v>
      </c>
      <c r="R7" s="207" t="s">
        <v>1393</v>
      </c>
      <c r="S7" s="207" t="s">
        <v>1375</v>
      </c>
      <c r="T7" s="205">
        <v>68.0</v>
      </c>
      <c r="U7" s="205">
        <v>15.0</v>
      </c>
      <c r="V7" s="206"/>
      <c r="W7" s="205">
        <v>33.0</v>
      </c>
      <c r="X7" s="205">
        <v>25.34912</v>
      </c>
      <c r="Y7" s="205">
        <v>4.625882</v>
      </c>
      <c r="Z7" s="205">
        <v>4.492059</v>
      </c>
      <c r="AA7" s="205">
        <v>5.887794</v>
      </c>
      <c r="AB7" s="205">
        <v>1.020882</v>
      </c>
      <c r="AC7" s="205">
        <v>0.407647</v>
      </c>
      <c r="AD7" s="205">
        <v>0.453424</v>
      </c>
      <c r="AE7" s="205">
        <v>18.3775</v>
      </c>
      <c r="AF7" s="205">
        <v>0.920009</v>
      </c>
      <c r="AG7" s="205">
        <v>4.410441</v>
      </c>
      <c r="AH7" s="205">
        <v>2.786618</v>
      </c>
      <c r="AI7" s="205">
        <v>30.22436</v>
      </c>
      <c r="AJ7" s="205">
        <v>1.459573</v>
      </c>
      <c r="AK7" s="205">
        <v>2.761285</v>
      </c>
      <c r="AL7" s="205">
        <v>-0.64847</v>
      </c>
      <c r="AM7" s="205">
        <v>1.015898</v>
      </c>
      <c r="AN7" s="205">
        <v>0.016472</v>
      </c>
      <c r="AO7" s="205">
        <v>-0.60884</v>
      </c>
      <c r="AP7" s="205">
        <v>-0.95694</v>
      </c>
      <c r="AQ7" s="205">
        <v>1.735668</v>
      </c>
      <c r="AR7" s="205">
        <v>-1.11961</v>
      </c>
    </row>
    <row r="8">
      <c r="A8" s="205">
        <v>7.0</v>
      </c>
      <c r="B8" s="206"/>
      <c r="C8" s="206"/>
      <c r="D8" s="205">
        <v>0.375228</v>
      </c>
      <c r="E8" s="205">
        <v>-7.6E-4</v>
      </c>
      <c r="F8" s="205">
        <v>-1.22843</v>
      </c>
      <c r="G8" s="206"/>
      <c r="H8" s="207" t="s">
        <v>1394</v>
      </c>
      <c r="I8" s="207" t="s">
        <v>68</v>
      </c>
      <c r="J8" s="207" t="s">
        <v>1395</v>
      </c>
      <c r="K8" s="207" t="s">
        <v>1396</v>
      </c>
      <c r="L8" s="206"/>
      <c r="M8" s="207" t="s">
        <v>1384</v>
      </c>
      <c r="N8" s="208"/>
      <c r="O8" s="206"/>
      <c r="P8" s="208"/>
      <c r="Q8" s="207">
        <v>3.0</v>
      </c>
      <c r="R8" s="207" t="s">
        <v>1397</v>
      </c>
      <c r="S8" s="207" t="s">
        <v>1375</v>
      </c>
      <c r="T8" s="205">
        <v>62.0</v>
      </c>
      <c r="U8" s="205">
        <v>14.0</v>
      </c>
      <c r="V8" s="206"/>
      <c r="W8" s="205">
        <v>34.0</v>
      </c>
      <c r="X8" s="205">
        <v>22.60968</v>
      </c>
      <c r="Y8" s="205">
        <v>0.879677</v>
      </c>
      <c r="Z8" s="205">
        <v>10.01581</v>
      </c>
      <c r="AA8" s="205">
        <v>4.149355</v>
      </c>
      <c r="AB8" s="205">
        <v>1.227258</v>
      </c>
      <c r="AC8" s="205">
        <v>2.074677</v>
      </c>
      <c r="AD8" s="205">
        <v>0.494364</v>
      </c>
      <c r="AE8" s="205">
        <v>17.02613</v>
      </c>
      <c r="AF8" s="205">
        <v>0.766012</v>
      </c>
      <c r="AG8" s="205">
        <v>6.39129</v>
      </c>
      <c r="AH8" s="205">
        <v>2.790161</v>
      </c>
      <c r="AI8" s="205">
        <v>28.46227</v>
      </c>
      <c r="AJ8" s="205">
        <v>0.97874</v>
      </c>
      <c r="AK8" s="205">
        <v>-0.84025</v>
      </c>
      <c r="AL8" s="205">
        <v>1.601044</v>
      </c>
      <c r="AM8" s="205">
        <v>0.17227</v>
      </c>
      <c r="AN8" s="205">
        <v>0.62298</v>
      </c>
      <c r="AO8" s="205">
        <v>2.393555</v>
      </c>
      <c r="AP8" s="205">
        <v>0.146719</v>
      </c>
      <c r="AQ8" s="205">
        <v>-0.57388</v>
      </c>
      <c r="AR8" s="205">
        <v>-1.12412</v>
      </c>
    </row>
    <row r="9">
      <c r="A9" s="205">
        <v>8.0</v>
      </c>
      <c r="B9" s="206"/>
      <c r="C9" s="206"/>
      <c r="D9" s="205">
        <v>0.357576</v>
      </c>
      <c r="E9" s="205">
        <v>-8.7E-4</v>
      </c>
      <c r="F9" s="205">
        <v>-3.07765</v>
      </c>
      <c r="G9" s="206"/>
      <c r="H9" s="207" t="s">
        <v>1398</v>
      </c>
      <c r="I9" s="207" t="s">
        <v>94</v>
      </c>
      <c r="J9" s="207" t="s">
        <v>34</v>
      </c>
      <c r="K9" s="207" t="s">
        <v>1399</v>
      </c>
      <c r="L9" s="206"/>
      <c r="M9" s="207" t="s">
        <v>1384</v>
      </c>
      <c r="N9" s="207" t="s">
        <v>1400</v>
      </c>
      <c r="O9" s="206"/>
      <c r="P9" s="208"/>
      <c r="Q9" s="207">
        <v>3.0</v>
      </c>
      <c r="R9" s="207" t="s">
        <v>1401</v>
      </c>
      <c r="S9" s="207" t="s">
        <v>1402</v>
      </c>
      <c r="T9" s="205">
        <v>55.0</v>
      </c>
      <c r="U9" s="205">
        <v>13.0</v>
      </c>
      <c r="V9" s="206"/>
      <c r="W9" s="205">
        <v>29.0</v>
      </c>
      <c r="X9" s="205">
        <v>21.42764</v>
      </c>
      <c r="Y9" s="205">
        <v>2.510909</v>
      </c>
      <c r="Z9" s="205">
        <v>7.54</v>
      </c>
      <c r="AA9" s="205">
        <v>2.136364</v>
      </c>
      <c r="AB9" s="205">
        <v>0.762545</v>
      </c>
      <c r="AC9" s="205">
        <v>1.633636</v>
      </c>
      <c r="AD9" s="205">
        <v>0.470257</v>
      </c>
      <c r="AE9" s="205">
        <v>15.01655</v>
      </c>
      <c r="AF9" s="205">
        <v>0.839992</v>
      </c>
      <c r="AG9" s="205">
        <v>5.706545</v>
      </c>
      <c r="AH9" s="205">
        <v>1.382364</v>
      </c>
      <c r="AI9" s="205">
        <v>27.06419</v>
      </c>
      <c r="AJ9" s="205">
        <v>0.771266</v>
      </c>
      <c r="AK9" s="205">
        <v>0.727985</v>
      </c>
      <c r="AL9" s="205">
        <v>0.592788</v>
      </c>
      <c r="AM9" s="205">
        <v>-0.80459</v>
      </c>
      <c r="AN9" s="205">
        <v>-0.74274</v>
      </c>
      <c r="AO9" s="205">
        <v>1.59922</v>
      </c>
      <c r="AP9" s="205">
        <v>-0.40622</v>
      </c>
      <c r="AQ9" s="205">
        <v>0.813453</v>
      </c>
      <c r="AR9" s="205">
        <v>0.667027</v>
      </c>
    </row>
    <row r="10">
      <c r="A10" s="205">
        <v>9.0</v>
      </c>
      <c r="B10" s="206"/>
      <c r="C10" s="206"/>
      <c r="D10" s="205">
        <v>0.341374</v>
      </c>
      <c r="E10" s="205">
        <v>-0.002</v>
      </c>
      <c r="F10" s="205">
        <v>0.221209</v>
      </c>
      <c r="G10" s="206"/>
      <c r="H10" s="207" t="s">
        <v>1403</v>
      </c>
      <c r="I10" s="207" t="s">
        <v>103</v>
      </c>
      <c r="J10" s="207" t="s">
        <v>1379</v>
      </c>
      <c r="K10" s="207" t="s">
        <v>1404</v>
      </c>
      <c r="L10" s="206"/>
      <c r="M10" s="207" t="s">
        <v>1373</v>
      </c>
      <c r="N10" s="207" t="s">
        <v>1405</v>
      </c>
      <c r="O10" s="206"/>
      <c r="P10" s="206"/>
      <c r="Q10" s="207">
        <v>4.0</v>
      </c>
      <c r="R10" s="207" t="s">
        <v>1393</v>
      </c>
      <c r="S10" s="207" t="s">
        <v>1375</v>
      </c>
      <c r="T10" s="205">
        <v>73.0</v>
      </c>
      <c r="U10" s="205">
        <v>15.0</v>
      </c>
      <c r="V10" s="206"/>
      <c r="W10" s="205">
        <v>35.0</v>
      </c>
      <c r="X10" s="205">
        <v>23.15562</v>
      </c>
      <c r="Y10" s="205">
        <v>3.018356</v>
      </c>
      <c r="Z10" s="205">
        <v>5.304658</v>
      </c>
      <c r="AA10" s="205">
        <v>8.091781</v>
      </c>
      <c r="AB10" s="205">
        <v>1.202329</v>
      </c>
      <c r="AC10" s="205">
        <v>0.712192</v>
      </c>
      <c r="AD10" s="205">
        <v>0.443798</v>
      </c>
      <c r="AE10" s="205">
        <v>16.05507</v>
      </c>
      <c r="AF10" s="205">
        <v>0.872994</v>
      </c>
      <c r="AG10" s="205">
        <v>6.743288</v>
      </c>
      <c r="AH10" s="205">
        <v>3.536438</v>
      </c>
      <c r="AI10" s="205">
        <v>28.78087</v>
      </c>
      <c r="AJ10" s="205">
        <v>1.074565</v>
      </c>
      <c r="AK10" s="205">
        <v>1.215836</v>
      </c>
      <c r="AL10" s="205">
        <v>-0.31754</v>
      </c>
      <c r="AM10" s="205">
        <v>2.085447</v>
      </c>
      <c r="AN10" s="205">
        <v>0.549716</v>
      </c>
      <c r="AO10" s="205">
        <v>-0.06034</v>
      </c>
      <c r="AP10" s="205">
        <v>-1.06419</v>
      </c>
      <c r="AQ10" s="205">
        <v>1.66249</v>
      </c>
      <c r="AR10" s="205">
        <v>-2.07362</v>
      </c>
    </row>
    <row r="11">
      <c r="A11" s="205">
        <v>10.0</v>
      </c>
      <c r="B11" s="206"/>
      <c r="C11" s="206"/>
      <c r="D11" s="205">
        <v>0.3393</v>
      </c>
      <c r="E11" s="205">
        <v>0.001083</v>
      </c>
      <c r="F11" s="205">
        <v>-0.71734</v>
      </c>
      <c r="G11" s="206"/>
      <c r="H11" s="207" t="s">
        <v>1406</v>
      </c>
      <c r="I11" s="207" t="s">
        <v>121</v>
      </c>
      <c r="J11" s="207" t="s">
        <v>1379</v>
      </c>
      <c r="K11" s="207" t="s">
        <v>1407</v>
      </c>
      <c r="L11" s="206"/>
      <c r="M11" s="207" t="s">
        <v>1384</v>
      </c>
      <c r="N11" s="208"/>
      <c r="O11" s="206"/>
      <c r="P11" s="206"/>
      <c r="Q11" s="207">
        <v>5.0</v>
      </c>
      <c r="R11" s="207" t="s">
        <v>1408</v>
      </c>
      <c r="S11" s="207" t="s">
        <v>1375</v>
      </c>
      <c r="T11" s="205">
        <v>68.0</v>
      </c>
      <c r="U11" s="205">
        <v>14.0</v>
      </c>
      <c r="V11" s="206"/>
      <c r="W11" s="205">
        <v>32.0</v>
      </c>
      <c r="X11" s="205">
        <v>26.15735</v>
      </c>
      <c r="Y11" s="205">
        <v>3.337647</v>
      </c>
      <c r="Z11" s="205">
        <v>4.578676</v>
      </c>
      <c r="AA11" s="205">
        <v>5.656029</v>
      </c>
      <c r="AB11" s="205">
        <v>1.274706</v>
      </c>
      <c r="AC11" s="205">
        <v>0.27</v>
      </c>
      <c r="AD11" s="205">
        <v>0.460659</v>
      </c>
      <c r="AE11" s="205">
        <v>18.9875</v>
      </c>
      <c r="AF11" s="205">
        <v>0.850008</v>
      </c>
      <c r="AG11" s="205">
        <v>6.266029</v>
      </c>
      <c r="AH11" s="205">
        <v>2.356618</v>
      </c>
      <c r="AI11" s="205">
        <v>32.30012</v>
      </c>
      <c r="AJ11" s="205">
        <v>1.601436</v>
      </c>
      <c r="AK11" s="205">
        <v>1.522797</v>
      </c>
      <c r="AL11" s="205">
        <v>-0.61319</v>
      </c>
      <c r="AM11" s="205">
        <v>0.903428</v>
      </c>
      <c r="AN11" s="205">
        <v>0.762422</v>
      </c>
      <c r="AO11" s="205">
        <v>-0.85675</v>
      </c>
      <c r="AP11" s="205">
        <v>-0.78535</v>
      </c>
      <c r="AQ11" s="205">
        <v>1.091433</v>
      </c>
      <c r="AR11" s="205">
        <v>-0.57252</v>
      </c>
    </row>
    <row r="12">
      <c r="A12" s="205">
        <v>11.0</v>
      </c>
      <c r="B12" s="206"/>
      <c r="C12" s="206"/>
      <c r="D12" s="205">
        <v>0.318916</v>
      </c>
      <c r="E12" s="205">
        <v>-0.00178</v>
      </c>
      <c r="F12" s="205">
        <v>-0.00181</v>
      </c>
      <c r="G12" s="206"/>
      <c r="H12" s="207" t="s">
        <v>1409</v>
      </c>
      <c r="I12" s="207" t="s">
        <v>204</v>
      </c>
      <c r="J12" s="207" t="s">
        <v>1387</v>
      </c>
      <c r="K12" s="207" t="s">
        <v>1410</v>
      </c>
      <c r="L12" s="206"/>
      <c r="M12" s="207" t="s">
        <v>1384</v>
      </c>
      <c r="N12" s="207" t="s">
        <v>1400</v>
      </c>
      <c r="O12" s="206"/>
      <c r="P12" s="206"/>
      <c r="Q12" s="207">
        <v>5.0</v>
      </c>
      <c r="R12" s="207" t="s">
        <v>1390</v>
      </c>
      <c r="S12" s="207" t="s">
        <v>1375</v>
      </c>
      <c r="T12" s="205">
        <v>64.0</v>
      </c>
      <c r="U12" s="205">
        <v>14.0</v>
      </c>
      <c r="V12" s="206"/>
      <c r="W12" s="205">
        <v>35.0</v>
      </c>
      <c r="X12" s="205">
        <v>28.26391</v>
      </c>
      <c r="Y12" s="205">
        <v>2.716563</v>
      </c>
      <c r="Z12" s="205">
        <v>5.3025</v>
      </c>
      <c r="AA12" s="205">
        <v>4.860625</v>
      </c>
      <c r="AB12" s="205">
        <v>0.807969</v>
      </c>
      <c r="AC12" s="205">
        <v>0.88375</v>
      </c>
      <c r="AD12" s="205">
        <v>0.514412</v>
      </c>
      <c r="AE12" s="205">
        <v>19.88375</v>
      </c>
      <c r="AF12" s="205">
        <v>0.857004</v>
      </c>
      <c r="AG12" s="205">
        <v>5.939844</v>
      </c>
      <c r="AH12" s="205">
        <v>3.314063</v>
      </c>
      <c r="AI12" s="205">
        <v>30.26099</v>
      </c>
      <c r="AJ12" s="205">
        <v>1.971182</v>
      </c>
      <c r="AK12" s="205">
        <v>0.925697</v>
      </c>
      <c r="AL12" s="205">
        <v>-0.31842</v>
      </c>
      <c r="AM12" s="205">
        <v>0.517434</v>
      </c>
      <c r="AN12" s="205">
        <v>-0.60925</v>
      </c>
      <c r="AO12" s="205">
        <v>0.24864</v>
      </c>
      <c r="AP12" s="205">
        <v>0.760937</v>
      </c>
      <c r="AQ12" s="205">
        <v>1.164705</v>
      </c>
      <c r="AR12" s="205">
        <v>-1.79069</v>
      </c>
    </row>
    <row r="13">
      <c r="A13" s="205">
        <v>12.0</v>
      </c>
      <c r="B13" s="206"/>
      <c r="C13" s="206"/>
      <c r="D13" s="205">
        <v>0.312174</v>
      </c>
      <c r="E13" s="205">
        <v>-0.00491</v>
      </c>
      <c r="F13" s="205">
        <v>0.964613</v>
      </c>
      <c r="G13" s="206"/>
      <c r="H13" s="207" t="s">
        <v>1411</v>
      </c>
      <c r="I13" s="207" t="s">
        <v>94</v>
      </c>
      <c r="J13" s="207" t="s">
        <v>1412</v>
      </c>
      <c r="K13" s="207" t="s">
        <v>1413</v>
      </c>
      <c r="L13" s="206"/>
      <c r="M13" s="207" t="s">
        <v>1373</v>
      </c>
      <c r="N13" s="207" t="s">
        <v>1414</v>
      </c>
      <c r="O13" s="206"/>
      <c r="P13" s="206"/>
      <c r="Q13" s="207">
        <v>3.0</v>
      </c>
      <c r="R13" s="207" t="s">
        <v>1415</v>
      </c>
      <c r="S13" s="207" t="s">
        <v>1375</v>
      </c>
      <c r="T13" s="205">
        <v>73.0</v>
      </c>
      <c r="U13" s="205">
        <v>13.0</v>
      </c>
      <c r="V13" s="206"/>
      <c r="W13" s="205">
        <v>33.0</v>
      </c>
      <c r="X13" s="205">
        <v>13.23932</v>
      </c>
      <c r="Y13" s="205">
        <v>0.888356</v>
      </c>
      <c r="Z13" s="205">
        <v>5.791507</v>
      </c>
      <c r="AA13" s="205">
        <v>4.433014</v>
      </c>
      <c r="AB13" s="205">
        <v>2.573973</v>
      </c>
      <c r="AC13" s="205">
        <v>0.645616</v>
      </c>
      <c r="AD13" s="205">
        <v>0.517168</v>
      </c>
      <c r="AE13" s="205">
        <v>11.08301</v>
      </c>
      <c r="AF13" s="205">
        <v>0.615955</v>
      </c>
      <c r="AG13" s="205">
        <v>1.440685</v>
      </c>
      <c r="AH13" s="205">
        <v>1.859041</v>
      </c>
      <c r="AI13" s="205">
        <v>17.07509</v>
      </c>
      <c r="AJ13" s="205">
        <v>-0.66597</v>
      </c>
      <c r="AK13" s="205">
        <v>-0.83191</v>
      </c>
      <c r="AL13" s="205">
        <v>-0.11927</v>
      </c>
      <c r="AM13" s="205">
        <v>0.309923</v>
      </c>
      <c r="AN13" s="205">
        <v>4.580775</v>
      </c>
      <c r="AO13" s="205">
        <v>-0.18025</v>
      </c>
      <c r="AP13" s="205">
        <v>0.472226</v>
      </c>
      <c r="AQ13" s="205">
        <v>-0.81651</v>
      </c>
      <c r="AR13" s="205">
        <v>0.060547</v>
      </c>
    </row>
    <row r="14">
      <c r="A14" s="205">
        <v>13.0</v>
      </c>
      <c r="B14" s="206"/>
      <c r="C14" s="206"/>
      <c r="D14" s="205">
        <v>0.310014</v>
      </c>
      <c r="E14" s="205">
        <v>0.009949</v>
      </c>
      <c r="F14" s="205">
        <v>-0.93107</v>
      </c>
      <c r="G14" s="206"/>
      <c r="H14" s="207" t="s">
        <v>1416</v>
      </c>
      <c r="I14" s="207" t="s">
        <v>81</v>
      </c>
      <c r="J14" s="207" t="s">
        <v>1379</v>
      </c>
      <c r="K14" s="207" t="s">
        <v>1417</v>
      </c>
      <c r="L14" s="206"/>
      <c r="M14" s="207" t="s">
        <v>1373</v>
      </c>
      <c r="N14" s="206"/>
      <c r="O14" s="206"/>
      <c r="P14" s="206"/>
      <c r="Q14" s="207">
        <v>4.0</v>
      </c>
      <c r="R14" s="207" t="s">
        <v>1418</v>
      </c>
      <c r="S14" s="207" t="s">
        <v>1375</v>
      </c>
      <c r="T14" s="205">
        <v>73.0</v>
      </c>
      <c r="U14" s="205">
        <v>16.0</v>
      </c>
      <c r="V14" s="206"/>
      <c r="W14" s="205">
        <v>38.0</v>
      </c>
      <c r="X14" s="205">
        <v>25.30397</v>
      </c>
      <c r="Y14" s="205">
        <v>3.17</v>
      </c>
      <c r="Z14" s="205">
        <v>3.291781</v>
      </c>
      <c r="AA14" s="205">
        <v>6.363562</v>
      </c>
      <c r="AB14" s="205">
        <v>1.332329</v>
      </c>
      <c r="AC14" s="205">
        <v>0.393151</v>
      </c>
      <c r="AD14" s="205">
        <v>0.449281</v>
      </c>
      <c r="AE14" s="205">
        <v>20.14205</v>
      </c>
      <c r="AF14" s="205">
        <v>0.87099</v>
      </c>
      <c r="AG14" s="205">
        <v>4.63274</v>
      </c>
      <c r="AH14" s="205">
        <v>2.194521</v>
      </c>
      <c r="AI14" s="205">
        <v>28.24488</v>
      </c>
      <c r="AJ14" s="205">
        <v>1.451649</v>
      </c>
      <c r="AK14" s="205">
        <v>1.361624</v>
      </c>
      <c r="AL14" s="205">
        <v>-1.13727</v>
      </c>
      <c r="AM14" s="205">
        <v>1.246778</v>
      </c>
      <c r="AN14" s="205">
        <v>0.931767</v>
      </c>
      <c r="AO14" s="205">
        <v>-0.63495</v>
      </c>
      <c r="AP14" s="205">
        <v>-1.17306</v>
      </c>
      <c r="AQ14" s="205">
        <v>1.109875</v>
      </c>
      <c r="AR14" s="205">
        <v>-0.36629</v>
      </c>
    </row>
    <row r="15">
      <c r="A15" s="205">
        <v>14.0</v>
      </c>
      <c r="B15" s="206"/>
      <c r="C15" s="206"/>
      <c r="D15" s="205">
        <v>0.300651</v>
      </c>
      <c r="E15" s="205">
        <v>0.008102</v>
      </c>
      <c r="F15" s="205">
        <v>-1.44216</v>
      </c>
      <c r="G15" s="206"/>
      <c r="H15" s="207" t="s">
        <v>1419</v>
      </c>
      <c r="I15" s="207" t="s">
        <v>81</v>
      </c>
      <c r="J15" s="207" t="s">
        <v>34</v>
      </c>
      <c r="K15" s="207" t="s">
        <v>1420</v>
      </c>
      <c r="L15" s="207" t="s">
        <v>1421</v>
      </c>
      <c r="M15" s="207" t="s">
        <v>1384</v>
      </c>
      <c r="N15" s="208"/>
      <c r="O15" s="206"/>
      <c r="P15" s="206"/>
      <c r="Q15" s="207">
        <v>1.0</v>
      </c>
      <c r="R15" s="207" t="s">
        <v>1422</v>
      </c>
      <c r="S15" s="207" t="s">
        <v>1375</v>
      </c>
      <c r="T15" s="205">
        <v>40.0</v>
      </c>
      <c r="U15" s="205">
        <v>16.0</v>
      </c>
      <c r="V15" s="206"/>
      <c r="W15" s="205">
        <v>30.0</v>
      </c>
      <c r="X15" s="205">
        <v>24.878</v>
      </c>
      <c r="Y15" s="205">
        <v>1.10175</v>
      </c>
      <c r="Z15" s="205">
        <v>8.415</v>
      </c>
      <c r="AA15" s="205">
        <v>4.6145</v>
      </c>
      <c r="AB15" s="205">
        <v>0.86425</v>
      </c>
      <c r="AC15" s="205">
        <v>1.11375</v>
      </c>
      <c r="AD15" s="205">
        <v>0.487457</v>
      </c>
      <c r="AE15" s="205">
        <v>16.33375</v>
      </c>
      <c r="AF15" s="205">
        <v>0.874002</v>
      </c>
      <c r="AG15" s="205">
        <v>8.98425</v>
      </c>
      <c r="AH15" s="205">
        <v>3.34575</v>
      </c>
      <c r="AI15" s="205">
        <v>34.68716</v>
      </c>
      <c r="AJ15" s="205">
        <v>1.376881</v>
      </c>
      <c r="AK15" s="205">
        <v>-0.62676</v>
      </c>
      <c r="AL15" s="205">
        <v>0.949126</v>
      </c>
      <c r="AM15" s="205">
        <v>0.397995</v>
      </c>
      <c r="AN15" s="205">
        <v>-0.44385</v>
      </c>
      <c r="AO15" s="205">
        <v>0.662881</v>
      </c>
      <c r="AP15" s="205">
        <v>-0.02614</v>
      </c>
      <c r="AQ15" s="205">
        <v>2.246722</v>
      </c>
      <c r="AR15" s="205">
        <v>-1.831</v>
      </c>
    </row>
    <row r="16">
      <c r="A16" s="205">
        <v>15.0</v>
      </c>
      <c r="B16" s="206"/>
      <c r="C16" s="206"/>
      <c r="D16" s="205">
        <v>0.289567</v>
      </c>
      <c r="E16" s="205">
        <v>-3.5E-4</v>
      </c>
      <c r="F16" s="205">
        <v>0.007481</v>
      </c>
      <c r="G16" s="206"/>
      <c r="H16" s="207" t="s">
        <v>1423</v>
      </c>
      <c r="I16" s="207" t="s">
        <v>129</v>
      </c>
      <c r="J16" s="207" t="s">
        <v>1412</v>
      </c>
      <c r="K16" s="207" t="s">
        <v>1424</v>
      </c>
      <c r="L16" s="206"/>
      <c r="M16" s="207" t="s">
        <v>1384</v>
      </c>
      <c r="N16" s="207" t="s">
        <v>1385</v>
      </c>
      <c r="O16" s="206"/>
      <c r="P16" s="206"/>
      <c r="Q16" s="207">
        <v>4.0</v>
      </c>
      <c r="R16" s="207" t="s">
        <v>1393</v>
      </c>
      <c r="S16" s="207" t="s">
        <v>1375</v>
      </c>
      <c r="T16" s="205">
        <v>68.0</v>
      </c>
      <c r="U16" s="205">
        <v>16.0</v>
      </c>
      <c r="V16" s="206"/>
      <c r="W16" s="205">
        <v>36.0</v>
      </c>
      <c r="X16" s="205">
        <v>26.84118</v>
      </c>
      <c r="Y16" s="205">
        <v>2.306176</v>
      </c>
      <c r="Z16" s="205">
        <v>4.752059</v>
      </c>
      <c r="AA16" s="205">
        <v>8.093235</v>
      </c>
      <c r="AB16" s="205">
        <v>0.891029</v>
      </c>
      <c r="AC16" s="205">
        <v>0.297059</v>
      </c>
      <c r="AD16" s="205">
        <v>0.476236</v>
      </c>
      <c r="AE16" s="205">
        <v>19.37868</v>
      </c>
      <c r="AF16" s="205">
        <v>0.895995</v>
      </c>
      <c r="AG16" s="205">
        <v>6.782794</v>
      </c>
      <c r="AH16" s="205">
        <v>3.341176</v>
      </c>
      <c r="AI16" s="205">
        <v>30.76868</v>
      </c>
      <c r="AJ16" s="205">
        <v>1.721462</v>
      </c>
      <c r="AK16" s="205">
        <v>0.531159</v>
      </c>
      <c r="AL16" s="205">
        <v>-0.54258</v>
      </c>
      <c r="AM16" s="205">
        <v>2.086153</v>
      </c>
      <c r="AN16" s="205">
        <v>-0.36515</v>
      </c>
      <c r="AO16" s="205">
        <v>-0.80802</v>
      </c>
      <c r="AP16" s="205">
        <v>-0.3544</v>
      </c>
      <c r="AQ16" s="205">
        <v>2.162651</v>
      </c>
      <c r="AR16" s="205">
        <v>-1.82518</v>
      </c>
    </row>
    <row r="17">
      <c r="A17" s="205">
        <v>16.0</v>
      </c>
      <c r="B17" s="206"/>
      <c r="C17" s="206"/>
      <c r="D17" s="205">
        <v>0.279539</v>
      </c>
      <c r="E17" s="205">
        <v>-0.11951</v>
      </c>
      <c r="F17" s="205">
        <v>0.202624</v>
      </c>
      <c r="G17" s="206"/>
      <c r="H17" s="207" t="s">
        <v>1425</v>
      </c>
      <c r="I17" s="207" t="s">
        <v>204</v>
      </c>
      <c r="J17" s="207" t="s">
        <v>1412</v>
      </c>
      <c r="K17" s="207" t="s">
        <v>1426</v>
      </c>
      <c r="L17" s="206"/>
      <c r="M17" s="207" t="s">
        <v>1384</v>
      </c>
      <c r="N17" s="208"/>
      <c r="O17" s="206"/>
      <c r="P17" s="208"/>
      <c r="Q17" s="207">
        <v>4.0</v>
      </c>
      <c r="R17" s="207" t="s">
        <v>1408</v>
      </c>
      <c r="S17" s="207" t="s">
        <v>1375</v>
      </c>
      <c r="T17" s="205">
        <v>68.0</v>
      </c>
      <c r="U17" s="205">
        <v>14.0</v>
      </c>
      <c r="V17" s="206"/>
      <c r="W17" s="205">
        <v>36.0</v>
      </c>
      <c r="X17" s="205">
        <v>17.87471</v>
      </c>
      <c r="Y17" s="205">
        <v>0.473382</v>
      </c>
      <c r="Z17" s="205">
        <v>8.483971</v>
      </c>
      <c r="AA17" s="205">
        <v>6.590294</v>
      </c>
      <c r="AB17" s="205">
        <v>1.515</v>
      </c>
      <c r="AC17" s="205">
        <v>1.287794</v>
      </c>
      <c r="AD17" s="205">
        <v>0.55993</v>
      </c>
      <c r="AE17" s="205">
        <v>13.10485</v>
      </c>
      <c r="AF17" s="205">
        <v>0.649986</v>
      </c>
      <c r="AG17" s="205">
        <v>4.193529</v>
      </c>
      <c r="AH17" s="205">
        <v>2.423971</v>
      </c>
      <c r="AI17" s="205">
        <v>19.80329</v>
      </c>
      <c r="AJ17" s="205">
        <v>0.147648</v>
      </c>
      <c r="AK17" s="205">
        <v>-1.23086</v>
      </c>
      <c r="AL17" s="205">
        <v>0.977214</v>
      </c>
      <c r="AM17" s="205">
        <v>1.356807</v>
      </c>
      <c r="AN17" s="205">
        <v>1.468611</v>
      </c>
      <c r="AO17" s="205">
        <v>0.976342</v>
      </c>
      <c r="AP17" s="205">
        <v>1.387533</v>
      </c>
      <c r="AQ17" s="205">
        <v>-1.90923</v>
      </c>
      <c r="AR17" s="205">
        <v>-0.65822</v>
      </c>
    </row>
    <row r="18">
      <c r="A18" s="205">
        <v>17.0</v>
      </c>
      <c r="B18" s="206"/>
      <c r="C18" s="206"/>
      <c r="D18" s="205">
        <v>0.276702</v>
      </c>
      <c r="E18" s="205">
        <v>0.023664</v>
      </c>
      <c r="F18" s="205">
        <v>-1.48862</v>
      </c>
      <c r="G18" s="206"/>
      <c r="H18" s="207" t="s">
        <v>1427</v>
      </c>
      <c r="I18" s="207" t="s">
        <v>1392</v>
      </c>
      <c r="J18" s="207" t="s">
        <v>1387</v>
      </c>
      <c r="K18" s="206"/>
      <c r="L18" s="206"/>
      <c r="M18" s="207" t="s">
        <v>1384</v>
      </c>
      <c r="N18" s="208"/>
      <c r="O18" s="206"/>
      <c r="P18" s="206"/>
      <c r="Q18" s="207">
        <v>5.0</v>
      </c>
      <c r="R18" s="207" t="s">
        <v>1428</v>
      </c>
      <c r="S18" s="207" t="s">
        <v>1375</v>
      </c>
      <c r="T18" s="205">
        <v>68.0</v>
      </c>
      <c r="U18" s="205">
        <v>15.0</v>
      </c>
      <c r="V18" s="206"/>
      <c r="W18" s="205">
        <v>33.0</v>
      </c>
      <c r="X18" s="205">
        <v>16.69765</v>
      </c>
      <c r="Y18" s="205">
        <v>0.740294</v>
      </c>
      <c r="Z18" s="205">
        <v>5.376912</v>
      </c>
      <c r="AA18" s="205">
        <v>5.847353</v>
      </c>
      <c r="AB18" s="205">
        <v>1.565441</v>
      </c>
      <c r="AC18" s="205">
        <v>0.271471</v>
      </c>
      <c r="AD18" s="205">
        <v>0.498564</v>
      </c>
      <c r="AE18" s="205">
        <v>10.55029</v>
      </c>
      <c r="AF18" s="205">
        <v>0.859001</v>
      </c>
      <c r="AG18" s="205">
        <v>6.329853</v>
      </c>
      <c r="AH18" s="205">
        <v>1.425588</v>
      </c>
      <c r="AI18" s="205">
        <v>19.30958</v>
      </c>
      <c r="AJ18" s="205">
        <v>-0.05895</v>
      </c>
      <c r="AK18" s="205">
        <v>-0.97425</v>
      </c>
      <c r="AL18" s="205">
        <v>-0.28812</v>
      </c>
      <c r="AM18" s="205">
        <v>0.996273</v>
      </c>
      <c r="AN18" s="205">
        <v>1.61685</v>
      </c>
      <c r="AO18" s="205">
        <v>-0.8541</v>
      </c>
      <c r="AP18" s="205">
        <v>0.159012</v>
      </c>
      <c r="AQ18" s="205">
        <v>1.281573</v>
      </c>
      <c r="AR18" s="205">
        <v>0.612032</v>
      </c>
    </row>
    <row r="19">
      <c r="A19" s="205">
        <v>18.0</v>
      </c>
      <c r="B19" s="206"/>
      <c r="C19" s="206"/>
      <c r="D19" s="205">
        <v>0.272598</v>
      </c>
      <c r="E19" s="205">
        <v>-4.0E-4</v>
      </c>
      <c r="F19" s="205">
        <v>-0.72663</v>
      </c>
      <c r="G19" s="206"/>
      <c r="H19" s="207" t="s">
        <v>1429</v>
      </c>
      <c r="I19" s="207" t="s">
        <v>1430</v>
      </c>
      <c r="J19" s="207" t="s">
        <v>34</v>
      </c>
      <c r="K19" s="207" t="s">
        <v>1431</v>
      </c>
      <c r="L19" s="206"/>
      <c r="M19" s="207" t="s">
        <v>1384</v>
      </c>
      <c r="N19" s="206"/>
      <c r="O19" s="206"/>
      <c r="P19" s="208"/>
      <c r="Q19" s="207">
        <v>4.0</v>
      </c>
      <c r="R19" s="207" t="s">
        <v>1432</v>
      </c>
      <c r="S19" s="207" t="s">
        <v>1375</v>
      </c>
      <c r="T19" s="205">
        <v>68.0</v>
      </c>
      <c r="U19" s="205">
        <v>14.0</v>
      </c>
      <c r="V19" s="206"/>
      <c r="W19" s="205">
        <v>34.0</v>
      </c>
      <c r="X19" s="205">
        <v>23.65838</v>
      </c>
      <c r="Y19" s="205">
        <v>2.223676</v>
      </c>
      <c r="Z19" s="205">
        <v>10.51882</v>
      </c>
      <c r="AA19" s="205">
        <v>3.506176</v>
      </c>
      <c r="AB19" s="205">
        <v>0.905294</v>
      </c>
      <c r="AC19" s="205">
        <v>0.563676</v>
      </c>
      <c r="AD19" s="205">
        <v>0.513486</v>
      </c>
      <c r="AE19" s="205">
        <v>16.26971</v>
      </c>
      <c r="AF19" s="205">
        <v>0.83001</v>
      </c>
      <c r="AG19" s="205">
        <v>5.694118</v>
      </c>
      <c r="AH19" s="205">
        <v>3.015441</v>
      </c>
      <c r="AI19" s="205">
        <v>27.74112</v>
      </c>
      <c r="AJ19" s="205">
        <v>1.162811</v>
      </c>
      <c r="AK19" s="205">
        <v>0.451844</v>
      </c>
      <c r="AL19" s="205">
        <v>1.805894</v>
      </c>
      <c r="AM19" s="205">
        <v>-0.13985</v>
      </c>
      <c r="AN19" s="205">
        <v>-0.32322</v>
      </c>
      <c r="AO19" s="205">
        <v>-0.32783</v>
      </c>
      <c r="AP19" s="205">
        <v>0.601468</v>
      </c>
      <c r="AQ19" s="205">
        <v>0.633012</v>
      </c>
      <c r="AR19" s="205">
        <v>-1.41075</v>
      </c>
    </row>
    <row r="20">
      <c r="A20" s="205">
        <v>19.0</v>
      </c>
      <c r="B20" s="206"/>
      <c r="C20" s="206"/>
      <c r="D20" s="205">
        <v>0.267692</v>
      </c>
      <c r="E20" s="205">
        <v>-0.00469</v>
      </c>
      <c r="F20" s="205">
        <v>-0.41998</v>
      </c>
      <c r="G20" s="206"/>
      <c r="H20" s="207" t="s">
        <v>1433</v>
      </c>
      <c r="I20" s="207" t="s">
        <v>85</v>
      </c>
      <c r="J20" s="207" t="s">
        <v>34</v>
      </c>
      <c r="K20" s="207" t="s">
        <v>1434</v>
      </c>
      <c r="L20" s="206"/>
      <c r="M20" s="207" t="s">
        <v>1373</v>
      </c>
      <c r="N20" s="207" t="s">
        <v>1435</v>
      </c>
      <c r="O20" s="206"/>
      <c r="P20" s="206"/>
      <c r="Q20" s="207">
        <v>4.0</v>
      </c>
      <c r="R20" s="207" t="s">
        <v>1401</v>
      </c>
      <c r="S20" s="207" t="s">
        <v>1375</v>
      </c>
      <c r="T20" s="205">
        <v>73.0</v>
      </c>
      <c r="U20" s="205">
        <v>14.0</v>
      </c>
      <c r="V20" s="206"/>
      <c r="W20" s="205">
        <v>32.0</v>
      </c>
      <c r="X20" s="205">
        <v>17.20205</v>
      </c>
      <c r="Y20" s="205">
        <v>2.200137</v>
      </c>
      <c r="Z20" s="205">
        <v>6.867945</v>
      </c>
      <c r="AA20" s="205">
        <v>1.749589</v>
      </c>
      <c r="AB20" s="205">
        <v>0.752603</v>
      </c>
      <c r="AC20" s="205">
        <v>2.356712</v>
      </c>
      <c r="AD20" s="205">
        <v>0.506691</v>
      </c>
      <c r="AE20" s="205">
        <v>11.31219</v>
      </c>
      <c r="AF20" s="205">
        <v>0.781993</v>
      </c>
      <c r="AG20" s="205">
        <v>4.524795</v>
      </c>
      <c r="AH20" s="205">
        <v>1.616027</v>
      </c>
      <c r="AI20" s="205">
        <v>20.43097</v>
      </c>
      <c r="AJ20" s="205">
        <v>0.029583</v>
      </c>
      <c r="AK20" s="205">
        <v>0.429214</v>
      </c>
      <c r="AL20" s="205">
        <v>0.319098</v>
      </c>
      <c r="AM20" s="205">
        <v>-0.99229</v>
      </c>
      <c r="AN20" s="205">
        <v>-0.77196</v>
      </c>
      <c r="AO20" s="205">
        <v>2.901513</v>
      </c>
      <c r="AP20" s="205">
        <v>0.306241</v>
      </c>
      <c r="AQ20" s="205">
        <v>-0.18191</v>
      </c>
      <c r="AR20" s="205">
        <v>0.369735</v>
      </c>
    </row>
    <row r="21">
      <c r="A21" s="205">
        <v>20.0</v>
      </c>
      <c r="B21" s="206"/>
      <c r="C21" s="206"/>
      <c r="D21" s="205">
        <v>0.263749</v>
      </c>
      <c r="E21" s="205">
        <v>-5.5E-4</v>
      </c>
      <c r="F21" s="205">
        <v>0.40706</v>
      </c>
      <c r="G21" s="206"/>
      <c r="H21" s="207" t="s">
        <v>1436</v>
      </c>
      <c r="I21" s="207" t="s">
        <v>197</v>
      </c>
      <c r="J21" s="207" t="s">
        <v>1395</v>
      </c>
      <c r="K21" s="207" t="s">
        <v>1437</v>
      </c>
      <c r="L21" s="207" t="s">
        <v>1438</v>
      </c>
      <c r="M21" s="207" t="s">
        <v>1384</v>
      </c>
      <c r="N21" s="207" t="s">
        <v>1385</v>
      </c>
      <c r="O21" s="206"/>
      <c r="P21" s="206"/>
      <c r="Q21" s="207">
        <v>4.0</v>
      </c>
      <c r="R21" s="207" t="s">
        <v>1439</v>
      </c>
      <c r="S21" s="207" t="s">
        <v>1375</v>
      </c>
      <c r="T21" s="205">
        <v>62.0</v>
      </c>
      <c r="U21" s="205">
        <v>14.0</v>
      </c>
      <c r="V21" s="206"/>
      <c r="W21" s="205">
        <v>32.0</v>
      </c>
      <c r="X21" s="205">
        <v>23.20919</v>
      </c>
      <c r="Y21" s="205">
        <v>2.403871</v>
      </c>
      <c r="Z21" s="205">
        <v>6.170645</v>
      </c>
      <c r="AA21" s="205">
        <v>1.733387</v>
      </c>
      <c r="AB21" s="205">
        <v>1.191129</v>
      </c>
      <c r="AC21" s="205">
        <v>1.514516</v>
      </c>
      <c r="AD21" s="205">
        <v>0.473105</v>
      </c>
      <c r="AE21" s="205">
        <v>17.61048</v>
      </c>
      <c r="AF21" s="205">
        <v>0.784009</v>
      </c>
      <c r="AG21" s="205">
        <v>5.283226</v>
      </c>
      <c r="AH21" s="205">
        <v>1.664032</v>
      </c>
      <c r="AI21" s="205">
        <v>27.677</v>
      </c>
      <c r="AJ21" s="205">
        <v>1.083969</v>
      </c>
      <c r="AK21" s="205">
        <v>0.62508</v>
      </c>
      <c r="AL21" s="205">
        <v>0.035128</v>
      </c>
      <c r="AM21" s="205">
        <v>-1.00015</v>
      </c>
      <c r="AN21" s="205">
        <v>0.516802</v>
      </c>
      <c r="AO21" s="205">
        <v>1.384679</v>
      </c>
      <c r="AP21" s="205">
        <v>-0.40317</v>
      </c>
      <c r="AQ21" s="205">
        <v>-0.17726</v>
      </c>
      <c r="AR21" s="205">
        <v>0.308658</v>
      </c>
    </row>
    <row r="22">
      <c r="A22" s="205">
        <v>21.0</v>
      </c>
      <c r="B22" s="206"/>
      <c r="C22" s="206"/>
      <c r="D22" s="205">
        <v>0.254942</v>
      </c>
      <c r="E22" s="205">
        <v>-0.01449</v>
      </c>
      <c r="F22" s="205">
        <v>0.815933</v>
      </c>
      <c r="G22" s="206"/>
      <c r="H22" s="207" t="s">
        <v>1440</v>
      </c>
      <c r="I22" s="207" t="s">
        <v>183</v>
      </c>
      <c r="J22" s="207" t="s">
        <v>1412</v>
      </c>
      <c r="K22" s="207" t="s">
        <v>1441</v>
      </c>
      <c r="L22" s="206"/>
      <c r="M22" s="207" t="s">
        <v>1442</v>
      </c>
      <c r="N22" s="208"/>
      <c r="O22" s="206"/>
      <c r="P22" s="208"/>
      <c r="Q22" s="207">
        <v>5.0</v>
      </c>
      <c r="R22" s="207" t="s">
        <v>1443</v>
      </c>
      <c r="S22" s="207" t="s">
        <v>1375</v>
      </c>
      <c r="T22" s="205">
        <v>77.0</v>
      </c>
      <c r="U22" s="205">
        <v>13.0</v>
      </c>
      <c r="V22" s="206"/>
      <c r="W22" s="205">
        <v>36.0</v>
      </c>
      <c r="X22" s="205">
        <v>28.19805</v>
      </c>
      <c r="Y22" s="205">
        <v>3.818701</v>
      </c>
      <c r="Z22" s="205">
        <v>5.42026</v>
      </c>
      <c r="AA22" s="205">
        <v>4.974805</v>
      </c>
      <c r="AB22" s="205">
        <v>1.113506</v>
      </c>
      <c r="AC22" s="205">
        <v>0.668312</v>
      </c>
      <c r="AD22" s="205">
        <v>0.44995</v>
      </c>
      <c r="AE22" s="205">
        <v>20.64156</v>
      </c>
      <c r="AF22" s="205">
        <v>0.826999</v>
      </c>
      <c r="AG22" s="205">
        <v>7.018182</v>
      </c>
      <c r="AH22" s="205">
        <v>3.192727</v>
      </c>
      <c r="AI22" s="205">
        <v>32.45997</v>
      </c>
      <c r="AJ22" s="205">
        <v>1.959624</v>
      </c>
      <c r="AK22" s="205">
        <v>1.985274</v>
      </c>
      <c r="AL22" s="205">
        <v>-0.27046</v>
      </c>
      <c r="AM22" s="205">
        <v>0.572844</v>
      </c>
      <c r="AN22" s="205">
        <v>0.288681</v>
      </c>
      <c r="AO22" s="205">
        <v>-0.13937</v>
      </c>
      <c r="AP22" s="205">
        <v>-1.18187</v>
      </c>
      <c r="AQ22" s="205">
        <v>0.716072</v>
      </c>
      <c r="AR22" s="205">
        <v>-1.63631</v>
      </c>
    </row>
    <row r="23">
      <c r="A23" s="205">
        <v>22.0</v>
      </c>
      <c r="B23" s="206"/>
      <c r="C23" s="206"/>
      <c r="D23" s="205">
        <v>0.242909</v>
      </c>
      <c r="E23" s="205">
        <v>-0.00512</v>
      </c>
      <c r="F23" s="205">
        <v>-0.61512</v>
      </c>
      <c r="G23" s="206"/>
      <c r="H23" s="207" t="s">
        <v>1444</v>
      </c>
      <c r="I23" s="207" t="s">
        <v>138</v>
      </c>
      <c r="J23" s="207" t="s">
        <v>34</v>
      </c>
      <c r="K23" s="207" t="s">
        <v>1445</v>
      </c>
      <c r="L23" s="206"/>
      <c r="M23" s="207" t="s">
        <v>1384</v>
      </c>
      <c r="N23" s="207" t="s">
        <v>1385</v>
      </c>
      <c r="O23" s="206"/>
      <c r="P23" s="208"/>
      <c r="Q23" s="207">
        <v>5.0</v>
      </c>
      <c r="R23" s="207" t="s">
        <v>1446</v>
      </c>
      <c r="S23" s="207" t="s">
        <v>1375</v>
      </c>
      <c r="T23" s="205">
        <v>68.0</v>
      </c>
      <c r="U23" s="205">
        <v>15.0</v>
      </c>
      <c r="V23" s="206"/>
      <c r="W23" s="205">
        <v>31.0</v>
      </c>
      <c r="X23" s="205">
        <v>13.36265</v>
      </c>
      <c r="Y23" s="205">
        <v>0.025735</v>
      </c>
      <c r="Z23" s="205">
        <v>10.17765</v>
      </c>
      <c r="AA23" s="205">
        <v>2.993382</v>
      </c>
      <c r="AB23" s="205">
        <v>1.064265</v>
      </c>
      <c r="AC23" s="205">
        <v>1.445735</v>
      </c>
      <c r="AD23" s="205">
        <v>0.65981</v>
      </c>
      <c r="AE23" s="205">
        <v>9.18</v>
      </c>
      <c r="AF23" s="205">
        <v>0.665999</v>
      </c>
      <c r="AG23" s="205">
        <v>1.836029</v>
      </c>
      <c r="AH23" s="205">
        <v>1.729559</v>
      </c>
      <c r="AI23" s="205">
        <v>15.85038</v>
      </c>
      <c r="AJ23" s="205">
        <v>-0.64432</v>
      </c>
      <c r="AK23" s="205">
        <v>-1.66122</v>
      </c>
      <c r="AL23" s="205">
        <v>1.666952</v>
      </c>
      <c r="AM23" s="205">
        <v>-0.3887</v>
      </c>
      <c r="AN23" s="205">
        <v>0.143966</v>
      </c>
      <c r="AO23" s="205">
        <v>1.260802</v>
      </c>
      <c r="AP23" s="205">
        <v>2.332473</v>
      </c>
      <c r="AQ23" s="205">
        <v>-0.74906</v>
      </c>
      <c r="AR23" s="205">
        <v>0.225288</v>
      </c>
    </row>
    <row r="24">
      <c r="A24" s="205">
        <v>23.0</v>
      </c>
      <c r="B24" s="206"/>
      <c r="C24" s="206"/>
      <c r="D24" s="205">
        <v>0.239853</v>
      </c>
      <c r="E24" s="205">
        <v>-0.00101</v>
      </c>
      <c r="F24" s="205">
        <v>-0.55007</v>
      </c>
      <c r="G24" s="206"/>
      <c r="H24" s="207" t="s">
        <v>1447</v>
      </c>
      <c r="I24" s="207" t="s">
        <v>250</v>
      </c>
      <c r="J24" s="207" t="s">
        <v>1379</v>
      </c>
      <c r="K24" s="207" t="s">
        <v>1448</v>
      </c>
      <c r="L24" s="206"/>
      <c r="M24" s="207" t="s">
        <v>1373</v>
      </c>
      <c r="N24" s="208"/>
      <c r="O24" s="206"/>
      <c r="P24" s="206"/>
      <c r="Q24" s="207">
        <v>5.0</v>
      </c>
      <c r="R24" s="207" t="s">
        <v>1393</v>
      </c>
      <c r="S24" s="207" t="s">
        <v>1375</v>
      </c>
      <c r="T24" s="205">
        <v>73.0</v>
      </c>
      <c r="U24" s="205">
        <v>14.0</v>
      </c>
      <c r="V24" s="206"/>
      <c r="W24" s="205">
        <v>34.0</v>
      </c>
      <c r="X24" s="205">
        <v>26.39342</v>
      </c>
      <c r="Y24" s="205">
        <v>1.808219</v>
      </c>
      <c r="Z24" s="205">
        <v>5.580274</v>
      </c>
      <c r="AA24" s="205">
        <v>8.584932</v>
      </c>
      <c r="AB24" s="205">
        <v>1.0</v>
      </c>
      <c r="AC24" s="205">
        <v>0.644521</v>
      </c>
      <c r="AD24" s="205">
        <v>0.479295</v>
      </c>
      <c r="AE24" s="205">
        <v>20.31808</v>
      </c>
      <c r="AF24" s="205">
        <v>0.866994</v>
      </c>
      <c r="AG24" s="205">
        <v>5.892192</v>
      </c>
      <c r="AH24" s="205">
        <v>3.863288</v>
      </c>
      <c r="AI24" s="205">
        <v>33.83506</v>
      </c>
      <c r="AJ24" s="205">
        <v>1.642872</v>
      </c>
      <c r="AK24" s="205">
        <v>0.052431</v>
      </c>
      <c r="AL24" s="205">
        <v>-0.2053</v>
      </c>
      <c r="AM24" s="205">
        <v>2.324763</v>
      </c>
      <c r="AN24" s="205">
        <v>-0.0449</v>
      </c>
      <c r="AO24" s="205">
        <v>-0.18222</v>
      </c>
      <c r="AP24" s="205">
        <v>-0.27979</v>
      </c>
      <c r="AQ24" s="205">
        <v>1.34029</v>
      </c>
      <c r="AR24" s="205">
        <v>-2.48947</v>
      </c>
    </row>
    <row r="25">
      <c r="A25" s="205">
        <v>24.0</v>
      </c>
      <c r="B25" s="206"/>
      <c r="C25" s="206"/>
      <c r="D25" s="205">
        <v>0.225701</v>
      </c>
      <c r="E25" s="205">
        <v>-0.00183</v>
      </c>
      <c r="F25" s="205">
        <v>-0.15049</v>
      </c>
      <c r="G25" s="206"/>
      <c r="H25" s="207" t="s">
        <v>1449</v>
      </c>
      <c r="I25" s="207" t="s">
        <v>94</v>
      </c>
      <c r="J25" s="207" t="s">
        <v>1387</v>
      </c>
      <c r="K25" s="207" t="s">
        <v>1450</v>
      </c>
      <c r="L25" s="206"/>
      <c r="M25" s="207" t="s">
        <v>1384</v>
      </c>
      <c r="N25" s="208"/>
      <c r="O25" s="206"/>
      <c r="P25" s="208"/>
      <c r="Q25" s="207">
        <v>4.0</v>
      </c>
      <c r="R25" s="207" t="s">
        <v>1451</v>
      </c>
      <c r="S25" s="207" t="s">
        <v>1375</v>
      </c>
      <c r="T25" s="205">
        <v>68.0</v>
      </c>
      <c r="U25" s="205">
        <v>13.0</v>
      </c>
      <c r="V25" s="206"/>
      <c r="W25" s="205">
        <v>35.0</v>
      </c>
      <c r="X25" s="205">
        <v>19.61265</v>
      </c>
      <c r="Y25" s="205">
        <v>1.142059</v>
      </c>
      <c r="Z25" s="205">
        <v>9.251618</v>
      </c>
      <c r="AA25" s="205">
        <v>5.156618</v>
      </c>
      <c r="AB25" s="205">
        <v>1.372206</v>
      </c>
      <c r="AC25" s="205">
        <v>0.834118</v>
      </c>
      <c r="AD25" s="205">
        <v>0.51443</v>
      </c>
      <c r="AE25" s="205">
        <v>15.54632</v>
      </c>
      <c r="AF25" s="205">
        <v>0.752021</v>
      </c>
      <c r="AG25" s="205">
        <v>3.291912</v>
      </c>
      <c r="AH25" s="205">
        <v>2.805882</v>
      </c>
      <c r="AI25" s="205">
        <v>23.48106</v>
      </c>
      <c r="AJ25" s="205">
        <v>0.452695</v>
      </c>
      <c r="AK25" s="205">
        <v>-0.588</v>
      </c>
      <c r="AL25" s="205">
        <v>1.289833</v>
      </c>
      <c r="AM25" s="205">
        <v>0.661073</v>
      </c>
      <c r="AN25" s="205">
        <v>1.04896</v>
      </c>
      <c r="AO25" s="205">
        <v>0.15925</v>
      </c>
      <c r="AP25" s="205">
        <v>0.596764</v>
      </c>
      <c r="AQ25" s="205">
        <v>-0.44514</v>
      </c>
      <c r="AR25" s="205">
        <v>-1.14412</v>
      </c>
    </row>
    <row r="26">
      <c r="A26" s="205">
        <v>25.0</v>
      </c>
      <c r="B26" s="206"/>
      <c r="C26" s="206"/>
      <c r="D26" s="205">
        <v>0.214475</v>
      </c>
      <c r="E26" s="205">
        <v>-0.00239</v>
      </c>
      <c r="F26" s="205">
        <v>0.518571</v>
      </c>
      <c r="G26" s="206"/>
      <c r="H26" s="207" t="s">
        <v>1452</v>
      </c>
      <c r="I26" s="207" t="s">
        <v>75</v>
      </c>
      <c r="J26" s="207" t="s">
        <v>1412</v>
      </c>
      <c r="K26" s="207" t="s">
        <v>1453</v>
      </c>
      <c r="L26" s="206"/>
      <c r="M26" s="207" t="s">
        <v>1384</v>
      </c>
      <c r="N26" s="207" t="s">
        <v>1454</v>
      </c>
      <c r="O26" s="206"/>
      <c r="P26" s="208"/>
      <c r="Q26" s="207">
        <v>4.0</v>
      </c>
      <c r="R26" s="207" t="s">
        <v>1415</v>
      </c>
      <c r="S26" s="207" t="s">
        <v>1375</v>
      </c>
      <c r="T26" s="205">
        <v>68.0</v>
      </c>
      <c r="U26" s="205">
        <v>14.0</v>
      </c>
      <c r="V26" s="206"/>
      <c r="W26" s="205">
        <v>35.0</v>
      </c>
      <c r="X26" s="205">
        <v>20.53868</v>
      </c>
      <c r="Y26" s="205">
        <v>2.782353</v>
      </c>
      <c r="Z26" s="205">
        <v>4.501912</v>
      </c>
      <c r="AA26" s="205">
        <v>4.859118</v>
      </c>
      <c r="AB26" s="205">
        <v>1.066176</v>
      </c>
      <c r="AC26" s="205">
        <v>0.358676</v>
      </c>
      <c r="AD26" s="205">
        <v>0.475197</v>
      </c>
      <c r="AE26" s="205">
        <v>13.71971</v>
      </c>
      <c r="AF26" s="205">
        <v>0.889003</v>
      </c>
      <c r="AG26" s="205">
        <v>5.306176</v>
      </c>
      <c r="AH26" s="205">
        <v>2.143676</v>
      </c>
      <c r="AI26" s="205">
        <v>23.14069</v>
      </c>
      <c r="AJ26" s="205">
        <v>0.615234</v>
      </c>
      <c r="AK26" s="205">
        <v>0.988947</v>
      </c>
      <c r="AL26" s="205">
        <v>-0.64445</v>
      </c>
      <c r="AM26" s="205">
        <v>0.516703</v>
      </c>
      <c r="AN26" s="205">
        <v>0.149585</v>
      </c>
      <c r="AO26" s="205">
        <v>-0.69704</v>
      </c>
      <c r="AP26" s="205">
        <v>-0.27017</v>
      </c>
      <c r="AQ26" s="205">
        <v>1.573066</v>
      </c>
      <c r="AR26" s="205">
        <v>-0.3016</v>
      </c>
    </row>
    <row r="27">
      <c r="A27" s="205">
        <v>26.0</v>
      </c>
      <c r="B27" s="206"/>
      <c r="C27" s="206"/>
      <c r="D27" s="205">
        <v>0.213689</v>
      </c>
      <c r="E27" s="205">
        <v>-6.4E-4</v>
      </c>
      <c r="F27" s="205">
        <v>0.109699</v>
      </c>
      <c r="G27" s="206"/>
      <c r="H27" s="207" t="s">
        <v>1455</v>
      </c>
      <c r="I27" s="207" t="s">
        <v>94</v>
      </c>
      <c r="J27" s="207" t="s">
        <v>1379</v>
      </c>
      <c r="K27" s="207" t="s">
        <v>1456</v>
      </c>
      <c r="L27" s="206"/>
      <c r="M27" s="207" t="s">
        <v>1442</v>
      </c>
      <c r="N27" s="207" t="s">
        <v>1454</v>
      </c>
      <c r="O27" s="206"/>
      <c r="P27" s="208"/>
      <c r="Q27" s="207">
        <v>5.0</v>
      </c>
      <c r="R27" s="207" t="s">
        <v>1393</v>
      </c>
      <c r="S27" s="207" t="s">
        <v>1375</v>
      </c>
      <c r="T27" s="205">
        <v>77.0</v>
      </c>
      <c r="U27" s="205">
        <v>13.0</v>
      </c>
      <c r="V27" s="206"/>
      <c r="W27" s="205">
        <v>36.0</v>
      </c>
      <c r="X27" s="205">
        <v>25.69468</v>
      </c>
      <c r="Y27" s="205">
        <v>3.18987</v>
      </c>
      <c r="Z27" s="205">
        <v>2.885974</v>
      </c>
      <c r="AA27" s="205">
        <v>11.73519</v>
      </c>
      <c r="AB27" s="205">
        <v>1.171558</v>
      </c>
      <c r="AC27" s="205">
        <v>0.077922</v>
      </c>
      <c r="AD27" s="205">
        <v>0.419483</v>
      </c>
      <c r="AE27" s="205">
        <v>18.72065</v>
      </c>
      <c r="AF27" s="205">
        <v>0.883994</v>
      </c>
      <c r="AG27" s="205">
        <v>7.691039</v>
      </c>
      <c r="AH27" s="205">
        <v>4.29</v>
      </c>
      <c r="AI27" s="205">
        <v>30.43132</v>
      </c>
      <c r="AJ27" s="205">
        <v>1.520226</v>
      </c>
      <c r="AK27" s="205">
        <v>1.380727</v>
      </c>
      <c r="AL27" s="205">
        <v>-1.30253</v>
      </c>
      <c r="AM27" s="205">
        <v>3.853521</v>
      </c>
      <c r="AN27" s="205">
        <v>0.459287</v>
      </c>
      <c r="AO27" s="205">
        <v>-1.20269</v>
      </c>
      <c r="AP27" s="205">
        <v>-1.9164</v>
      </c>
      <c r="AQ27" s="205">
        <v>2.163444</v>
      </c>
      <c r="AR27" s="205">
        <v>-3.03238</v>
      </c>
    </row>
    <row r="28">
      <c r="A28" s="205">
        <v>27.0</v>
      </c>
      <c r="B28" s="206"/>
      <c r="C28" s="206"/>
      <c r="D28" s="205">
        <v>0.213633</v>
      </c>
      <c r="E28" s="205">
        <v>-0.00178</v>
      </c>
      <c r="F28" s="205">
        <v>-2.65948</v>
      </c>
      <c r="G28" s="206"/>
      <c r="H28" s="207" t="s">
        <v>1457</v>
      </c>
      <c r="I28" s="207" t="s">
        <v>42</v>
      </c>
      <c r="J28" s="207" t="s">
        <v>1379</v>
      </c>
      <c r="K28" s="207" t="s">
        <v>1458</v>
      </c>
      <c r="L28" s="206"/>
      <c r="M28" s="207" t="s">
        <v>1384</v>
      </c>
      <c r="N28" s="208"/>
      <c r="O28" s="206"/>
      <c r="P28" s="208"/>
      <c r="Q28" s="207">
        <v>5.0</v>
      </c>
      <c r="R28" s="207" t="s">
        <v>1459</v>
      </c>
      <c r="S28" s="207" t="s">
        <v>1375</v>
      </c>
      <c r="T28" s="205">
        <v>68.0</v>
      </c>
      <c r="U28" s="205">
        <v>16.0</v>
      </c>
      <c r="V28" s="206"/>
      <c r="W28" s="205">
        <v>35.0</v>
      </c>
      <c r="X28" s="205">
        <v>22.03706</v>
      </c>
      <c r="Y28" s="205">
        <v>2.417353</v>
      </c>
      <c r="Z28" s="205">
        <v>4.124118</v>
      </c>
      <c r="AA28" s="205">
        <v>6.407206</v>
      </c>
      <c r="AB28" s="205">
        <v>1.169118</v>
      </c>
      <c r="AC28" s="205">
        <v>0.444265</v>
      </c>
      <c r="AD28" s="205">
        <v>0.472484</v>
      </c>
      <c r="AE28" s="205">
        <v>17.08618</v>
      </c>
      <c r="AF28" s="205">
        <v>0.883991</v>
      </c>
      <c r="AG28" s="205">
        <v>3.929706</v>
      </c>
      <c r="AH28" s="205">
        <v>2.430294</v>
      </c>
      <c r="AI28" s="205">
        <v>26.17723</v>
      </c>
      <c r="AJ28" s="205">
        <v>0.878233</v>
      </c>
      <c r="AK28" s="205">
        <v>0.638042</v>
      </c>
      <c r="AL28" s="205">
        <v>-0.79831</v>
      </c>
      <c r="AM28" s="205">
        <v>1.267958</v>
      </c>
      <c r="AN28" s="205">
        <v>0.452114</v>
      </c>
      <c r="AO28" s="205">
        <v>-0.54289</v>
      </c>
      <c r="AP28" s="205">
        <v>-0.40671</v>
      </c>
      <c r="AQ28" s="205">
        <v>1.100526</v>
      </c>
      <c r="AR28" s="205">
        <v>-0.66626</v>
      </c>
    </row>
    <row r="29">
      <c r="A29" s="205">
        <v>28.0</v>
      </c>
      <c r="B29" s="206"/>
      <c r="C29" s="206"/>
      <c r="D29" s="205">
        <v>0.212898</v>
      </c>
      <c r="E29" s="205">
        <v>-0.00123</v>
      </c>
      <c r="F29" s="205">
        <v>0.379183</v>
      </c>
      <c r="G29" s="206"/>
      <c r="H29" s="207" t="s">
        <v>1460</v>
      </c>
      <c r="I29" s="207" t="s">
        <v>121</v>
      </c>
      <c r="J29" s="207" t="s">
        <v>1395</v>
      </c>
      <c r="K29" s="207" t="s">
        <v>1461</v>
      </c>
      <c r="L29" s="206"/>
      <c r="M29" s="207" t="s">
        <v>1373</v>
      </c>
      <c r="N29" s="208"/>
      <c r="O29" s="206"/>
      <c r="P29" s="208"/>
      <c r="Q29" s="207">
        <v>5.0</v>
      </c>
      <c r="R29" s="207" t="s">
        <v>1462</v>
      </c>
      <c r="S29" s="207" t="s">
        <v>1375</v>
      </c>
      <c r="T29" s="205">
        <v>73.0</v>
      </c>
      <c r="U29" s="205">
        <v>14.0</v>
      </c>
      <c r="V29" s="206"/>
      <c r="W29" s="205">
        <v>31.0</v>
      </c>
      <c r="X29" s="205">
        <v>19.13356</v>
      </c>
      <c r="Y29" s="205">
        <v>1.494247</v>
      </c>
      <c r="Z29" s="205">
        <v>9.58863</v>
      </c>
      <c r="AA29" s="205">
        <v>3.587671</v>
      </c>
      <c r="AB29" s="205">
        <v>0.847534</v>
      </c>
      <c r="AC29" s="205">
        <v>1.696575</v>
      </c>
      <c r="AD29" s="205">
        <v>0.540956</v>
      </c>
      <c r="AE29" s="205">
        <v>13.17658</v>
      </c>
      <c r="AF29" s="205">
        <v>0.694007</v>
      </c>
      <c r="AG29" s="205">
        <v>4.875205</v>
      </c>
      <c r="AH29" s="205">
        <v>2.087945</v>
      </c>
      <c r="AI29" s="205">
        <v>24.08482</v>
      </c>
      <c r="AJ29" s="205">
        <v>0.368605</v>
      </c>
      <c r="AK29" s="205">
        <v>-0.24942</v>
      </c>
      <c r="AL29" s="205">
        <v>1.427079</v>
      </c>
      <c r="AM29" s="205">
        <v>-0.1003</v>
      </c>
      <c r="AN29" s="205">
        <v>-0.49297</v>
      </c>
      <c r="AO29" s="205">
        <v>1.712576</v>
      </c>
      <c r="AP29" s="205">
        <v>1.024652</v>
      </c>
      <c r="AQ29" s="205">
        <v>-1.54344</v>
      </c>
      <c r="AR29" s="205">
        <v>-0.23069</v>
      </c>
    </row>
    <row r="30">
      <c r="A30" s="205">
        <v>29.0</v>
      </c>
      <c r="B30" s="206"/>
      <c r="C30" s="206"/>
      <c r="D30" s="205">
        <v>0.210594</v>
      </c>
      <c r="E30" s="205">
        <v>0.005568</v>
      </c>
      <c r="F30" s="205">
        <v>-0.16908</v>
      </c>
      <c r="G30" s="206"/>
      <c r="H30" s="207" t="s">
        <v>1463</v>
      </c>
      <c r="I30" s="207" t="s">
        <v>193</v>
      </c>
      <c r="J30" s="207" t="s">
        <v>1379</v>
      </c>
      <c r="K30" s="207" t="s">
        <v>1464</v>
      </c>
      <c r="L30" s="207" t="s">
        <v>1465</v>
      </c>
      <c r="M30" s="207" t="s">
        <v>1384</v>
      </c>
      <c r="N30" s="206"/>
      <c r="O30" s="206"/>
      <c r="P30" s="206"/>
      <c r="Q30" s="207">
        <v>4.0</v>
      </c>
      <c r="R30" s="207" t="s">
        <v>1466</v>
      </c>
      <c r="S30" s="207" t="s">
        <v>1375</v>
      </c>
      <c r="T30" s="205">
        <v>47.0</v>
      </c>
      <c r="U30" s="205">
        <v>15.0</v>
      </c>
      <c r="V30" s="206"/>
      <c r="W30" s="205">
        <v>34.0</v>
      </c>
      <c r="X30" s="205">
        <v>23.14511</v>
      </c>
      <c r="Y30" s="205">
        <v>2.425745</v>
      </c>
      <c r="Z30" s="205">
        <v>4.789787</v>
      </c>
      <c r="AA30" s="205">
        <v>5.553404</v>
      </c>
      <c r="AB30" s="205">
        <v>1.04</v>
      </c>
      <c r="AC30" s="205">
        <v>0.277872</v>
      </c>
      <c r="AD30" s="205">
        <v>0.483199</v>
      </c>
      <c r="AE30" s="205">
        <v>16.79851</v>
      </c>
      <c r="AF30" s="205">
        <v>0.889982</v>
      </c>
      <c r="AG30" s="205">
        <v>5.039787</v>
      </c>
      <c r="AH30" s="205">
        <v>2.500851</v>
      </c>
      <c r="AI30" s="205">
        <v>28.24172</v>
      </c>
      <c r="AJ30" s="205">
        <v>1.07272</v>
      </c>
      <c r="AK30" s="205">
        <v>0.646109</v>
      </c>
      <c r="AL30" s="205">
        <v>-0.52722</v>
      </c>
      <c r="AM30" s="205">
        <v>0.853626</v>
      </c>
      <c r="AN30" s="205">
        <v>0.072656</v>
      </c>
      <c r="AO30" s="205">
        <v>-0.84257</v>
      </c>
      <c r="AP30" s="205">
        <v>-0.13305</v>
      </c>
      <c r="AQ30" s="205">
        <v>1.509104</v>
      </c>
      <c r="AR30" s="205">
        <v>-0.75603</v>
      </c>
    </row>
    <row r="31">
      <c r="A31" s="205">
        <v>30.0</v>
      </c>
      <c r="B31" s="206"/>
      <c r="C31" s="206"/>
      <c r="D31" s="205">
        <v>0.209824</v>
      </c>
      <c r="E31" s="205">
        <v>-0.02843</v>
      </c>
      <c r="F31" s="205">
        <v>-0.57795</v>
      </c>
      <c r="G31" s="206"/>
      <c r="H31" s="207" t="s">
        <v>1467</v>
      </c>
      <c r="I31" s="207" t="s">
        <v>99</v>
      </c>
      <c r="J31" s="207" t="s">
        <v>1379</v>
      </c>
      <c r="K31" s="207" t="s">
        <v>1468</v>
      </c>
      <c r="L31" s="206"/>
      <c r="M31" s="207" t="s">
        <v>1373</v>
      </c>
      <c r="N31" s="208"/>
      <c r="O31" s="206"/>
      <c r="P31" s="208"/>
      <c r="Q31" s="207">
        <v>4.0</v>
      </c>
      <c r="R31" s="207" t="s">
        <v>1459</v>
      </c>
      <c r="S31" s="207" t="s">
        <v>1375</v>
      </c>
      <c r="T31" s="205">
        <v>57.0</v>
      </c>
      <c r="U31" s="205">
        <v>13.0</v>
      </c>
      <c r="V31" s="206"/>
      <c r="W31" s="205">
        <v>33.0</v>
      </c>
      <c r="X31" s="205">
        <v>17.76579</v>
      </c>
      <c r="Y31" s="205">
        <v>3.402982</v>
      </c>
      <c r="Z31" s="205">
        <v>4.744386</v>
      </c>
      <c r="AA31" s="205">
        <v>6.939649</v>
      </c>
      <c r="AB31" s="205">
        <v>1.056316</v>
      </c>
      <c r="AC31" s="205">
        <v>0.920526</v>
      </c>
      <c r="AD31" s="205">
        <v>0.429917</v>
      </c>
      <c r="AE31" s="205">
        <v>13.52526</v>
      </c>
      <c r="AF31" s="205">
        <v>0.842026</v>
      </c>
      <c r="AG31" s="205">
        <v>3.24614</v>
      </c>
      <c r="AH31" s="205">
        <v>2.336842</v>
      </c>
      <c r="AI31" s="205">
        <v>21.47464</v>
      </c>
      <c r="AJ31" s="205">
        <v>0.128531</v>
      </c>
      <c r="AK31" s="205">
        <v>1.585609</v>
      </c>
      <c r="AL31" s="205">
        <v>-0.54571</v>
      </c>
      <c r="AM31" s="205">
        <v>1.526342</v>
      </c>
      <c r="AN31" s="205">
        <v>0.120606</v>
      </c>
      <c r="AO31" s="205">
        <v>0.314876</v>
      </c>
      <c r="AP31" s="205">
        <v>-1.17368</v>
      </c>
      <c r="AQ31" s="205">
        <v>0.479208</v>
      </c>
      <c r="AR31" s="205">
        <v>-0.54736</v>
      </c>
    </row>
    <row r="32">
      <c r="A32" s="205">
        <v>31.0</v>
      </c>
      <c r="B32" s="206"/>
      <c r="C32" s="206"/>
      <c r="D32" s="205">
        <v>0.206123</v>
      </c>
      <c r="E32" s="205">
        <v>-0.00153</v>
      </c>
      <c r="F32" s="205">
        <v>1.373486</v>
      </c>
      <c r="G32" s="206"/>
      <c r="H32" s="207" t="s">
        <v>1469</v>
      </c>
      <c r="I32" s="207" t="s">
        <v>99</v>
      </c>
      <c r="J32" s="207" t="s">
        <v>1379</v>
      </c>
      <c r="K32" s="207" t="s">
        <v>1470</v>
      </c>
      <c r="L32" s="206"/>
      <c r="M32" s="207" t="s">
        <v>1373</v>
      </c>
      <c r="N32" s="208"/>
      <c r="O32" s="206"/>
      <c r="P32" s="206"/>
      <c r="Q32" s="207">
        <v>2.0</v>
      </c>
      <c r="R32" s="207" t="s">
        <v>1471</v>
      </c>
      <c r="S32" s="207" t="s">
        <v>1402</v>
      </c>
      <c r="T32" s="205">
        <v>66.0</v>
      </c>
      <c r="U32" s="205">
        <v>13.0</v>
      </c>
      <c r="V32" s="206"/>
      <c r="W32" s="205">
        <v>32.0</v>
      </c>
      <c r="X32" s="205">
        <v>19.52621</v>
      </c>
      <c r="Y32" s="205">
        <v>4.231364</v>
      </c>
      <c r="Z32" s="205">
        <v>4.73803</v>
      </c>
      <c r="AA32" s="205">
        <v>4.943939</v>
      </c>
      <c r="AB32" s="205">
        <v>0.892727</v>
      </c>
      <c r="AC32" s="205">
        <v>0.205303</v>
      </c>
      <c r="AD32" s="205">
        <v>0.47378</v>
      </c>
      <c r="AE32" s="205">
        <v>14.69485</v>
      </c>
      <c r="AF32" s="205">
        <v>0.847957</v>
      </c>
      <c r="AG32" s="205">
        <v>1.616364</v>
      </c>
      <c r="AH32" s="205">
        <v>1.579394</v>
      </c>
      <c r="AI32" s="205">
        <v>21.75512</v>
      </c>
      <c r="AJ32" s="205">
        <v>0.437524</v>
      </c>
      <c r="AK32" s="205">
        <v>2.382001</v>
      </c>
      <c r="AL32" s="205">
        <v>-0.5483</v>
      </c>
      <c r="AM32" s="205">
        <v>0.557865</v>
      </c>
      <c r="AN32" s="205">
        <v>-0.36016</v>
      </c>
      <c r="AO32" s="205">
        <v>-0.97327</v>
      </c>
      <c r="AP32" s="205">
        <v>-0.32068</v>
      </c>
      <c r="AQ32" s="205">
        <v>0.263778</v>
      </c>
      <c r="AR32" s="205">
        <v>0.416344</v>
      </c>
    </row>
    <row r="33">
      <c r="A33" s="205">
        <v>32.0</v>
      </c>
      <c r="B33" s="206"/>
      <c r="C33" s="206"/>
      <c r="D33" s="205">
        <v>0.202981</v>
      </c>
      <c r="E33" s="205">
        <v>0.004954</v>
      </c>
      <c r="F33" s="205">
        <v>0.36989</v>
      </c>
      <c r="G33" s="206"/>
      <c r="H33" s="207" t="s">
        <v>1472</v>
      </c>
      <c r="I33" s="207" t="s">
        <v>193</v>
      </c>
      <c r="J33" s="207" t="s">
        <v>1395</v>
      </c>
      <c r="K33" s="207" t="s">
        <v>1473</v>
      </c>
      <c r="L33" s="206"/>
      <c r="M33" s="207" t="s">
        <v>1373</v>
      </c>
      <c r="N33" s="208"/>
      <c r="O33" s="206"/>
      <c r="P33" s="206"/>
      <c r="Q33" s="207">
        <v>5.0</v>
      </c>
      <c r="R33" s="207" t="s">
        <v>1439</v>
      </c>
      <c r="S33" s="207" t="s">
        <v>1375</v>
      </c>
      <c r="T33" s="205">
        <v>73.0</v>
      </c>
      <c r="U33" s="205">
        <v>15.0</v>
      </c>
      <c r="V33" s="206"/>
      <c r="W33" s="205">
        <v>34.0</v>
      </c>
      <c r="X33" s="205">
        <v>19.5174</v>
      </c>
      <c r="Y33" s="205">
        <v>1.322055</v>
      </c>
      <c r="Z33" s="205">
        <v>8.468767</v>
      </c>
      <c r="AA33" s="205">
        <v>4.373288</v>
      </c>
      <c r="AB33" s="205">
        <v>1.318904</v>
      </c>
      <c r="AC33" s="205">
        <v>0.556164</v>
      </c>
      <c r="AD33" s="205">
        <v>0.47959</v>
      </c>
      <c r="AE33" s="205">
        <v>15.41014</v>
      </c>
      <c r="AF33" s="205">
        <v>0.794011</v>
      </c>
      <c r="AG33" s="205">
        <v>4.3</v>
      </c>
      <c r="AH33" s="205">
        <v>1.735479</v>
      </c>
      <c r="AI33" s="205">
        <v>24.9876</v>
      </c>
      <c r="AJ33" s="205">
        <v>0.435977</v>
      </c>
      <c r="AK33" s="205">
        <v>-0.41496</v>
      </c>
      <c r="AL33" s="205">
        <v>0.971022</v>
      </c>
      <c r="AM33" s="205">
        <v>0.28094</v>
      </c>
      <c r="AN33" s="205">
        <v>0.892314</v>
      </c>
      <c r="AO33" s="205">
        <v>-0.34136</v>
      </c>
      <c r="AP33" s="205">
        <v>-0.20393</v>
      </c>
      <c r="AQ33" s="205">
        <v>-0.01093</v>
      </c>
      <c r="AR33" s="205">
        <v>0.217756</v>
      </c>
    </row>
    <row r="34">
      <c r="A34" s="205">
        <v>33.0</v>
      </c>
      <c r="B34" s="206"/>
      <c r="C34" s="206"/>
      <c r="D34" s="205">
        <v>0.201999</v>
      </c>
      <c r="E34" s="205">
        <v>-0.00298</v>
      </c>
      <c r="F34" s="205">
        <v>-0.81956</v>
      </c>
      <c r="G34" s="206"/>
      <c r="H34" s="207" t="s">
        <v>1474</v>
      </c>
      <c r="I34" s="207" t="s">
        <v>1430</v>
      </c>
      <c r="J34" s="207" t="s">
        <v>1387</v>
      </c>
      <c r="K34" s="207" t="s">
        <v>1475</v>
      </c>
      <c r="L34" s="206"/>
      <c r="M34" s="207" t="s">
        <v>1384</v>
      </c>
      <c r="N34" s="208"/>
      <c r="O34" s="206"/>
      <c r="P34" s="206"/>
      <c r="Q34" s="207">
        <v>4.0</v>
      </c>
      <c r="R34" s="207" t="s">
        <v>1439</v>
      </c>
      <c r="S34" s="207" t="s">
        <v>1375</v>
      </c>
      <c r="T34" s="205">
        <v>68.0</v>
      </c>
      <c r="U34" s="205">
        <v>14.0</v>
      </c>
      <c r="V34" s="206"/>
      <c r="W34" s="205">
        <v>35.0</v>
      </c>
      <c r="X34" s="205">
        <v>18.63368</v>
      </c>
      <c r="Y34" s="205">
        <v>2.3825</v>
      </c>
      <c r="Z34" s="205">
        <v>4.62</v>
      </c>
      <c r="AA34" s="205">
        <v>2.382206</v>
      </c>
      <c r="AB34" s="205">
        <v>1.510882</v>
      </c>
      <c r="AC34" s="205">
        <v>0.868382</v>
      </c>
      <c r="AD34" s="205">
        <v>0.476605</v>
      </c>
      <c r="AE34" s="205">
        <v>13.93279</v>
      </c>
      <c r="AF34" s="205">
        <v>0.81999</v>
      </c>
      <c r="AG34" s="205">
        <v>3.622353</v>
      </c>
      <c r="AH34" s="205">
        <v>1.515882</v>
      </c>
      <c r="AI34" s="205">
        <v>21.07658</v>
      </c>
      <c r="AJ34" s="205">
        <v>0.280864</v>
      </c>
      <c r="AK34" s="205">
        <v>0.604535</v>
      </c>
      <c r="AL34" s="205">
        <v>-0.59636</v>
      </c>
      <c r="AM34" s="205">
        <v>-0.68529</v>
      </c>
      <c r="AN34" s="205">
        <v>1.45651</v>
      </c>
      <c r="AO34" s="205">
        <v>0.220962</v>
      </c>
      <c r="AP34" s="205">
        <v>-0.24539</v>
      </c>
      <c r="AQ34" s="205">
        <v>0.285014</v>
      </c>
      <c r="AR34" s="205">
        <v>0.49715</v>
      </c>
    </row>
    <row r="35">
      <c r="A35" s="205">
        <v>34.0</v>
      </c>
      <c r="B35" s="206"/>
      <c r="C35" s="206"/>
      <c r="D35" s="205">
        <v>0.20121</v>
      </c>
      <c r="E35" s="205">
        <v>-2.8E-4</v>
      </c>
      <c r="F35" s="205">
        <v>0.118991</v>
      </c>
      <c r="G35" s="206"/>
      <c r="H35" s="207" t="s">
        <v>1476</v>
      </c>
      <c r="I35" s="207" t="s">
        <v>58</v>
      </c>
      <c r="J35" s="207" t="s">
        <v>1412</v>
      </c>
      <c r="K35" s="207" t="s">
        <v>1477</v>
      </c>
      <c r="L35" s="207" t="s">
        <v>1478</v>
      </c>
      <c r="M35" s="207" t="s">
        <v>1373</v>
      </c>
      <c r="N35" s="207" t="s">
        <v>1385</v>
      </c>
      <c r="O35" s="206"/>
      <c r="P35" s="206"/>
      <c r="Q35" s="207">
        <v>5.0</v>
      </c>
      <c r="R35" s="207" t="s">
        <v>1479</v>
      </c>
      <c r="S35" s="207" t="s">
        <v>1375</v>
      </c>
      <c r="T35" s="205">
        <v>73.0</v>
      </c>
      <c r="U35" s="205">
        <v>13.0</v>
      </c>
      <c r="V35" s="206"/>
      <c r="W35" s="205">
        <v>32.0</v>
      </c>
      <c r="X35" s="205">
        <v>22.20082</v>
      </c>
      <c r="Y35" s="205">
        <v>1.76274</v>
      </c>
      <c r="Z35" s="205">
        <v>5.032055</v>
      </c>
      <c r="AA35" s="205">
        <v>4.76</v>
      </c>
      <c r="AB35" s="205">
        <v>1.36</v>
      </c>
      <c r="AC35" s="205">
        <v>0.476027</v>
      </c>
      <c r="AD35" s="205">
        <v>0.498437</v>
      </c>
      <c r="AE35" s="205">
        <v>16.52397</v>
      </c>
      <c r="AF35" s="205">
        <v>0.799989</v>
      </c>
      <c r="AG35" s="205">
        <v>4.95726</v>
      </c>
      <c r="AH35" s="205">
        <v>1.903973</v>
      </c>
      <c r="AI35" s="205">
        <v>27.63416</v>
      </c>
      <c r="AJ35" s="205">
        <v>0.906977</v>
      </c>
      <c r="AK35" s="205">
        <v>0.008708</v>
      </c>
      <c r="AL35" s="205">
        <v>-0.42856</v>
      </c>
      <c r="AM35" s="205">
        <v>0.468603</v>
      </c>
      <c r="AN35" s="205">
        <v>1.013089</v>
      </c>
      <c r="AO35" s="205">
        <v>-0.48569</v>
      </c>
      <c r="AP35" s="205">
        <v>0.242322</v>
      </c>
      <c r="AQ35" s="205">
        <v>0.082053</v>
      </c>
      <c r="AR35" s="205">
        <v>0.003381</v>
      </c>
    </row>
    <row r="36">
      <c r="A36" s="205">
        <v>35.0</v>
      </c>
      <c r="B36" s="206"/>
      <c r="C36" s="206"/>
      <c r="D36" s="205">
        <v>0.191612</v>
      </c>
      <c r="E36" s="205">
        <v>-0.06272</v>
      </c>
      <c r="F36" s="205">
        <v>-0.81956</v>
      </c>
      <c r="G36" s="206"/>
      <c r="H36" s="207" t="s">
        <v>1480</v>
      </c>
      <c r="I36" s="207" t="s">
        <v>129</v>
      </c>
      <c r="J36" s="207" t="s">
        <v>34</v>
      </c>
      <c r="K36" s="207" t="s">
        <v>1481</v>
      </c>
      <c r="L36" s="206"/>
      <c r="M36" s="207" t="s">
        <v>1384</v>
      </c>
      <c r="N36" s="207" t="s">
        <v>1482</v>
      </c>
      <c r="O36" s="206"/>
      <c r="P36" s="208"/>
      <c r="Q36" s="207">
        <v>2.0</v>
      </c>
      <c r="R36" s="207" t="s">
        <v>1422</v>
      </c>
      <c r="S36" s="207" t="s">
        <v>1375</v>
      </c>
      <c r="T36" s="205">
        <v>62.0</v>
      </c>
      <c r="U36" s="205">
        <v>16.0</v>
      </c>
      <c r="V36" s="206"/>
      <c r="W36" s="205">
        <v>30.0</v>
      </c>
      <c r="X36" s="205">
        <v>15.2979</v>
      </c>
      <c r="Y36" s="205">
        <v>0.023387</v>
      </c>
      <c r="Z36" s="205">
        <v>10.76629</v>
      </c>
      <c r="AA36" s="205">
        <v>2.908065</v>
      </c>
      <c r="AB36" s="205">
        <v>0.823065</v>
      </c>
      <c r="AC36" s="205">
        <v>1.279677</v>
      </c>
      <c r="AD36" s="205">
        <v>0.61651</v>
      </c>
      <c r="AE36" s="205">
        <v>10.14661</v>
      </c>
      <c r="AF36" s="205">
        <v>0.800991</v>
      </c>
      <c r="AG36" s="205">
        <v>3.450161</v>
      </c>
      <c r="AH36" s="205">
        <v>2.041935</v>
      </c>
      <c r="AI36" s="205">
        <v>19.68861</v>
      </c>
      <c r="AJ36" s="205">
        <v>-0.30464</v>
      </c>
      <c r="AK36" s="205">
        <v>-1.66348</v>
      </c>
      <c r="AL36" s="205">
        <v>1.906673</v>
      </c>
      <c r="AM36" s="205">
        <v>-0.4301</v>
      </c>
      <c r="AN36" s="205">
        <v>-0.56489</v>
      </c>
      <c r="AO36" s="205">
        <v>0.961724</v>
      </c>
      <c r="AP36" s="205">
        <v>1.926401</v>
      </c>
      <c r="AQ36" s="205">
        <v>0.064967</v>
      </c>
      <c r="AR36" s="205">
        <v>-0.17215</v>
      </c>
    </row>
    <row r="37">
      <c r="A37" s="205">
        <v>36.0</v>
      </c>
      <c r="B37" s="206"/>
      <c r="C37" s="206"/>
      <c r="D37" s="205">
        <v>0.187937</v>
      </c>
      <c r="E37" s="205">
        <v>-0.00371</v>
      </c>
      <c r="F37" s="205">
        <v>0.574326</v>
      </c>
      <c r="G37" s="206"/>
      <c r="H37" s="207" t="s">
        <v>1483</v>
      </c>
      <c r="I37" s="207" t="s">
        <v>58</v>
      </c>
      <c r="J37" s="207" t="s">
        <v>1395</v>
      </c>
      <c r="K37" s="207" t="s">
        <v>1484</v>
      </c>
      <c r="L37" s="206"/>
      <c r="M37" s="207" t="s">
        <v>1384</v>
      </c>
      <c r="N37" s="207" t="s">
        <v>1385</v>
      </c>
      <c r="O37" s="206"/>
      <c r="P37" s="206"/>
      <c r="Q37" s="207">
        <v>3.0</v>
      </c>
      <c r="R37" s="207" t="s">
        <v>1439</v>
      </c>
      <c r="S37" s="207" t="s">
        <v>1375</v>
      </c>
      <c r="T37" s="205">
        <v>62.0</v>
      </c>
      <c r="U37" s="205">
        <v>13.0</v>
      </c>
      <c r="V37" s="206"/>
      <c r="W37" s="205">
        <v>30.0</v>
      </c>
      <c r="X37" s="205">
        <v>16.75968</v>
      </c>
      <c r="Y37" s="205">
        <v>1.498226</v>
      </c>
      <c r="Z37" s="205">
        <v>8.287419</v>
      </c>
      <c r="AA37" s="205">
        <v>2.248065</v>
      </c>
      <c r="AB37" s="205">
        <v>0.776452</v>
      </c>
      <c r="AC37" s="205">
        <v>2.04</v>
      </c>
      <c r="AD37" s="205">
        <v>0.515974</v>
      </c>
      <c r="AE37" s="205">
        <v>11.47565</v>
      </c>
      <c r="AF37" s="205">
        <v>0.764011</v>
      </c>
      <c r="AG37" s="205">
        <v>4.475323</v>
      </c>
      <c r="AH37" s="205">
        <v>1.770161</v>
      </c>
      <c r="AI37" s="205">
        <v>21.76134</v>
      </c>
      <c r="AJ37" s="205">
        <v>-0.04806</v>
      </c>
      <c r="AK37" s="205">
        <v>-0.24559</v>
      </c>
      <c r="AL37" s="205">
        <v>0.89717</v>
      </c>
      <c r="AM37" s="205">
        <v>-0.75039</v>
      </c>
      <c r="AN37" s="205">
        <v>-0.70187</v>
      </c>
      <c r="AO37" s="205">
        <v>2.3311</v>
      </c>
      <c r="AP37" s="205">
        <v>0.468418</v>
      </c>
      <c r="AQ37" s="205">
        <v>-0.43297</v>
      </c>
      <c r="AR37" s="205">
        <v>0.17363</v>
      </c>
    </row>
    <row r="38">
      <c r="A38" s="205">
        <v>37.0</v>
      </c>
      <c r="B38" s="206"/>
      <c r="C38" s="206"/>
      <c r="D38" s="205">
        <v>0.18623</v>
      </c>
      <c r="E38" s="205">
        <v>-0.00116</v>
      </c>
      <c r="F38" s="205">
        <v>-0.04827</v>
      </c>
      <c r="G38" s="206"/>
      <c r="H38" s="207" t="s">
        <v>1485</v>
      </c>
      <c r="I38" s="207" t="s">
        <v>271</v>
      </c>
      <c r="J38" s="207" t="s">
        <v>1379</v>
      </c>
      <c r="K38" s="207" t="s">
        <v>1486</v>
      </c>
      <c r="L38" s="206"/>
      <c r="M38" s="207" t="s">
        <v>1373</v>
      </c>
      <c r="N38" s="207" t="s">
        <v>1385</v>
      </c>
      <c r="O38" s="206"/>
      <c r="P38" s="208"/>
      <c r="Q38" s="207">
        <v>4.0</v>
      </c>
      <c r="R38" s="207" t="s">
        <v>1418</v>
      </c>
      <c r="S38" s="207" t="s">
        <v>1375</v>
      </c>
      <c r="T38" s="205">
        <v>73.0</v>
      </c>
      <c r="U38" s="205">
        <v>13.0</v>
      </c>
      <c r="V38" s="206"/>
      <c r="W38" s="205">
        <v>33.0</v>
      </c>
      <c r="X38" s="205">
        <v>18.93918</v>
      </c>
      <c r="Y38" s="205">
        <v>1.564658</v>
      </c>
      <c r="Z38" s="205">
        <v>9.295068</v>
      </c>
      <c r="AA38" s="205">
        <v>8.508493</v>
      </c>
      <c r="AB38" s="205">
        <v>1.143973</v>
      </c>
      <c r="AC38" s="205">
        <v>0.713562</v>
      </c>
      <c r="AD38" s="205">
        <v>0.472402</v>
      </c>
      <c r="AE38" s="205">
        <v>13.94274</v>
      </c>
      <c r="AF38" s="205">
        <v>0.792998</v>
      </c>
      <c r="AG38" s="205">
        <v>5.298082</v>
      </c>
      <c r="AH38" s="205">
        <v>3.503562</v>
      </c>
      <c r="AI38" s="205">
        <v>24.92335</v>
      </c>
      <c r="AJ38" s="205">
        <v>0.334487</v>
      </c>
      <c r="AK38" s="205">
        <v>-0.18173</v>
      </c>
      <c r="AL38" s="205">
        <v>1.307528</v>
      </c>
      <c r="AM38" s="205">
        <v>2.287669</v>
      </c>
      <c r="AN38" s="205">
        <v>0.378216</v>
      </c>
      <c r="AO38" s="205">
        <v>-0.05788</v>
      </c>
      <c r="AP38" s="205">
        <v>-0.3324</v>
      </c>
      <c r="AQ38" s="205">
        <v>-0.02804</v>
      </c>
      <c r="AR38" s="205">
        <v>-2.03179</v>
      </c>
    </row>
    <row r="39">
      <c r="A39" s="205">
        <v>38.0</v>
      </c>
      <c r="B39" s="206"/>
      <c r="C39" s="206"/>
      <c r="D39" s="205">
        <v>0.178614</v>
      </c>
      <c r="E39" s="205">
        <v>-0.00201</v>
      </c>
      <c r="F39" s="205">
        <v>-0.15979</v>
      </c>
      <c r="G39" s="206"/>
      <c r="H39" s="207" t="s">
        <v>1487</v>
      </c>
      <c r="I39" s="207" t="s">
        <v>1488</v>
      </c>
      <c r="J39" s="207" t="s">
        <v>1387</v>
      </c>
      <c r="K39" s="207" t="s">
        <v>1489</v>
      </c>
      <c r="L39" s="207" t="s">
        <v>1490</v>
      </c>
      <c r="M39" s="207" t="s">
        <v>1384</v>
      </c>
      <c r="N39" s="208"/>
      <c r="O39" s="206"/>
      <c r="P39" s="206"/>
      <c r="Q39" s="207">
        <v>4.0</v>
      </c>
      <c r="R39" s="207" t="s">
        <v>1491</v>
      </c>
      <c r="S39" s="207" t="s">
        <v>1375</v>
      </c>
      <c r="T39" s="205">
        <v>66.0</v>
      </c>
      <c r="U39" s="205">
        <v>15.0</v>
      </c>
      <c r="V39" s="206"/>
      <c r="W39" s="205">
        <v>34.0</v>
      </c>
      <c r="X39" s="205">
        <v>19.88212</v>
      </c>
      <c r="Y39" s="205">
        <v>3.000303</v>
      </c>
      <c r="Z39" s="205">
        <v>5.079394</v>
      </c>
      <c r="AA39" s="205">
        <v>3.219394</v>
      </c>
      <c r="AB39" s="205">
        <v>0.995303</v>
      </c>
      <c r="AC39" s="205">
        <v>0.646667</v>
      </c>
      <c r="AD39" s="205">
        <v>0.468123</v>
      </c>
      <c r="AE39" s="205">
        <v>14.73712</v>
      </c>
      <c r="AF39" s="205">
        <v>0.872001</v>
      </c>
      <c r="AG39" s="205">
        <v>3.53697</v>
      </c>
      <c r="AH39" s="205">
        <v>1.573939</v>
      </c>
      <c r="AI39" s="205">
        <v>22.03215</v>
      </c>
      <c r="AJ39" s="205">
        <v>0.499994</v>
      </c>
      <c r="AK39" s="205">
        <v>1.19848</v>
      </c>
      <c r="AL39" s="205">
        <v>-0.40928</v>
      </c>
      <c r="AM39" s="205">
        <v>-0.27902</v>
      </c>
      <c r="AN39" s="205">
        <v>-0.0587</v>
      </c>
      <c r="AO39" s="205">
        <v>-0.17836</v>
      </c>
      <c r="AP39" s="205">
        <v>-0.44514</v>
      </c>
      <c r="AQ39" s="205">
        <v>0.856266</v>
      </c>
      <c r="AR39" s="205">
        <v>0.423284</v>
      </c>
    </row>
    <row r="40">
      <c r="A40" s="205">
        <v>39.0</v>
      </c>
      <c r="B40" s="206"/>
      <c r="C40" s="206"/>
      <c r="D40" s="205">
        <v>0.170663</v>
      </c>
      <c r="E40" s="205">
        <v>-0.00387</v>
      </c>
      <c r="F40" s="205">
        <v>0.472108</v>
      </c>
      <c r="G40" s="206"/>
      <c r="H40" s="207" t="s">
        <v>1492</v>
      </c>
      <c r="I40" s="207" t="s">
        <v>250</v>
      </c>
      <c r="J40" s="207" t="s">
        <v>1387</v>
      </c>
      <c r="K40" s="207" t="s">
        <v>1493</v>
      </c>
      <c r="L40" s="206"/>
      <c r="M40" s="207" t="s">
        <v>1384</v>
      </c>
      <c r="N40" s="208"/>
      <c r="O40" s="206"/>
      <c r="P40" s="208"/>
      <c r="Q40" s="207">
        <v>3.0</v>
      </c>
      <c r="R40" s="207" t="s">
        <v>1494</v>
      </c>
      <c r="S40" s="207" t="s">
        <v>1375</v>
      </c>
      <c r="T40" s="205">
        <v>68.0</v>
      </c>
      <c r="U40" s="205">
        <v>14.0</v>
      </c>
      <c r="V40" s="206"/>
      <c r="W40" s="205">
        <v>30.0</v>
      </c>
      <c r="X40" s="205">
        <v>13.51956</v>
      </c>
      <c r="Y40" s="205">
        <v>0.255147</v>
      </c>
      <c r="Z40" s="205">
        <v>6.565</v>
      </c>
      <c r="AA40" s="205">
        <v>3.117206</v>
      </c>
      <c r="AB40" s="205">
        <v>2.096912</v>
      </c>
      <c r="AC40" s="205">
        <v>1.136176</v>
      </c>
      <c r="AD40" s="205">
        <v>0.523389</v>
      </c>
      <c r="AE40" s="205">
        <v>10.41515</v>
      </c>
      <c r="AF40" s="205">
        <v>0.687998</v>
      </c>
      <c r="AG40" s="205">
        <v>3.433235</v>
      </c>
      <c r="AH40" s="205">
        <v>1.546029</v>
      </c>
      <c r="AI40" s="205">
        <v>19.2947</v>
      </c>
      <c r="AJ40" s="205">
        <v>-0.61678</v>
      </c>
      <c r="AK40" s="205">
        <v>-1.44067</v>
      </c>
      <c r="AL40" s="205">
        <v>0.195726</v>
      </c>
      <c r="AM40" s="205">
        <v>-0.32861</v>
      </c>
      <c r="AN40" s="205">
        <v>3.178764</v>
      </c>
      <c r="AO40" s="205">
        <v>0.703272</v>
      </c>
      <c r="AP40" s="205">
        <v>0.540162</v>
      </c>
      <c r="AQ40" s="205">
        <v>-1.15469</v>
      </c>
      <c r="AR40" s="205">
        <v>0.458794</v>
      </c>
    </row>
    <row r="41">
      <c r="A41" s="205">
        <v>40.0</v>
      </c>
      <c r="B41" s="206"/>
      <c r="C41" s="206"/>
      <c r="D41" s="205">
        <v>0.169701</v>
      </c>
      <c r="E41" s="205">
        <v>-0.00366</v>
      </c>
      <c r="F41" s="205">
        <v>0.118991</v>
      </c>
      <c r="G41" s="206"/>
      <c r="H41" s="207" t="s">
        <v>1495</v>
      </c>
      <c r="I41" s="207" t="s">
        <v>172</v>
      </c>
      <c r="J41" s="207" t="s">
        <v>34</v>
      </c>
      <c r="K41" s="207" t="s">
        <v>1496</v>
      </c>
      <c r="L41" s="206"/>
      <c r="M41" s="207" t="s">
        <v>1384</v>
      </c>
      <c r="N41" s="207" t="s">
        <v>1414</v>
      </c>
      <c r="O41" s="206"/>
      <c r="P41" s="208"/>
      <c r="Q41" s="207">
        <v>2.0</v>
      </c>
      <c r="R41" s="207" t="s">
        <v>1422</v>
      </c>
      <c r="S41" s="207" t="s">
        <v>1375</v>
      </c>
      <c r="T41" s="205">
        <v>63.0</v>
      </c>
      <c r="U41" s="205">
        <v>15.0</v>
      </c>
      <c r="V41" s="206"/>
      <c r="W41" s="205">
        <v>31.0</v>
      </c>
      <c r="X41" s="205">
        <v>13.72825</v>
      </c>
      <c r="Y41" s="205">
        <v>0.132698</v>
      </c>
      <c r="Z41" s="205">
        <v>11.97381</v>
      </c>
      <c r="AA41" s="205">
        <v>1.995556</v>
      </c>
      <c r="AB41" s="205">
        <v>0.669365</v>
      </c>
      <c r="AC41" s="205">
        <v>2.252381</v>
      </c>
      <c r="AD41" s="205">
        <v>0.680393</v>
      </c>
      <c r="AE41" s="205">
        <v>8.846667</v>
      </c>
      <c r="AF41" s="205">
        <v>0.528016</v>
      </c>
      <c r="AG41" s="205">
        <v>2.949048</v>
      </c>
      <c r="AH41" s="205">
        <v>1.590952</v>
      </c>
      <c r="AI41" s="205">
        <v>15.63582</v>
      </c>
      <c r="AJ41" s="205">
        <v>-0.58015</v>
      </c>
      <c r="AK41" s="205">
        <v>-1.55839</v>
      </c>
      <c r="AL41" s="205">
        <v>2.398427</v>
      </c>
      <c r="AM41" s="205">
        <v>-0.87292</v>
      </c>
      <c r="AN41" s="205">
        <v>-1.01659</v>
      </c>
      <c r="AO41" s="205">
        <v>2.713607</v>
      </c>
      <c r="AP41" s="205">
        <v>2.517807</v>
      </c>
      <c r="AQ41" s="205">
        <v>-2.47613</v>
      </c>
      <c r="AR41" s="205">
        <v>0.401638</v>
      </c>
    </row>
    <row r="42">
      <c r="A42" s="205">
        <v>41.0</v>
      </c>
      <c r="B42" s="206"/>
      <c r="C42" s="206"/>
      <c r="D42" s="205">
        <v>0.16142</v>
      </c>
      <c r="E42" s="205">
        <v>-0.00161</v>
      </c>
      <c r="F42" s="205">
        <v>0.983199</v>
      </c>
      <c r="G42" s="206"/>
      <c r="H42" s="207" t="s">
        <v>1497</v>
      </c>
      <c r="I42" s="207" t="s">
        <v>103</v>
      </c>
      <c r="J42" s="207" t="s">
        <v>34</v>
      </c>
      <c r="K42" s="207" t="s">
        <v>1498</v>
      </c>
      <c r="L42" s="206"/>
      <c r="M42" s="207" t="s">
        <v>1373</v>
      </c>
      <c r="N42" s="208"/>
      <c r="O42" s="206"/>
      <c r="P42" s="206"/>
      <c r="Q42" s="207">
        <v>3.0</v>
      </c>
      <c r="R42" s="207" t="s">
        <v>1422</v>
      </c>
      <c r="S42" s="207" t="s">
        <v>1375</v>
      </c>
      <c r="T42" s="205">
        <v>73.0</v>
      </c>
      <c r="U42" s="205">
        <v>15.0</v>
      </c>
      <c r="V42" s="206"/>
      <c r="W42" s="205">
        <v>31.0</v>
      </c>
      <c r="X42" s="205">
        <v>16.56041</v>
      </c>
      <c r="Y42" s="205">
        <v>0.0</v>
      </c>
      <c r="Z42" s="205">
        <v>11.58945</v>
      </c>
      <c r="AA42" s="205">
        <v>2.004658</v>
      </c>
      <c r="AB42" s="205">
        <v>0.555068</v>
      </c>
      <c r="AC42" s="205">
        <v>1.076301</v>
      </c>
      <c r="AD42" s="205">
        <v>0.647396</v>
      </c>
      <c r="AE42" s="205">
        <v>11.15068</v>
      </c>
      <c r="AF42" s="205">
        <v>0.704991</v>
      </c>
      <c r="AG42" s="205">
        <v>3.010822</v>
      </c>
      <c r="AH42" s="205">
        <v>1.252877</v>
      </c>
      <c r="AI42" s="205">
        <v>19.775</v>
      </c>
      <c r="AJ42" s="205">
        <v>-0.08304</v>
      </c>
      <c r="AK42" s="205">
        <v>-1.68596</v>
      </c>
      <c r="AL42" s="205">
        <v>2.2419</v>
      </c>
      <c r="AM42" s="205">
        <v>-0.86851</v>
      </c>
      <c r="AN42" s="205">
        <v>-1.35249</v>
      </c>
      <c r="AO42" s="205">
        <v>0.595434</v>
      </c>
      <c r="AP42" s="205">
        <v>2.6267</v>
      </c>
      <c r="AQ42" s="205">
        <v>-0.85303</v>
      </c>
      <c r="AR42" s="205">
        <v>0.831774</v>
      </c>
    </row>
    <row r="43">
      <c r="A43" s="205">
        <v>42.0</v>
      </c>
      <c r="B43" s="206"/>
      <c r="C43" s="206"/>
      <c r="D43" s="205">
        <v>0.158619</v>
      </c>
      <c r="E43" s="205">
        <v>-7.1E-4</v>
      </c>
      <c r="F43" s="205">
        <v>0.33272</v>
      </c>
      <c r="G43" s="206"/>
      <c r="H43" s="207" t="s">
        <v>1499</v>
      </c>
      <c r="I43" s="207" t="s">
        <v>138</v>
      </c>
      <c r="J43" s="207" t="s">
        <v>1387</v>
      </c>
      <c r="K43" s="207" t="s">
        <v>1500</v>
      </c>
      <c r="L43" s="206"/>
      <c r="M43" s="207" t="s">
        <v>1384</v>
      </c>
      <c r="N43" s="208"/>
      <c r="O43" s="206"/>
      <c r="P43" s="206"/>
      <c r="Q43" s="207">
        <v>4.0</v>
      </c>
      <c r="R43" s="207" t="s">
        <v>1462</v>
      </c>
      <c r="S43" s="207" t="s">
        <v>1375</v>
      </c>
      <c r="T43" s="205">
        <v>64.0</v>
      </c>
      <c r="U43" s="205">
        <v>15.0</v>
      </c>
      <c r="V43" s="206"/>
      <c r="W43" s="205">
        <v>35.0</v>
      </c>
      <c r="X43" s="205">
        <v>20.02125</v>
      </c>
      <c r="Y43" s="205">
        <v>1.262188</v>
      </c>
      <c r="Z43" s="205">
        <v>8.486719</v>
      </c>
      <c r="AA43" s="205">
        <v>6.008281</v>
      </c>
      <c r="AB43" s="205">
        <v>1.427031</v>
      </c>
      <c r="AC43" s="205">
        <v>1.10875</v>
      </c>
      <c r="AD43" s="205">
        <v>0.462938</v>
      </c>
      <c r="AE43" s="205">
        <v>16.74766</v>
      </c>
      <c r="AF43" s="205">
        <v>0.746995</v>
      </c>
      <c r="AG43" s="205">
        <v>4.354531</v>
      </c>
      <c r="AH43" s="205">
        <v>2.89</v>
      </c>
      <c r="AI43" s="205">
        <v>25.82394</v>
      </c>
      <c r="AJ43" s="205">
        <v>0.524414</v>
      </c>
      <c r="AK43" s="205">
        <v>-0.47251</v>
      </c>
      <c r="AL43" s="205">
        <v>0.978333</v>
      </c>
      <c r="AM43" s="205">
        <v>1.074368</v>
      </c>
      <c r="AN43" s="205">
        <v>1.210084</v>
      </c>
      <c r="AO43" s="205">
        <v>0.653876</v>
      </c>
      <c r="AP43" s="205">
        <v>-0.63541</v>
      </c>
      <c r="AQ43" s="205">
        <v>-0.65443</v>
      </c>
      <c r="AR43" s="205">
        <v>-1.25115</v>
      </c>
    </row>
    <row r="44">
      <c r="A44" s="205">
        <v>43.0</v>
      </c>
      <c r="B44" s="206"/>
      <c r="C44" s="206"/>
      <c r="D44" s="205">
        <v>0.144459</v>
      </c>
      <c r="E44" s="205">
        <v>-0.00141</v>
      </c>
      <c r="F44" s="205">
        <v>0.565034</v>
      </c>
      <c r="G44" s="206"/>
      <c r="H44" s="207" t="s">
        <v>1501</v>
      </c>
      <c r="I44" s="207" t="s">
        <v>271</v>
      </c>
      <c r="J44" s="207" t="s">
        <v>34</v>
      </c>
      <c r="K44" s="207" t="s">
        <v>1502</v>
      </c>
      <c r="L44" s="206"/>
      <c r="M44" s="207" t="s">
        <v>1373</v>
      </c>
      <c r="N44" s="207" t="s">
        <v>1503</v>
      </c>
      <c r="O44" s="206"/>
      <c r="P44" s="206"/>
      <c r="Q44" s="207">
        <v>2.0</v>
      </c>
      <c r="R44" s="207" t="s">
        <v>1422</v>
      </c>
      <c r="S44" s="207" t="s">
        <v>1375</v>
      </c>
      <c r="T44" s="205">
        <v>73.0</v>
      </c>
      <c r="U44" s="205">
        <v>13.0</v>
      </c>
      <c r="V44" s="206"/>
      <c r="W44" s="205">
        <v>30.0</v>
      </c>
      <c r="X44" s="205">
        <v>17.2374</v>
      </c>
      <c r="Y44" s="205">
        <v>1.530411</v>
      </c>
      <c r="Z44" s="205">
        <v>9.815068</v>
      </c>
      <c r="AA44" s="205">
        <v>3.25</v>
      </c>
      <c r="AB44" s="205">
        <v>0.844658</v>
      </c>
      <c r="AC44" s="205">
        <v>0.715205</v>
      </c>
      <c r="AD44" s="205">
        <v>0.50581</v>
      </c>
      <c r="AE44" s="205">
        <v>14.17014</v>
      </c>
      <c r="AF44" s="205">
        <v>0.806977</v>
      </c>
      <c r="AG44" s="205">
        <v>1.700411</v>
      </c>
      <c r="AH44" s="205">
        <v>1.625479</v>
      </c>
      <c r="AI44" s="205">
        <v>22.93316</v>
      </c>
      <c r="AJ44" s="205">
        <v>0.035786</v>
      </c>
      <c r="AK44" s="205">
        <v>-0.21465</v>
      </c>
      <c r="AL44" s="205">
        <v>1.519294</v>
      </c>
      <c r="AM44" s="205">
        <v>-0.26417</v>
      </c>
      <c r="AN44" s="205">
        <v>-0.50143</v>
      </c>
      <c r="AO44" s="205">
        <v>-0.05492</v>
      </c>
      <c r="AP44" s="205">
        <v>0.36351</v>
      </c>
      <c r="AQ44" s="205">
        <v>0.058991</v>
      </c>
      <c r="AR44" s="205">
        <v>0.357709</v>
      </c>
    </row>
    <row r="45">
      <c r="A45" s="205">
        <v>44.0</v>
      </c>
      <c r="B45" s="206"/>
      <c r="C45" s="206"/>
      <c r="D45" s="205">
        <v>0.134664</v>
      </c>
      <c r="E45" s="205">
        <v>-2.8E-4</v>
      </c>
      <c r="F45" s="205">
        <v>-1.1448</v>
      </c>
      <c r="G45" s="206"/>
      <c r="H45" s="207" t="s">
        <v>1504</v>
      </c>
      <c r="I45" s="207" t="s">
        <v>160</v>
      </c>
      <c r="J45" s="207" t="s">
        <v>1379</v>
      </c>
      <c r="K45" s="207" t="s">
        <v>1505</v>
      </c>
      <c r="L45" s="206"/>
      <c r="M45" s="207" t="s">
        <v>1384</v>
      </c>
      <c r="N45" s="208"/>
      <c r="O45" s="206"/>
      <c r="P45" s="208"/>
      <c r="Q45" s="207">
        <v>3.0</v>
      </c>
      <c r="R45" s="207" t="s">
        <v>1418</v>
      </c>
      <c r="S45" s="207" t="s">
        <v>1375</v>
      </c>
      <c r="T45" s="205">
        <v>59.0</v>
      </c>
      <c r="U45" s="205">
        <v>16.0</v>
      </c>
      <c r="V45" s="206"/>
      <c r="W45" s="205">
        <v>33.0</v>
      </c>
      <c r="X45" s="205">
        <v>23.88695</v>
      </c>
      <c r="Y45" s="205">
        <v>3.725254</v>
      </c>
      <c r="Z45" s="205">
        <v>4.95</v>
      </c>
      <c r="AA45" s="205">
        <v>8.13678</v>
      </c>
      <c r="AB45" s="205">
        <v>1.252542</v>
      </c>
      <c r="AC45" s="205">
        <v>0.272712</v>
      </c>
      <c r="AD45" s="205">
        <v>0.416645</v>
      </c>
      <c r="AE45" s="205">
        <v>19.52441</v>
      </c>
      <c r="AF45" s="205">
        <v>0.850015</v>
      </c>
      <c r="AG45" s="205">
        <v>4.578983</v>
      </c>
      <c r="AH45" s="205">
        <v>3.550169</v>
      </c>
      <c r="AI45" s="205">
        <v>32.68295</v>
      </c>
      <c r="AJ45" s="205">
        <v>1.20293</v>
      </c>
      <c r="AK45" s="205">
        <v>1.895436</v>
      </c>
      <c r="AL45" s="205">
        <v>-0.46197</v>
      </c>
      <c r="AM45" s="205">
        <v>2.107284</v>
      </c>
      <c r="AN45" s="205">
        <v>0.697287</v>
      </c>
      <c r="AO45" s="205">
        <v>-0.85187</v>
      </c>
      <c r="AP45" s="205">
        <v>-2.08105</v>
      </c>
      <c r="AQ45" s="205">
        <v>0.79501</v>
      </c>
      <c r="AR45" s="205">
        <v>-2.09109</v>
      </c>
    </row>
    <row r="46">
      <c r="A46" s="205">
        <v>45.0</v>
      </c>
      <c r="B46" s="206"/>
      <c r="C46" s="206"/>
      <c r="D46" s="205">
        <v>0.129205</v>
      </c>
      <c r="E46" s="205">
        <v>1.12E-4</v>
      </c>
      <c r="F46" s="205">
        <v>1.113294</v>
      </c>
      <c r="G46" s="206"/>
      <c r="H46" s="207" t="s">
        <v>1506</v>
      </c>
      <c r="I46" s="207" t="s">
        <v>168</v>
      </c>
      <c r="J46" s="207" t="s">
        <v>34</v>
      </c>
      <c r="K46" s="207" t="s">
        <v>1507</v>
      </c>
      <c r="L46" s="206"/>
      <c r="M46" s="207" t="s">
        <v>1373</v>
      </c>
      <c r="N46" s="206"/>
      <c r="O46" s="206"/>
      <c r="P46" s="206"/>
      <c r="Q46" s="207">
        <v>5.0</v>
      </c>
      <c r="R46" s="207" t="s">
        <v>1508</v>
      </c>
      <c r="S46" s="207" t="s">
        <v>1375</v>
      </c>
      <c r="T46" s="205">
        <v>73.0</v>
      </c>
      <c r="U46" s="205">
        <v>14.0</v>
      </c>
      <c r="V46" s="206"/>
      <c r="W46" s="205">
        <v>35.0</v>
      </c>
      <c r="X46" s="205">
        <v>18.12329</v>
      </c>
      <c r="Y46" s="205">
        <v>0.792329</v>
      </c>
      <c r="Z46" s="205">
        <v>13.9337</v>
      </c>
      <c r="AA46" s="205">
        <v>5.446164</v>
      </c>
      <c r="AB46" s="205">
        <v>0.715753</v>
      </c>
      <c r="AC46" s="205">
        <v>0.280548</v>
      </c>
      <c r="AD46" s="205">
        <v>0.569938</v>
      </c>
      <c r="AE46" s="205">
        <v>12.73151</v>
      </c>
      <c r="AF46" s="205">
        <v>0.737994</v>
      </c>
      <c r="AG46" s="205">
        <v>3.819315</v>
      </c>
      <c r="AH46" s="205">
        <v>2.879726</v>
      </c>
      <c r="AI46" s="205">
        <v>22.17526</v>
      </c>
      <c r="AJ46" s="205">
        <v>0.19128</v>
      </c>
      <c r="AK46" s="205">
        <v>-0.92423</v>
      </c>
      <c r="AL46" s="205">
        <v>3.196579</v>
      </c>
      <c r="AM46" s="205">
        <v>0.801584</v>
      </c>
      <c r="AN46" s="205">
        <v>-0.88026</v>
      </c>
      <c r="AO46" s="205">
        <v>-0.83775</v>
      </c>
      <c r="AP46" s="205">
        <v>1.536981</v>
      </c>
      <c r="AQ46" s="205">
        <v>-0.68327</v>
      </c>
      <c r="AR46" s="205">
        <v>-1.23808</v>
      </c>
    </row>
    <row r="47">
      <c r="A47" s="205">
        <v>46.0</v>
      </c>
      <c r="B47" s="206"/>
      <c r="C47" s="206"/>
      <c r="D47" s="205">
        <v>0.124978</v>
      </c>
      <c r="E47" s="205">
        <v>-0.00109</v>
      </c>
      <c r="F47" s="205">
        <v>-0.93107</v>
      </c>
      <c r="G47" s="206"/>
      <c r="H47" s="207" t="s">
        <v>1509</v>
      </c>
      <c r="I47" s="207" t="s">
        <v>75</v>
      </c>
      <c r="J47" s="207" t="s">
        <v>1387</v>
      </c>
      <c r="K47" s="207" t="s">
        <v>1510</v>
      </c>
      <c r="L47" s="206"/>
      <c r="M47" s="207" t="s">
        <v>1384</v>
      </c>
      <c r="N47" s="207" t="s">
        <v>1503</v>
      </c>
      <c r="O47" s="206"/>
      <c r="P47" s="206"/>
      <c r="Q47" s="207">
        <v>5.0</v>
      </c>
      <c r="R47" s="207" t="s">
        <v>1462</v>
      </c>
      <c r="S47" s="207" t="s">
        <v>1375</v>
      </c>
      <c r="T47" s="205">
        <v>61.0</v>
      </c>
      <c r="U47" s="205">
        <v>14.0</v>
      </c>
      <c r="V47" s="206"/>
      <c r="W47" s="205">
        <v>34.0</v>
      </c>
      <c r="X47" s="205">
        <v>21.74148</v>
      </c>
      <c r="Y47" s="205">
        <v>1.939672</v>
      </c>
      <c r="Z47" s="205">
        <v>6.941639</v>
      </c>
      <c r="AA47" s="205">
        <v>6.455738</v>
      </c>
      <c r="AB47" s="205">
        <v>1.033115</v>
      </c>
      <c r="AC47" s="205">
        <v>0.558361</v>
      </c>
      <c r="AD47" s="205">
        <v>0.494596</v>
      </c>
      <c r="AE47" s="205">
        <v>16.38164</v>
      </c>
      <c r="AF47" s="205">
        <v>0.794001</v>
      </c>
      <c r="AG47" s="205">
        <v>4.530492</v>
      </c>
      <c r="AH47" s="205">
        <v>2.984918</v>
      </c>
      <c r="AI47" s="205">
        <v>27.96019</v>
      </c>
      <c r="AJ47" s="205">
        <v>0.826352</v>
      </c>
      <c r="AK47" s="205">
        <v>0.178807</v>
      </c>
      <c r="AL47" s="205">
        <v>0.34911</v>
      </c>
      <c r="AM47" s="205">
        <v>1.29151</v>
      </c>
      <c r="AN47" s="205">
        <v>0.052421</v>
      </c>
      <c r="AO47" s="205">
        <v>-0.3374</v>
      </c>
      <c r="AP47" s="205">
        <v>0.147053</v>
      </c>
      <c r="AQ47" s="205">
        <v>-0.01113</v>
      </c>
      <c r="AR47" s="205">
        <v>-1.37191</v>
      </c>
    </row>
    <row r="48">
      <c r="A48" s="205">
        <v>47.0</v>
      </c>
      <c r="B48" s="206"/>
      <c r="C48" s="206"/>
      <c r="D48" s="205">
        <v>0.122533</v>
      </c>
      <c r="E48" s="205">
        <v>0.010624</v>
      </c>
      <c r="F48" s="205">
        <v>-1.3864</v>
      </c>
      <c r="G48" s="206"/>
      <c r="H48" s="207" t="s">
        <v>1511</v>
      </c>
      <c r="I48" s="207" t="s">
        <v>85</v>
      </c>
      <c r="J48" s="207" t="s">
        <v>1395</v>
      </c>
      <c r="K48" s="207" t="s">
        <v>1512</v>
      </c>
      <c r="L48" s="206"/>
      <c r="M48" s="207" t="s">
        <v>1384</v>
      </c>
      <c r="N48" s="208"/>
      <c r="O48" s="206"/>
      <c r="P48" s="206"/>
      <c r="Q48" s="207">
        <v>4.0</v>
      </c>
      <c r="R48" s="207" t="s">
        <v>1397</v>
      </c>
      <c r="S48" s="207" t="s">
        <v>1375</v>
      </c>
      <c r="T48" s="205">
        <v>61.0</v>
      </c>
      <c r="U48" s="205">
        <v>14.0</v>
      </c>
      <c r="V48" s="206"/>
      <c r="W48" s="205">
        <v>34.0</v>
      </c>
      <c r="X48" s="205">
        <v>31.87295</v>
      </c>
      <c r="Y48" s="205">
        <v>0.322951</v>
      </c>
      <c r="Z48" s="205">
        <v>11.01738</v>
      </c>
      <c r="AA48" s="205">
        <v>8.227213</v>
      </c>
      <c r="AB48" s="205">
        <v>0.929508</v>
      </c>
      <c r="AC48" s="205">
        <v>0.93</v>
      </c>
      <c r="AD48" s="205">
        <v>0.582004</v>
      </c>
      <c r="AE48" s="205">
        <v>20.38885</v>
      </c>
      <c r="AF48" s="205">
        <v>0.638995</v>
      </c>
      <c r="AG48" s="205">
        <v>12.23361</v>
      </c>
      <c r="AH48" s="205">
        <v>2.861639</v>
      </c>
      <c r="AI48" s="205">
        <v>36.90521</v>
      </c>
      <c r="AJ48" s="205">
        <v>2.60465</v>
      </c>
      <c r="AK48" s="205">
        <v>-1.37548</v>
      </c>
      <c r="AL48" s="205">
        <v>2.008926</v>
      </c>
      <c r="AM48" s="205">
        <v>2.15117</v>
      </c>
      <c r="AN48" s="205">
        <v>-0.25206</v>
      </c>
      <c r="AO48" s="205">
        <v>0.331939</v>
      </c>
      <c r="AP48" s="205">
        <v>2.822087</v>
      </c>
      <c r="AQ48" s="205">
        <v>-5.97336</v>
      </c>
      <c r="AR48" s="205">
        <v>-1.21506</v>
      </c>
    </row>
    <row r="49">
      <c r="A49" s="205">
        <v>48.0</v>
      </c>
      <c r="B49" s="206"/>
      <c r="C49" s="206"/>
      <c r="D49" s="205">
        <v>0.120224</v>
      </c>
      <c r="E49" s="205">
        <v>0.015427</v>
      </c>
      <c r="F49" s="205">
        <v>0.184039</v>
      </c>
      <c r="G49" s="206"/>
      <c r="H49" s="207" t="s">
        <v>1513</v>
      </c>
      <c r="I49" s="207" t="s">
        <v>287</v>
      </c>
      <c r="J49" s="207" t="s">
        <v>1387</v>
      </c>
      <c r="K49" s="207" t="s">
        <v>1514</v>
      </c>
      <c r="L49" s="206"/>
      <c r="M49" s="207" t="s">
        <v>1373</v>
      </c>
      <c r="N49" s="206"/>
      <c r="O49" s="206"/>
      <c r="P49" s="208"/>
      <c r="Q49" s="207">
        <v>4.0</v>
      </c>
      <c r="R49" s="207" t="s">
        <v>1494</v>
      </c>
      <c r="S49" s="207" t="s">
        <v>1375</v>
      </c>
      <c r="T49" s="205">
        <v>73.0</v>
      </c>
      <c r="U49" s="205">
        <v>15.0</v>
      </c>
      <c r="V49" s="206"/>
      <c r="W49" s="205">
        <v>33.0</v>
      </c>
      <c r="X49" s="205">
        <v>14.79849</v>
      </c>
      <c r="Y49" s="205">
        <v>2.506986</v>
      </c>
      <c r="Z49" s="205">
        <v>5.820411</v>
      </c>
      <c r="AA49" s="205">
        <v>2.363425</v>
      </c>
      <c r="AB49" s="205">
        <v>1.536986</v>
      </c>
      <c r="AC49" s="205">
        <v>0.703014</v>
      </c>
      <c r="AD49" s="205">
        <v>0.459902</v>
      </c>
      <c r="AE49" s="205">
        <v>11.78096</v>
      </c>
      <c r="AF49" s="205">
        <v>0.731026</v>
      </c>
      <c r="AG49" s="205">
        <v>1.990822</v>
      </c>
      <c r="AH49" s="205">
        <v>1.122055</v>
      </c>
      <c r="AI49" s="205">
        <v>17.34922</v>
      </c>
      <c r="AJ49" s="205">
        <v>-0.3923</v>
      </c>
      <c r="AK49" s="205">
        <v>0.724214</v>
      </c>
      <c r="AL49" s="205">
        <v>-0.1075</v>
      </c>
      <c r="AM49" s="205">
        <v>-0.69441</v>
      </c>
      <c r="AN49" s="205">
        <v>1.533225</v>
      </c>
      <c r="AO49" s="205">
        <v>-0.07687</v>
      </c>
      <c r="AP49" s="205">
        <v>-0.49808</v>
      </c>
      <c r="AQ49" s="205">
        <v>-0.40449</v>
      </c>
      <c r="AR49" s="205">
        <v>0.998219</v>
      </c>
    </row>
    <row r="50">
      <c r="A50" s="205">
        <v>49.0</v>
      </c>
      <c r="B50" s="206"/>
      <c r="C50" s="206"/>
      <c r="D50" s="205">
        <v>0.105616</v>
      </c>
      <c r="E50" s="205">
        <v>-0.00339</v>
      </c>
      <c r="F50" s="205">
        <v>0.983199</v>
      </c>
      <c r="G50" s="206"/>
      <c r="H50" s="207" t="s">
        <v>1515</v>
      </c>
      <c r="I50" s="207" t="s">
        <v>94</v>
      </c>
      <c r="J50" s="207" t="s">
        <v>34</v>
      </c>
      <c r="K50" s="207" t="s">
        <v>1516</v>
      </c>
      <c r="L50" s="206"/>
      <c r="M50" s="207" t="s">
        <v>1373</v>
      </c>
      <c r="N50" s="208"/>
      <c r="O50" s="206"/>
      <c r="P50" s="208"/>
      <c r="Q50" s="207">
        <v>1.0</v>
      </c>
      <c r="R50" s="207" t="s">
        <v>1517</v>
      </c>
      <c r="S50" s="207" t="s">
        <v>1402</v>
      </c>
      <c r="T50" s="205">
        <v>73.0</v>
      </c>
      <c r="U50" s="205">
        <v>13.0</v>
      </c>
      <c r="V50" s="206"/>
      <c r="W50" s="205">
        <v>30.0</v>
      </c>
      <c r="X50" s="205">
        <v>14.09507</v>
      </c>
      <c r="Y50" s="205">
        <v>0.916164</v>
      </c>
      <c r="Z50" s="205">
        <v>8.645068</v>
      </c>
      <c r="AA50" s="205">
        <v>2.21</v>
      </c>
      <c r="AB50" s="205">
        <v>0.969589</v>
      </c>
      <c r="AC50" s="205">
        <v>0.844932</v>
      </c>
      <c r="AD50" s="205">
        <v>0.564522</v>
      </c>
      <c r="AE50" s="205">
        <v>9.750274</v>
      </c>
      <c r="AF50" s="205">
        <v>0.795022</v>
      </c>
      <c r="AG50" s="205">
        <v>2.73</v>
      </c>
      <c r="AH50" s="205">
        <v>1.234932</v>
      </c>
      <c r="AI50" s="205">
        <v>16.86012</v>
      </c>
      <c r="AJ50" s="205">
        <v>-0.51576</v>
      </c>
      <c r="AK50" s="205">
        <v>-0.80518</v>
      </c>
      <c r="AL50" s="205">
        <v>1.04282</v>
      </c>
      <c r="AM50" s="205">
        <v>-0.76886</v>
      </c>
      <c r="AN50" s="205">
        <v>-0.13427</v>
      </c>
      <c r="AO50" s="205">
        <v>0.178726</v>
      </c>
      <c r="AP50" s="205">
        <v>1.100338</v>
      </c>
      <c r="AQ50" s="205">
        <v>-0.00187</v>
      </c>
      <c r="AR50" s="205">
        <v>0.854606</v>
      </c>
    </row>
    <row r="51">
      <c r="A51" s="205">
        <v>50.0</v>
      </c>
      <c r="B51" s="206"/>
      <c r="C51" s="206"/>
      <c r="D51" s="205">
        <v>0.104166</v>
      </c>
      <c r="E51" s="205">
        <v>-0.00362</v>
      </c>
      <c r="F51" s="205">
        <v>1.076124</v>
      </c>
      <c r="G51" s="206"/>
      <c r="H51" s="207" t="s">
        <v>1518</v>
      </c>
      <c r="I51" s="207" t="s">
        <v>197</v>
      </c>
      <c r="J51" s="207" t="s">
        <v>34</v>
      </c>
      <c r="K51" s="207" t="s">
        <v>1519</v>
      </c>
      <c r="L51" s="207" t="s">
        <v>1520</v>
      </c>
      <c r="M51" s="207" t="s">
        <v>1384</v>
      </c>
      <c r="N51" s="208"/>
      <c r="O51" s="206"/>
      <c r="P51" s="208"/>
      <c r="Q51" s="207">
        <v>3.0</v>
      </c>
      <c r="R51" s="207" t="s">
        <v>1517</v>
      </c>
      <c r="S51" s="207" t="s">
        <v>1375</v>
      </c>
      <c r="T51" s="205">
        <v>47.0</v>
      </c>
      <c r="U51" s="205">
        <v>14.0</v>
      </c>
      <c r="V51" s="206"/>
      <c r="W51" s="205">
        <v>27.0</v>
      </c>
      <c r="X51" s="205">
        <v>14.4817</v>
      </c>
      <c r="Y51" s="205">
        <v>0.311702</v>
      </c>
      <c r="Z51" s="205">
        <v>10.99809</v>
      </c>
      <c r="AA51" s="205">
        <v>1.331489</v>
      </c>
      <c r="AB51" s="205">
        <v>0.664255</v>
      </c>
      <c r="AC51" s="205">
        <v>1.605532</v>
      </c>
      <c r="AD51" s="205">
        <v>0.619996</v>
      </c>
      <c r="AE51" s="205">
        <v>9.359362</v>
      </c>
      <c r="AF51" s="205">
        <v>0.721003</v>
      </c>
      <c r="AG51" s="205">
        <v>3.556809</v>
      </c>
      <c r="AH51" s="205">
        <v>1.552979</v>
      </c>
      <c r="AI51" s="205">
        <v>18.94919</v>
      </c>
      <c r="AJ51" s="205">
        <v>-0.4479</v>
      </c>
      <c r="AK51" s="205">
        <v>-1.3863</v>
      </c>
      <c r="AL51" s="205">
        <v>2.00107</v>
      </c>
      <c r="AM51" s="205">
        <v>-1.19518</v>
      </c>
      <c r="AN51" s="205">
        <v>-1.0316</v>
      </c>
      <c r="AO51" s="205">
        <v>1.548603</v>
      </c>
      <c r="AP51" s="205">
        <v>1.82578</v>
      </c>
      <c r="AQ51" s="205">
        <v>-0.82693</v>
      </c>
      <c r="AR51" s="205">
        <v>0.449952</v>
      </c>
    </row>
    <row r="52">
      <c r="A52" s="205">
        <v>51.0</v>
      </c>
      <c r="B52" s="206"/>
      <c r="C52" s="206"/>
      <c r="D52" s="205">
        <v>0.101321</v>
      </c>
      <c r="E52" s="205">
        <v>-0.00257</v>
      </c>
      <c r="F52" s="205">
        <v>-0.34564</v>
      </c>
      <c r="G52" s="206"/>
      <c r="H52" s="207" t="s">
        <v>1521</v>
      </c>
      <c r="I52" s="207" t="s">
        <v>183</v>
      </c>
      <c r="J52" s="207" t="s">
        <v>34</v>
      </c>
      <c r="K52" s="207" t="s">
        <v>1522</v>
      </c>
      <c r="L52" s="206"/>
      <c r="M52" s="207" t="s">
        <v>1373</v>
      </c>
      <c r="N52" s="208"/>
      <c r="O52" s="206"/>
      <c r="P52" s="206"/>
      <c r="Q52" s="207">
        <v>5.0</v>
      </c>
      <c r="R52" s="207" t="s">
        <v>1523</v>
      </c>
      <c r="S52" s="207" t="s">
        <v>1375</v>
      </c>
      <c r="T52" s="205">
        <v>73.0</v>
      </c>
      <c r="U52" s="205">
        <v>13.0</v>
      </c>
      <c r="V52" s="206"/>
      <c r="W52" s="205">
        <v>32.0</v>
      </c>
      <c r="X52" s="205">
        <v>12.37959</v>
      </c>
      <c r="Y52" s="205">
        <v>0.0</v>
      </c>
      <c r="Z52" s="205">
        <v>11.41795</v>
      </c>
      <c r="AA52" s="205">
        <v>1.517945</v>
      </c>
      <c r="AB52" s="205">
        <v>0.853699</v>
      </c>
      <c r="AC52" s="205">
        <v>1.253973</v>
      </c>
      <c r="AD52" s="205">
        <v>0.679039</v>
      </c>
      <c r="AE52" s="205">
        <v>7.326027</v>
      </c>
      <c r="AF52" s="205">
        <v>0.677008</v>
      </c>
      <c r="AG52" s="205">
        <v>3.589726</v>
      </c>
      <c r="AH52" s="205">
        <v>0.99</v>
      </c>
      <c r="AI52" s="205">
        <v>13.4223</v>
      </c>
      <c r="AJ52" s="205">
        <v>-0.81687</v>
      </c>
      <c r="AK52" s="205">
        <v>-1.68596</v>
      </c>
      <c r="AL52" s="205">
        <v>2.172055</v>
      </c>
      <c r="AM52" s="205">
        <v>-1.1047</v>
      </c>
      <c r="AN52" s="205">
        <v>-0.47486</v>
      </c>
      <c r="AO52" s="205">
        <v>0.915428</v>
      </c>
      <c r="AP52" s="205">
        <v>2.071428</v>
      </c>
      <c r="AQ52" s="205">
        <v>-1.33087</v>
      </c>
      <c r="AR52" s="205">
        <v>1.166234</v>
      </c>
    </row>
    <row r="53">
      <c r="A53" s="205">
        <v>52.0</v>
      </c>
      <c r="B53" s="206"/>
      <c r="C53" s="206"/>
      <c r="D53" s="205">
        <v>0.089522</v>
      </c>
      <c r="E53" s="205">
        <v>-0.00171</v>
      </c>
      <c r="F53" s="205">
        <v>-0.94965</v>
      </c>
      <c r="G53" s="206"/>
      <c r="H53" s="207" t="s">
        <v>1524</v>
      </c>
      <c r="I53" s="207" t="s">
        <v>160</v>
      </c>
      <c r="J53" s="207" t="s">
        <v>1387</v>
      </c>
      <c r="K53" s="207" t="s">
        <v>1525</v>
      </c>
      <c r="L53" s="206"/>
      <c r="M53" s="207" t="s">
        <v>1384</v>
      </c>
      <c r="N53" s="208"/>
      <c r="O53" s="206"/>
      <c r="P53" s="208"/>
      <c r="Q53" s="207">
        <v>4.0</v>
      </c>
      <c r="R53" s="207" t="s">
        <v>1428</v>
      </c>
      <c r="S53" s="207" t="s">
        <v>1375</v>
      </c>
      <c r="T53" s="205">
        <v>64.0</v>
      </c>
      <c r="U53" s="205">
        <v>16.0</v>
      </c>
      <c r="V53" s="206"/>
      <c r="W53" s="205">
        <v>34.0</v>
      </c>
      <c r="X53" s="205">
        <v>22.05984</v>
      </c>
      <c r="Y53" s="205">
        <v>3.9725</v>
      </c>
      <c r="Z53" s="205">
        <v>4.958281</v>
      </c>
      <c r="AA53" s="205">
        <v>3.966719</v>
      </c>
      <c r="AB53" s="205">
        <v>1.058281</v>
      </c>
      <c r="AC53" s="205">
        <v>0.710313</v>
      </c>
      <c r="AD53" s="205">
        <v>0.420572</v>
      </c>
      <c r="AE53" s="205">
        <v>17.99188</v>
      </c>
      <c r="AF53" s="205">
        <v>0.864019</v>
      </c>
      <c r="AG53" s="205">
        <v>3.418438</v>
      </c>
      <c r="AH53" s="205">
        <v>2.556094</v>
      </c>
      <c r="AI53" s="205">
        <v>27.88155</v>
      </c>
      <c r="AJ53" s="205">
        <v>0.882232</v>
      </c>
      <c r="AK53" s="205">
        <v>2.133134</v>
      </c>
      <c r="AL53" s="205">
        <v>-0.4586</v>
      </c>
      <c r="AM53" s="205">
        <v>0.08364</v>
      </c>
      <c r="AN53" s="205">
        <v>0.126382</v>
      </c>
      <c r="AO53" s="205">
        <v>-0.06373</v>
      </c>
      <c r="AP53" s="205">
        <v>-1.81252</v>
      </c>
      <c r="AQ53" s="205">
        <v>0.741469</v>
      </c>
      <c r="AR53" s="205">
        <v>-0.82632</v>
      </c>
    </row>
    <row r="54">
      <c r="A54" s="205">
        <v>53.0</v>
      </c>
      <c r="B54" s="206"/>
      <c r="C54" s="206"/>
      <c r="D54" s="205">
        <v>0.087052</v>
      </c>
      <c r="E54" s="205">
        <v>-6.3E-4</v>
      </c>
      <c r="F54" s="205">
        <v>-1.54438</v>
      </c>
      <c r="G54" s="206"/>
      <c r="H54" s="207" t="s">
        <v>1526</v>
      </c>
      <c r="I54" s="207" t="s">
        <v>172</v>
      </c>
      <c r="J54" s="207" t="s">
        <v>1387</v>
      </c>
      <c r="K54" s="207" t="s">
        <v>1527</v>
      </c>
      <c r="L54" s="206"/>
      <c r="M54" s="207" t="s">
        <v>1384</v>
      </c>
      <c r="N54" s="208"/>
      <c r="O54" s="206"/>
      <c r="P54" s="208"/>
      <c r="Q54" s="207">
        <v>1.0</v>
      </c>
      <c r="R54" s="207" t="s">
        <v>1528</v>
      </c>
      <c r="S54" s="207" t="s">
        <v>1375</v>
      </c>
      <c r="T54" s="205">
        <v>53.0</v>
      </c>
      <c r="U54" s="205">
        <v>15.0</v>
      </c>
      <c r="V54" s="206"/>
      <c r="W54" s="205">
        <v>31.0</v>
      </c>
      <c r="X54" s="205">
        <v>21.86509</v>
      </c>
      <c r="Y54" s="205">
        <v>3.411132</v>
      </c>
      <c r="Z54" s="205">
        <v>5.65434</v>
      </c>
      <c r="AA54" s="205">
        <v>1.796038</v>
      </c>
      <c r="AB54" s="205">
        <v>0.729811</v>
      </c>
      <c r="AC54" s="205">
        <v>0.399811</v>
      </c>
      <c r="AD54" s="205">
        <v>0.457836</v>
      </c>
      <c r="AE54" s="205">
        <v>16.36453</v>
      </c>
      <c r="AF54" s="205">
        <v>0.886981</v>
      </c>
      <c r="AG54" s="205">
        <v>3.911509</v>
      </c>
      <c r="AH54" s="205">
        <v>1.46566</v>
      </c>
      <c r="AI54" s="205">
        <v>26.04982</v>
      </c>
      <c r="AJ54" s="205">
        <v>0.84805</v>
      </c>
      <c r="AK54" s="205">
        <v>1.593444</v>
      </c>
      <c r="AL54" s="205">
        <v>-0.17513</v>
      </c>
      <c r="AM54" s="205">
        <v>-0.96975</v>
      </c>
      <c r="AN54" s="205">
        <v>-0.83894</v>
      </c>
      <c r="AO54" s="205">
        <v>-0.62296</v>
      </c>
      <c r="AP54" s="205">
        <v>-0.74444</v>
      </c>
      <c r="AQ54" s="205">
        <v>1.132145</v>
      </c>
      <c r="AR54" s="205">
        <v>0.561048</v>
      </c>
    </row>
    <row r="55">
      <c r="A55" s="205">
        <v>54.0</v>
      </c>
      <c r="B55" s="206"/>
      <c r="C55" s="206"/>
      <c r="D55" s="205">
        <v>0.074369</v>
      </c>
      <c r="E55" s="205">
        <v>-9.6E-4</v>
      </c>
      <c r="F55" s="205">
        <v>0.565034</v>
      </c>
      <c r="G55" s="206"/>
      <c r="H55" s="207" t="s">
        <v>1529</v>
      </c>
      <c r="I55" s="207" t="s">
        <v>264</v>
      </c>
      <c r="J55" s="207" t="s">
        <v>1387</v>
      </c>
      <c r="K55" s="207" t="s">
        <v>1530</v>
      </c>
      <c r="L55" s="206"/>
      <c r="M55" s="207" t="s">
        <v>1373</v>
      </c>
      <c r="N55" s="206"/>
      <c r="O55" s="206"/>
      <c r="P55" s="206"/>
      <c r="Q55" s="207">
        <v>3.0</v>
      </c>
      <c r="R55" s="207" t="s">
        <v>1491</v>
      </c>
      <c r="S55" s="207" t="s">
        <v>1375</v>
      </c>
      <c r="T55" s="205">
        <v>73.0</v>
      </c>
      <c r="U55" s="205">
        <v>14.0</v>
      </c>
      <c r="V55" s="206"/>
      <c r="W55" s="205">
        <v>34.0</v>
      </c>
      <c r="X55" s="205">
        <v>20.80904</v>
      </c>
      <c r="Y55" s="205">
        <v>1.599315</v>
      </c>
      <c r="Z55" s="205">
        <v>5.761644</v>
      </c>
      <c r="AA55" s="205">
        <v>3.817945</v>
      </c>
      <c r="AB55" s="205">
        <v>1.107397</v>
      </c>
      <c r="AC55" s="205">
        <v>0.278219</v>
      </c>
      <c r="AD55" s="205">
        <v>0.485499</v>
      </c>
      <c r="AE55" s="205">
        <v>16.65959</v>
      </c>
      <c r="AF55" s="205">
        <v>0.866993</v>
      </c>
      <c r="AG55" s="205">
        <v>3.49863</v>
      </c>
      <c r="AH55" s="205">
        <v>1.804795</v>
      </c>
      <c r="AI55" s="205">
        <v>26.08894</v>
      </c>
      <c r="AJ55" s="205">
        <v>0.662689</v>
      </c>
      <c r="AK55" s="205">
        <v>-0.14841</v>
      </c>
      <c r="AL55" s="205">
        <v>-0.13144</v>
      </c>
      <c r="AM55" s="205">
        <v>0.011443</v>
      </c>
      <c r="AN55" s="205">
        <v>0.270727</v>
      </c>
      <c r="AO55" s="205">
        <v>-0.84195</v>
      </c>
      <c r="AP55" s="205">
        <v>-0.07511</v>
      </c>
      <c r="AQ55" s="205">
        <v>0.791802</v>
      </c>
      <c r="AR55" s="205">
        <v>0.129566</v>
      </c>
    </row>
    <row r="56">
      <c r="A56" s="205">
        <v>55.0</v>
      </c>
      <c r="B56" s="206"/>
      <c r="C56" s="206"/>
      <c r="D56" s="205">
        <v>0.073931</v>
      </c>
      <c r="E56" s="205">
        <v>9.62E-4</v>
      </c>
      <c r="F56" s="205">
        <v>-1.86032</v>
      </c>
      <c r="G56" s="206"/>
      <c r="H56" s="207" t="s">
        <v>1531</v>
      </c>
      <c r="I56" s="207" t="s">
        <v>197</v>
      </c>
      <c r="J56" s="207" t="s">
        <v>1379</v>
      </c>
      <c r="K56" s="207" t="s">
        <v>1532</v>
      </c>
      <c r="L56" s="206"/>
      <c r="M56" s="207" t="s">
        <v>1384</v>
      </c>
      <c r="N56" s="208"/>
      <c r="O56" s="206"/>
      <c r="P56" s="208"/>
      <c r="Q56" s="207">
        <v>2.0</v>
      </c>
      <c r="R56" s="207" t="s">
        <v>1459</v>
      </c>
      <c r="S56" s="207" t="s">
        <v>1375</v>
      </c>
      <c r="T56" s="205">
        <v>60.0</v>
      </c>
      <c r="U56" s="205">
        <v>14.0</v>
      </c>
      <c r="V56" s="206"/>
      <c r="W56" s="205">
        <v>33.0</v>
      </c>
      <c r="X56" s="205">
        <v>27.12117</v>
      </c>
      <c r="Y56" s="205">
        <v>2.123333</v>
      </c>
      <c r="Z56" s="205">
        <v>5.148</v>
      </c>
      <c r="AA56" s="205">
        <v>7.7935</v>
      </c>
      <c r="AB56" s="205">
        <v>1.144</v>
      </c>
      <c r="AC56" s="205">
        <v>0.284667</v>
      </c>
      <c r="AD56" s="205">
        <v>0.469307</v>
      </c>
      <c r="AE56" s="205">
        <v>20.73517</v>
      </c>
      <c r="AF56" s="205">
        <v>0.808988</v>
      </c>
      <c r="AG56" s="205">
        <v>6.8425</v>
      </c>
      <c r="AH56" s="205">
        <v>3.703333</v>
      </c>
      <c r="AI56" s="205">
        <v>34.10738</v>
      </c>
      <c r="AJ56" s="205">
        <v>1.770606</v>
      </c>
      <c r="AK56" s="205">
        <v>0.355376</v>
      </c>
      <c r="AL56" s="205">
        <v>-0.38134</v>
      </c>
      <c r="AM56" s="205">
        <v>1.940698</v>
      </c>
      <c r="AN56" s="205">
        <v>0.378297</v>
      </c>
      <c r="AO56" s="205">
        <v>-0.83034</v>
      </c>
      <c r="AP56" s="205">
        <v>-0.59252</v>
      </c>
      <c r="AQ56" s="205">
        <v>0.310556</v>
      </c>
      <c r="AR56" s="205">
        <v>-2.28596</v>
      </c>
    </row>
    <row r="57">
      <c r="A57" s="205">
        <v>56.0</v>
      </c>
      <c r="B57" s="206"/>
      <c r="C57" s="206"/>
      <c r="D57" s="205">
        <v>0.071396</v>
      </c>
      <c r="E57" s="205">
        <v>7.93E-4</v>
      </c>
      <c r="F57" s="205">
        <v>-1.34923</v>
      </c>
      <c r="G57" s="206"/>
      <c r="H57" s="207" t="s">
        <v>1533</v>
      </c>
      <c r="I57" s="207" t="s">
        <v>81</v>
      </c>
      <c r="J57" s="207" t="s">
        <v>1387</v>
      </c>
      <c r="K57" s="207" t="s">
        <v>1534</v>
      </c>
      <c r="L57" s="207" t="s">
        <v>1535</v>
      </c>
      <c r="M57" s="207" t="s">
        <v>1384</v>
      </c>
      <c r="N57" s="208"/>
      <c r="O57" s="206"/>
      <c r="P57" s="208"/>
      <c r="Q57" s="207">
        <v>1.0</v>
      </c>
      <c r="R57" s="207" t="s">
        <v>1536</v>
      </c>
      <c r="S57" s="207" t="s">
        <v>1375</v>
      </c>
      <c r="T57" s="205">
        <v>53.0</v>
      </c>
      <c r="U57" s="205">
        <v>16.0</v>
      </c>
      <c r="V57" s="206"/>
      <c r="W57" s="205">
        <v>32.0</v>
      </c>
      <c r="X57" s="205">
        <v>16.63868</v>
      </c>
      <c r="Y57" s="205">
        <v>2.455849</v>
      </c>
      <c r="Z57" s="205">
        <v>5.016038</v>
      </c>
      <c r="AA57" s="205">
        <v>3.901509</v>
      </c>
      <c r="AB57" s="205">
        <v>1.639623</v>
      </c>
      <c r="AC57" s="205">
        <v>0.530189</v>
      </c>
      <c r="AD57" s="205">
        <v>0.448288</v>
      </c>
      <c r="AE57" s="205">
        <v>13.85943</v>
      </c>
      <c r="AF57" s="205">
        <v>0.844995</v>
      </c>
      <c r="AG57" s="205">
        <v>2.079057</v>
      </c>
      <c r="AH57" s="205">
        <v>2.318491</v>
      </c>
      <c r="AI57" s="205">
        <v>23.52015</v>
      </c>
      <c r="AJ57" s="205">
        <v>-0.0693</v>
      </c>
      <c r="AK57" s="205">
        <v>0.675051</v>
      </c>
      <c r="AL57" s="205">
        <v>-0.43508</v>
      </c>
      <c r="AM57" s="205">
        <v>0.051995</v>
      </c>
      <c r="AN57" s="205">
        <v>1.834858</v>
      </c>
      <c r="AO57" s="205">
        <v>-0.38814</v>
      </c>
      <c r="AP57" s="205">
        <v>-0.82557</v>
      </c>
      <c r="AQ57" s="205">
        <v>0.322765</v>
      </c>
      <c r="AR57" s="205">
        <v>-0.52401</v>
      </c>
    </row>
    <row r="58">
      <c r="A58" s="205">
        <v>57.0</v>
      </c>
      <c r="B58" s="206"/>
      <c r="C58" s="206"/>
      <c r="D58" s="205">
        <v>0.067028</v>
      </c>
      <c r="E58" s="205">
        <v>-0.00127</v>
      </c>
      <c r="F58" s="205">
        <v>-1.08904</v>
      </c>
      <c r="G58" s="206"/>
      <c r="H58" s="207" t="s">
        <v>1537</v>
      </c>
      <c r="I58" s="207" t="s">
        <v>138</v>
      </c>
      <c r="J58" s="207" t="s">
        <v>1379</v>
      </c>
      <c r="K58" s="207" t="s">
        <v>1538</v>
      </c>
      <c r="L58" s="206"/>
      <c r="M58" s="207" t="s">
        <v>1373</v>
      </c>
      <c r="N58" s="208"/>
      <c r="O58" s="206"/>
      <c r="P58" s="206"/>
      <c r="Q58" s="207">
        <v>3.0</v>
      </c>
      <c r="R58" s="207" t="s">
        <v>1471</v>
      </c>
      <c r="S58" s="207" t="s">
        <v>1375</v>
      </c>
      <c r="T58" s="205">
        <v>73.0</v>
      </c>
      <c r="U58" s="205">
        <v>15.0</v>
      </c>
      <c r="V58" s="206"/>
      <c r="W58" s="205">
        <v>32.0</v>
      </c>
      <c r="X58" s="205">
        <v>17.72644</v>
      </c>
      <c r="Y58" s="205">
        <v>2.901644</v>
      </c>
      <c r="Z58" s="205">
        <v>4.463288</v>
      </c>
      <c r="AA58" s="205">
        <v>6.24863</v>
      </c>
      <c r="AB58" s="205">
        <v>0.96137</v>
      </c>
      <c r="AC58" s="205">
        <v>0.13589</v>
      </c>
      <c r="AD58" s="205">
        <v>0.436883</v>
      </c>
      <c r="AE58" s="205">
        <v>13.45836</v>
      </c>
      <c r="AF58" s="205">
        <v>0.876018</v>
      </c>
      <c r="AG58" s="205">
        <v>3.499178</v>
      </c>
      <c r="AH58" s="205">
        <v>1.716712</v>
      </c>
      <c r="AI58" s="205">
        <v>21.90375</v>
      </c>
      <c r="AJ58" s="205">
        <v>0.121624</v>
      </c>
      <c r="AK58" s="205">
        <v>1.103631</v>
      </c>
      <c r="AL58" s="205">
        <v>-0.66018</v>
      </c>
      <c r="AM58" s="205">
        <v>1.191004</v>
      </c>
      <c r="AN58" s="205">
        <v>-0.15843</v>
      </c>
      <c r="AO58" s="205">
        <v>-1.09829</v>
      </c>
      <c r="AP58" s="205">
        <v>-1.02893</v>
      </c>
      <c r="AQ58" s="205">
        <v>0.891185</v>
      </c>
      <c r="AR58" s="205">
        <v>0.241633</v>
      </c>
    </row>
    <row r="59">
      <c r="A59" s="205">
        <v>58.0</v>
      </c>
      <c r="B59" s="206"/>
      <c r="C59" s="206"/>
      <c r="D59" s="205">
        <v>0.065736</v>
      </c>
      <c r="E59" s="205">
        <v>-0.00402</v>
      </c>
      <c r="F59" s="205">
        <v>-0.10403</v>
      </c>
      <c r="G59" s="206"/>
      <c r="H59" s="207" t="s">
        <v>1539</v>
      </c>
      <c r="I59" s="207" t="s">
        <v>204</v>
      </c>
      <c r="J59" s="207" t="s">
        <v>1387</v>
      </c>
      <c r="K59" s="207" t="s">
        <v>1540</v>
      </c>
      <c r="L59" s="206"/>
      <c r="M59" s="207" t="s">
        <v>1384</v>
      </c>
      <c r="N59" s="207" t="s">
        <v>1414</v>
      </c>
      <c r="O59" s="206"/>
      <c r="P59" s="208"/>
      <c r="Q59" s="207">
        <v>4.0</v>
      </c>
      <c r="R59" s="207" t="s">
        <v>1541</v>
      </c>
      <c r="S59" s="207" t="s">
        <v>1402</v>
      </c>
      <c r="T59" s="205">
        <v>64.0</v>
      </c>
      <c r="U59" s="205">
        <v>14.0</v>
      </c>
      <c r="V59" s="206"/>
      <c r="W59" s="205">
        <v>27.0</v>
      </c>
      <c r="X59" s="205">
        <v>13.505</v>
      </c>
      <c r="Y59" s="205">
        <v>1.240781</v>
      </c>
      <c r="Z59" s="205">
        <v>7.044688</v>
      </c>
      <c r="AA59" s="205">
        <v>1.57625</v>
      </c>
      <c r="AB59" s="205">
        <v>1.533906</v>
      </c>
      <c r="AC59" s="205">
        <v>0.854219</v>
      </c>
      <c r="AD59" s="205">
        <v>0.493378</v>
      </c>
      <c r="AE59" s="205">
        <v>11.07797</v>
      </c>
      <c r="AF59" s="205">
        <v>0.752028</v>
      </c>
      <c r="AG59" s="205">
        <v>1.7725</v>
      </c>
      <c r="AH59" s="205">
        <v>1.252344</v>
      </c>
      <c r="AI59" s="205">
        <v>19.92446</v>
      </c>
      <c r="AJ59" s="205">
        <v>-0.61933</v>
      </c>
      <c r="AK59" s="205">
        <v>-0.49309</v>
      </c>
      <c r="AL59" s="205">
        <v>0.391075</v>
      </c>
      <c r="AM59" s="205">
        <v>-1.0764</v>
      </c>
      <c r="AN59" s="205">
        <v>1.524174</v>
      </c>
      <c r="AO59" s="205">
        <v>0.195453</v>
      </c>
      <c r="AP59" s="205">
        <v>0.081514</v>
      </c>
      <c r="AQ59" s="205">
        <v>-0.24421</v>
      </c>
      <c r="AR59" s="205">
        <v>0.832452</v>
      </c>
    </row>
    <row r="60">
      <c r="A60" s="205">
        <v>59.0</v>
      </c>
      <c r="B60" s="206"/>
      <c r="C60" s="206"/>
      <c r="D60" s="205">
        <v>0.065326</v>
      </c>
      <c r="E60" s="205">
        <v>0.002316</v>
      </c>
      <c r="F60" s="205">
        <v>-1.66518</v>
      </c>
      <c r="G60" s="206"/>
      <c r="H60" s="207" t="s">
        <v>1542</v>
      </c>
      <c r="I60" s="207" t="s">
        <v>1488</v>
      </c>
      <c r="J60" s="207" t="s">
        <v>1387</v>
      </c>
      <c r="K60" s="207" t="s">
        <v>1543</v>
      </c>
      <c r="L60" s="206"/>
      <c r="M60" s="207" t="s">
        <v>1384</v>
      </c>
      <c r="N60" s="208"/>
      <c r="O60" s="206"/>
      <c r="P60" s="208"/>
      <c r="Q60" s="207">
        <v>2.0</v>
      </c>
      <c r="R60" s="207" t="s">
        <v>1439</v>
      </c>
      <c r="S60" s="207" t="s">
        <v>1375</v>
      </c>
      <c r="T60" s="205">
        <v>58.0</v>
      </c>
      <c r="U60" s="205">
        <v>15.0</v>
      </c>
      <c r="V60" s="206"/>
      <c r="W60" s="205">
        <v>32.0</v>
      </c>
      <c r="X60" s="205">
        <v>27.48466</v>
      </c>
      <c r="Y60" s="205">
        <v>0.157241</v>
      </c>
      <c r="Z60" s="205">
        <v>7.07</v>
      </c>
      <c r="AA60" s="205">
        <v>5.992586</v>
      </c>
      <c r="AB60" s="205">
        <v>1.212069</v>
      </c>
      <c r="AC60" s="205">
        <v>0.875345</v>
      </c>
      <c r="AD60" s="205">
        <v>0.578747</v>
      </c>
      <c r="AE60" s="205">
        <v>18.85345</v>
      </c>
      <c r="AF60" s="205">
        <v>0.679009</v>
      </c>
      <c r="AG60" s="205">
        <v>8.106897</v>
      </c>
      <c r="AH60" s="205">
        <v>3.139483</v>
      </c>
      <c r="AI60" s="205">
        <v>33.48779</v>
      </c>
      <c r="AJ60" s="205">
        <v>1.834407</v>
      </c>
      <c r="AK60" s="205">
        <v>-1.53479</v>
      </c>
      <c r="AL60" s="205">
        <v>0.401384</v>
      </c>
      <c r="AM60" s="205">
        <v>1.066752</v>
      </c>
      <c r="AN60" s="205">
        <v>0.578341</v>
      </c>
      <c r="AO60" s="205">
        <v>0.233502</v>
      </c>
      <c r="AP60" s="205">
        <v>2.519066</v>
      </c>
      <c r="AQ60" s="205">
        <v>-2.94216</v>
      </c>
      <c r="AR60" s="205">
        <v>-1.56857</v>
      </c>
    </row>
    <row r="61">
      <c r="A61" s="205">
        <v>60.0</v>
      </c>
      <c r="B61" s="206"/>
      <c r="C61" s="206"/>
      <c r="D61" s="205">
        <v>0.043553</v>
      </c>
      <c r="E61" s="205">
        <v>-0.00161</v>
      </c>
      <c r="F61" s="205">
        <v>0.602204</v>
      </c>
      <c r="G61" s="206"/>
      <c r="H61" s="207" t="s">
        <v>1544</v>
      </c>
      <c r="I61" s="207" t="s">
        <v>271</v>
      </c>
      <c r="J61" s="207" t="s">
        <v>1379</v>
      </c>
      <c r="K61" s="207" t="s">
        <v>1545</v>
      </c>
      <c r="L61" s="206"/>
      <c r="M61" s="207" t="s">
        <v>1373</v>
      </c>
      <c r="N61" s="207" t="s">
        <v>1503</v>
      </c>
      <c r="O61" s="206"/>
      <c r="P61" s="206"/>
      <c r="Q61" s="207">
        <v>4.0</v>
      </c>
      <c r="R61" s="207" t="s">
        <v>1466</v>
      </c>
      <c r="S61" s="207" t="s">
        <v>1375</v>
      </c>
      <c r="T61" s="205">
        <v>73.0</v>
      </c>
      <c r="U61" s="205">
        <v>13.0</v>
      </c>
      <c r="V61" s="206"/>
      <c r="W61" s="205">
        <v>33.0</v>
      </c>
      <c r="X61" s="205">
        <v>22.47932</v>
      </c>
      <c r="Y61" s="205">
        <v>2.823836</v>
      </c>
      <c r="Z61" s="205">
        <v>4.29</v>
      </c>
      <c r="AA61" s="205">
        <v>4.256575</v>
      </c>
      <c r="AB61" s="205">
        <v>0.855205</v>
      </c>
      <c r="AC61" s="205">
        <v>0.214932</v>
      </c>
      <c r="AD61" s="205">
        <v>0.463321</v>
      </c>
      <c r="AE61" s="205">
        <v>15.58671</v>
      </c>
      <c r="AF61" s="205">
        <v>0.87999</v>
      </c>
      <c r="AG61" s="205">
        <v>5.923014</v>
      </c>
      <c r="AH61" s="205">
        <v>2.430959</v>
      </c>
      <c r="AI61" s="205">
        <v>25.9899</v>
      </c>
      <c r="AJ61" s="205">
        <v>0.955859</v>
      </c>
      <c r="AK61" s="205">
        <v>1.028827</v>
      </c>
      <c r="AL61" s="205">
        <v>-0.73075</v>
      </c>
      <c r="AM61" s="205">
        <v>0.224302</v>
      </c>
      <c r="AN61" s="205">
        <v>-0.47043</v>
      </c>
      <c r="AO61" s="205">
        <v>-0.95593</v>
      </c>
      <c r="AP61" s="205">
        <v>-0.58208</v>
      </c>
      <c r="AQ61" s="205">
        <v>1.589294</v>
      </c>
      <c r="AR61" s="205">
        <v>-0.66711</v>
      </c>
    </row>
    <row r="62">
      <c r="A62" s="205">
        <v>61.0</v>
      </c>
      <c r="B62" s="206"/>
      <c r="C62" s="206"/>
      <c r="D62" s="205">
        <v>0.040728</v>
      </c>
      <c r="E62" s="205">
        <v>-0.00325</v>
      </c>
      <c r="F62" s="205">
        <v>-3.06835</v>
      </c>
      <c r="G62" s="206"/>
      <c r="H62" s="207" t="s">
        <v>1546</v>
      </c>
      <c r="I62" s="207" t="s">
        <v>75</v>
      </c>
      <c r="J62" s="207" t="s">
        <v>34</v>
      </c>
      <c r="K62" s="207" t="s">
        <v>1547</v>
      </c>
      <c r="L62" s="206"/>
      <c r="M62" s="207" t="s">
        <v>1384</v>
      </c>
      <c r="N62" s="207" t="s">
        <v>1548</v>
      </c>
      <c r="O62" s="206"/>
      <c r="P62" s="206"/>
      <c r="Q62" s="207">
        <v>4.0</v>
      </c>
      <c r="R62" s="207" t="s">
        <v>1422</v>
      </c>
      <c r="S62" s="207" t="s">
        <v>1375</v>
      </c>
      <c r="T62" s="205">
        <v>68.0</v>
      </c>
      <c r="U62" s="205">
        <v>14.0</v>
      </c>
      <c r="V62" s="206"/>
      <c r="W62" s="205">
        <v>32.0</v>
      </c>
      <c r="X62" s="205">
        <v>14.84897</v>
      </c>
      <c r="Y62" s="205">
        <v>0.093088</v>
      </c>
      <c r="Z62" s="205">
        <v>10.64926</v>
      </c>
      <c r="AA62" s="205">
        <v>1.567941</v>
      </c>
      <c r="AB62" s="205">
        <v>0.856765</v>
      </c>
      <c r="AC62" s="205">
        <v>0.974265</v>
      </c>
      <c r="AD62" s="205">
        <v>0.574801</v>
      </c>
      <c r="AE62" s="205">
        <v>11.62985</v>
      </c>
      <c r="AF62" s="205">
        <v>0.744962</v>
      </c>
      <c r="AG62" s="205">
        <v>1.860735</v>
      </c>
      <c r="AH62" s="205">
        <v>1.567941</v>
      </c>
      <c r="AI62" s="205">
        <v>19.49433</v>
      </c>
      <c r="AJ62" s="205">
        <v>-0.38344</v>
      </c>
      <c r="AK62" s="205">
        <v>-1.59647</v>
      </c>
      <c r="AL62" s="205">
        <v>1.859015</v>
      </c>
      <c r="AM62" s="205">
        <v>-1.08044</v>
      </c>
      <c r="AN62" s="205">
        <v>-0.46585</v>
      </c>
      <c r="AO62" s="205">
        <v>0.411661</v>
      </c>
      <c r="AP62" s="205">
        <v>1.488348</v>
      </c>
      <c r="AQ62" s="205">
        <v>-0.2972</v>
      </c>
      <c r="AR62" s="205">
        <v>0.430915</v>
      </c>
    </row>
    <row r="63">
      <c r="A63" s="205">
        <v>62.0</v>
      </c>
      <c r="B63" s="206"/>
      <c r="C63" s="206"/>
      <c r="D63" s="205">
        <v>0.038832</v>
      </c>
      <c r="E63" s="205">
        <v>-0.00342</v>
      </c>
      <c r="F63" s="205">
        <v>0.035358</v>
      </c>
      <c r="G63" s="206"/>
      <c r="H63" s="207" t="s">
        <v>1549</v>
      </c>
      <c r="I63" s="207" t="s">
        <v>264</v>
      </c>
      <c r="J63" s="207" t="s">
        <v>1412</v>
      </c>
      <c r="K63" s="207" t="s">
        <v>1550</v>
      </c>
      <c r="L63" s="206"/>
      <c r="M63" s="207" t="s">
        <v>1384</v>
      </c>
      <c r="N63" s="207" t="s">
        <v>1551</v>
      </c>
      <c r="O63" s="206"/>
      <c r="P63" s="206"/>
      <c r="Q63" s="207">
        <v>4.0</v>
      </c>
      <c r="R63" s="207" t="s">
        <v>1466</v>
      </c>
      <c r="S63" s="207" t="s">
        <v>1375</v>
      </c>
      <c r="T63" s="205">
        <v>68.0</v>
      </c>
      <c r="U63" s="205">
        <v>14.0</v>
      </c>
      <c r="V63" s="206"/>
      <c r="W63" s="205">
        <v>34.0</v>
      </c>
      <c r="X63" s="205">
        <v>18.04632</v>
      </c>
      <c r="Y63" s="205">
        <v>2.480147</v>
      </c>
      <c r="Z63" s="205">
        <v>4.512059</v>
      </c>
      <c r="AA63" s="205">
        <v>4.165</v>
      </c>
      <c r="AB63" s="205">
        <v>1.043235</v>
      </c>
      <c r="AC63" s="205">
        <v>0.346618</v>
      </c>
      <c r="AD63" s="205">
        <v>0.485113</v>
      </c>
      <c r="AE63" s="205">
        <v>13.88368</v>
      </c>
      <c r="AF63" s="205">
        <v>0.88803</v>
      </c>
      <c r="AG63" s="205">
        <v>2.360147</v>
      </c>
      <c r="AH63" s="205">
        <v>1.943676</v>
      </c>
      <c r="AI63" s="205">
        <v>21.99641</v>
      </c>
      <c r="AJ63" s="205">
        <v>0.177771</v>
      </c>
      <c r="AK63" s="205">
        <v>0.698411</v>
      </c>
      <c r="AL63" s="205">
        <v>-0.64032</v>
      </c>
      <c r="AM63" s="205">
        <v>0.179862</v>
      </c>
      <c r="AN63" s="205">
        <v>0.082164</v>
      </c>
      <c r="AO63" s="205">
        <v>-0.71876</v>
      </c>
      <c r="AP63" s="205">
        <v>-0.06949</v>
      </c>
      <c r="AQ63" s="205">
        <v>0.686982</v>
      </c>
      <c r="AR63" s="205">
        <v>-0.04713</v>
      </c>
    </row>
    <row r="64">
      <c r="A64" s="205">
        <v>63.0</v>
      </c>
      <c r="B64" s="206"/>
      <c r="C64" s="206"/>
      <c r="D64" s="205">
        <v>0.016758</v>
      </c>
      <c r="E64" s="205">
        <v>1.51E-4</v>
      </c>
      <c r="F64" s="205">
        <v>0.230502</v>
      </c>
      <c r="G64" s="206"/>
      <c r="H64" s="207" t="s">
        <v>1552</v>
      </c>
      <c r="I64" s="207" t="s">
        <v>1430</v>
      </c>
      <c r="J64" s="207" t="s">
        <v>1379</v>
      </c>
      <c r="K64" s="207" t="s">
        <v>1553</v>
      </c>
      <c r="L64" s="206"/>
      <c r="M64" s="207" t="s">
        <v>1384</v>
      </c>
      <c r="N64" s="208"/>
      <c r="O64" s="206"/>
      <c r="P64" s="206"/>
      <c r="Q64" s="207">
        <v>5.0</v>
      </c>
      <c r="R64" s="207" t="s">
        <v>1554</v>
      </c>
      <c r="S64" s="207" t="s">
        <v>1375</v>
      </c>
      <c r="T64" s="205">
        <v>68.0</v>
      </c>
      <c r="U64" s="205">
        <v>14.0</v>
      </c>
      <c r="V64" s="206"/>
      <c r="W64" s="205">
        <v>35.0</v>
      </c>
      <c r="X64" s="205">
        <v>24.84897</v>
      </c>
      <c r="Y64" s="205">
        <v>2.247647</v>
      </c>
      <c r="Z64" s="205">
        <v>2.815294</v>
      </c>
      <c r="AA64" s="205">
        <v>6.713382</v>
      </c>
      <c r="AB64" s="205">
        <v>0.933676</v>
      </c>
      <c r="AC64" s="205">
        <v>0.144853</v>
      </c>
      <c r="AD64" s="205">
        <v>0.482759</v>
      </c>
      <c r="AE64" s="205">
        <v>17.83103</v>
      </c>
      <c r="AF64" s="205">
        <v>0.82301</v>
      </c>
      <c r="AG64" s="205">
        <v>6.543235</v>
      </c>
      <c r="AH64" s="205">
        <v>2.606765</v>
      </c>
      <c r="AI64" s="205">
        <v>28.83605</v>
      </c>
      <c r="AJ64" s="205">
        <v>1.371786</v>
      </c>
      <c r="AK64" s="205">
        <v>0.474889</v>
      </c>
      <c r="AL64" s="205">
        <v>-1.33132</v>
      </c>
      <c r="AM64" s="205">
        <v>1.416539</v>
      </c>
      <c r="AN64" s="205">
        <v>-0.23981</v>
      </c>
      <c r="AO64" s="205">
        <v>-1.08215</v>
      </c>
      <c r="AP64" s="205">
        <v>-0.15325</v>
      </c>
      <c r="AQ64" s="205">
        <v>0.584913</v>
      </c>
      <c r="AR64" s="205">
        <v>-0.89079</v>
      </c>
    </row>
    <row r="65">
      <c r="A65" s="205">
        <v>64.0</v>
      </c>
      <c r="B65" s="206"/>
      <c r="C65" s="206"/>
      <c r="D65" s="205">
        <v>0.015399</v>
      </c>
      <c r="E65" s="205">
        <v>-0.00502</v>
      </c>
      <c r="F65" s="205">
        <v>-0.1412</v>
      </c>
      <c r="G65" s="206"/>
      <c r="H65" s="207" t="s">
        <v>1555</v>
      </c>
      <c r="I65" s="207" t="s">
        <v>58</v>
      </c>
      <c r="J65" s="207" t="s">
        <v>34</v>
      </c>
      <c r="K65" s="207" t="s">
        <v>1556</v>
      </c>
      <c r="L65" s="206"/>
      <c r="M65" s="207" t="s">
        <v>1384</v>
      </c>
      <c r="N65" s="208"/>
      <c r="O65" s="206"/>
      <c r="P65" s="206"/>
      <c r="Q65" s="207">
        <v>4.0</v>
      </c>
      <c r="R65" s="207" t="s">
        <v>1517</v>
      </c>
      <c r="S65" s="207" t="s">
        <v>1402</v>
      </c>
      <c r="T65" s="205">
        <v>68.0</v>
      </c>
      <c r="U65" s="205">
        <v>13.0</v>
      </c>
      <c r="V65" s="206"/>
      <c r="W65" s="205">
        <v>27.0</v>
      </c>
      <c r="X65" s="205">
        <v>10.70441</v>
      </c>
      <c r="Y65" s="205">
        <v>0.062941</v>
      </c>
      <c r="Z65" s="205">
        <v>9.466912</v>
      </c>
      <c r="AA65" s="205">
        <v>3.4425</v>
      </c>
      <c r="AB65" s="205">
        <v>0.911618</v>
      </c>
      <c r="AC65" s="205">
        <v>1.095</v>
      </c>
      <c r="AD65" s="205">
        <v>0.599334</v>
      </c>
      <c r="AE65" s="205">
        <v>8.032206</v>
      </c>
      <c r="AF65" s="205">
        <v>0.700976</v>
      </c>
      <c r="AG65" s="205">
        <v>1.445882</v>
      </c>
      <c r="AH65" s="205">
        <v>1.549118</v>
      </c>
      <c r="AI65" s="205">
        <v>16.23745</v>
      </c>
      <c r="AJ65" s="205">
        <v>-1.1109</v>
      </c>
      <c r="AK65" s="205">
        <v>-1.62545</v>
      </c>
      <c r="AL65" s="205">
        <v>1.37751</v>
      </c>
      <c r="AM65" s="205">
        <v>-0.17075</v>
      </c>
      <c r="AN65" s="205">
        <v>-0.30464</v>
      </c>
      <c r="AO65" s="205">
        <v>0.629111</v>
      </c>
      <c r="AP65" s="205">
        <v>1.321879</v>
      </c>
      <c r="AQ65" s="205">
        <v>-0.43304</v>
      </c>
      <c r="AR65" s="205">
        <v>0.454865</v>
      </c>
    </row>
    <row r="66">
      <c r="A66" s="205">
        <v>65.0</v>
      </c>
      <c r="B66" s="206"/>
      <c r="C66" s="206"/>
      <c r="D66" s="205">
        <v>0.001011</v>
      </c>
      <c r="E66" s="205">
        <v>-0.00343</v>
      </c>
      <c r="F66" s="205">
        <v>1.16905</v>
      </c>
      <c r="G66" s="206"/>
      <c r="H66" s="207" t="s">
        <v>1557</v>
      </c>
      <c r="I66" s="207" t="s">
        <v>121</v>
      </c>
      <c r="J66" s="207" t="s">
        <v>34</v>
      </c>
      <c r="K66" s="207" t="s">
        <v>1558</v>
      </c>
      <c r="L66" s="206"/>
      <c r="M66" s="207" t="s">
        <v>1442</v>
      </c>
      <c r="N66" s="206"/>
      <c r="O66" s="206"/>
      <c r="P66" s="206"/>
      <c r="Q66" s="207">
        <v>5.0</v>
      </c>
      <c r="R66" s="207" t="s">
        <v>1523</v>
      </c>
      <c r="S66" s="207" t="s">
        <v>1375</v>
      </c>
      <c r="T66" s="205">
        <v>77.0</v>
      </c>
      <c r="U66" s="205">
        <v>14.0</v>
      </c>
      <c r="V66" s="206"/>
      <c r="W66" s="205">
        <v>28.0</v>
      </c>
      <c r="X66" s="205">
        <v>13.5139</v>
      </c>
      <c r="Y66" s="205">
        <v>0.0</v>
      </c>
      <c r="Z66" s="205">
        <v>9.24987</v>
      </c>
      <c r="AA66" s="205">
        <v>1.941688</v>
      </c>
      <c r="AB66" s="205">
        <v>0.824805</v>
      </c>
      <c r="AC66" s="205">
        <v>0.825065</v>
      </c>
      <c r="AD66" s="205">
        <v>0.683118</v>
      </c>
      <c r="AE66" s="205">
        <v>8.188961</v>
      </c>
      <c r="AF66" s="205">
        <v>0.709998</v>
      </c>
      <c r="AG66" s="205">
        <v>3.275844</v>
      </c>
      <c r="AH66" s="205">
        <v>1.237662</v>
      </c>
      <c r="AI66" s="205">
        <v>16.6459</v>
      </c>
      <c r="AJ66" s="205">
        <v>-0.61777</v>
      </c>
      <c r="AK66" s="205">
        <v>-1.68596</v>
      </c>
      <c r="AL66" s="205">
        <v>1.289121</v>
      </c>
      <c r="AM66" s="205">
        <v>-0.89907</v>
      </c>
      <c r="AN66" s="205">
        <v>-0.55977</v>
      </c>
      <c r="AO66" s="205">
        <v>0.142946</v>
      </c>
      <c r="AP66" s="205">
        <v>2.364163</v>
      </c>
      <c r="AQ66" s="205">
        <v>-0.87569</v>
      </c>
      <c r="AR66" s="205">
        <v>0.851131</v>
      </c>
    </row>
    <row r="67">
      <c r="A67" s="205">
        <v>66.0</v>
      </c>
      <c r="B67" s="206"/>
      <c r="C67" s="206"/>
      <c r="D67" s="205">
        <v>-0.00504</v>
      </c>
      <c r="E67" s="205">
        <v>-0.00413</v>
      </c>
      <c r="F67" s="205">
        <v>0.063236</v>
      </c>
      <c r="G67" s="206"/>
      <c r="H67" s="207" t="s">
        <v>1559</v>
      </c>
      <c r="I67" s="207" t="s">
        <v>168</v>
      </c>
      <c r="J67" s="207" t="s">
        <v>1387</v>
      </c>
      <c r="K67" s="207" t="s">
        <v>1560</v>
      </c>
      <c r="L67" s="206"/>
      <c r="M67" s="207" t="s">
        <v>1442</v>
      </c>
      <c r="N67" s="207" t="s">
        <v>1414</v>
      </c>
      <c r="O67" s="206"/>
      <c r="P67" s="208"/>
      <c r="Q67" s="207">
        <v>5.0</v>
      </c>
      <c r="R67" s="207" t="s">
        <v>1561</v>
      </c>
      <c r="S67" s="207" t="s">
        <v>1375</v>
      </c>
      <c r="T67" s="205">
        <v>77.0</v>
      </c>
      <c r="U67" s="205">
        <v>14.0</v>
      </c>
      <c r="V67" s="206"/>
      <c r="W67" s="205">
        <v>34.0</v>
      </c>
      <c r="X67" s="205">
        <v>12.73091</v>
      </c>
      <c r="Y67" s="205">
        <v>2.393766</v>
      </c>
      <c r="Z67" s="205">
        <v>6.183766</v>
      </c>
      <c r="AA67" s="205">
        <v>1.453247</v>
      </c>
      <c r="AB67" s="205">
        <v>0.827013</v>
      </c>
      <c r="AC67" s="205">
        <v>0.95987</v>
      </c>
      <c r="AD67" s="205">
        <v>0.469411</v>
      </c>
      <c r="AE67" s="205">
        <v>10.44416</v>
      </c>
      <c r="AF67" s="205">
        <v>0.848912</v>
      </c>
      <c r="AG67" s="205">
        <v>0.626623</v>
      </c>
      <c r="AH67" s="205">
        <v>0.685844</v>
      </c>
      <c r="AI67" s="205">
        <v>15.05712</v>
      </c>
      <c r="AJ67" s="205">
        <v>-0.7552</v>
      </c>
      <c r="AK67" s="205">
        <v>0.615366</v>
      </c>
      <c r="AL67" s="205">
        <v>0.040471</v>
      </c>
      <c r="AM67" s="205">
        <v>-1.1361</v>
      </c>
      <c r="AN67" s="205">
        <v>-0.55328</v>
      </c>
      <c r="AO67" s="205">
        <v>0.385736</v>
      </c>
      <c r="AP67" s="205">
        <v>-0.29368</v>
      </c>
      <c r="AQ67" s="205">
        <v>0.098084</v>
      </c>
      <c r="AR67" s="205">
        <v>1.553213</v>
      </c>
    </row>
    <row r="68">
      <c r="A68" s="205">
        <v>67.0</v>
      </c>
      <c r="B68" s="206"/>
      <c r="C68" s="206"/>
      <c r="D68" s="205">
        <v>-0.00587</v>
      </c>
      <c r="E68" s="205">
        <v>0.025986</v>
      </c>
      <c r="F68" s="205">
        <v>0.146869</v>
      </c>
      <c r="G68" s="206"/>
      <c r="H68" s="207" t="s">
        <v>1562</v>
      </c>
      <c r="I68" s="207" t="s">
        <v>1371</v>
      </c>
      <c r="J68" s="207" t="s">
        <v>1379</v>
      </c>
      <c r="K68" s="207" t="s">
        <v>1563</v>
      </c>
      <c r="L68" s="207" t="s">
        <v>1564</v>
      </c>
      <c r="M68" s="207" t="s">
        <v>1373</v>
      </c>
      <c r="N68" s="207" t="s">
        <v>1385</v>
      </c>
      <c r="O68" s="206"/>
      <c r="P68" s="206"/>
      <c r="Q68" s="207">
        <v>5.0</v>
      </c>
      <c r="R68" s="207" t="s">
        <v>1554</v>
      </c>
      <c r="S68" s="207" t="s">
        <v>1375</v>
      </c>
      <c r="T68" s="205">
        <v>68.0</v>
      </c>
      <c r="U68" s="205">
        <v>14.0</v>
      </c>
      <c r="V68" s="206"/>
      <c r="W68" s="205">
        <v>34.0</v>
      </c>
      <c r="X68" s="205">
        <v>19.96029</v>
      </c>
      <c r="Y68" s="205">
        <v>1.665441</v>
      </c>
      <c r="Z68" s="205">
        <v>4.118235</v>
      </c>
      <c r="AA68" s="205">
        <v>6.5025</v>
      </c>
      <c r="AB68" s="205">
        <v>1.228235</v>
      </c>
      <c r="AC68" s="205">
        <v>0.435294</v>
      </c>
      <c r="AD68" s="205">
        <v>0.454485</v>
      </c>
      <c r="AE68" s="205">
        <v>16.47338</v>
      </c>
      <c r="AF68" s="205">
        <v>0.840016</v>
      </c>
      <c r="AG68" s="205">
        <v>3.953529</v>
      </c>
      <c r="AH68" s="205">
        <v>2.528824</v>
      </c>
      <c r="AI68" s="205">
        <v>25.89383</v>
      </c>
      <c r="AJ68" s="205">
        <v>0.513715</v>
      </c>
      <c r="AK68" s="205">
        <v>-0.08483</v>
      </c>
      <c r="AL68" s="205">
        <v>-0.8007</v>
      </c>
      <c r="AM68" s="205">
        <v>1.314202</v>
      </c>
      <c r="AN68" s="205">
        <v>0.625852</v>
      </c>
      <c r="AO68" s="205">
        <v>-0.55905</v>
      </c>
      <c r="AP68" s="205">
        <v>-0.83121</v>
      </c>
      <c r="AQ68" s="205">
        <v>0.560824</v>
      </c>
      <c r="AR68" s="205">
        <v>-0.79162</v>
      </c>
    </row>
    <row r="69">
      <c r="A69" s="205">
        <v>68.0</v>
      </c>
      <c r="B69" s="206"/>
      <c r="C69" s="206"/>
      <c r="D69" s="205">
        <v>-0.01337</v>
      </c>
      <c r="E69" s="205">
        <v>-0.00106</v>
      </c>
      <c r="F69" s="205">
        <v>0.397768</v>
      </c>
      <c r="G69" s="206"/>
      <c r="H69" s="207" t="s">
        <v>1565</v>
      </c>
      <c r="I69" s="207" t="s">
        <v>160</v>
      </c>
      <c r="J69" s="207" t="s">
        <v>1387</v>
      </c>
      <c r="K69" s="207" t="s">
        <v>1566</v>
      </c>
      <c r="L69" s="206"/>
      <c r="M69" s="207" t="s">
        <v>1373</v>
      </c>
      <c r="N69" s="208"/>
      <c r="O69" s="206"/>
      <c r="P69" s="206"/>
      <c r="Q69" s="207">
        <v>5.0</v>
      </c>
      <c r="R69" s="207" t="s">
        <v>1528</v>
      </c>
      <c r="S69" s="207" t="s">
        <v>1375</v>
      </c>
      <c r="T69" s="205">
        <v>66.0</v>
      </c>
      <c r="U69" s="205">
        <v>16.0</v>
      </c>
      <c r="V69" s="206"/>
      <c r="W69" s="205">
        <v>33.0</v>
      </c>
      <c r="X69" s="205">
        <v>19.04182</v>
      </c>
      <c r="Y69" s="205">
        <v>2.304394</v>
      </c>
      <c r="Z69" s="205">
        <v>7.287576</v>
      </c>
      <c r="AA69" s="205">
        <v>3.712576</v>
      </c>
      <c r="AB69" s="205">
        <v>0.693333</v>
      </c>
      <c r="AC69" s="205">
        <v>0.75197</v>
      </c>
      <c r="AD69" s="205">
        <v>0.443477</v>
      </c>
      <c r="AE69" s="205">
        <v>15.94939</v>
      </c>
      <c r="AF69" s="205">
        <v>0.855007</v>
      </c>
      <c r="AG69" s="205">
        <v>3.030455</v>
      </c>
      <c r="AH69" s="205">
        <v>1.925</v>
      </c>
      <c r="AI69" s="205">
        <v>25.02129</v>
      </c>
      <c r="AJ69" s="205">
        <v>0.352502</v>
      </c>
      <c r="AK69" s="205">
        <v>0.529445</v>
      </c>
      <c r="AL69" s="205">
        <v>0.48999</v>
      </c>
      <c r="AM69" s="205">
        <v>-0.03969</v>
      </c>
      <c r="AN69" s="205">
        <v>-0.94615</v>
      </c>
      <c r="AO69" s="205">
        <v>0.011298</v>
      </c>
      <c r="AP69" s="205">
        <v>-1.06474</v>
      </c>
      <c r="AQ69" s="205">
        <v>0.570359</v>
      </c>
      <c r="AR69" s="205">
        <v>-0.02337</v>
      </c>
    </row>
    <row r="70">
      <c r="A70" s="205">
        <v>69.0</v>
      </c>
      <c r="B70" s="206"/>
      <c r="C70" s="206"/>
      <c r="D70" s="205">
        <v>-0.01355</v>
      </c>
      <c r="E70" s="205">
        <v>-0.00349</v>
      </c>
      <c r="F70" s="205">
        <v>-0.32705</v>
      </c>
      <c r="G70" s="206"/>
      <c r="H70" s="207" t="s">
        <v>1567</v>
      </c>
      <c r="I70" s="207" t="s">
        <v>250</v>
      </c>
      <c r="J70" s="207" t="s">
        <v>34</v>
      </c>
      <c r="K70" s="207" t="s">
        <v>1568</v>
      </c>
      <c r="L70" s="206"/>
      <c r="M70" s="207" t="s">
        <v>1373</v>
      </c>
      <c r="N70" s="207" t="s">
        <v>1414</v>
      </c>
      <c r="O70" s="206"/>
      <c r="P70" s="206"/>
      <c r="Q70" s="207">
        <v>4.0</v>
      </c>
      <c r="R70" s="207" t="s">
        <v>1523</v>
      </c>
      <c r="S70" s="207" t="s">
        <v>1375</v>
      </c>
      <c r="T70" s="205">
        <v>73.0</v>
      </c>
      <c r="U70" s="205">
        <v>14.0</v>
      </c>
      <c r="V70" s="206"/>
      <c r="W70" s="205">
        <v>27.0</v>
      </c>
      <c r="X70" s="205">
        <v>12.57548</v>
      </c>
      <c r="Y70" s="205">
        <v>0.006712</v>
      </c>
      <c r="Z70" s="205">
        <v>10.73753</v>
      </c>
      <c r="AA70" s="205">
        <v>2.853699</v>
      </c>
      <c r="AB70" s="205">
        <v>0.796849</v>
      </c>
      <c r="AC70" s="205">
        <v>1.078219</v>
      </c>
      <c r="AD70" s="205">
        <v>0.681451</v>
      </c>
      <c r="AE70" s="205">
        <v>7.384932</v>
      </c>
      <c r="AF70" s="205">
        <v>0.678018</v>
      </c>
      <c r="AG70" s="205">
        <v>3.692877</v>
      </c>
      <c r="AH70" s="205">
        <v>1.759452</v>
      </c>
      <c r="AI70" s="205">
        <v>17.13781</v>
      </c>
      <c r="AJ70" s="205">
        <v>-0.78248</v>
      </c>
      <c r="AK70" s="205">
        <v>-1.67951</v>
      </c>
      <c r="AL70" s="205">
        <v>1.894962</v>
      </c>
      <c r="AM70" s="205">
        <v>-0.45649</v>
      </c>
      <c r="AN70" s="205">
        <v>-0.64193</v>
      </c>
      <c r="AO70" s="205">
        <v>0.598888</v>
      </c>
      <c r="AP70" s="205">
        <v>2.114421</v>
      </c>
      <c r="AQ70" s="205">
        <v>-1.35711</v>
      </c>
      <c r="AR70" s="205">
        <v>0.187255</v>
      </c>
    </row>
    <row r="71">
      <c r="A71" s="205">
        <v>70.0</v>
      </c>
      <c r="B71" s="206"/>
      <c r="C71" s="206"/>
      <c r="D71" s="205">
        <v>-0.0136</v>
      </c>
      <c r="E71" s="205">
        <v>-0.00304</v>
      </c>
      <c r="F71" s="205">
        <v>0.481401</v>
      </c>
      <c r="G71" s="206"/>
      <c r="H71" s="207" t="s">
        <v>1569</v>
      </c>
      <c r="I71" s="207" t="s">
        <v>121</v>
      </c>
      <c r="J71" s="207" t="s">
        <v>1379</v>
      </c>
      <c r="K71" s="207" t="s">
        <v>1570</v>
      </c>
      <c r="L71" s="207" t="s">
        <v>1571</v>
      </c>
      <c r="M71" s="207" t="s">
        <v>1384</v>
      </c>
      <c r="N71" s="208"/>
      <c r="O71" s="206"/>
      <c r="P71" s="208"/>
      <c r="Q71" s="207">
        <v>4.0</v>
      </c>
      <c r="R71" s="207" t="s">
        <v>1554</v>
      </c>
      <c r="S71" s="207" t="s">
        <v>1375</v>
      </c>
      <c r="T71" s="205">
        <v>56.0</v>
      </c>
      <c r="U71" s="205">
        <v>14.0</v>
      </c>
      <c r="V71" s="206"/>
      <c r="W71" s="205">
        <v>30.0</v>
      </c>
      <c r="X71" s="205">
        <v>19.45268</v>
      </c>
      <c r="Y71" s="205">
        <v>2.715357</v>
      </c>
      <c r="Z71" s="205">
        <v>2.588036</v>
      </c>
      <c r="AA71" s="205">
        <v>6.3125</v>
      </c>
      <c r="AB71" s="205">
        <v>1.252857</v>
      </c>
      <c r="AC71" s="205">
        <v>0.126964</v>
      </c>
      <c r="AD71" s="205">
        <v>0.458946</v>
      </c>
      <c r="AE71" s="205">
        <v>15.27607</v>
      </c>
      <c r="AF71" s="205">
        <v>0.856974</v>
      </c>
      <c r="AG71" s="205">
        <v>3.16875</v>
      </c>
      <c r="AH71" s="205">
        <v>2.535893</v>
      </c>
      <c r="AI71" s="205">
        <v>27.45595</v>
      </c>
      <c r="AJ71" s="205">
        <v>0.424617</v>
      </c>
      <c r="AK71" s="205">
        <v>0.924538</v>
      </c>
      <c r="AL71" s="205">
        <v>-1.42387</v>
      </c>
      <c r="AM71" s="205">
        <v>1.221999</v>
      </c>
      <c r="AN71" s="205">
        <v>0.698212</v>
      </c>
      <c r="AO71" s="205">
        <v>-1.11437</v>
      </c>
      <c r="AP71" s="205">
        <v>-0.66937</v>
      </c>
      <c r="AQ71" s="205">
        <v>0.616425</v>
      </c>
      <c r="AR71" s="205">
        <v>-0.80062</v>
      </c>
    </row>
    <row r="72">
      <c r="A72" s="205">
        <v>71.0</v>
      </c>
      <c r="B72" s="206"/>
      <c r="C72" s="206"/>
      <c r="D72" s="205">
        <v>-0.01715</v>
      </c>
      <c r="E72" s="205">
        <v>9.81E-4</v>
      </c>
      <c r="F72" s="205">
        <v>-0.68946</v>
      </c>
      <c r="G72" s="206"/>
      <c r="H72" s="207" t="s">
        <v>1572</v>
      </c>
      <c r="I72" s="207" t="s">
        <v>287</v>
      </c>
      <c r="J72" s="207" t="s">
        <v>1412</v>
      </c>
      <c r="K72" s="207" t="s">
        <v>1573</v>
      </c>
      <c r="L72" s="206"/>
      <c r="M72" s="207" t="s">
        <v>1373</v>
      </c>
      <c r="N72" s="208"/>
      <c r="O72" s="206"/>
      <c r="P72" s="208"/>
      <c r="Q72" s="207">
        <v>3.0</v>
      </c>
      <c r="R72" s="207" t="s">
        <v>1439</v>
      </c>
      <c r="S72" s="207" t="s">
        <v>1375</v>
      </c>
      <c r="T72" s="205">
        <v>73.0</v>
      </c>
      <c r="U72" s="205">
        <v>15.0</v>
      </c>
      <c r="V72" s="206"/>
      <c r="W72" s="205">
        <v>33.0</v>
      </c>
      <c r="X72" s="205">
        <v>22.23795</v>
      </c>
      <c r="Y72" s="205">
        <v>2.328904</v>
      </c>
      <c r="Z72" s="205">
        <v>8.344932</v>
      </c>
      <c r="AA72" s="205">
        <v>4.658767</v>
      </c>
      <c r="AB72" s="205">
        <v>1.054795</v>
      </c>
      <c r="AC72" s="205">
        <v>0.42</v>
      </c>
      <c r="AD72" s="205">
        <v>0.477298</v>
      </c>
      <c r="AE72" s="205">
        <v>15.56822</v>
      </c>
      <c r="AF72" s="205">
        <v>0.771993</v>
      </c>
      <c r="AG72" s="205">
        <v>6.538493</v>
      </c>
      <c r="AH72" s="205">
        <v>3.29589</v>
      </c>
      <c r="AI72" s="205">
        <v>27.37433</v>
      </c>
      <c r="AJ72" s="205">
        <v>0.913493</v>
      </c>
      <c r="AK72" s="205">
        <v>0.553009</v>
      </c>
      <c r="AL72" s="205">
        <v>0.920591</v>
      </c>
      <c r="AM72" s="205">
        <v>0.419477</v>
      </c>
      <c r="AN72" s="205">
        <v>0.116135</v>
      </c>
      <c r="AO72" s="205">
        <v>-0.58659</v>
      </c>
      <c r="AP72" s="205">
        <v>-0.25895</v>
      </c>
      <c r="AQ72" s="205">
        <v>-0.46396</v>
      </c>
      <c r="AR72" s="205">
        <v>-1.76756</v>
      </c>
    </row>
    <row r="73">
      <c r="A73" s="205">
        <v>72.0</v>
      </c>
      <c r="B73" s="206"/>
      <c r="C73" s="206"/>
      <c r="D73" s="205">
        <v>-0.01873</v>
      </c>
      <c r="E73" s="205">
        <v>-0.00539</v>
      </c>
      <c r="F73" s="205">
        <v>1.373486</v>
      </c>
      <c r="G73" s="206"/>
      <c r="H73" s="207" t="s">
        <v>1574</v>
      </c>
      <c r="I73" s="207" t="s">
        <v>271</v>
      </c>
      <c r="J73" s="207" t="s">
        <v>1387</v>
      </c>
      <c r="K73" s="207" t="s">
        <v>1575</v>
      </c>
      <c r="L73" s="206"/>
      <c r="M73" s="207" t="s">
        <v>1373</v>
      </c>
      <c r="N73" s="208"/>
      <c r="O73" s="206"/>
      <c r="P73" s="206"/>
      <c r="Q73" s="207">
        <v>4.0</v>
      </c>
      <c r="R73" s="207" t="s">
        <v>1528</v>
      </c>
      <c r="S73" s="207" t="s">
        <v>1375</v>
      </c>
      <c r="T73" s="205">
        <v>73.0</v>
      </c>
      <c r="U73" s="205">
        <v>13.0</v>
      </c>
      <c r="V73" s="206"/>
      <c r="W73" s="205">
        <v>30.0</v>
      </c>
      <c r="X73" s="205">
        <v>15.55767</v>
      </c>
      <c r="Y73" s="205">
        <v>2.104795</v>
      </c>
      <c r="Z73" s="205">
        <v>5.72</v>
      </c>
      <c r="AA73" s="205">
        <v>2.08</v>
      </c>
      <c r="AB73" s="205">
        <v>0.78</v>
      </c>
      <c r="AC73" s="205">
        <v>1.494932</v>
      </c>
      <c r="AD73" s="205">
        <v>0.479121</v>
      </c>
      <c r="AE73" s="205">
        <v>11.57</v>
      </c>
      <c r="AF73" s="205">
        <v>0.817997</v>
      </c>
      <c r="AG73" s="205">
        <v>2.892466</v>
      </c>
      <c r="AH73" s="205">
        <v>1.885068</v>
      </c>
      <c r="AI73" s="205">
        <v>20.41574</v>
      </c>
      <c r="AJ73" s="205">
        <v>-0.25904</v>
      </c>
      <c r="AK73" s="205">
        <v>0.337553</v>
      </c>
      <c r="AL73" s="205">
        <v>-0.14839</v>
      </c>
      <c r="AM73" s="205">
        <v>-0.83195</v>
      </c>
      <c r="AN73" s="205">
        <v>-0.69145</v>
      </c>
      <c r="AO73" s="205">
        <v>1.349406</v>
      </c>
      <c r="AP73" s="205">
        <v>-0.15957</v>
      </c>
      <c r="AQ73" s="205">
        <v>0.207468</v>
      </c>
      <c r="AR73" s="205">
        <v>0.027432</v>
      </c>
    </row>
    <row r="74">
      <c r="A74" s="205">
        <v>73.0</v>
      </c>
      <c r="B74" s="206"/>
      <c r="C74" s="206"/>
      <c r="D74" s="205">
        <v>-0.01966</v>
      </c>
      <c r="E74" s="205">
        <v>-0.00392</v>
      </c>
      <c r="F74" s="205">
        <v>-1.69306</v>
      </c>
      <c r="G74" s="206"/>
      <c r="H74" s="207" t="s">
        <v>1576</v>
      </c>
      <c r="I74" s="207" t="s">
        <v>42</v>
      </c>
      <c r="J74" s="207" t="s">
        <v>1387</v>
      </c>
      <c r="K74" s="207" t="s">
        <v>1577</v>
      </c>
      <c r="L74" s="206"/>
      <c r="M74" s="207" t="s">
        <v>1384</v>
      </c>
      <c r="N74" s="207" t="s">
        <v>1551</v>
      </c>
      <c r="O74" s="206"/>
      <c r="P74" s="208"/>
      <c r="Q74" s="207">
        <v>4.0</v>
      </c>
      <c r="R74" s="207" t="s">
        <v>1541</v>
      </c>
      <c r="S74" s="207" t="s">
        <v>1375</v>
      </c>
      <c r="T74" s="205">
        <v>68.0</v>
      </c>
      <c r="U74" s="205">
        <v>16.0</v>
      </c>
      <c r="V74" s="206"/>
      <c r="W74" s="205">
        <v>32.0</v>
      </c>
      <c r="X74" s="205">
        <v>15.83882</v>
      </c>
      <c r="Y74" s="205">
        <v>2.806765</v>
      </c>
      <c r="Z74" s="205">
        <v>4.578676</v>
      </c>
      <c r="AA74" s="205">
        <v>2.558676</v>
      </c>
      <c r="AB74" s="205">
        <v>1.015441</v>
      </c>
      <c r="AC74" s="205">
        <v>0.469559</v>
      </c>
      <c r="AD74" s="205">
        <v>0.465492</v>
      </c>
      <c r="AE74" s="205">
        <v>11.78324</v>
      </c>
      <c r="AF74" s="205">
        <v>0.875008</v>
      </c>
      <c r="AG74" s="205">
        <v>2.356618</v>
      </c>
      <c r="AH74" s="205">
        <v>1.481324</v>
      </c>
      <c r="AI74" s="205">
        <v>19.27324</v>
      </c>
      <c r="AJ74" s="205">
        <v>-0.20969</v>
      </c>
      <c r="AK74" s="205">
        <v>1.012416</v>
      </c>
      <c r="AL74" s="205">
        <v>-0.61319</v>
      </c>
      <c r="AM74" s="205">
        <v>-0.59965</v>
      </c>
      <c r="AN74" s="205">
        <v>4.81E-4</v>
      </c>
      <c r="AO74" s="205">
        <v>-0.49734</v>
      </c>
      <c r="AP74" s="205">
        <v>-0.40057</v>
      </c>
      <c r="AQ74" s="205">
        <v>0.589481</v>
      </c>
      <c r="AR74" s="205">
        <v>0.54112</v>
      </c>
    </row>
    <row r="75">
      <c r="A75" s="205">
        <v>74.0</v>
      </c>
      <c r="B75" s="206"/>
      <c r="C75" s="206"/>
      <c r="D75" s="205">
        <v>-0.02321</v>
      </c>
      <c r="E75" s="205">
        <v>-8.9E-4</v>
      </c>
      <c r="F75" s="205">
        <v>0.639374</v>
      </c>
      <c r="G75" s="206"/>
      <c r="H75" s="207" t="s">
        <v>1578</v>
      </c>
      <c r="I75" s="207" t="s">
        <v>316</v>
      </c>
      <c r="J75" s="207" t="s">
        <v>1387</v>
      </c>
      <c r="K75" s="207" t="s">
        <v>1579</v>
      </c>
      <c r="L75" s="206"/>
      <c r="M75" s="207" t="s">
        <v>1373</v>
      </c>
      <c r="N75" s="207" t="s">
        <v>1551</v>
      </c>
      <c r="O75" s="206"/>
      <c r="P75" s="206"/>
      <c r="Q75" s="207">
        <v>4.0</v>
      </c>
      <c r="R75" s="207" t="s">
        <v>1580</v>
      </c>
      <c r="S75" s="207" t="s">
        <v>1375</v>
      </c>
      <c r="T75" s="205">
        <v>57.0</v>
      </c>
      <c r="U75" s="205">
        <v>14.0</v>
      </c>
      <c r="V75" s="206"/>
      <c r="W75" s="205">
        <v>32.0</v>
      </c>
      <c r="X75" s="205">
        <v>19.69175</v>
      </c>
      <c r="Y75" s="205">
        <v>2.973684</v>
      </c>
      <c r="Z75" s="205">
        <v>7.0</v>
      </c>
      <c r="AA75" s="205">
        <v>1.887193</v>
      </c>
      <c r="AB75" s="205">
        <v>0.59386</v>
      </c>
      <c r="AC75" s="205">
        <v>0.537018</v>
      </c>
      <c r="AD75" s="205">
        <v>0.468182</v>
      </c>
      <c r="AE75" s="205">
        <v>15.06649</v>
      </c>
      <c r="AF75" s="205">
        <v>0.825007</v>
      </c>
      <c r="AG75" s="205">
        <v>3.164035</v>
      </c>
      <c r="AH75" s="205">
        <v>1.533333</v>
      </c>
      <c r="AI75" s="205">
        <v>24.18152</v>
      </c>
      <c r="AJ75" s="205">
        <v>0.46658</v>
      </c>
      <c r="AK75" s="205">
        <v>1.172889</v>
      </c>
      <c r="AL75" s="205">
        <v>0.372877</v>
      </c>
      <c r="AM75" s="205">
        <v>-0.92551</v>
      </c>
      <c r="AN75" s="205">
        <v>-1.23848</v>
      </c>
      <c r="AO75" s="205">
        <v>-0.37584</v>
      </c>
      <c r="AP75" s="205">
        <v>-0.45391</v>
      </c>
      <c r="AQ75" s="205">
        <v>0.29759</v>
      </c>
      <c r="AR75" s="205">
        <v>0.474947</v>
      </c>
    </row>
    <row r="76">
      <c r="A76" s="205">
        <v>75.0</v>
      </c>
      <c r="B76" s="206"/>
      <c r="C76" s="206"/>
      <c r="D76" s="205">
        <v>-0.04403</v>
      </c>
      <c r="E76" s="205">
        <v>-0.00441</v>
      </c>
      <c r="F76" s="205">
        <v>-1.61872</v>
      </c>
      <c r="G76" s="206"/>
      <c r="H76" s="207" t="s">
        <v>1581</v>
      </c>
      <c r="I76" s="207" t="s">
        <v>250</v>
      </c>
      <c r="J76" s="207" t="s">
        <v>1387</v>
      </c>
      <c r="K76" s="207" t="s">
        <v>1582</v>
      </c>
      <c r="L76" s="206"/>
      <c r="M76" s="207" t="s">
        <v>1373</v>
      </c>
      <c r="N76" s="207" t="s">
        <v>1503</v>
      </c>
      <c r="O76" s="206"/>
      <c r="P76" s="208"/>
      <c r="Q76" s="207">
        <v>5.0</v>
      </c>
      <c r="R76" s="207" t="s">
        <v>1561</v>
      </c>
      <c r="S76" s="207" t="s">
        <v>1375</v>
      </c>
      <c r="T76" s="205">
        <v>73.0</v>
      </c>
      <c r="U76" s="205">
        <v>14.0</v>
      </c>
      <c r="V76" s="206"/>
      <c r="W76" s="205">
        <v>31.0</v>
      </c>
      <c r="X76" s="205">
        <v>13.54205</v>
      </c>
      <c r="Y76" s="205">
        <v>1.189726</v>
      </c>
      <c r="Z76" s="205">
        <v>5.544521</v>
      </c>
      <c r="AA76" s="205">
        <v>2.021918</v>
      </c>
      <c r="AB76" s="205">
        <v>1.108904</v>
      </c>
      <c r="AC76" s="205">
        <v>0.717534</v>
      </c>
      <c r="AD76" s="205">
        <v>0.502441</v>
      </c>
      <c r="AE76" s="205">
        <v>10.43644</v>
      </c>
      <c r="AF76" s="205">
        <v>0.850981</v>
      </c>
      <c r="AG76" s="205">
        <v>2.191507</v>
      </c>
      <c r="AH76" s="205">
        <v>1.108904</v>
      </c>
      <c r="AI76" s="205">
        <v>17.33866</v>
      </c>
      <c r="AJ76" s="205">
        <v>-0.61283</v>
      </c>
      <c r="AK76" s="205">
        <v>-0.54218</v>
      </c>
      <c r="AL76" s="205">
        <v>-0.21986</v>
      </c>
      <c r="AM76" s="205">
        <v>-0.86013</v>
      </c>
      <c r="AN76" s="205">
        <v>0.275155</v>
      </c>
      <c r="AO76" s="205">
        <v>-0.05072</v>
      </c>
      <c r="AP76" s="205">
        <v>0.217319</v>
      </c>
      <c r="AQ76" s="205">
        <v>0.381992</v>
      </c>
      <c r="AR76" s="205">
        <v>1.014951</v>
      </c>
    </row>
    <row r="77">
      <c r="A77" s="205">
        <v>76.0</v>
      </c>
      <c r="B77" s="206"/>
      <c r="C77" s="206"/>
      <c r="D77" s="205">
        <v>-0.04792</v>
      </c>
      <c r="E77" s="205">
        <v>-0.00351</v>
      </c>
      <c r="F77" s="205">
        <v>-1.85103</v>
      </c>
      <c r="G77" s="206"/>
      <c r="H77" s="207" t="s">
        <v>1583</v>
      </c>
      <c r="I77" s="207" t="s">
        <v>103</v>
      </c>
      <c r="J77" s="207" t="s">
        <v>1379</v>
      </c>
      <c r="K77" s="207" t="s">
        <v>1584</v>
      </c>
      <c r="L77" s="207" t="s">
        <v>1585</v>
      </c>
      <c r="M77" s="207" t="s">
        <v>1384</v>
      </c>
      <c r="N77" s="207" t="s">
        <v>1586</v>
      </c>
      <c r="O77" s="206"/>
      <c r="P77" s="206"/>
      <c r="Q77" s="207">
        <v>4.0</v>
      </c>
      <c r="R77" s="207" t="s">
        <v>1587</v>
      </c>
      <c r="S77" s="207" t="s">
        <v>1375</v>
      </c>
      <c r="T77" s="205">
        <v>63.0</v>
      </c>
      <c r="U77" s="205">
        <v>15.0</v>
      </c>
      <c r="V77" s="206"/>
      <c r="W77" s="205">
        <v>32.0</v>
      </c>
      <c r="X77" s="205">
        <v>17.70365</v>
      </c>
      <c r="Y77" s="205">
        <v>2.102222</v>
      </c>
      <c r="Z77" s="205">
        <v>3.362698</v>
      </c>
      <c r="AA77" s="205">
        <v>3.492063</v>
      </c>
      <c r="AB77" s="205">
        <v>1.036508</v>
      </c>
      <c r="AC77" s="205">
        <v>0.516667</v>
      </c>
      <c r="AD77" s="205">
        <v>0.491198</v>
      </c>
      <c r="AE77" s="205">
        <v>13.57968</v>
      </c>
      <c r="AF77" s="205">
        <v>0.830012</v>
      </c>
      <c r="AG77" s="205">
        <v>2.72381</v>
      </c>
      <c r="AH77" s="205">
        <v>1.616667</v>
      </c>
      <c r="AI77" s="205">
        <v>22.87797</v>
      </c>
      <c r="AJ77" s="205">
        <v>0.117624</v>
      </c>
      <c r="AK77" s="205">
        <v>0.33508</v>
      </c>
      <c r="AL77" s="205">
        <v>-1.10839</v>
      </c>
      <c r="AM77" s="205">
        <v>-0.1467</v>
      </c>
      <c r="AN77" s="205">
        <v>0.062393</v>
      </c>
      <c r="AO77" s="205">
        <v>-0.41249</v>
      </c>
      <c r="AP77" s="205">
        <v>0.054625</v>
      </c>
      <c r="AQ77" s="205">
        <v>0.297655</v>
      </c>
      <c r="AR77" s="205">
        <v>0.368922</v>
      </c>
    </row>
    <row r="78">
      <c r="A78" s="205">
        <v>77.0</v>
      </c>
      <c r="B78" s="206"/>
      <c r="C78" s="206"/>
      <c r="D78" s="205">
        <v>-0.0489</v>
      </c>
      <c r="E78" s="205">
        <v>0.009341</v>
      </c>
      <c r="F78" s="205">
        <v>0.193332</v>
      </c>
      <c r="G78" s="206"/>
      <c r="H78" s="207" t="s">
        <v>1588</v>
      </c>
      <c r="I78" s="207" t="s">
        <v>312</v>
      </c>
      <c r="J78" s="207" t="s">
        <v>1395</v>
      </c>
      <c r="K78" s="207" t="s">
        <v>1589</v>
      </c>
      <c r="L78" s="207" t="s">
        <v>1590</v>
      </c>
      <c r="M78" s="207" t="s">
        <v>1373</v>
      </c>
      <c r="N78" s="208"/>
      <c r="O78" s="206"/>
      <c r="P78" s="206"/>
      <c r="Q78" s="207">
        <v>2.0</v>
      </c>
      <c r="R78" s="207" t="s">
        <v>1523</v>
      </c>
      <c r="S78" s="207" t="s">
        <v>1375</v>
      </c>
      <c r="T78" s="205">
        <v>73.0</v>
      </c>
      <c r="U78" s="205">
        <v>16.0</v>
      </c>
      <c r="V78" s="206"/>
      <c r="W78" s="205">
        <v>31.0</v>
      </c>
      <c r="X78" s="205">
        <v>17.26192</v>
      </c>
      <c r="Y78" s="205">
        <v>1.937534</v>
      </c>
      <c r="Z78" s="205">
        <v>7.916027</v>
      </c>
      <c r="AA78" s="205">
        <v>3.259589</v>
      </c>
      <c r="AB78" s="205">
        <v>0.748493</v>
      </c>
      <c r="AC78" s="205">
        <v>1.796027</v>
      </c>
      <c r="AD78" s="205">
        <v>0.427608</v>
      </c>
      <c r="AE78" s="205">
        <v>14.7674</v>
      </c>
      <c r="AF78" s="205">
        <v>0.729991</v>
      </c>
      <c r="AG78" s="205">
        <v>3.691918</v>
      </c>
      <c r="AH78" s="205">
        <v>2.036164</v>
      </c>
      <c r="AI78" s="205">
        <v>25.07473</v>
      </c>
      <c r="AJ78" s="205">
        <v>0.04009</v>
      </c>
      <c r="AK78" s="205">
        <v>0.176752</v>
      </c>
      <c r="AL78" s="205">
        <v>0.745923</v>
      </c>
      <c r="AM78" s="205">
        <v>-0.25952</v>
      </c>
      <c r="AN78" s="205">
        <v>-0.78404</v>
      </c>
      <c r="AO78" s="205">
        <v>1.891694</v>
      </c>
      <c r="AP78" s="205">
        <v>-1.33258</v>
      </c>
      <c r="AQ78" s="205">
        <v>-0.75366</v>
      </c>
      <c r="AR78" s="205">
        <v>-0.16481</v>
      </c>
    </row>
    <row r="79">
      <c r="A79" s="205">
        <v>78.0</v>
      </c>
      <c r="B79" s="206"/>
      <c r="C79" s="206"/>
      <c r="D79" s="205">
        <v>-0.04994</v>
      </c>
      <c r="E79" s="205">
        <v>-0.00676</v>
      </c>
      <c r="F79" s="205">
        <v>0.379183</v>
      </c>
      <c r="G79" s="206"/>
      <c r="H79" s="207" t="s">
        <v>1591</v>
      </c>
      <c r="I79" s="207" t="s">
        <v>58</v>
      </c>
      <c r="J79" s="207" t="s">
        <v>1412</v>
      </c>
      <c r="K79" s="207" t="s">
        <v>1592</v>
      </c>
      <c r="L79" s="206"/>
      <c r="M79" s="207" t="s">
        <v>1373</v>
      </c>
      <c r="N79" s="206"/>
      <c r="O79" s="206"/>
      <c r="P79" s="206"/>
      <c r="Q79" s="207">
        <v>4.0</v>
      </c>
      <c r="R79" s="206"/>
      <c r="S79" s="207" t="s">
        <v>1402</v>
      </c>
      <c r="T79" s="205">
        <v>73.0</v>
      </c>
      <c r="U79" s="205">
        <v>13.0</v>
      </c>
      <c r="V79" s="206"/>
      <c r="W79" s="205">
        <v>28.0</v>
      </c>
      <c r="X79" s="205">
        <v>9.631644</v>
      </c>
      <c r="Y79" s="205">
        <v>1.197397</v>
      </c>
      <c r="Z79" s="205">
        <v>3.093973</v>
      </c>
      <c r="AA79" s="205">
        <v>2.677534</v>
      </c>
      <c r="AB79" s="205">
        <v>1.833562</v>
      </c>
      <c r="AC79" s="205">
        <v>0.418082</v>
      </c>
      <c r="AD79" s="205">
        <v>0.505295</v>
      </c>
      <c r="AE79" s="205">
        <v>7.735068</v>
      </c>
      <c r="AF79" s="205">
        <v>0.797946</v>
      </c>
      <c r="AG79" s="205">
        <v>0.773562</v>
      </c>
      <c r="AH79" s="205">
        <v>1.014795</v>
      </c>
      <c r="AI79" s="205">
        <v>13.93007</v>
      </c>
      <c r="AJ79" s="205">
        <v>-1.29919</v>
      </c>
      <c r="AK79" s="205">
        <v>-0.5348</v>
      </c>
      <c r="AL79" s="205">
        <v>-1.21783</v>
      </c>
      <c r="AM79" s="205">
        <v>-0.54197</v>
      </c>
      <c r="AN79" s="205">
        <v>2.404816</v>
      </c>
      <c r="AO79" s="205">
        <v>-0.59005</v>
      </c>
      <c r="AP79" s="205">
        <v>0.195429</v>
      </c>
      <c r="AQ79" s="205">
        <v>-5.1E-4</v>
      </c>
      <c r="AR79" s="205">
        <v>1.134687</v>
      </c>
    </row>
    <row r="80">
      <c r="A80" s="205">
        <v>79.0</v>
      </c>
      <c r="B80" s="206"/>
      <c r="C80" s="206"/>
      <c r="D80" s="205">
        <v>-0.05168</v>
      </c>
      <c r="E80" s="205">
        <v>0.001672</v>
      </c>
      <c r="F80" s="205">
        <v>-1.89749</v>
      </c>
      <c r="G80" s="206"/>
      <c r="H80" s="207" t="s">
        <v>1593</v>
      </c>
      <c r="I80" s="207" t="s">
        <v>99</v>
      </c>
      <c r="J80" s="207" t="s">
        <v>1412</v>
      </c>
      <c r="K80" s="207" t="s">
        <v>1594</v>
      </c>
      <c r="L80" s="206"/>
      <c r="M80" s="207" t="s">
        <v>1384</v>
      </c>
      <c r="N80" s="206"/>
      <c r="O80" s="206"/>
      <c r="P80" s="206"/>
      <c r="Q80" s="207">
        <v>3.0</v>
      </c>
      <c r="R80" s="207" t="s">
        <v>1491</v>
      </c>
      <c r="S80" s="207" t="s">
        <v>1375</v>
      </c>
      <c r="T80" s="205">
        <v>54.0</v>
      </c>
      <c r="U80" s="205">
        <v>13.0</v>
      </c>
      <c r="V80" s="206"/>
      <c r="W80" s="205">
        <v>33.0</v>
      </c>
      <c r="X80" s="205">
        <v>24.59241</v>
      </c>
      <c r="Y80" s="205">
        <v>1.963148</v>
      </c>
      <c r="Z80" s="205">
        <v>6.514815</v>
      </c>
      <c r="AA80" s="205">
        <v>5.240185</v>
      </c>
      <c r="AB80" s="205">
        <v>1.062222</v>
      </c>
      <c r="AC80" s="205">
        <v>0.353889</v>
      </c>
      <c r="AD80" s="205">
        <v>0.471803</v>
      </c>
      <c r="AE80" s="205">
        <v>19.19037</v>
      </c>
      <c r="AF80" s="205">
        <v>0.759993</v>
      </c>
      <c r="AG80" s="205">
        <v>5.948889</v>
      </c>
      <c r="AH80" s="205">
        <v>2.832593</v>
      </c>
      <c r="AI80" s="205">
        <v>30.6034</v>
      </c>
      <c r="AJ80" s="205">
        <v>1.326753</v>
      </c>
      <c r="AK80" s="205">
        <v>0.201377</v>
      </c>
      <c r="AL80" s="205">
        <v>0.175288</v>
      </c>
      <c r="AM80" s="205">
        <v>0.701627</v>
      </c>
      <c r="AN80" s="205">
        <v>0.137964</v>
      </c>
      <c r="AO80" s="205">
        <v>-0.70566</v>
      </c>
      <c r="AP80" s="205">
        <v>-0.47694</v>
      </c>
      <c r="AQ80" s="205">
        <v>-0.6474</v>
      </c>
      <c r="AR80" s="205">
        <v>-1.17811</v>
      </c>
    </row>
    <row r="81">
      <c r="A81" s="205">
        <v>80.0</v>
      </c>
      <c r="B81" s="206"/>
      <c r="C81" s="206"/>
      <c r="D81" s="205">
        <v>-0.05823</v>
      </c>
      <c r="E81" s="205">
        <v>-0.04421</v>
      </c>
      <c r="F81" s="205">
        <v>1.224805</v>
      </c>
      <c r="G81" s="206"/>
      <c r="H81" s="207" t="s">
        <v>1595</v>
      </c>
      <c r="I81" s="207" t="s">
        <v>193</v>
      </c>
      <c r="J81" s="207" t="s">
        <v>34</v>
      </c>
      <c r="K81" s="207" t="s">
        <v>1596</v>
      </c>
      <c r="L81" s="206"/>
      <c r="M81" s="207" t="s">
        <v>1384</v>
      </c>
      <c r="N81" s="206"/>
      <c r="O81" s="206"/>
      <c r="P81" s="208"/>
      <c r="Q81" s="207">
        <v>2.0</v>
      </c>
      <c r="R81" s="207" t="s">
        <v>1523</v>
      </c>
      <c r="S81" s="207" t="s">
        <v>1402</v>
      </c>
      <c r="T81" s="205">
        <v>68.0</v>
      </c>
      <c r="U81" s="205">
        <v>15.0</v>
      </c>
      <c r="V81" s="206"/>
      <c r="W81" s="205">
        <v>26.0</v>
      </c>
      <c r="X81" s="205">
        <v>11.08691</v>
      </c>
      <c r="Y81" s="205">
        <v>0.616765</v>
      </c>
      <c r="Z81" s="205">
        <v>9.555</v>
      </c>
      <c r="AA81" s="205">
        <v>1.327059</v>
      </c>
      <c r="AB81" s="205">
        <v>0.6975</v>
      </c>
      <c r="AC81" s="205">
        <v>1.212647</v>
      </c>
      <c r="AD81" s="205">
        <v>0.562368</v>
      </c>
      <c r="AE81" s="205">
        <v>8.440147</v>
      </c>
      <c r="AF81" s="205">
        <v>0.68105</v>
      </c>
      <c r="AG81" s="205">
        <v>1.434853</v>
      </c>
      <c r="AH81" s="205">
        <v>1.055588</v>
      </c>
      <c r="AI81" s="205">
        <v>17.38207</v>
      </c>
      <c r="AJ81" s="205">
        <v>-1.04376</v>
      </c>
      <c r="AK81" s="205">
        <v>-1.09301</v>
      </c>
      <c r="AL81" s="205">
        <v>1.413383</v>
      </c>
      <c r="AM81" s="205">
        <v>-1.19733</v>
      </c>
      <c r="AN81" s="205">
        <v>-0.9339</v>
      </c>
      <c r="AO81" s="205">
        <v>0.840999</v>
      </c>
      <c r="AP81" s="205">
        <v>0.926408</v>
      </c>
      <c r="AQ81" s="205">
        <v>-0.51968</v>
      </c>
      <c r="AR81" s="205">
        <v>1.082785</v>
      </c>
    </row>
    <row r="82">
      <c r="A82" s="205">
        <v>81.0</v>
      </c>
      <c r="B82" s="206"/>
      <c r="C82" s="206"/>
      <c r="D82" s="205">
        <v>-0.06336</v>
      </c>
      <c r="E82" s="205">
        <v>0.015057</v>
      </c>
      <c r="F82" s="205">
        <v>1.24339</v>
      </c>
      <c r="G82" s="206"/>
      <c r="H82" s="207" t="s">
        <v>1597</v>
      </c>
      <c r="I82" s="207" t="s">
        <v>89</v>
      </c>
      <c r="J82" s="207" t="s">
        <v>1387</v>
      </c>
      <c r="K82" s="207" t="s">
        <v>1598</v>
      </c>
      <c r="L82" s="206"/>
      <c r="M82" s="207" t="s">
        <v>1373</v>
      </c>
      <c r="N82" s="208"/>
      <c r="O82" s="206"/>
      <c r="P82" s="208"/>
      <c r="Q82" s="207">
        <v>5.0</v>
      </c>
      <c r="R82" s="207" t="s">
        <v>1528</v>
      </c>
      <c r="S82" s="207" t="s">
        <v>1375</v>
      </c>
      <c r="T82" s="205">
        <v>73.0</v>
      </c>
      <c r="U82" s="205">
        <v>13.0</v>
      </c>
      <c r="V82" s="206"/>
      <c r="W82" s="205">
        <v>33.0</v>
      </c>
      <c r="X82" s="205">
        <v>22.26479</v>
      </c>
      <c r="Y82" s="205">
        <v>1.548082</v>
      </c>
      <c r="Z82" s="205">
        <v>6.943699</v>
      </c>
      <c r="AA82" s="205">
        <v>5.138356</v>
      </c>
      <c r="AB82" s="205">
        <v>0.908082</v>
      </c>
      <c r="AC82" s="205">
        <v>0.486027</v>
      </c>
      <c r="AD82" s="205">
        <v>0.4932</v>
      </c>
      <c r="AE82" s="205">
        <v>17.01219</v>
      </c>
      <c r="AF82" s="205">
        <v>0.722999</v>
      </c>
      <c r="AG82" s="205">
        <v>5.443836</v>
      </c>
      <c r="AH82" s="205">
        <v>2.222055</v>
      </c>
      <c r="AI82" s="205">
        <v>28.0735</v>
      </c>
      <c r="AJ82" s="205">
        <v>0.918206</v>
      </c>
      <c r="AK82" s="205">
        <v>-0.19766</v>
      </c>
      <c r="AL82" s="205">
        <v>0.349948</v>
      </c>
      <c r="AM82" s="205">
        <v>0.652212</v>
      </c>
      <c r="AN82" s="205">
        <v>-0.31503</v>
      </c>
      <c r="AO82" s="205">
        <v>-0.46768</v>
      </c>
      <c r="AP82" s="205">
        <v>0.117272</v>
      </c>
      <c r="AQ82" s="205">
        <v>-1.22624</v>
      </c>
      <c r="AR82" s="205">
        <v>-0.40132</v>
      </c>
    </row>
    <row r="83">
      <c r="A83" s="205">
        <v>82.0</v>
      </c>
      <c r="B83" s="206"/>
      <c r="C83" s="206"/>
      <c r="D83" s="205">
        <v>-0.06634</v>
      </c>
      <c r="E83" s="205">
        <v>-0.00357</v>
      </c>
      <c r="F83" s="205">
        <v>1.011076</v>
      </c>
      <c r="G83" s="206"/>
      <c r="H83" s="207" t="s">
        <v>1599</v>
      </c>
      <c r="I83" s="207" t="s">
        <v>42</v>
      </c>
      <c r="J83" s="207" t="s">
        <v>1412</v>
      </c>
      <c r="K83" s="207" t="s">
        <v>1600</v>
      </c>
      <c r="L83" s="206"/>
      <c r="M83" s="207" t="s">
        <v>1373</v>
      </c>
      <c r="N83" s="207" t="s">
        <v>1414</v>
      </c>
      <c r="O83" s="206"/>
      <c r="P83" s="208"/>
      <c r="Q83" s="207">
        <v>3.0</v>
      </c>
      <c r="R83" s="206"/>
      <c r="S83" s="207" t="s">
        <v>1375</v>
      </c>
      <c r="T83" s="205">
        <v>73.0</v>
      </c>
      <c r="U83" s="205">
        <v>16.0</v>
      </c>
      <c r="V83" s="206"/>
      <c r="W83" s="205">
        <v>32.0</v>
      </c>
      <c r="X83" s="205">
        <v>14.0874</v>
      </c>
      <c r="Y83" s="205">
        <v>1.074247</v>
      </c>
      <c r="Z83" s="205">
        <v>5.05</v>
      </c>
      <c r="AA83" s="205">
        <v>3.164658</v>
      </c>
      <c r="AB83" s="205">
        <v>0.875342</v>
      </c>
      <c r="AC83" s="205">
        <v>0.340685</v>
      </c>
      <c r="AD83" s="205">
        <v>0.551526</v>
      </c>
      <c r="AE83" s="205">
        <v>9.965616</v>
      </c>
      <c r="AF83" s="205">
        <v>0.833993</v>
      </c>
      <c r="AG83" s="205">
        <v>2.42274</v>
      </c>
      <c r="AH83" s="205">
        <v>0.952329</v>
      </c>
      <c r="AI83" s="205">
        <v>16.15006</v>
      </c>
      <c r="AJ83" s="205">
        <v>-0.51711</v>
      </c>
      <c r="AK83" s="205">
        <v>-0.6532</v>
      </c>
      <c r="AL83" s="205">
        <v>-0.42125</v>
      </c>
      <c r="AM83" s="205">
        <v>-0.30558</v>
      </c>
      <c r="AN83" s="205">
        <v>-0.41125</v>
      </c>
      <c r="AO83" s="205">
        <v>-0.72944</v>
      </c>
      <c r="AP83" s="205">
        <v>0.932601</v>
      </c>
      <c r="AQ83" s="205">
        <v>0.293978</v>
      </c>
      <c r="AR83" s="205">
        <v>1.214163</v>
      </c>
    </row>
    <row r="84">
      <c r="A84" s="205">
        <v>83.0</v>
      </c>
      <c r="B84" s="206"/>
      <c r="C84" s="206"/>
      <c r="D84" s="205">
        <v>-0.06862</v>
      </c>
      <c r="E84" s="205">
        <v>-0.00908</v>
      </c>
      <c r="F84" s="205">
        <v>0.397768</v>
      </c>
      <c r="G84" s="206"/>
      <c r="H84" s="207" t="s">
        <v>1601</v>
      </c>
      <c r="I84" s="207" t="s">
        <v>1371</v>
      </c>
      <c r="J84" s="207" t="s">
        <v>1412</v>
      </c>
      <c r="K84" s="207" t="s">
        <v>1602</v>
      </c>
      <c r="L84" s="206"/>
      <c r="M84" s="207" t="s">
        <v>1384</v>
      </c>
      <c r="N84" s="208"/>
      <c r="O84" s="206"/>
      <c r="P84" s="206"/>
      <c r="Q84" s="207">
        <v>2.0</v>
      </c>
      <c r="R84" s="207" t="s">
        <v>1603</v>
      </c>
      <c r="S84" s="207" t="s">
        <v>1402</v>
      </c>
      <c r="T84" s="205">
        <v>68.0</v>
      </c>
      <c r="U84" s="205">
        <v>14.0</v>
      </c>
      <c r="V84" s="206"/>
      <c r="W84" s="205">
        <v>29.0</v>
      </c>
      <c r="X84" s="205">
        <v>14.57382</v>
      </c>
      <c r="Y84" s="205">
        <v>2.610735</v>
      </c>
      <c r="Z84" s="205">
        <v>4.005588</v>
      </c>
      <c r="AA84" s="205">
        <v>2.280147</v>
      </c>
      <c r="AB84" s="205">
        <v>1.270147</v>
      </c>
      <c r="AC84" s="205">
        <v>0.436912</v>
      </c>
      <c r="AD84" s="205">
        <v>0.454526</v>
      </c>
      <c r="AE84" s="205">
        <v>12.07853</v>
      </c>
      <c r="AF84" s="205">
        <v>0.813953</v>
      </c>
      <c r="AG84" s="205">
        <v>1.207794</v>
      </c>
      <c r="AH84" s="205">
        <v>1.183382</v>
      </c>
      <c r="AI84" s="205">
        <v>20.18836</v>
      </c>
      <c r="AJ84" s="205">
        <v>-0.43173</v>
      </c>
      <c r="AK84" s="205">
        <v>0.823956</v>
      </c>
      <c r="AL84" s="205">
        <v>-0.84658</v>
      </c>
      <c r="AM84" s="205">
        <v>-0.73482</v>
      </c>
      <c r="AN84" s="205">
        <v>0.749024</v>
      </c>
      <c r="AO84" s="205">
        <v>-0.55614</v>
      </c>
      <c r="AP84" s="205">
        <v>-0.60704</v>
      </c>
      <c r="AQ84" s="205">
        <v>0.06552</v>
      </c>
      <c r="AR84" s="205">
        <v>0.920192</v>
      </c>
    </row>
    <row r="85">
      <c r="A85" s="205">
        <v>84.0</v>
      </c>
      <c r="B85" s="206"/>
      <c r="C85" s="206"/>
      <c r="D85" s="205">
        <v>-0.06977</v>
      </c>
      <c r="E85" s="205">
        <v>0.025885</v>
      </c>
      <c r="F85" s="205">
        <v>-2.70594</v>
      </c>
      <c r="G85" s="206"/>
      <c r="H85" s="207" t="s">
        <v>1604</v>
      </c>
      <c r="I85" s="207" t="s">
        <v>287</v>
      </c>
      <c r="J85" s="207" t="s">
        <v>1379</v>
      </c>
      <c r="K85" s="207" t="s">
        <v>1605</v>
      </c>
      <c r="L85" s="206"/>
      <c r="M85" s="207" t="s">
        <v>1384</v>
      </c>
      <c r="N85" s="207" t="s">
        <v>1551</v>
      </c>
      <c r="O85" s="206"/>
      <c r="P85" s="206"/>
      <c r="Q85" s="207">
        <v>3.0</v>
      </c>
      <c r="R85" s="207" t="s">
        <v>1606</v>
      </c>
      <c r="S85" s="207" t="s">
        <v>1402</v>
      </c>
      <c r="T85" s="205">
        <v>61.0</v>
      </c>
      <c r="U85" s="205">
        <v>15.0</v>
      </c>
      <c r="V85" s="206"/>
      <c r="W85" s="205">
        <v>31.0</v>
      </c>
      <c r="X85" s="205">
        <v>12.25689</v>
      </c>
      <c r="Y85" s="205">
        <v>2.04459</v>
      </c>
      <c r="Z85" s="205">
        <v>4.611311</v>
      </c>
      <c r="AA85" s="205">
        <v>5.27</v>
      </c>
      <c r="AB85" s="205">
        <v>1.187541</v>
      </c>
      <c r="AC85" s="205">
        <v>0.526557</v>
      </c>
      <c r="AD85" s="205">
        <v>0.436481</v>
      </c>
      <c r="AE85" s="205">
        <v>10.54033</v>
      </c>
      <c r="AF85" s="205">
        <v>0.869939</v>
      </c>
      <c r="AG85" s="205">
        <v>1.162131</v>
      </c>
      <c r="AH85" s="205">
        <v>1.712787</v>
      </c>
      <c r="AI85" s="205">
        <v>17.10872</v>
      </c>
      <c r="AJ85" s="205">
        <v>-0.8384</v>
      </c>
      <c r="AK85" s="205">
        <v>0.279674</v>
      </c>
      <c r="AL85" s="205">
        <v>-0.5999</v>
      </c>
      <c r="AM85" s="205">
        <v>0.716096</v>
      </c>
      <c r="AN85" s="205">
        <v>0.506257</v>
      </c>
      <c r="AO85" s="205">
        <v>-0.39468</v>
      </c>
      <c r="AP85" s="205">
        <v>-0.81073</v>
      </c>
      <c r="AQ85" s="205">
        <v>0.267166</v>
      </c>
      <c r="AR85" s="205">
        <v>0.246627</v>
      </c>
    </row>
    <row r="86">
      <c r="A86" s="205">
        <v>85.0</v>
      </c>
      <c r="B86" s="206"/>
      <c r="C86" s="206"/>
      <c r="D86" s="205">
        <v>-0.07218</v>
      </c>
      <c r="E86" s="205">
        <v>0.002428</v>
      </c>
      <c r="F86" s="205">
        <v>0.276965</v>
      </c>
      <c r="G86" s="206"/>
      <c r="H86" s="207" t="s">
        <v>1607</v>
      </c>
      <c r="I86" s="207" t="s">
        <v>204</v>
      </c>
      <c r="J86" s="207" t="s">
        <v>34</v>
      </c>
      <c r="K86" s="207" t="s">
        <v>1608</v>
      </c>
      <c r="L86" s="206"/>
      <c r="M86" s="207" t="s">
        <v>1373</v>
      </c>
      <c r="N86" s="208"/>
      <c r="O86" s="206"/>
      <c r="P86" s="208"/>
      <c r="Q86" s="207">
        <v>3.0</v>
      </c>
      <c r="R86" s="207" t="s">
        <v>1508</v>
      </c>
      <c r="S86" s="207" t="s">
        <v>1375</v>
      </c>
      <c r="T86" s="205">
        <v>73.0</v>
      </c>
      <c r="U86" s="205">
        <v>14.0</v>
      </c>
      <c r="V86" s="206"/>
      <c r="W86" s="205">
        <v>32.0</v>
      </c>
      <c r="X86" s="205">
        <v>21.69712</v>
      </c>
      <c r="Y86" s="205">
        <v>0.259589</v>
      </c>
      <c r="Z86" s="205">
        <v>9.897945</v>
      </c>
      <c r="AA86" s="205">
        <v>5.252055</v>
      </c>
      <c r="AB86" s="205">
        <v>1.01</v>
      </c>
      <c r="AC86" s="205">
        <v>0.81137</v>
      </c>
      <c r="AD86" s="205">
        <v>0.525203</v>
      </c>
      <c r="AE86" s="205">
        <v>16.02589</v>
      </c>
      <c r="AF86" s="205">
        <v>0.684007</v>
      </c>
      <c r="AG86" s="205">
        <v>6.730685</v>
      </c>
      <c r="AH86" s="205">
        <v>2.635342</v>
      </c>
      <c r="AI86" s="205">
        <v>27.72689</v>
      </c>
      <c r="AJ86" s="205">
        <v>0.818567</v>
      </c>
      <c r="AK86" s="205">
        <v>-1.4364</v>
      </c>
      <c r="AL86" s="205">
        <v>1.553045</v>
      </c>
      <c r="AM86" s="205">
        <v>0.707387</v>
      </c>
      <c r="AN86" s="205">
        <v>-0.01551</v>
      </c>
      <c r="AO86" s="205">
        <v>0.11828</v>
      </c>
      <c r="AP86" s="205">
        <v>0.870786</v>
      </c>
      <c r="AQ86" s="205">
        <v>-2.33865</v>
      </c>
      <c r="AR86" s="205">
        <v>-0.92715</v>
      </c>
    </row>
    <row r="87">
      <c r="A87" s="205">
        <v>86.0</v>
      </c>
      <c r="B87" s="206"/>
      <c r="C87" s="206"/>
      <c r="D87" s="205">
        <v>-0.07649</v>
      </c>
      <c r="E87" s="205">
        <v>0.003719</v>
      </c>
      <c r="F87" s="205">
        <v>0.509278</v>
      </c>
      <c r="G87" s="206"/>
      <c r="H87" s="207" t="s">
        <v>1609</v>
      </c>
      <c r="I87" s="207" t="s">
        <v>264</v>
      </c>
      <c r="J87" s="207" t="s">
        <v>1387</v>
      </c>
      <c r="K87" s="207" t="s">
        <v>1610</v>
      </c>
      <c r="L87" s="206"/>
      <c r="M87" s="207" t="s">
        <v>1373</v>
      </c>
      <c r="N87" s="207" t="s">
        <v>1385</v>
      </c>
      <c r="O87" s="206"/>
      <c r="P87" s="206"/>
      <c r="Q87" s="207">
        <v>4.0</v>
      </c>
      <c r="R87" s="207" t="s">
        <v>1536</v>
      </c>
      <c r="S87" s="207" t="s">
        <v>1375</v>
      </c>
      <c r="T87" s="205">
        <v>73.0</v>
      </c>
      <c r="U87" s="205">
        <v>14.0</v>
      </c>
      <c r="V87" s="206"/>
      <c r="W87" s="205">
        <v>35.0</v>
      </c>
      <c r="X87" s="205">
        <v>26.10795</v>
      </c>
      <c r="Y87" s="205">
        <v>1.899589</v>
      </c>
      <c r="Z87" s="205">
        <v>7.860411</v>
      </c>
      <c r="AA87" s="205">
        <v>4.716301</v>
      </c>
      <c r="AB87" s="205">
        <v>0.785205</v>
      </c>
      <c r="AC87" s="205">
        <v>0.571644</v>
      </c>
      <c r="AD87" s="205">
        <v>0.468228</v>
      </c>
      <c r="AE87" s="205">
        <v>19.43671</v>
      </c>
      <c r="AF87" s="205">
        <v>0.755002</v>
      </c>
      <c r="AG87" s="205">
        <v>7.95589</v>
      </c>
      <c r="AH87" s="205">
        <v>2.715479</v>
      </c>
      <c r="AI87" s="205">
        <v>32.50047</v>
      </c>
      <c r="AJ87" s="205">
        <v>1.592764</v>
      </c>
      <c r="AK87" s="205">
        <v>0.140272</v>
      </c>
      <c r="AL87" s="205">
        <v>0.723273</v>
      </c>
      <c r="AM87" s="205">
        <v>0.447397</v>
      </c>
      <c r="AN87" s="205">
        <v>-0.67615</v>
      </c>
      <c r="AO87" s="205">
        <v>-0.31348</v>
      </c>
      <c r="AP87" s="205">
        <v>-0.58609</v>
      </c>
      <c r="AQ87" s="205">
        <v>-0.98727</v>
      </c>
      <c r="AR87" s="205">
        <v>-1.0291</v>
      </c>
    </row>
    <row r="88">
      <c r="A88" s="205">
        <v>87.0</v>
      </c>
      <c r="B88" s="206"/>
      <c r="C88" s="206"/>
      <c r="D88" s="205">
        <v>-0.07938</v>
      </c>
      <c r="E88" s="205">
        <v>0.004466</v>
      </c>
      <c r="F88" s="205">
        <v>-0.45715</v>
      </c>
      <c r="G88" s="206"/>
      <c r="H88" s="207" t="s">
        <v>1611</v>
      </c>
      <c r="I88" s="207" t="s">
        <v>193</v>
      </c>
      <c r="J88" s="207" t="s">
        <v>1412</v>
      </c>
      <c r="K88" s="207" t="s">
        <v>1612</v>
      </c>
      <c r="L88" s="206"/>
      <c r="M88" s="207" t="s">
        <v>1384</v>
      </c>
      <c r="N88" s="207" t="s">
        <v>1400</v>
      </c>
      <c r="O88" s="206"/>
      <c r="P88" s="208"/>
      <c r="Q88" s="207">
        <v>5.0</v>
      </c>
      <c r="R88" s="207" t="s">
        <v>1613</v>
      </c>
      <c r="S88" s="207" t="s">
        <v>1375</v>
      </c>
      <c r="T88" s="205">
        <v>68.0</v>
      </c>
      <c r="U88" s="205">
        <v>15.0</v>
      </c>
      <c r="V88" s="206"/>
      <c r="W88" s="205">
        <v>34.0</v>
      </c>
      <c r="X88" s="205">
        <v>20.04441</v>
      </c>
      <c r="Y88" s="205">
        <v>2.721324</v>
      </c>
      <c r="Z88" s="205">
        <v>3.470882</v>
      </c>
      <c r="AA88" s="205">
        <v>1.995</v>
      </c>
      <c r="AB88" s="205">
        <v>1.193235</v>
      </c>
      <c r="AC88" s="205">
        <v>0.137794</v>
      </c>
      <c r="AD88" s="205">
        <v>0.48002</v>
      </c>
      <c r="AE88" s="205">
        <v>14.71662</v>
      </c>
      <c r="AF88" s="205">
        <v>0.80399</v>
      </c>
      <c r="AG88" s="205">
        <v>3.973382</v>
      </c>
      <c r="AH88" s="205">
        <v>1.586324</v>
      </c>
      <c r="AI88" s="205">
        <v>23.69293</v>
      </c>
      <c r="AJ88" s="205">
        <v>0.52848</v>
      </c>
      <c r="AK88" s="205">
        <v>0.930274</v>
      </c>
      <c r="AL88" s="205">
        <v>-1.06433</v>
      </c>
      <c r="AM88" s="205">
        <v>-0.87319</v>
      </c>
      <c r="AN88" s="205">
        <v>0.522992</v>
      </c>
      <c r="AO88" s="205">
        <v>-1.09486</v>
      </c>
      <c r="AP88" s="205">
        <v>-0.1851</v>
      </c>
      <c r="AQ88" s="205">
        <v>0.113769</v>
      </c>
      <c r="AR88" s="205">
        <v>0.407527</v>
      </c>
    </row>
    <row r="89">
      <c r="A89" s="205">
        <v>88.0</v>
      </c>
      <c r="B89" s="206"/>
      <c r="C89" s="206"/>
      <c r="D89" s="205">
        <v>-0.08131</v>
      </c>
      <c r="E89" s="205">
        <v>-0.00313</v>
      </c>
      <c r="F89" s="205">
        <v>-1.85103</v>
      </c>
      <c r="G89" s="206"/>
      <c r="H89" s="207" t="s">
        <v>1614</v>
      </c>
      <c r="I89" s="207" t="s">
        <v>68</v>
      </c>
      <c r="J89" s="207" t="s">
        <v>1379</v>
      </c>
      <c r="K89" s="207" t="s">
        <v>1615</v>
      </c>
      <c r="L89" s="207" t="s">
        <v>1616</v>
      </c>
      <c r="M89" s="207" t="s">
        <v>1384</v>
      </c>
      <c r="N89" s="207" t="s">
        <v>1385</v>
      </c>
      <c r="O89" s="206"/>
      <c r="P89" s="206"/>
      <c r="Q89" s="207">
        <v>4.0</v>
      </c>
      <c r="R89" s="206"/>
      <c r="S89" s="207" t="s">
        <v>1617</v>
      </c>
      <c r="T89" s="205">
        <v>10.0</v>
      </c>
      <c r="U89" s="205">
        <v>14.0</v>
      </c>
      <c r="V89" s="206"/>
      <c r="W89" s="205">
        <v>28.0</v>
      </c>
      <c r="X89" s="205">
        <v>18.409</v>
      </c>
      <c r="Y89" s="205">
        <v>2.257</v>
      </c>
      <c r="Z89" s="205">
        <v>3.653</v>
      </c>
      <c r="AA89" s="205">
        <v>3.067</v>
      </c>
      <c r="AB89" s="205">
        <v>1.021</v>
      </c>
      <c r="AC89" s="205">
        <v>0.424</v>
      </c>
      <c r="AD89" s="205">
        <v>0.453499</v>
      </c>
      <c r="AE89" s="205">
        <v>14.849</v>
      </c>
      <c r="AF89" s="205">
        <v>0.904008</v>
      </c>
      <c r="AG89" s="205">
        <v>2.969</v>
      </c>
      <c r="AH89" s="205">
        <v>1.747</v>
      </c>
      <c r="AI89" s="205">
        <v>27.34298</v>
      </c>
      <c r="AJ89" s="205">
        <v>0.241429</v>
      </c>
      <c r="AK89" s="205">
        <v>0.483881</v>
      </c>
      <c r="AL89" s="205">
        <v>-0.99017</v>
      </c>
      <c r="AM89" s="205">
        <v>-0.35297</v>
      </c>
      <c r="AN89" s="205">
        <v>0.016818</v>
      </c>
      <c r="AO89" s="205">
        <v>-0.57939</v>
      </c>
      <c r="AP89" s="205">
        <v>-0.77033</v>
      </c>
      <c r="AQ89" s="205">
        <v>1.015856</v>
      </c>
      <c r="AR89" s="205">
        <v>0.203098</v>
      </c>
    </row>
    <row r="90">
      <c r="A90" s="205">
        <v>89.0</v>
      </c>
      <c r="B90" s="206"/>
      <c r="C90" s="206"/>
      <c r="D90" s="205">
        <v>-0.08329</v>
      </c>
      <c r="E90" s="205">
        <v>0.018721</v>
      </c>
      <c r="F90" s="205">
        <v>0.481401</v>
      </c>
      <c r="G90" s="206"/>
      <c r="H90" s="207" t="s">
        <v>1618</v>
      </c>
      <c r="I90" s="207" t="s">
        <v>287</v>
      </c>
      <c r="J90" s="207" t="s">
        <v>1412</v>
      </c>
      <c r="K90" s="207" t="s">
        <v>1619</v>
      </c>
      <c r="L90" s="206"/>
      <c r="M90" s="207" t="s">
        <v>1384</v>
      </c>
      <c r="N90" s="207" t="s">
        <v>1414</v>
      </c>
      <c r="O90" s="206"/>
      <c r="P90" s="206"/>
      <c r="Q90" s="207">
        <v>2.0</v>
      </c>
      <c r="R90" s="207" t="s">
        <v>1587</v>
      </c>
      <c r="S90" s="207" t="s">
        <v>1402</v>
      </c>
      <c r="T90" s="205">
        <v>68.0</v>
      </c>
      <c r="U90" s="205">
        <v>15.0</v>
      </c>
      <c r="V90" s="206"/>
      <c r="W90" s="205">
        <v>33.0</v>
      </c>
      <c r="X90" s="205">
        <v>23.31574</v>
      </c>
      <c r="Y90" s="205">
        <v>2.597206</v>
      </c>
      <c r="Z90" s="205">
        <v>5.329559</v>
      </c>
      <c r="AA90" s="205">
        <v>3.366029</v>
      </c>
      <c r="AB90" s="205">
        <v>0.984559</v>
      </c>
      <c r="AC90" s="205">
        <v>0.21</v>
      </c>
      <c r="AD90" s="205">
        <v>0.467503</v>
      </c>
      <c r="AE90" s="205">
        <v>18.3025</v>
      </c>
      <c r="AF90" s="205">
        <v>0.788005</v>
      </c>
      <c r="AG90" s="205">
        <v>4.575588</v>
      </c>
      <c r="AH90" s="205">
        <v>2.240147</v>
      </c>
      <c r="AI90" s="205">
        <v>28.40032</v>
      </c>
      <c r="AJ90" s="205">
        <v>1.102669</v>
      </c>
      <c r="AK90" s="205">
        <v>0.810949</v>
      </c>
      <c r="AL90" s="205">
        <v>-0.3074</v>
      </c>
      <c r="AM90" s="205">
        <v>-0.20786</v>
      </c>
      <c r="AN90" s="205">
        <v>-0.09028</v>
      </c>
      <c r="AO90" s="205">
        <v>-0.96481</v>
      </c>
      <c r="AP90" s="205">
        <v>-0.5712</v>
      </c>
      <c r="AQ90" s="205">
        <v>-0.09737</v>
      </c>
      <c r="AR90" s="205">
        <v>-0.42434</v>
      </c>
    </row>
    <row r="91">
      <c r="A91" s="205">
        <v>90.0</v>
      </c>
      <c r="B91" s="206"/>
      <c r="C91" s="206"/>
      <c r="D91" s="205">
        <v>-0.084</v>
      </c>
      <c r="E91" s="205">
        <v>-0.0037</v>
      </c>
      <c r="F91" s="205">
        <v>1.568629</v>
      </c>
      <c r="G91" s="206"/>
      <c r="H91" s="207" t="s">
        <v>1620</v>
      </c>
      <c r="I91" s="207" t="s">
        <v>68</v>
      </c>
      <c r="J91" s="207" t="s">
        <v>1412</v>
      </c>
      <c r="K91" s="207" t="s">
        <v>1621</v>
      </c>
      <c r="L91" s="206"/>
      <c r="M91" s="207" t="s">
        <v>1373</v>
      </c>
      <c r="N91" s="208"/>
      <c r="O91" s="206"/>
      <c r="P91" s="208"/>
      <c r="Q91" s="207">
        <v>3.0</v>
      </c>
      <c r="R91" s="207" t="s">
        <v>1491</v>
      </c>
      <c r="S91" s="207" t="s">
        <v>1375</v>
      </c>
      <c r="T91" s="205">
        <v>73.0</v>
      </c>
      <c r="U91" s="205">
        <v>14.0</v>
      </c>
      <c r="V91" s="206"/>
      <c r="W91" s="205">
        <v>34.0</v>
      </c>
      <c r="X91" s="205">
        <v>18.4174</v>
      </c>
      <c r="Y91" s="205">
        <v>1.85</v>
      </c>
      <c r="Z91" s="205">
        <v>5.937945</v>
      </c>
      <c r="AA91" s="205">
        <v>4.292466</v>
      </c>
      <c r="AB91" s="205">
        <v>1.287808</v>
      </c>
      <c r="AC91" s="205">
        <v>1.001644</v>
      </c>
      <c r="AD91" s="205">
        <v>0.429869</v>
      </c>
      <c r="AE91" s="205">
        <v>14.88123</v>
      </c>
      <c r="AF91" s="205">
        <v>0.817996</v>
      </c>
      <c r="AG91" s="205">
        <v>4.613014</v>
      </c>
      <c r="AH91" s="205">
        <v>3.147808</v>
      </c>
      <c r="AI91" s="205">
        <v>25.23009</v>
      </c>
      <c r="AJ91" s="205">
        <v>0.242903</v>
      </c>
      <c r="AK91" s="205">
        <v>0.092598</v>
      </c>
      <c r="AL91" s="205">
        <v>-0.05964</v>
      </c>
      <c r="AM91" s="205">
        <v>0.241718</v>
      </c>
      <c r="AN91" s="205">
        <v>0.800928</v>
      </c>
      <c r="AO91" s="205">
        <v>0.460973</v>
      </c>
      <c r="AP91" s="205">
        <v>-1.29303</v>
      </c>
      <c r="AQ91" s="205">
        <v>0.336746</v>
      </c>
      <c r="AR91" s="205">
        <v>-1.57916</v>
      </c>
    </row>
    <row r="92">
      <c r="A92" s="205">
        <v>91.0</v>
      </c>
      <c r="B92" s="206"/>
      <c r="C92" s="206"/>
      <c r="D92" s="205">
        <v>-0.08752</v>
      </c>
      <c r="E92" s="205">
        <v>-0.0067</v>
      </c>
      <c r="F92" s="205">
        <v>-1.62801</v>
      </c>
      <c r="G92" s="206"/>
      <c r="H92" s="207" t="s">
        <v>1622</v>
      </c>
      <c r="I92" s="207" t="s">
        <v>68</v>
      </c>
      <c r="J92" s="207" t="s">
        <v>34</v>
      </c>
      <c r="K92" s="207" t="s">
        <v>1623</v>
      </c>
      <c r="L92" s="207" t="s">
        <v>1624</v>
      </c>
      <c r="M92" s="207" t="s">
        <v>1384</v>
      </c>
      <c r="N92" s="208"/>
      <c r="O92" s="206"/>
      <c r="P92" s="206"/>
      <c r="Q92" s="207">
        <v>2.0</v>
      </c>
      <c r="R92" s="206"/>
      <c r="S92" s="207" t="s">
        <v>1402</v>
      </c>
      <c r="T92" s="205">
        <v>61.0</v>
      </c>
      <c r="U92" s="205">
        <v>14.0</v>
      </c>
      <c r="V92" s="206"/>
      <c r="W92" s="205">
        <v>24.0</v>
      </c>
      <c r="X92" s="205">
        <v>9.158197</v>
      </c>
      <c r="Y92" s="205">
        <v>0.0</v>
      </c>
      <c r="Z92" s="205">
        <v>7.827541</v>
      </c>
      <c r="AA92" s="205">
        <v>1.90377</v>
      </c>
      <c r="AB92" s="205">
        <v>0.610492</v>
      </c>
      <c r="AC92" s="205">
        <v>1.508197</v>
      </c>
      <c r="AD92" s="205">
        <v>0.72299</v>
      </c>
      <c r="AE92" s="205">
        <v>5.504918</v>
      </c>
      <c r="AF92" s="205">
        <v>0.67203</v>
      </c>
      <c r="AG92" s="205">
        <v>1.782951</v>
      </c>
      <c r="AH92" s="205">
        <v>1.056393</v>
      </c>
      <c r="AI92" s="205">
        <v>13.08947</v>
      </c>
      <c r="AJ92" s="205">
        <v>-1.38229</v>
      </c>
      <c r="AK92" s="205">
        <v>-1.68596</v>
      </c>
      <c r="AL92" s="205">
        <v>0.709887</v>
      </c>
      <c r="AM92" s="205">
        <v>-0.91747</v>
      </c>
      <c r="AN92" s="205">
        <v>-1.18961</v>
      </c>
      <c r="AO92" s="205">
        <v>1.373297</v>
      </c>
      <c r="AP92" s="205">
        <v>1.916593</v>
      </c>
      <c r="AQ92" s="205">
        <v>-0.69389</v>
      </c>
      <c r="AR92" s="205">
        <v>1.081761</v>
      </c>
    </row>
    <row r="93">
      <c r="A93" s="205">
        <v>92.0</v>
      </c>
      <c r="B93" s="206"/>
      <c r="C93" s="206"/>
      <c r="D93" s="205">
        <v>-0.09078</v>
      </c>
      <c r="E93" s="205">
        <v>-0.00291</v>
      </c>
      <c r="F93" s="205">
        <v>1.076124</v>
      </c>
      <c r="G93" s="206"/>
      <c r="H93" s="207" t="s">
        <v>1625</v>
      </c>
      <c r="I93" s="207" t="s">
        <v>1430</v>
      </c>
      <c r="J93" s="207" t="s">
        <v>1412</v>
      </c>
      <c r="K93" s="207" t="s">
        <v>1626</v>
      </c>
      <c r="L93" s="207" t="s">
        <v>1627</v>
      </c>
      <c r="M93" s="207" t="s">
        <v>1373</v>
      </c>
      <c r="N93" s="208"/>
      <c r="O93" s="206"/>
      <c r="P93" s="206"/>
      <c r="Q93" s="207">
        <v>2.0</v>
      </c>
      <c r="R93" s="207" t="s">
        <v>1603</v>
      </c>
      <c r="S93" s="207" t="s">
        <v>1402</v>
      </c>
      <c r="T93" s="205">
        <v>73.0</v>
      </c>
      <c r="U93" s="205">
        <v>14.0</v>
      </c>
      <c r="V93" s="206"/>
      <c r="W93" s="205">
        <v>33.0</v>
      </c>
      <c r="X93" s="205">
        <v>11.72712</v>
      </c>
      <c r="Y93" s="205">
        <v>0.923288</v>
      </c>
      <c r="Z93" s="205">
        <v>7.486849</v>
      </c>
      <c r="AA93" s="205">
        <v>4.696301</v>
      </c>
      <c r="AB93" s="205">
        <v>1.225068</v>
      </c>
      <c r="AC93" s="205">
        <v>0.276027</v>
      </c>
      <c r="AD93" s="205">
        <v>0.49429</v>
      </c>
      <c r="AE93" s="205">
        <v>9.188219</v>
      </c>
      <c r="AF93" s="205">
        <v>0.742975</v>
      </c>
      <c r="AG93" s="205">
        <v>2.315753</v>
      </c>
      <c r="AH93" s="205">
        <v>1.565479</v>
      </c>
      <c r="AI93" s="205">
        <v>15.44166</v>
      </c>
      <c r="AJ93" s="205">
        <v>-0.93139</v>
      </c>
      <c r="AK93" s="205">
        <v>-0.79833</v>
      </c>
      <c r="AL93" s="205">
        <v>0.571143</v>
      </c>
      <c r="AM93" s="205">
        <v>0.437691</v>
      </c>
      <c r="AN93" s="205">
        <v>0.616545</v>
      </c>
      <c r="AO93" s="205">
        <v>-0.8459</v>
      </c>
      <c r="AP93" s="205">
        <v>0.081114</v>
      </c>
      <c r="AQ93" s="205">
        <v>-0.38192</v>
      </c>
      <c r="AR93" s="205">
        <v>0.434048</v>
      </c>
    </row>
    <row r="94">
      <c r="A94" s="205">
        <v>93.0</v>
      </c>
      <c r="B94" s="206"/>
      <c r="C94" s="206"/>
      <c r="D94" s="205">
        <v>-0.09206</v>
      </c>
      <c r="E94" s="205">
        <v>-0.00442</v>
      </c>
      <c r="F94" s="205">
        <v>-0.54078</v>
      </c>
      <c r="G94" s="206"/>
      <c r="H94" s="207" t="s">
        <v>1628</v>
      </c>
      <c r="I94" s="207" t="s">
        <v>1488</v>
      </c>
      <c r="J94" s="207" t="s">
        <v>1379</v>
      </c>
      <c r="K94" s="207" t="s">
        <v>1629</v>
      </c>
      <c r="L94" s="206"/>
      <c r="M94" s="207" t="s">
        <v>1384</v>
      </c>
      <c r="N94" s="207" t="s">
        <v>1551</v>
      </c>
      <c r="O94" s="206"/>
      <c r="P94" s="208"/>
      <c r="Q94" s="207">
        <v>3.0</v>
      </c>
      <c r="R94" s="207" t="s">
        <v>1471</v>
      </c>
      <c r="S94" s="207" t="s">
        <v>1375</v>
      </c>
      <c r="T94" s="205">
        <v>68.0</v>
      </c>
      <c r="U94" s="205">
        <v>15.0</v>
      </c>
      <c r="V94" s="206"/>
      <c r="W94" s="205">
        <v>31.0</v>
      </c>
      <c r="X94" s="205">
        <v>18.92559</v>
      </c>
      <c r="Y94" s="205">
        <v>3.177794</v>
      </c>
      <c r="Z94" s="205">
        <v>2.935294</v>
      </c>
      <c r="AA94" s="205">
        <v>4.305147</v>
      </c>
      <c r="AB94" s="205">
        <v>1.196324</v>
      </c>
      <c r="AC94" s="205">
        <v>0.326176</v>
      </c>
      <c r="AD94" s="205">
        <v>0.43492</v>
      </c>
      <c r="AE94" s="205">
        <v>15.00309</v>
      </c>
      <c r="AF94" s="205">
        <v>0.89899</v>
      </c>
      <c r="AG94" s="205">
        <v>3.000588</v>
      </c>
      <c r="AH94" s="205">
        <v>2.739559</v>
      </c>
      <c r="AI94" s="205">
        <v>25.78123</v>
      </c>
      <c r="AJ94" s="205">
        <v>0.332101</v>
      </c>
      <c r="AK94" s="205">
        <v>1.369117</v>
      </c>
      <c r="AL94" s="205">
        <v>-1.28245</v>
      </c>
      <c r="AM94" s="205">
        <v>0.247872</v>
      </c>
      <c r="AN94" s="205">
        <v>0.532068</v>
      </c>
      <c r="AO94" s="205">
        <v>-0.75558</v>
      </c>
      <c r="AP94" s="205">
        <v>-1.19139</v>
      </c>
      <c r="AQ94" s="205">
        <v>0.979447</v>
      </c>
      <c r="AR94" s="205">
        <v>-1.05974</v>
      </c>
    </row>
    <row r="95">
      <c r="A95" s="205">
        <v>94.0</v>
      </c>
      <c r="B95" s="206"/>
      <c r="C95" s="206"/>
      <c r="D95" s="205">
        <v>-0.09642</v>
      </c>
      <c r="E95" s="205">
        <v>-0.00393</v>
      </c>
      <c r="F95" s="205">
        <v>-0.0111</v>
      </c>
      <c r="G95" s="206"/>
      <c r="H95" s="207" t="s">
        <v>1630</v>
      </c>
      <c r="I95" s="207" t="s">
        <v>89</v>
      </c>
      <c r="J95" s="207" t="s">
        <v>1387</v>
      </c>
      <c r="K95" s="207" t="s">
        <v>1631</v>
      </c>
      <c r="L95" s="206"/>
      <c r="M95" s="207" t="s">
        <v>1384</v>
      </c>
      <c r="N95" s="208"/>
      <c r="O95" s="206"/>
      <c r="P95" s="208"/>
      <c r="Q95" s="207">
        <v>3.0</v>
      </c>
      <c r="R95" s="207" t="s">
        <v>1603</v>
      </c>
      <c r="S95" s="207" t="s">
        <v>1375</v>
      </c>
      <c r="T95" s="205">
        <v>68.0</v>
      </c>
      <c r="U95" s="205">
        <v>13.0</v>
      </c>
      <c r="V95" s="206"/>
      <c r="W95" s="205">
        <v>29.0</v>
      </c>
      <c r="X95" s="205">
        <v>14.89471</v>
      </c>
      <c r="Y95" s="205">
        <v>2.294412</v>
      </c>
      <c r="Z95" s="205">
        <v>4.454559</v>
      </c>
      <c r="AA95" s="205">
        <v>2.013676</v>
      </c>
      <c r="AB95" s="205">
        <v>0.976324</v>
      </c>
      <c r="AC95" s="205">
        <v>0.483088</v>
      </c>
      <c r="AD95" s="205">
        <v>0.47477</v>
      </c>
      <c r="AE95" s="205">
        <v>10.92324</v>
      </c>
      <c r="AF95" s="205">
        <v>0.849994</v>
      </c>
      <c r="AG95" s="205">
        <v>2.621471</v>
      </c>
      <c r="AH95" s="205">
        <v>1.220441</v>
      </c>
      <c r="AI95" s="205">
        <v>19.63917</v>
      </c>
      <c r="AJ95" s="205">
        <v>-0.37541</v>
      </c>
      <c r="AK95" s="205">
        <v>0.519848</v>
      </c>
      <c r="AL95" s="205">
        <v>-0.66374</v>
      </c>
      <c r="AM95" s="205">
        <v>-0.86413</v>
      </c>
      <c r="AN95" s="205">
        <v>-0.11448</v>
      </c>
      <c r="AO95" s="205">
        <v>-0.47297</v>
      </c>
      <c r="AP95" s="205">
        <v>-0.2207</v>
      </c>
      <c r="AQ95" s="205">
        <v>0.450746</v>
      </c>
      <c r="AR95" s="205">
        <v>0.873042</v>
      </c>
    </row>
    <row r="96">
      <c r="A96" s="205">
        <v>95.0</v>
      </c>
      <c r="B96" s="206"/>
      <c r="C96" s="206"/>
      <c r="D96" s="205">
        <v>-0.09666</v>
      </c>
      <c r="E96" s="205">
        <v>0.002308</v>
      </c>
      <c r="F96" s="205">
        <v>0.713715</v>
      </c>
      <c r="G96" s="206"/>
      <c r="H96" s="207" t="s">
        <v>1632</v>
      </c>
      <c r="I96" s="207" t="s">
        <v>1392</v>
      </c>
      <c r="J96" s="207" t="s">
        <v>1412</v>
      </c>
      <c r="K96" s="206"/>
      <c r="L96" s="206"/>
      <c r="M96" s="207" t="s">
        <v>1384</v>
      </c>
      <c r="N96" s="208"/>
      <c r="O96" s="206"/>
      <c r="P96" s="208"/>
      <c r="Q96" s="207">
        <v>3.0</v>
      </c>
      <c r="R96" s="208"/>
      <c r="S96" s="207" t="s">
        <v>1375</v>
      </c>
      <c r="T96" s="205">
        <v>68.0</v>
      </c>
      <c r="U96" s="205">
        <v>15.0</v>
      </c>
      <c r="V96" s="206"/>
      <c r="W96" s="205">
        <v>29.0</v>
      </c>
      <c r="X96" s="205">
        <v>14.70971</v>
      </c>
      <c r="Y96" s="205">
        <v>2.332647</v>
      </c>
      <c r="Z96" s="205">
        <v>5.502794</v>
      </c>
      <c r="AA96" s="205">
        <v>3.469118</v>
      </c>
      <c r="AB96" s="205">
        <v>1.143235</v>
      </c>
      <c r="AC96" s="205">
        <v>0.178676</v>
      </c>
      <c r="AD96" s="205">
        <v>0.451894</v>
      </c>
      <c r="AE96" s="205">
        <v>11.96206</v>
      </c>
      <c r="AF96" s="205">
        <v>0.769976</v>
      </c>
      <c r="AG96" s="205">
        <v>2.033676</v>
      </c>
      <c r="AH96" s="205">
        <v>1.251912</v>
      </c>
      <c r="AI96" s="205">
        <v>21.00207</v>
      </c>
      <c r="AJ96" s="205">
        <v>-0.40788</v>
      </c>
      <c r="AK96" s="205">
        <v>0.556607</v>
      </c>
      <c r="AL96" s="205">
        <v>-0.23685</v>
      </c>
      <c r="AM96" s="205">
        <v>-0.15784</v>
      </c>
      <c r="AN96" s="205">
        <v>0.376049</v>
      </c>
      <c r="AO96" s="205">
        <v>-1.02123</v>
      </c>
      <c r="AP96" s="205">
        <v>-0.64775</v>
      </c>
      <c r="AQ96" s="205">
        <v>-0.16401</v>
      </c>
      <c r="AR96" s="205">
        <v>0.833002</v>
      </c>
    </row>
    <row r="97">
      <c r="A97" s="205">
        <v>96.0</v>
      </c>
      <c r="B97" s="206"/>
      <c r="C97" s="206"/>
      <c r="D97" s="205">
        <v>-0.10099</v>
      </c>
      <c r="E97" s="205">
        <v>-0.00454</v>
      </c>
      <c r="F97" s="205">
        <v>1.196927</v>
      </c>
      <c r="G97" s="206"/>
      <c r="H97" s="207" t="s">
        <v>1633</v>
      </c>
      <c r="I97" s="207" t="s">
        <v>183</v>
      </c>
      <c r="J97" s="207" t="s">
        <v>1379</v>
      </c>
      <c r="K97" s="207" t="s">
        <v>1634</v>
      </c>
      <c r="L97" s="206"/>
      <c r="M97" s="207" t="s">
        <v>1384</v>
      </c>
      <c r="N97" s="208"/>
      <c r="O97" s="206"/>
      <c r="P97" s="208"/>
      <c r="Q97" s="207">
        <v>3.0</v>
      </c>
      <c r="R97" s="207" t="s">
        <v>1635</v>
      </c>
      <c r="S97" s="207" t="s">
        <v>1402</v>
      </c>
      <c r="T97" s="205">
        <v>68.0</v>
      </c>
      <c r="U97" s="205">
        <v>13.0</v>
      </c>
      <c r="V97" s="206"/>
      <c r="W97" s="205">
        <v>28.0</v>
      </c>
      <c r="X97" s="205">
        <v>13.41471</v>
      </c>
      <c r="Y97" s="205">
        <v>3.161471</v>
      </c>
      <c r="Z97" s="205">
        <v>4.0425</v>
      </c>
      <c r="AA97" s="205">
        <v>4.215735</v>
      </c>
      <c r="AB97" s="205">
        <v>1.226029</v>
      </c>
      <c r="AC97" s="205">
        <v>0.344118</v>
      </c>
      <c r="AD97" s="205">
        <v>0.426993</v>
      </c>
      <c r="AE97" s="205">
        <v>11.08779</v>
      </c>
      <c r="AF97" s="205">
        <v>0.78603</v>
      </c>
      <c r="AG97" s="205">
        <v>0.997941</v>
      </c>
      <c r="AH97" s="205">
        <v>1.790294</v>
      </c>
      <c r="AI97" s="205">
        <v>20.64396</v>
      </c>
      <c r="AJ97" s="205">
        <v>-0.63518</v>
      </c>
      <c r="AK97" s="205">
        <v>1.353424</v>
      </c>
      <c r="AL97" s="205">
        <v>-0.83155</v>
      </c>
      <c r="AM97" s="205">
        <v>0.204483</v>
      </c>
      <c r="AN97" s="205">
        <v>0.619369</v>
      </c>
      <c r="AO97" s="205">
        <v>-0.72326</v>
      </c>
      <c r="AP97" s="205">
        <v>-1.00905</v>
      </c>
      <c r="AQ97" s="205">
        <v>-0.03517</v>
      </c>
      <c r="AR97" s="205">
        <v>0.148014</v>
      </c>
    </row>
    <row r="98">
      <c r="A98" s="205">
        <v>97.0</v>
      </c>
      <c r="B98" s="206"/>
      <c r="C98" s="206"/>
      <c r="D98" s="205">
        <v>-0.12095</v>
      </c>
      <c r="E98" s="205">
        <v>0.174922</v>
      </c>
      <c r="F98" s="205">
        <v>0.276965</v>
      </c>
      <c r="G98" s="206"/>
      <c r="H98" s="207" t="s">
        <v>1636</v>
      </c>
      <c r="I98" s="207" t="s">
        <v>89</v>
      </c>
      <c r="J98" s="207" t="s">
        <v>34</v>
      </c>
      <c r="K98" s="207" t="s">
        <v>1637</v>
      </c>
      <c r="L98" s="206"/>
      <c r="M98" s="207" t="s">
        <v>1384</v>
      </c>
      <c r="N98" s="207" t="s">
        <v>1385</v>
      </c>
      <c r="O98" s="206"/>
      <c r="P98" s="206"/>
      <c r="Q98" s="207">
        <v>1.0</v>
      </c>
      <c r="R98" s="206"/>
      <c r="S98" s="207" t="s">
        <v>1402</v>
      </c>
      <c r="T98" s="205">
        <v>55.0</v>
      </c>
      <c r="U98" s="205">
        <v>13.0</v>
      </c>
      <c r="V98" s="206"/>
      <c r="W98" s="205">
        <v>24.0</v>
      </c>
      <c r="X98" s="205">
        <v>10.28545</v>
      </c>
      <c r="Y98" s="205">
        <v>0.050182</v>
      </c>
      <c r="Z98" s="205">
        <v>6.868</v>
      </c>
      <c r="AA98" s="205">
        <v>1.399455</v>
      </c>
      <c r="AB98" s="205">
        <v>0.943636</v>
      </c>
      <c r="AC98" s="205">
        <v>1.926727</v>
      </c>
      <c r="AD98" s="205">
        <v>0.582506</v>
      </c>
      <c r="AE98" s="205">
        <v>6.867818</v>
      </c>
      <c r="AF98" s="205">
        <v>0.677996</v>
      </c>
      <c r="AG98" s="205">
        <v>3.295273</v>
      </c>
      <c r="AH98" s="205">
        <v>1.189455</v>
      </c>
      <c r="AI98" s="205">
        <v>16.96697</v>
      </c>
      <c r="AJ98" s="205">
        <v>-1.18443</v>
      </c>
      <c r="AK98" s="205">
        <v>-1.63772</v>
      </c>
      <c r="AL98" s="205">
        <v>0.319121</v>
      </c>
      <c r="AM98" s="205">
        <v>-1.1622</v>
      </c>
      <c r="AN98" s="205">
        <v>-0.21054</v>
      </c>
      <c r="AO98" s="205">
        <v>2.12709</v>
      </c>
      <c r="AP98" s="205">
        <v>0.959939</v>
      </c>
      <c r="AQ98" s="205">
        <v>-1.21228</v>
      </c>
      <c r="AR98" s="205">
        <v>0.912466</v>
      </c>
    </row>
    <row r="99">
      <c r="A99" s="205">
        <v>98.0</v>
      </c>
      <c r="B99" s="206"/>
      <c r="C99" s="206"/>
      <c r="D99" s="205">
        <v>-0.12309</v>
      </c>
      <c r="E99" s="205">
        <v>-0.00516</v>
      </c>
      <c r="F99" s="205">
        <v>1.122587</v>
      </c>
      <c r="G99" s="206"/>
      <c r="H99" s="207" t="s">
        <v>1638</v>
      </c>
      <c r="I99" s="207" t="s">
        <v>183</v>
      </c>
      <c r="J99" s="207" t="s">
        <v>1387</v>
      </c>
      <c r="K99" s="207" t="s">
        <v>1639</v>
      </c>
      <c r="L99" s="206"/>
      <c r="M99" s="207" t="s">
        <v>1373</v>
      </c>
      <c r="N99" s="208"/>
      <c r="O99" s="206"/>
      <c r="P99" s="208"/>
      <c r="Q99" s="207">
        <v>3.0</v>
      </c>
      <c r="R99" s="206"/>
      <c r="S99" s="207" t="s">
        <v>1375</v>
      </c>
      <c r="T99" s="205">
        <v>73.0</v>
      </c>
      <c r="U99" s="205">
        <v>13.0</v>
      </c>
      <c r="V99" s="206"/>
      <c r="W99" s="205">
        <v>31.0</v>
      </c>
      <c r="X99" s="205">
        <v>12.43301</v>
      </c>
      <c r="Y99" s="205">
        <v>1.046301</v>
      </c>
      <c r="Z99" s="205">
        <v>5.306849</v>
      </c>
      <c r="AA99" s="205">
        <v>1.854247</v>
      </c>
      <c r="AB99" s="205">
        <v>1.086986</v>
      </c>
      <c r="AC99" s="205">
        <v>0.898904</v>
      </c>
      <c r="AD99" s="205">
        <v>0.495621</v>
      </c>
      <c r="AE99" s="205">
        <v>10.16658</v>
      </c>
      <c r="AF99" s="205">
        <v>0.813016</v>
      </c>
      <c r="AG99" s="205">
        <v>1.610274</v>
      </c>
      <c r="AH99" s="205">
        <v>1.155068</v>
      </c>
      <c r="AI99" s="205">
        <v>16.84413</v>
      </c>
      <c r="AJ99" s="205">
        <v>-0.80749</v>
      </c>
      <c r="AK99" s="205">
        <v>-0.68006</v>
      </c>
      <c r="AL99" s="205">
        <v>-0.31665</v>
      </c>
      <c r="AM99" s="205">
        <v>-0.9415</v>
      </c>
      <c r="AN99" s="205">
        <v>0.210742</v>
      </c>
      <c r="AO99" s="205">
        <v>0.275934</v>
      </c>
      <c r="AP99" s="205">
        <v>0.109121</v>
      </c>
      <c r="AQ99" s="205">
        <v>0.085905</v>
      </c>
      <c r="AR99" s="205">
        <v>0.956216</v>
      </c>
    </row>
    <row r="100">
      <c r="A100" s="205">
        <v>99.0</v>
      </c>
      <c r="B100" s="206"/>
      <c r="C100" s="206"/>
      <c r="D100" s="205">
        <v>-0.12506</v>
      </c>
      <c r="E100" s="205">
        <v>0.007858</v>
      </c>
      <c r="F100" s="205">
        <v>1.076124</v>
      </c>
      <c r="G100" s="206"/>
      <c r="H100" s="207" t="s">
        <v>1640</v>
      </c>
      <c r="I100" s="207" t="s">
        <v>287</v>
      </c>
      <c r="J100" s="207" t="s">
        <v>34</v>
      </c>
      <c r="K100" s="207" t="s">
        <v>1641</v>
      </c>
      <c r="L100" s="206"/>
      <c r="M100" s="207" t="s">
        <v>1384</v>
      </c>
      <c r="N100" s="208"/>
      <c r="O100" s="206"/>
      <c r="P100" s="208"/>
      <c r="Q100" s="207">
        <v>3.0</v>
      </c>
      <c r="R100" s="206"/>
      <c r="S100" s="207" t="s">
        <v>1375</v>
      </c>
      <c r="T100" s="205">
        <v>68.0</v>
      </c>
      <c r="U100" s="205">
        <v>15.0</v>
      </c>
      <c r="V100" s="206"/>
      <c r="W100" s="205">
        <v>27.0</v>
      </c>
      <c r="X100" s="205">
        <v>11.13206</v>
      </c>
      <c r="Y100" s="205">
        <v>0.3125</v>
      </c>
      <c r="Z100" s="205">
        <v>10.3275</v>
      </c>
      <c r="AA100" s="205">
        <v>1.861176</v>
      </c>
      <c r="AB100" s="205">
        <v>0.71</v>
      </c>
      <c r="AC100" s="205">
        <v>1.721176</v>
      </c>
      <c r="AD100" s="205">
        <v>0.559216</v>
      </c>
      <c r="AE100" s="205">
        <v>8.262353</v>
      </c>
      <c r="AF100" s="205">
        <v>0.579018</v>
      </c>
      <c r="AG100" s="205">
        <v>2.726471</v>
      </c>
      <c r="AH100" s="205">
        <v>1.410882</v>
      </c>
      <c r="AI100" s="205">
        <v>16.73239</v>
      </c>
      <c r="AJ100" s="205">
        <v>-1.03584</v>
      </c>
      <c r="AK100" s="205">
        <v>-1.38553</v>
      </c>
      <c r="AL100" s="205">
        <v>1.727979</v>
      </c>
      <c r="AM100" s="205">
        <v>-0.93814</v>
      </c>
      <c r="AN100" s="205">
        <v>-0.89717</v>
      </c>
      <c r="AO100" s="205">
        <v>1.756884</v>
      </c>
      <c r="AP100" s="205">
        <v>0.868438</v>
      </c>
      <c r="AQ100" s="205">
        <v>-1.85292</v>
      </c>
      <c r="AR100" s="205">
        <v>0.630742</v>
      </c>
    </row>
    <row r="101">
      <c r="A101" s="205">
        <v>100.0</v>
      </c>
      <c r="B101" s="206"/>
      <c r="C101" s="206"/>
      <c r="D101" s="205">
        <v>-0.12587</v>
      </c>
      <c r="E101" s="205">
        <v>-0.00443</v>
      </c>
      <c r="F101" s="205">
        <v>1.568629</v>
      </c>
      <c r="G101" s="206"/>
      <c r="H101" s="207" t="s">
        <v>1642</v>
      </c>
      <c r="I101" s="207" t="s">
        <v>1430</v>
      </c>
      <c r="J101" s="207" t="s">
        <v>1412</v>
      </c>
      <c r="K101" s="207" t="s">
        <v>1643</v>
      </c>
      <c r="L101" s="206"/>
      <c r="M101" s="207" t="s">
        <v>1442</v>
      </c>
      <c r="N101" s="207" t="s">
        <v>1385</v>
      </c>
      <c r="O101" s="206"/>
      <c r="P101" s="206"/>
      <c r="Q101" s="207">
        <v>5.0</v>
      </c>
      <c r="R101" s="207" t="s">
        <v>1606</v>
      </c>
      <c r="S101" s="207" t="s">
        <v>1375</v>
      </c>
      <c r="T101" s="205">
        <v>80.0</v>
      </c>
      <c r="U101" s="205">
        <v>14.0</v>
      </c>
      <c r="V101" s="206"/>
      <c r="W101" s="205">
        <v>36.0</v>
      </c>
      <c r="X101" s="205">
        <v>16.497</v>
      </c>
      <c r="Y101" s="205">
        <v>1.641125</v>
      </c>
      <c r="Z101" s="205">
        <v>2.97</v>
      </c>
      <c r="AA101" s="205">
        <v>4.35975</v>
      </c>
      <c r="AB101" s="205">
        <v>0.89575</v>
      </c>
      <c r="AC101" s="205">
        <v>0.51775</v>
      </c>
      <c r="AD101" s="205">
        <v>0.502544</v>
      </c>
      <c r="AE101" s="205">
        <v>13.51325</v>
      </c>
      <c r="AF101" s="205">
        <v>0.856963</v>
      </c>
      <c r="AG101" s="205">
        <v>1.4865</v>
      </c>
      <c r="AH101" s="205">
        <v>1.702375</v>
      </c>
      <c r="AI101" s="205">
        <v>19.08096</v>
      </c>
      <c r="AJ101" s="205">
        <v>-0.09417</v>
      </c>
      <c r="AK101" s="205">
        <v>-0.10821</v>
      </c>
      <c r="AL101" s="205">
        <v>-1.26831</v>
      </c>
      <c r="AM101" s="205">
        <v>0.27437</v>
      </c>
      <c r="AN101" s="205">
        <v>-0.35127</v>
      </c>
      <c r="AO101" s="205">
        <v>-0.41054</v>
      </c>
      <c r="AP101" s="205">
        <v>0.281556</v>
      </c>
      <c r="AQ101" s="205">
        <v>0.283868</v>
      </c>
      <c r="AR101" s="205">
        <v>0.259874</v>
      </c>
    </row>
    <row r="102">
      <c r="A102" s="205">
        <v>101.0</v>
      </c>
      <c r="B102" s="206"/>
      <c r="C102" s="206"/>
      <c r="D102" s="205">
        <v>-0.13534</v>
      </c>
      <c r="E102" s="205">
        <v>0.03408</v>
      </c>
      <c r="F102" s="205">
        <v>1.289853</v>
      </c>
      <c r="G102" s="206"/>
      <c r="H102" s="207" t="s">
        <v>1644</v>
      </c>
      <c r="I102" s="207" t="s">
        <v>204</v>
      </c>
      <c r="J102" s="207" t="s">
        <v>1379</v>
      </c>
      <c r="K102" s="207" t="s">
        <v>1645</v>
      </c>
      <c r="L102" s="206"/>
      <c r="M102" s="207" t="s">
        <v>1373</v>
      </c>
      <c r="N102" s="208"/>
      <c r="O102" s="206"/>
      <c r="P102" s="206"/>
      <c r="Q102" s="207">
        <v>3.0</v>
      </c>
      <c r="R102" s="207" t="s">
        <v>1646</v>
      </c>
      <c r="S102" s="207" t="s">
        <v>1402</v>
      </c>
      <c r="T102" s="205">
        <v>73.0</v>
      </c>
      <c r="U102" s="205">
        <v>14.0</v>
      </c>
      <c r="V102" s="206"/>
      <c r="W102" s="205">
        <v>27.0</v>
      </c>
      <c r="X102" s="205">
        <v>11.86575</v>
      </c>
      <c r="Y102" s="205">
        <v>2.369178</v>
      </c>
      <c r="Z102" s="205">
        <v>3.232192</v>
      </c>
      <c r="AA102" s="205">
        <v>4.20411</v>
      </c>
      <c r="AB102" s="205">
        <v>1.533973</v>
      </c>
      <c r="AC102" s="205">
        <v>0.636438</v>
      </c>
      <c r="AD102" s="205">
        <v>0.399386</v>
      </c>
      <c r="AE102" s="205">
        <v>10.79466</v>
      </c>
      <c r="AF102" s="205">
        <v>0.809772</v>
      </c>
      <c r="AG102" s="205">
        <v>1.079452</v>
      </c>
      <c r="AH102" s="205">
        <v>1.817945</v>
      </c>
      <c r="AI102" s="205">
        <v>19.89003</v>
      </c>
      <c r="AJ102" s="205">
        <v>-0.90706</v>
      </c>
      <c r="AK102" s="205">
        <v>0.591727</v>
      </c>
      <c r="AL102" s="205">
        <v>-1.16154</v>
      </c>
      <c r="AM102" s="205">
        <v>0.198841</v>
      </c>
      <c r="AN102" s="205">
        <v>1.524369</v>
      </c>
      <c r="AO102" s="205">
        <v>-0.19678</v>
      </c>
      <c r="AP102" s="205">
        <v>-1.42377</v>
      </c>
      <c r="AQ102" s="205">
        <v>0.043318</v>
      </c>
      <c r="AR102" s="205">
        <v>0.112834</v>
      </c>
    </row>
    <row r="103">
      <c r="A103" s="205">
        <v>102.0</v>
      </c>
      <c r="B103" s="206"/>
      <c r="C103" s="206"/>
      <c r="D103" s="205">
        <v>-0.13571</v>
      </c>
      <c r="E103" s="205">
        <v>-0.0046</v>
      </c>
      <c r="F103" s="205">
        <v>-0.87531</v>
      </c>
      <c r="G103" s="206"/>
      <c r="H103" s="207" t="s">
        <v>1647</v>
      </c>
      <c r="I103" s="207" t="s">
        <v>103</v>
      </c>
      <c r="J103" s="207" t="s">
        <v>1387</v>
      </c>
      <c r="K103" s="207" t="s">
        <v>1648</v>
      </c>
      <c r="L103" s="206"/>
      <c r="M103" s="207" t="s">
        <v>1373</v>
      </c>
      <c r="N103" s="207" t="s">
        <v>1400</v>
      </c>
      <c r="O103" s="206"/>
      <c r="P103" s="206"/>
      <c r="Q103" s="207">
        <v>3.0</v>
      </c>
      <c r="R103" s="206"/>
      <c r="S103" s="207" t="s">
        <v>1375</v>
      </c>
      <c r="T103" s="205">
        <v>73.0</v>
      </c>
      <c r="U103" s="205">
        <v>15.0</v>
      </c>
      <c r="V103" s="206"/>
      <c r="W103" s="205">
        <v>29.0</v>
      </c>
      <c r="X103" s="205">
        <v>15.18315</v>
      </c>
      <c r="Y103" s="205">
        <v>1.094247</v>
      </c>
      <c r="Z103" s="205">
        <v>6.446438</v>
      </c>
      <c r="AA103" s="205">
        <v>1.230685</v>
      </c>
      <c r="AB103" s="205">
        <v>0.644658</v>
      </c>
      <c r="AC103" s="205">
        <v>0.761918</v>
      </c>
      <c r="AD103" s="205">
        <v>0.557461</v>
      </c>
      <c r="AE103" s="205">
        <v>10.66603</v>
      </c>
      <c r="AF103" s="205">
        <v>0.823992</v>
      </c>
      <c r="AG103" s="205">
        <v>2.666438</v>
      </c>
      <c r="AH103" s="205">
        <v>1.465068</v>
      </c>
      <c r="AI103" s="205">
        <v>20.48593</v>
      </c>
      <c r="AJ103" s="205">
        <v>-0.32478</v>
      </c>
      <c r="AK103" s="205">
        <v>-0.63397</v>
      </c>
      <c r="AL103" s="205">
        <v>0.147442</v>
      </c>
      <c r="AM103" s="205">
        <v>-1.2441</v>
      </c>
      <c r="AN103" s="205">
        <v>-1.0892</v>
      </c>
      <c r="AO103" s="205">
        <v>0.029215</v>
      </c>
      <c r="AP103" s="205">
        <v>1.091481</v>
      </c>
      <c r="AQ103" s="205">
        <v>0.240726</v>
      </c>
      <c r="AR103" s="205">
        <v>0.561801</v>
      </c>
    </row>
    <row r="104">
      <c r="A104" s="205">
        <v>103.0</v>
      </c>
      <c r="B104" s="206"/>
      <c r="C104" s="206"/>
      <c r="D104" s="205">
        <v>-0.13627</v>
      </c>
      <c r="E104" s="205">
        <v>-0.00676</v>
      </c>
      <c r="F104" s="205">
        <v>-0.20625</v>
      </c>
      <c r="G104" s="206"/>
      <c r="H104" s="207" t="s">
        <v>1649</v>
      </c>
      <c r="I104" s="207" t="s">
        <v>1488</v>
      </c>
      <c r="J104" s="207" t="s">
        <v>1387</v>
      </c>
      <c r="K104" s="207" t="s">
        <v>1650</v>
      </c>
      <c r="L104" s="206"/>
      <c r="M104" s="207" t="s">
        <v>1373</v>
      </c>
      <c r="N104" s="207" t="s">
        <v>1385</v>
      </c>
      <c r="O104" s="206"/>
      <c r="P104" s="208"/>
      <c r="Q104" s="207">
        <v>4.0</v>
      </c>
      <c r="R104" s="207" t="s">
        <v>1613</v>
      </c>
      <c r="S104" s="207" t="s">
        <v>1375</v>
      </c>
      <c r="T104" s="205">
        <v>73.0</v>
      </c>
      <c r="U104" s="205">
        <v>15.0</v>
      </c>
      <c r="V104" s="206"/>
      <c r="W104" s="205">
        <v>33.0</v>
      </c>
      <c r="X104" s="205">
        <v>10.25288</v>
      </c>
      <c r="Y104" s="205">
        <v>1.004932</v>
      </c>
      <c r="Z104" s="205">
        <v>4.027397</v>
      </c>
      <c r="AA104" s="205">
        <v>3.062329</v>
      </c>
      <c r="AB104" s="205">
        <v>1.737671</v>
      </c>
      <c r="AC104" s="205">
        <v>0.555068</v>
      </c>
      <c r="AD104" s="205">
        <v>0.45336</v>
      </c>
      <c r="AE104" s="205">
        <v>8.332603</v>
      </c>
      <c r="AF104" s="205">
        <v>0.845028</v>
      </c>
      <c r="AG104" s="205">
        <v>2.003014</v>
      </c>
      <c r="AH104" s="205">
        <v>1.73589</v>
      </c>
      <c r="AI104" s="205">
        <v>13.91135</v>
      </c>
      <c r="AJ104" s="205">
        <v>-1.19015</v>
      </c>
      <c r="AK104" s="205">
        <v>-0.71984</v>
      </c>
      <c r="AL104" s="205">
        <v>-0.8377</v>
      </c>
      <c r="AM104" s="205">
        <v>-0.35524</v>
      </c>
      <c r="AN104" s="205">
        <v>2.123009</v>
      </c>
      <c r="AO104" s="205">
        <v>-0.34333</v>
      </c>
      <c r="AP104" s="205">
        <v>-0.43118</v>
      </c>
      <c r="AQ104" s="205">
        <v>0.310806</v>
      </c>
      <c r="AR104" s="205">
        <v>0.217233</v>
      </c>
    </row>
    <row r="105">
      <c r="A105" s="205">
        <v>104.0</v>
      </c>
      <c r="B105" s="206"/>
      <c r="C105" s="206"/>
      <c r="D105" s="205">
        <v>-0.14067</v>
      </c>
      <c r="E105" s="205">
        <v>-0.00229</v>
      </c>
      <c r="F105" s="205">
        <v>0.760177</v>
      </c>
      <c r="G105" s="206"/>
      <c r="H105" s="207" t="s">
        <v>1651</v>
      </c>
      <c r="I105" s="207" t="s">
        <v>85</v>
      </c>
      <c r="J105" s="207" t="s">
        <v>1395</v>
      </c>
      <c r="K105" s="207" t="s">
        <v>1652</v>
      </c>
      <c r="L105" s="206"/>
      <c r="M105" s="207" t="s">
        <v>1373</v>
      </c>
      <c r="N105" s="207" t="s">
        <v>1385</v>
      </c>
      <c r="O105" s="206"/>
      <c r="P105" s="206"/>
      <c r="Q105" s="207">
        <v>5.0</v>
      </c>
      <c r="R105" s="208"/>
      <c r="S105" s="207" t="s">
        <v>1617</v>
      </c>
      <c r="T105" s="205">
        <v>73.0</v>
      </c>
      <c r="U105" s="205">
        <v>14.0</v>
      </c>
      <c r="V105" s="206"/>
      <c r="W105" s="205">
        <v>25.0</v>
      </c>
      <c r="X105" s="205">
        <v>13.78288</v>
      </c>
      <c r="Y105" s="205">
        <v>1.353288</v>
      </c>
      <c r="Z105" s="205">
        <v>7.890685</v>
      </c>
      <c r="AA105" s="205">
        <v>2.209315</v>
      </c>
      <c r="AB105" s="205">
        <v>0.784658</v>
      </c>
      <c r="AC105" s="205">
        <v>0.475068</v>
      </c>
      <c r="AD105" s="205">
        <v>0.474593</v>
      </c>
      <c r="AE105" s="205">
        <v>11.7837</v>
      </c>
      <c r="AF105" s="205">
        <v>0.820036</v>
      </c>
      <c r="AG105" s="205">
        <v>1.517808</v>
      </c>
      <c r="AH105" s="205">
        <v>1.108082</v>
      </c>
      <c r="AI105" s="205">
        <v>23.76856</v>
      </c>
      <c r="AJ105" s="205">
        <v>-0.57056</v>
      </c>
      <c r="AK105" s="205">
        <v>-0.38493</v>
      </c>
      <c r="AL105" s="205">
        <v>0.735602</v>
      </c>
      <c r="AM105" s="205">
        <v>-0.76919</v>
      </c>
      <c r="AN105" s="205">
        <v>-0.67776</v>
      </c>
      <c r="AO105" s="205">
        <v>-0.48741</v>
      </c>
      <c r="AP105" s="205">
        <v>-0.24168</v>
      </c>
      <c r="AQ105" s="205">
        <v>0.113895</v>
      </c>
      <c r="AR105" s="205">
        <v>1.015997</v>
      </c>
    </row>
    <row r="106">
      <c r="A106" s="205">
        <v>105.0</v>
      </c>
      <c r="B106" s="206"/>
      <c r="C106" s="206"/>
      <c r="D106" s="205">
        <v>-0.14235</v>
      </c>
      <c r="E106" s="205">
        <v>0.00204</v>
      </c>
      <c r="F106" s="205">
        <v>-1.89749</v>
      </c>
      <c r="G106" s="206"/>
      <c r="H106" s="207" t="s">
        <v>1653</v>
      </c>
      <c r="I106" s="207" t="s">
        <v>193</v>
      </c>
      <c r="J106" s="207" t="s">
        <v>1412</v>
      </c>
      <c r="K106" s="207" t="s">
        <v>1654</v>
      </c>
      <c r="L106" s="206"/>
      <c r="M106" s="207" t="s">
        <v>1384</v>
      </c>
      <c r="N106" s="207" t="s">
        <v>1454</v>
      </c>
      <c r="O106" s="206"/>
      <c r="P106" s="206"/>
      <c r="Q106" s="207">
        <v>5.0</v>
      </c>
      <c r="R106" s="207" t="s">
        <v>1541</v>
      </c>
      <c r="S106" s="207" t="s">
        <v>1375</v>
      </c>
      <c r="T106" s="205">
        <v>68.0</v>
      </c>
      <c r="U106" s="205">
        <v>15.0</v>
      </c>
      <c r="V106" s="206"/>
      <c r="W106" s="205">
        <v>33.0</v>
      </c>
      <c r="X106" s="205">
        <v>18.89221</v>
      </c>
      <c r="Y106" s="205">
        <v>2.253971</v>
      </c>
      <c r="Z106" s="205">
        <v>4.918382</v>
      </c>
      <c r="AA106" s="205">
        <v>3.368824</v>
      </c>
      <c r="AB106" s="205">
        <v>1.086471</v>
      </c>
      <c r="AC106" s="205">
        <v>0.871176</v>
      </c>
      <c r="AD106" s="205">
        <v>0.44985</v>
      </c>
      <c r="AE106" s="205">
        <v>14.62088</v>
      </c>
      <c r="AF106" s="205">
        <v>0.759003</v>
      </c>
      <c r="AG106" s="205">
        <v>4.59</v>
      </c>
      <c r="AH106" s="205">
        <v>2.290735</v>
      </c>
      <c r="AI106" s="205">
        <v>25.60092</v>
      </c>
      <c r="AJ106" s="205">
        <v>0.326242</v>
      </c>
      <c r="AK106" s="205">
        <v>0.480969</v>
      </c>
      <c r="AL106" s="205">
        <v>-0.47485</v>
      </c>
      <c r="AM106" s="205">
        <v>-0.20651</v>
      </c>
      <c r="AN106" s="205">
        <v>0.209226</v>
      </c>
      <c r="AO106" s="205">
        <v>0.225995</v>
      </c>
      <c r="AP106" s="205">
        <v>-0.83744</v>
      </c>
      <c r="AQ106" s="205">
        <v>-0.51605</v>
      </c>
      <c r="AR106" s="205">
        <v>-0.4887</v>
      </c>
    </row>
    <row r="107">
      <c r="A107" s="205">
        <v>106.0</v>
      </c>
      <c r="B107" s="206"/>
      <c r="C107" s="206"/>
      <c r="D107" s="205">
        <v>-0.15214</v>
      </c>
      <c r="E107" s="205">
        <v>-0.00169</v>
      </c>
      <c r="F107" s="205">
        <v>0.946028</v>
      </c>
      <c r="G107" s="206"/>
      <c r="H107" s="207" t="s">
        <v>1655</v>
      </c>
      <c r="I107" s="207" t="s">
        <v>183</v>
      </c>
      <c r="J107" s="207" t="s">
        <v>1387</v>
      </c>
      <c r="K107" s="207" t="s">
        <v>1656</v>
      </c>
      <c r="L107" s="206"/>
      <c r="M107" s="207" t="s">
        <v>1384</v>
      </c>
      <c r="N107" s="207" t="s">
        <v>1385</v>
      </c>
      <c r="O107" s="206"/>
      <c r="P107" s="206"/>
      <c r="Q107" s="207">
        <v>5.0</v>
      </c>
      <c r="R107" s="207" t="s">
        <v>1528</v>
      </c>
      <c r="S107" s="207" t="s">
        <v>1375</v>
      </c>
      <c r="T107" s="205">
        <v>68.0</v>
      </c>
      <c r="U107" s="205">
        <v>13.0</v>
      </c>
      <c r="V107" s="206"/>
      <c r="W107" s="205">
        <v>33.0</v>
      </c>
      <c r="X107" s="205">
        <v>19.18368</v>
      </c>
      <c r="Y107" s="205">
        <v>1.692794</v>
      </c>
      <c r="Z107" s="205">
        <v>7.418824</v>
      </c>
      <c r="AA107" s="205">
        <v>5.376912</v>
      </c>
      <c r="AB107" s="205">
        <v>0.754706</v>
      </c>
      <c r="AC107" s="205">
        <v>0.270735</v>
      </c>
      <c r="AD107" s="205">
        <v>0.487284</v>
      </c>
      <c r="AE107" s="205">
        <v>14.22471</v>
      </c>
      <c r="AF107" s="205">
        <v>0.796989</v>
      </c>
      <c r="AG107" s="205">
        <v>4.552059</v>
      </c>
      <c r="AH107" s="205">
        <v>2.994706</v>
      </c>
      <c r="AI107" s="205">
        <v>25.28311</v>
      </c>
      <c r="AJ107" s="205">
        <v>0.377402</v>
      </c>
      <c r="AK107" s="205">
        <v>-0.05854</v>
      </c>
      <c r="AL107" s="205">
        <v>0.54344</v>
      </c>
      <c r="AM107" s="205">
        <v>0.767978</v>
      </c>
      <c r="AN107" s="205">
        <v>-0.76578</v>
      </c>
      <c r="AO107" s="205">
        <v>-0.85543</v>
      </c>
      <c r="AP107" s="205">
        <v>-0.02559</v>
      </c>
      <c r="AQ107" s="205">
        <v>0.031617</v>
      </c>
      <c r="AR107" s="205">
        <v>-1.38437</v>
      </c>
    </row>
    <row r="108">
      <c r="A108" s="205">
        <v>107.0</v>
      </c>
      <c r="B108" s="206"/>
      <c r="C108" s="206"/>
      <c r="D108" s="205">
        <v>-0.15643</v>
      </c>
      <c r="E108" s="205">
        <v>0.004515</v>
      </c>
      <c r="F108" s="205">
        <v>-1.73952</v>
      </c>
      <c r="G108" s="206"/>
      <c r="H108" s="207" t="s">
        <v>1657</v>
      </c>
      <c r="I108" s="207" t="s">
        <v>287</v>
      </c>
      <c r="J108" s="207" t="s">
        <v>34</v>
      </c>
      <c r="K108" s="207" t="s">
        <v>1658</v>
      </c>
      <c r="L108" s="206"/>
      <c r="M108" s="207" t="s">
        <v>1384</v>
      </c>
      <c r="N108" s="207" t="s">
        <v>1503</v>
      </c>
      <c r="O108" s="206"/>
      <c r="P108" s="208"/>
      <c r="Q108" s="207">
        <v>2.0</v>
      </c>
      <c r="R108" s="208"/>
      <c r="S108" s="207" t="s">
        <v>1617</v>
      </c>
      <c r="T108" s="205">
        <v>44.0</v>
      </c>
      <c r="U108" s="205">
        <v>15.0</v>
      </c>
      <c r="V108" s="206"/>
      <c r="W108" s="205">
        <v>21.0</v>
      </c>
      <c r="X108" s="205">
        <v>6.698636</v>
      </c>
      <c r="Y108" s="205">
        <v>0.025227</v>
      </c>
      <c r="Z108" s="205">
        <v>7.14</v>
      </c>
      <c r="AA108" s="205">
        <v>1.2925</v>
      </c>
      <c r="AB108" s="205">
        <v>0.748636</v>
      </c>
      <c r="AC108" s="205">
        <v>1.529318</v>
      </c>
      <c r="AD108" s="205">
        <v>0.643746</v>
      </c>
      <c r="AE108" s="205">
        <v>4.640455</v>
      </c>
      <c r="AF108" s="205">
        <v>0.752938</v>
      </c>
      <c r="AG108" s="205">
        <v>0.928182</v>
      </c>
      <c r="AH108" s="205">
        <v>0.898636</v>
      </c>
      <c r="AI108" s="205">
        <v>11.7677</v>
      </c>
      <c r="AJ108" s="205">
        <v>-1.814</v>
      </c>
      <c r="AK108" s="205">
        <v>-1.66171</v>
      </c>
      <c r="AL108" s="205">
        <v>0.429891</v>
      </c>
      <c r="AM108" s="205">
        <v>-1.2141</v>
      </c>
      <c r="AN108" s="205">
        <v>-0.78362</v>
      </c>
      <c r="AO108" s="205">
        <v>1.411338</v>
      </c>
      <c r="AP108" s="205">
        <v>1.071756</v>
      </c>
      <c r="AQ108" s="205">
        <v>-0.12994</v>
      </c>
      <c r="AR108" s="205">
        <v>1.282476</v>
      </c>
    </row>
    <row r="109">
      <c r="A109" s="205">
        <v>108.0</v>
      </c>
      <c r="B109" s="206"/>
      <c r="C109" s="206"/>
      <c r="D109" s="205">
        <v>-0.15698</v>
      </c>
      <c r="E109" s="205">
        <v>-0.00368</v>
      </c>
      <c r="F109" s="205">
        <v>1.187635</v>
      </c>
      <c r="G109" s="206"/>
      <c r="H109" s="207" t="s">
        <v>1659</v>
      </c>
      <c r="I109" s="207" t="s">
        <v>183</v>
      </c>
      <c r="J109" s="207" t="s">
        <v>1395</v>
      </c>
      <c r="K109" s="207" t="s">
        <v>1660</v>
      </c>
      <c r="L109" s="206"/>
      <c r="M109" s="207" t="s">
        <v>1373</v>
      </c>
      <c r="N109" s="207" t="s">
        <v>1385</v>
      </c>
      <c r="O109" s="206"/>
      <c r="P109" s="208"/>
      <c r="Q109" s="207">
        <v>5.0</v>
      </c>
      <c r="R109" s="206"/>
      <c r="S109" s="207" t="s">
        <v>1617</v>
      </c>
      <c r="T109" s="205">
        <v>73.0</v>
      </c>
      <c r="U109" s="205">
        <v>13.0</v>
      </c>
      <c r="V109" s="206"/>
      <c r="W109" s="205">
        <v>27.0</v>
      </c>
      <c r="X109" s="205">
        <v>13.8537</v>
      </c>
      <c r="Y109" s="205">
        <v>2.13726</v>
      </c>
      <c r="Z109" s="205">
        <v>6.07</v>
      </c>
      <c r="AA109" s="205">
        <v>2.61726</v>
      </c>
      <c r="AB109" s="205">
        <v>0.660959</v>
      </c>
      <c r="AC109" s="205">
        <v>0.897397</v>
      </c>
      <c r="AD109" s="205">
        <v>0.465002</v>
      </c>
      <c r="AE109" s="205">
        <v>11.24904</v>
      </c>
      <c r="AF109" s="205">
        <v>0.757025</v>
      </c>
      <c r="AG109" s="205">
        <v>1.657534</v>
      </c>
      <c r="AH109" s="205">
        <v>1.344658</v>
      </c>
      <c r="AI109" s="205">
        <v>21.41793</v>
      </c>
      <c r="AJ109" s="205">
        <v>-0.55813</v>
      </c>
      <c r="AK109" s="205">
        <v>0.368765</v>
      </c>
      <c r="AL109" s="205">
        <v>-0.00586</v>
      </c>
      <c r="AM109" s="205">
        <v>-0.57122</v>
      </c>
      <c r="AN109" s="205">
        <v>-1.04129</v>
      </c>
      <c r="AO109" s="205">
        <v>0.27322</v>
      </c>
      <c r="AP109" s="205">
        <v>-0.3903</v>
      </c>
      <c r="AQ109" s="205">
        <v>-0.20298</v>
      </c>
      <c r="AR109" s="205">
        <v>0.715001</v>
      </c>
    </row>
    <row r="110">
      <c r="A110" s="205">
        <v>109.0</v>
      </c>
      <c r="B110" s="206"/>
      <c r="C110" s="206"/>
      <c r="D110" s="205">
        <v>-0.16677</v>
      </c>
      <c r="E110" s="205">
        <v>0.056377</v>
      </c>
      <c r="F110" s="205">
        <v>-0.62441</v>
      </c>
      <c r="G110" s="206"/>
      <c r="H110" s="207" t="s">
        <v>1661</v>
      </c>
      <c r="I110" s="207" t="s">
        <v>287</v>
      </c>
      <c r="J110" s="207" t="s">
        <v>1412</v>
      </c>
      <c r="K110" s="207" t="s">
        <v>1662</v>
      </c>
      <c r="L110" s="206"/>
      <c r="M110" s="207" t="s">
        <v>1384</v>
      </c>
      <c r="N110" s="207" t="s">
        <v>1503</v>
      </c>
      <c r="O110" s="206"/>
      <c r="P110" s="206"/>
      <c r="Q110" s="207">
        <v>5.0</v>
      </c>
      <c r="R110" s="208"/>
      <c r="S110" s="207" t="s">
        <v>1617</v>
      </c>
      <c r="T110" s="205">
        <v>68.0</v>
      </c>
      <c r="U110" s="205">
        <v>15.0</v>
      </c>
      <c r="V110" s="206"/>
      <c r="W110" s="205">
        <v>23.0</v>
      </c>
      <c r="X110" s="205">
        <v>7.763088</v>
      </c>
      <c r="Y110" s="205">
        <v>1.346176</v>
      </c>
      <c r="Z110" s="205">
        <v>3.079118</v>
      </c>
      <c r="AA110" s="205">
        <v>1.368529</v>
      </c>
      <c r="AB110" s="205">
        <v>1.808382</v>
      </c>
      <c r="AC110" s="205">
        <v>0.684412</v>
      </c>
      <c r="AD110" s="205">
        <v>0.440476</v>
      </c>
      <c r="AE110" s="205">
        <v>6.695294</v>
      </c>
      <c r="AF110" s="205">
        <v>0.646089</v>
      </c>
      <c r="AG110" s="205">
        <v>0.802794</v>
      </c>
      <c r="AH110" s="205">
        <v>0.684412</v>
      </c>
      <c r="AI110" s="205">
        <v>13.96991</v>
      </c>
      <c r="AJ110" s="205">
        <v>-1.62716</v>
      </c>
      <c r="AK110" s="205">
        <v>-0.39177</v>
      </c>
      <c r="AL110" s="205">
        <v>-1.22388</v>
      </c>
      <c r="AM110" s="205">
        <v>-1.17721</v>
      </c>
      <c r="AN110" s="205">
        <v>2.330818</v>
      </c>
      <c r="AO110" s="205">
        <v>-0.11038</v>
      </c>
      <c r="AP110" s="205">
        <v>-0.47302</v>
      </c>
      <c r="AQ110" s="205">
        <v>-0.38333</v>
      </c>
      <c r="AR110" s="205">
        <v>1.555035</v>
      </c>
    </row>
    <row r="111">
      <c r="A111" s="205">
        <v>110.0</v>
      </c>
      <c r="B111" s="206"/>
      <c r="C111" s="206"/>
      <c r="D111" s="205">
        <v>-0.17226</v>
      </c>
      <c r="E111" s="205">
        <v>-0.00639</v>
      </c>
      <c r="F111" s="205">
        <v>-1.64659</v>
      </c>
      <c r="G111" s="206"/>
      <c r="H111" s="207" t="s">
        <v>1663</v>
      </c>
      <c r="I111" s="207" t="s">
        <v>264</v>
      </c>
      <c r="J111" s="207" t="s">
        <v>1379</v>
      </c>
      <c r="K111" s="207" t="s">
        <v>1664</v>
      </c>
      <c r="L111" s="207" t="s">
        <v>1665</v>
      </c>
      <c r="M111" s="207" t="s">
        <v>1384</v>
      </c>
      <c r="N111" s="206"/>
      <c r="O111" s="206"/>
      <c r="P111" s="208"/>
      <c r="Q111" s="207">
        <v>4.0</v>
      </c>
      <c r="R111" s="207" t="s">
        <v>1635</v>
      </c>
      <c r="S111" s="207" t="s">
        <v>1375</v>
      </c>
      <c r="T111" s="205">
        <v>61.0</v>
      </c>
      <c r="U111" s="205">
        <v>14.0</v>
      </c>
      <c r="V111" s="206"/>
      <c r="W111" s="205">
        <v>30.0</v>
      </c>
      <c r="X111" s="205">
        <v>12.77279</v>
      </c>
      <c r="Y111" s="205">
        <v>1.747869</v>
      </c>
      <c r="Z111" s="205">
        <v>3.858689</v>
      </c>
      <c r="AA111" s="205">
        <v>3.307541</v>
      </c>
      <c r="AB111" s="205">
        <v>1.486066</v>
      </c>
      <c r="AC111" s="205">
        <v>0.851311</v>
      </c>
      <c r="AD111" s="205">
        <v>0.419407</v>
      </c>
      <c r="AE111" s="205">
        <v>10.65672</v>
      </c>
      <c r="AF111" s="205">
        <v>0.836005</v>
      </c>
      <c r="AG111" s="205">
        <v>2.495082</v>
      </c>
      <c r="AH111" s="205">
        <v>2.26623</v>
      </c>
      <c r="AI111" s="205">
        <v>20.72404</v>
      </c>
      <c r="AJ111" s="205">
        <v>-0.74785</v>
      </c>
      <c r="AK111" s="205">
        <v>-0.00559</v>
      </c>
      <c r="AL111" s="205">
        <v>-0.9064</v>
      </c>
      <c r="AM111" s="205">
        <v>-0.23625</v>
      </c>
      <c r="AN111" s="205">
        <v>1.383577</v>
      </c>
      <c r="AO111" s="205">
        <v>0.190217</v>
      </c>
      <c r="AP111" s="205">
        <v>-1.08935</v>
      </c>
      <c r="AQ111" s="205">
        <v>0.318832</v>
      </c>
      <c r="AR111" s="205">
        <v>-0.45752</v>
      </c>
    </row>
    <row r="112">
      <c r="A112" s="205">
        <v>111.0</v>
      </c>
      <c r="B112" s="206"/>
      <c r="C112" s="206"/>
      <c r="D112" s="205">
        <v>-0.17651</v>
      </c>
      <c r="E112" s="205">
        <v>0.008026</v>
      </c>
      <c r="F112" s="205">
        <v>0.778762</v>
      </c>
      <c r="G112" s="206"/>
      <c r="H112" s="207" t="s">
        <v>1666</v>
      </c>
      <c r="I112" s="207" t="s">
        <v>312</v>
      </c>
      <c r="J112" s="207" t="s">
        <v>1387</v>
      </c>
      <c r="K112" s="207" t="s">
        <v>1667</v>
      </c>
      <c r="L112" s="206"/>
      <c r="M112" s="207" t="s">
        <v>1384</v>
      </c>
      <c r="N112" s="207" t="s">
        <v>1551</v>
      </c>
      <c r="O112" s="206"/>
      <c r="P112" s="208"/>
      <c r="Q112" s="207">
        <v>1.0</v>
      </c>
      <c r="R112" s="208"/>
      <c r="S112" s="207" t="s">
        <v>1402</v>
      </c>
      <c r="T112" s="205">
        <v>68.0</v>
      </c>
      <c r="U112" s="205">
        <v>16.0</v>
      </c>
      <c r="V112" s="206"/>
      <c r="W112" s="205">
        <v>26.0</v>
      </c>
      <c r="X112" s="205">
        <v>16.47103</v>
      </c>
      <c r="Y112" s="205">
        <v>2.183971</v>
      </c>
      <c r="Z112" s="205">
        <v>5.300147</v>
      </c>
      <c r="AA112" s="205">
        <v>1.952647</v>
      </c>
      <c r="AB112" s="205">
        <v>1.014265</v>
      </c>
      <c r="AC112" s="205">
        <v>0.481618</v>
      </c>
      <c r="AD112" s="205">
        <v>0.4575</v>
      </c>
      <c r="AE112" s="205">
        <v>12.83221</v>
      </c>
      <c r="AF112" s="205">
        <v>0.762992</v>
      </c>
      <c r="AG112" s="205">
        <v>3.336324</v>
      </c>
      <c r="AH112" s="205">
        <v>1.346324</v>
      </c>
      <c r="AI112" s="205">
        <v>25.38422</v>
      </c>
      <c r="AJ112" s="205">
        <v>-0.09873</v>
      </c>
      <c r="AK112" s="205">
        <v>0.413672</v>
      </c>
      <c r="AL112" s="205">
        <v>-0.31938</v>
      </c>
      <c r="AM112" s="205">
        <v>-0.89375</v>
      </c>
      <c r="AN112" s="205">
        <v>-0.00298</v>
      </c>
      <c r="AO112" s="205">
        <v>-0.47562</v>
      </c>
      <c r="AP112" s="205">
        <v>-0.58876</v>
      </c>
      <c r="AQ112" s="205">
        <v>-0.33597</v>
      </c>
      <c r="AR112" s="205">
        <v>0.712881</v>
      </c>
    </row>
    <row r="113">
      <c r="A113" s="205">
        <v>112.0</v>
      </c>
      <c r="B113" s="206"/>
      <c r="C113" s="206"/>
      <c r="D113" s="205">
        <v>-0.17886</v>
      </c>
      <c r="E113" s="205">
        <v>-0.00237</v>
      </c>
      <c r="F113" s="205">
        <v>-0.47573</v>
      </c>
      <c r="G113" s="206"/>
      <c r="H113" s="207" t="s">
        <v>1668</v>
      </c>
      <c r="I113" s="207" t="s">
        <v>42</v>
      </c>
      <c r="J113" s="207" t="s">
        <v>1387</v>
      </c>
      <c r="K113" s="207" t="s">
        <v>1669</v>
      </c>
      <c r="L113" s="206"/>
      <c r="M113" s="207" t="s">
        <v>1384</v>
      </c>
      <c r="N113" s="208"/>
      <c r="O113" s="206"/>
      <c r="P113" s="206"/>
      <c r="Q113" s="207">
        <v>4.0</v>
      </c>
      <c r="R113" s="208"/>
      <c r="S113" s="207" t="s">
        <v>1375</v>
      </c>
      <c r="T113" s="205">
        <v>68.0</v>
      </c>
      <c r="U113" s="205">
        <v>16.0</v>
      </c>
      <c r="V113" s="206"/>
      <c r="W113" s="205">
        <v>32.0</v>
      </c>
      <c r="X113" s="205">
        <v>15.89221</v>
      </c>
      <c r="Y113" s="205">
        <v>1.287059</v>
      </c>
      <c r="Z113" s="205">
        <v>6.06</v>
      </c>
      <c r="AA113" s="205">
        <v>3.913382</v>
      </c>
      <c r="AB113" s="205">
        <v>0.547059</v>
      </c>
      <c r="AC113" s="205">
        <v>0.333235</v>
      </c>
      <c r="AD113" s="205">
        <v>0.530243</v>
      </c>
      <c r="AE113" s="205">
        <v>10.84103</v>
      </c>
      <c r="AF113" s="205">
        <v>0.79901</v>
      </c>
      <c r="AG113" s="205">
        <v>3.890294</v>
      </c>
      <c r="AH113" s="205">
        <v>1.601765</v>
      </c>
      <c r="AI113" s="205">
        <v>19.07521</v>
      </c>
      <c r="AJ113" s="205">
        <v>-0.20032</v>
      </c>
      <c r="AK113" s="205">
        <v>-0.4486</v>
      </c>
      <c r="AL113" s="205">
        <v>-0.00993</v>
      </c>
      <c r="AM113" s="205">
        <v>0.057757</v>
      </c>
      <c r="AN113" s="205">
        <v>-1.37603</v>
      </c>
      <c r="AO113" s="205">
        <v>-0.74286</v>
      </c>
      <c r="AP113" s="205">
        <v>0.672085</v>
      </c>
      <c r="AQ113" s="205">
        <v>0.050288</v>
      </c>
      <c r="AR113" s="205">
        <v>0.387882</v>
      </c>
    </row>
    <row r="114">
      <c r="A114" s="205">
        <v>113.0</v>
      </c>
      <c r="B114" s="206"/>
      <c r="C114" s="206"/>
      <c r="D114" s="205">
        <v>-0.18006</v>
      </c>
      <c r="E114" s="205">
        <v>0.076007</v>
      </c>
      <c r="F114" s="205">
        <v>1.475704</v>
      </c>
      <c r="G114" s="206"/>
      <c r="H114" s="207" t="s">
        <v>1670</v>
      </c>
      <c r="I114" s="207" t="s">
        <v>172</v>
      </c>
      <c r="J114" s="207" t="s">
        <v>1395</v>
      </c>
      <c r="K114" s="207" t="s">
        <v>1671</v>
      </c>
      <c r="L114" s="206"/>
      <c r="M114" s="207" t="s">
        <v>1373</v>
      </c>
      <c r="N114" s="208"/>
      <c r="O114" s="206"/>
      <c r="P114" s="206"/>
      <c r="Q114" s="207">
        <v>2.0</v>
      </c>
      <c r="R114" s="208"/>
      <c r="S114" s="207" t="s">
        <v>1402</v>
      </c>
      <c r="T114" s="205">
        <v>73.0</v>
      </c>
      <c r="U114" s="205">
        <v>15.0</v>
      </c>
      <c r="V114" s="206"/>
      <c r="W114" s="205">
        <v>26.0</v>
      </c>
      <c r="X114" s="205">
        <v>13.78123</v>
      </c>
      <c r="Y114" s="205">
        <v>1.469452</v>
      </c>
      <c r="Z114" s="205">
        <v>7.922466</v>
      </c>
      <c r="AA114" s="205">
        <v>2.008493</v>
      </c>
      <c r="AB114" s="205">
        <v>0.829863</v>
      </c>
      <c r="AC114" s="205">
        <v>0.613699</v>
      </c>
      <c r="AD114" s="205">
        <v>0.515023</v>
      </c>
      <c r="AE114" s="205">
        <v>10.37699</v>
      </c>
      <c r="AF114" s="205">
        <v>0.680021</v>
      </c>
      <c r="AG114" s="205">
        <v>2.386712</v>
      </c>
      <c r="AH114" s="205">
        <v>1.450548</v>
      </c>
      <c r="AI114" s="205">
        <v>20.45768</v>
      </c>
      <c r="AJ114" s="205">
        <v>-0.57085</v>
      </c>
      <c r="AK114" s="205">
        <v>-0.27325</v>
      </c>
      <c r="AL114" s="205">
        <v>0.748545</v>
      </c>
      <c r="AM114" s="205">
        <v>-0.86665</v>
      </c>
      <c r="AN114" s="205">
        <v>-0.54491</v>
      </c>
      <c r="AO114" s="205">
        <v>-0.23773</v>
      </c>
      <c r="AP114" s="205">
        <v>0.409564</v>
      </c>
      <c r="AQ114" s="205">
        <v>-0.86558</v>
      </c>
      <c r="AR114" s="205">
        <v>0.580276</v>
      </c>
    </row>
    <row r="115">
      <c r="A115" s="205">
        <v>114.0</v>
      </c>
      <c r="B115" s="206"/>
      <c r="C115" s="206"/>
      <c r="D115" s="205">
        <v>-0.18098</v>
      </c>
      <c r="E115" s="205">
        <v>-0.00418</v>
      </c>
      <c r="F115" s="205">
        <v>0.388475</v>
      </c>
      <c r="G115" s="206"/>
      <c r="H115" s="207" t="s">
        <v>1672</v>
      </c>
      <c r="I115" s="207" t="s">
        <v>316</v>
      </c>
      <c r="J115" s="207" t="s">
        <v>34</v>
      </c>
      <c r="K115" s="207" t="s">
        <v>1673</v>
      </c>
      <c r="L115" s="206"/>
      <c r="M115" s="207" t="s">
        <v>1384</v>
      </c>
      <c r="N115" s="208"/>
      <c r="O115" s="206"/>
      <c r="P115" s="206"/>
      <c r="Q115" s="207">
        <v>3.0</v>
      </c>
      <c r="R115" s="208"/>
      <c r="S115" s="207" t="s">
        <v>1375</v>
      </c>
      <c r="T115" s="205">
        <v>60.0</v>
      </c>
      <c r="U115" s="205">
        <v>14.0</v>
      </c>
      <c r="V115" s="206"/>
      <c r="W115" s="205">
        <v>27.0</v>
      </c>
      <c r="X115" s="205">
        <v>11.80933</v>
      </c>
      <c r="Y115" s="205">
        <v>0.069333</v>
      </c>
      <c r="Z115" s="205">
        <v>7.593833</v>
      </c>
      <c r="AA115" s="205">
        <v>2.081333</v>
      </c>
      <c r="AB115" s="205">
        <v>0.7875</v>
      </c>
      <c r="AC115" s="205">
        <v>1.577833</v>
      </c>
      <c r="AD115" s="205">
        <v>0.588503</v>
      </c>
      <c r="AE115" s="205">
        <v>8.886667</v>
      </c>
      <c r="AF115" s="205">
        <v>0.536003</v>
      </c>
      <c r="AG115" s="205">
        <v>2.388667</v>
      </c>
      <c r="AH115" s="205">
        <v>1.181167</v>
      </c>
      <c r="AI115" s="205">
        <v>17.71128</v>
      </c>
      <c r="AJ115" s="205">
        <v>-0.91696</v>
      </c>
      <c r="AK115" s="205">
        <v>-1.6193</v>
      </c>
      <c r="AL115" s="205">
        <v>0.614711</v>
      </c>
      <c r="AM115" s="205">
        <v>-0.8313</v>
      </c>
      <c r="AN115" s="205">
        <v>-0.6694</v>
      </c>
      <c r="AO115" s="205">
        <v>1.498716</v>
      </c>
      <c r="AP115" s="205">
        <v>1.319214</v>
      </c>
      <c r="AQ115" s="205">
        <v>-1.94752</v>
      </c>
      <c r="AR115" s="205">
        <v>0.923011</v>
      </c>
    </row>
    <row r="116">
      <c r="A116" s="205">
        <v>115.0</v>
      </c>
      <c r="B116" s="206"/>
      <c r="C116" s="206"/>
      <c r="D116" s="205">
        <v>-0.18164</v>
      </c>
      <c r="E116" s="205">
        <v>-0.00269</v>
      </c>
      <c r="F116" s="205">
        <v>-0.41068</v>
      </c>
      <c r="G116" s="206"/>
      <c r="H116" s="207" t="s">
        <v>1674</v>
      </c>
      <c r="I116" s="207" t="s">
        <v>121</v>
      </c>
      <c r="J116" s="207" t="s">
        <v>1387</v>
      </c>
      <c r="K116" s="207" t="s">
        <v>1675</v>
      </c>
      <c r="L116" s="206"/>
      <c r="M116" s="207" t="s">
        <v>1384</v>
      </c>
      <c r="N116" s="208"/>
      <c r="O116" s="206"/>
      <c r="P116" s="208"/>
      <c r="Q116" s="207">
        <v>4.0</v>
      </c>
      <c r="R116" s="208"/>
      <c r="S116" s="207" t="s">
        <v>1402</v>
      </c>
      <c r="T116" s="205">
        <v>68.0</v>
      </c>
      <c r="U116" s="205">
        <v>14.0</v>
      </c>
      <c r="V116" s="206"/>
      <c r="W116" s="205">
        <v>31.0</v>
      </c>
      <c r="X116" s="205">
        <v>16.43294</v>
      </c>
      <c r="Y116" s="205">
        <v>2.471912</v>
      </c>
      <c r="Z116" s="205">
        <v>5.218382</v>
      </c>
      <c r="AA116" s="205">
        <v>1.790294</v>
      </c>
      <c r="AB116" s="205">
        <v>0.800147</v>
      </c>
      <c r="AC116" s="205">
        <v>0.391324</v>
      </c>
      <c r="AD116" s="205">
        <v>0.463077</v>
      </c>
      <c r="AE116" s="205">
        <v>12.52397</v>
      </c>
      <c r="AF116" s="205">
        <v>0.819983</v>
      </c>
      <c r="AG116" s="205">
        <v>2.880441</v>
      </c>
      <c r="AH116" s="205">
        <v>1.4175</v>
      </c>
      <c r="AI116" s="205">
        <v>21.04026</v>
      </c>
      <c r="AJ116" s="205">
        <v>-0.10541</v>
      </c>
      <c r="AK116" s="205">
        <v>0.690494</v>
      </c>
      <c r="AL116" s="205">
        <v>-0.35268</v>
      </c>
      <c r="AM116" s="205">
        <v>-0.97253</v>
      </c>
      <c r="AN116" s="205">
        <v>-0.63224</v>
      </c>
      <c r="AO116" s="205">
        <v>-0.63824</v>
      </c>
      <c r="AP116" s="205">
        <v>-0.47098</v>
      </c>
      <c r="AQ116" s="205">
        <v>0.224544</v>
      </c>
      <c r="AR116" s="205">
        <v>0.622323</v>
      </c>
    </row>
    <row r="117">
      <c r="A117" s="205">
        <v>116.0</v>
      </c>
      <c r="B117" s="206"/>
      <c r="C117" s="206"/>
      <c r="D117" s="205">
        <v>-0.18516</v>
      </c>
      <c r="E117" s="205">
        <v>-0.00372</v>
      </c>
      <c r="F117" s="205">
        <v>-0.49432</v>
      </c>
      <c r="G117" s="206"/>
      <c r="H117" s="207" t="s">
        <v>1676</v>
      </c>
      <c r="I117" s="207" t="s">
        <v>99</v>
      </c>
      <c r="J117" s="207" t="s">
        <v>1387</v>
      </c>
      <c r="K117" s="207" t="s">
        <v>1677</v>
      </c>
      <c r="L117" s="206"/>
      <c r="M117" s="207" t="s">
        <v>1384</v>
      </c>
      <c r="N117" s="207" t="s">
        <v>1385</v>
      </c>
      <c r="O117" s="206"/>
      <c r="P117" s="206"/>
      <c r="Q117" s="207">
        <v>2.0</v>
      </c>
      <c r="R117" s="208"/>
      <c r="S117" s="207" t="s">
        <v>1402</v>
      </c>
      <c r="T117" s="205">
        <v>62.0</v>
      </c>
      <c r="U117" s="205">
        <v>13.0</v>
      </c>
      <c r="V117" s="206"/>
      <c r="W117" s="205">
        <v>27.0</v>
      </c>
      <c r="X117" s="205">
        <v>11.94903</v>
      </c>
      <c r="Y117" s="205">
        <v>3.13629</v>
      </c>
      <c r="Z117" s="205">
        <v>4.750806</v>
      </c>
      <c r="AA117" s="205">
        <v>1.680161</v>
      </c>
      <c r="AB117" s="205">
        <v>0.713387</v>
      </c>
      <c r="AC117" s="205">
        <v>0.285</v>
      </c>
      <c r="AD117" s="205">
        <v>0.434489</v>
      </c>
      <c r="AE117" s="205">
        <v>9.443065</v>
      </c>
      <c r="AF117" s="205">
        <v>0.918029</v>
      </c>
      <c r="AG117" s="205">
        <v>0.661129</v>
      </c>
      <c r="AH117" s="205">
        <v>0.579355</v>
      </c>
      <c r="AI117" s="205">
        <v>15.65558</v>
      </c>
      <c r="AJ117" s="205">
        <v>-0.89244</v>
      </c>
      <c r="AK117" s="205">
        <v>1.329216</v>
      </c>
      <c r="AL117" s="205">
        <v>-0.54309</v>
      </c>
      <c r="AM117" s="205">
        <v>-1.02598</v>
      </c>
      <c r="AN117" s="205">
        <v>-0.88721</v>
      </c>
      <c r="AO117" s="205">
        <v>-0.82974</v>
      </c>
      <c r="AP117" s="205">
        <v>-0.75355</v>
      </c>
      <c r="AQ117" s="205">
        <v>0.247652</v>
      </c>
      <c r="AR117" s="205">
        <v>1.6887</v>
      </c>
    </row>
    <row r="118">
      <c r="A118" s="205">
        <v>117.0</v>
      </c>
      <c r="B118" s="206"/>
      <c r="C118" s="206"/>
      <c r="D118" s="205">
        <v>-0.18625</v>
      </c>
      <c r="E118" s="205">
        <v>0.001141</v>
      </c>
      <c r="F118" s="205">
        <v>1.150464</v>
      </c>
      <c r="G118" s="206"/>
      <c r="H118" s="207" t="s">
        <v>1678</v>
      </c>
      <c r="I118" s="207" t="s">
        <v>168</v>
      </c>
      <c r="J118" s="207" t="s">
        <v>1387</v>
      </c>
      <c r="K118" s="207" t="s">
        <v>1679</v>
      </c>
      <c r="L118" s="206"/>
      <c r="M118" s="207" t="s">
        <v>1373</v>
      </c>
      <c r="N118" s="208"/>
      <c r="O118" s="206"/>
      <c r="P118" s="206"/>
      <c r="Q118" s="207">
        <v>3.0</v>
      </c>
      <c r="R118" s="208"/>
      <c r="S118" s="207" t="s">
        <v>1375</v>
      </c>
      <c r="T118" s="205">
        <v>73.0</v>
      </c>
      <c r="U118" s="205">
        <v>14.0</v>
      </c>
      <c r="V118" s="206"/>
      <c r="W118" s="205">
        <v>35.0</v>
      </c>
      <c r="X118" s="205">
        <v>21.72589</v>
      </c>
      <c r="Y118" s="205">
        <v>1.232329</v>
      </c>
      <c r="Z118" s="205">
        <v>3.74863</v>
      </c>
      <c r="AA118" s="205">
        <v>4.102329</v>
      </c>
      <c r="AB118" s="205">
        <v>0.491918</v>
      </c>
      <c r="AC118" s="205">
        <v>0.355342</v>
      </c>
      <c r="AD118" s="205">
        <v>0.462299</v>
      </c>
      <c r="AE118" s="205">
        <v>16.97562</v>
      </c>
      <c r="AF118" s="205">
        <v>0.840009</v>
      </c>
      <c r="AG118" s="205">
        <v>5.711781</v>
      </c>
      <c r="AH118" s="205">
        <v>1.207123</v>
      </c>
      <c r="AI118" s="205">
        <v>26.54087</v>
      </c>
      <c r="AJ118" s="205">
        <v>0.823616</v>
      </c>
      <c r="AK118" s="205">
        <v>-0.50122</v>
      </c>
      <c r="AL118" s="205">
        <v>-0.95122</v>
      </c>
      <c r="AM118" s="205">
        <v>0.149449</v>
      </c>
      <c r="AN118" s="205">
        <v>-1.53808</v>
      </c>
      <c r="AO118" s="205">
        <v>-0.70305</v>
      </c>
      <c r="AP118" s="205">
        <v>-0.66022</v>
      </c>
      <c r="AQ118" s="205">
        <v>0.8145</v>
      </c>
      <c r="AR118" s="205">
        <v>0.889986</v>
      </c>
    </row>
    <row r="119">
      <c r="A119" s="205">
        <v>118.0</v>
      </c>
      <c r="B119" s="206"/>
      <c r="C119" s="206"/>
      <c r="D119" s="205">
        <v>-0.18774</v>
      </c>
      <c r="E119" s="205">
        <v>-0.00559</v>
      </c>
      <c r="F119" s="205">
        <v>-0.03898</v>
      </c>
      <c r="G119" s="206"/>
      <c r="H119" s="207" t="s">
        <v>1680</v>
      </c>
      <c r="I119" s="207" t="s">
        <v>1430</v>
      </c>
      <c r="J119" s="207" t="s">
        <v>34</v>
      </c>
      <c r="K119" s="207" t="s">
        <v>1681</v>
      </c>
      <c r="L119" s="206"/>
      <c r="M119" s="207" t="s">
        <v>1384</v>
      </c>
      <c r="N119" s="207" t="s">
        <v>1503</v>
      </c>
      <c r="O119" s="206"/>
      <c r="P119" s="206"/>
      <c r="Q119" s="207">
        <v>3.0</v>
      </c>
      <c r="R119" s="208"/>
      <c r="S119" s="207" t="s">
        <v>1402</v>
      </c>
      <c r="T119" s="205">
        <v>68.0</v>
      </c>
      <c r="U119" s="205">
        <v>14.0</v>
      </c>
      <c r="V119" s="206"/>
      <c r="W119" s="205">
        <v>24.0</v>
      </c>
      <c r="X119" s="205">
        <v>7.251618</v>
      </c>
      <c r="Y119" s="205">
        <v>0.0</v>
      </c>
      <c r="Z119" s="205">
        <v>8.464559</v>
      </c>
      <c r="AA119" s="205">
        <v>0.770588</v>
      </c>
      <c r="AB119" s="205">
        <v>0.99</v>
      </c>
      <c r="AC119" s="205">
        <v>1.485</v>
      </c>
      <c r="AD119" s="205">
        <v>0.657908</v>
      </c>
      <c r="AE119" s="205">
        <v>4.751471</v>
      </c>
      <c r="AF119" s="205">
        <v>0.51302</v>
      </c>
      <c r="AG119" s="205">
        <v>1.948382</v>
      </c>
      <c r="AH119" s="205">
        <v>0.736912</v>
      </c>
      <c r="AI119" s="205">
        <v>11.4446</v>
      </c>
      <c r="AJ119" s="205">
        <v>-1.71694</v>
      </c>
      <c r="AK119" s="205">
        <v>-1.68596</v>
      </c>
      <c r="AL119" s="205">
        <v>0.969308</v>
      </c>
      <c r="AM119" s="205">
        <v>-1.46738</v>
      </c>
      <c r="AN119" s="205">
        <v>-0.07429</v>
      </c>
      <c r="AO119" s="205">
        <v>1.331519</v>
      </c>
      <c r="AP119" s="205">
        <v>1.196948</v>
      </c>
      <c r="AQ119" s="205">
        <v>-1.73112</v>
      </c>
      <c r="AR119" s="205">
        <v>1.488239</v>
      </c>
    </row>
    <row r="120">
      <c r="A120" s="205">
        <v>119.0</v>
      </c>
      <c r="B120" s="206"/>
      <c r="C120" s="206"/>
      <c r="D120" s="205">
        <v>-0.19107</v>
      </c>
      <c r="E120" s="205">
        <v>-0.00594</v>
      </c>
      <c r="F120" s="205">
        <v>-1.80457</v>
      </c>
      <c r="G120" s="206"/>
      <c r="H120" s="207" t="s">
        <v>1682</v>
      </c>
      <c r="I120" s="207" t="s">
        <v>121</v>
      </c>
      <c r="J120" s="207" t="s">
        <v>1379</v>
      </c>
      <c r="K120" s="207" t="s">
        <v>1683</v>
      </c>
      <c r="L120" s="206"/>
      <c r="M120" s="207" t="s">
        <v>1384</v>
      </c>
      <c r="N120" s="207" t="s">
        <v>1551</v>
      </c>
      <c r="O120" s="206"/>
      <c r="P120" s="208"/>
      <c r="Q120" s="207">
        <v>2.0</v>
      </c>
      <c r="R120" s="208"/>
      <c r="S120" s="207" t="s">
        <v>1617</v>
      </c>
      <c r="T120" s="205">
        <v>54.0</v>
      </c>
      <c r="U120" s="205">
        <v>14.0</v>
      </c>
      <c r="V120" s="206"/>
      <c r="W120" s="205">
        <v>24.0</v>
      </c>
      <c r="X120" s="205">
        <v>8.639815</v>
      </c>
      <c r="Y120" s="205">
        <v>2.183148</v>
      </c>
      <c r="Z120" s="205">
        <v>3.737037</v>
      </c>
      <c r="AA120" s="205">
        <v>3.428148</v>
      </c>
      <c r="AB120" s="205">
        <v>1.389259</v>
      </c>
      <c r="AC120" s="205">
        <v>0.510556</v>
      </c>
      <c r="AD120" s="205">
        <v>0.383897</v>
      </c>
      <c r="AE120" s="205">
        <v>7.675185</v>
      </c>
      <c r="AF120" s="205">
        <v>0.815867</v>
      </c>
      <c r="AG120" s="205">
        <v>0.690926</v>
      </c>
      <c r="AH120" s="205">
        <v>1.161481</v>
      </c>
      <c r="AI120" s="205">
        <v>16.33364</v>
      </c>
      <c r="AJ120" s="205">
        <v>-1.47328</v>
      </c>
      <c r="AK120" s="205">
        <v>0.412881</v>
      </c>
      <c r="AL120" s="205">
        <v>-0.95594</v>
      </c>
      <c r="AM120" s="205">
        <v>-0.17772</v>
      </c>
      <c r="AN120" s="205">
        <v>1.099077</v>
      </c>
      <c r="AO120" s="205">
        <v>-0.4235</v>
      </c>
      <c r="AP120" s="205">
        <v>-1.18662</v>
      </c>
      <c r="AQ120" s="205">
        <v>0.037403</v>
      </c>
      <c r="AR120" s="205">
        <v>0.948057</v>
      </c>
    </row>
    <row r="121">
      <c r="A121" s="205">
        <v>120.0</v>
      </c>
      <c r="B121" s="206"/>
      <c r="C121" s="206"/>
      <c r="D121" s="205">
        <v>-0.19337</v>
      </c>
      <c r="E121" s="205">
        <v>-0.00673</v>
      </c>
      <c r="F121" s="205">
        <v>-1.69306</v>
      </c>
      <c r="G121" s="206"/>
      <c r="H121" s="207" t="s">
        <v>1684</v>
      </c>
      <c r="I121" s="207" t="s">
        <v>58</v>
      </c>
      <c r="J121" s="207" t="s">
        <v>1412</v>
      </c>
      <c r="K121" s="207" t="s">
        <v>1685</v>
      </c>
      <c r="L121" s="206"/>
      <c r="M121" s="207" t="s">
        <v>1384</v>
      </c>
      <c r="N121" s="208"/>
      <c r="O121" s="206"/>
      <c r="P121" s="208"/>
      <c r="Q121" s="207">
        <v>4.0</v>
      </c>
      <c r="R121" s="208"/>
      <c r="S121" s="207" t="s">
        <v>1402</v>
      </c>
      <c r="T121" s="205">
        <v>55.0</v>
      </c>
      <c r="U121" s="205">
        <v>13.0</v>
      </c>
      <c r="V121" s="206"/>
      <c r="W121" s="205">
        <v>19.0</v>
      </c>
      <c r="X121" s="205">
        <v>7.695091</v>
      </c>
      <c r="Y121" s="205">
        <v>1.157455</v>
      </c>
      <c r="Z121" s="205">
        <v>2.826182</v>
      </c>
      <c r="AA121" s="205">
        <v>2.498</v>
      </c>
      <c r="AB121" s="205">
        <v>1.453455</v>
      </c>
      <c r="AC121" s="205">
        <v>0.569636</v>
      </c>
      <c r="AD121" s="205">
        <v>0.461297</v>
      </c>
      <c r="AE121" s="205">
        <v>6.015455</v>
      </c>
      <c r="AF121" s="205">
        <v>0.821067</v>
      </c>
      <c r="AG121" s="205">
        <v>1.203091</v>
      </c>
      <c r="AH121" s="205">
        <v>0.646</v>
      </c>
      <c r="AI121" s="205">
        <v>16.23906</v>
      </c>
      <c r="AJ121" s="205">
        <v>-1.6391</v>
      </c>
      <c r="AK121" s="205">
        <v>-0.5732</v>
      </c>
      <c r="AL121" s="205">
        <v>-1.32688</v>
      </c>
      <c r="AM121" s="205">
        <v>-0.6291</v>
      </c>
      <c r="AN121" s="205">
        <v>1.287738</v>
      </c>
      <c r="AO121" s="205">
        <v>-0.31709</v>
      </c>
      <c r="AP121" s="205">
        <v>-0.23876</v>
      </c>
      <c r="AQ121" s="205">
        <v>0.092125</v>
      </c>
      <c r="AR121" s="205">
        <v>1.603907</v>
      </c>
    </row>
    <row r="122">
      <c r="A122" s="205">
        <v>121.0</v>
      </c>
      <c r="B122" s="206"/>
      <c r="C122" s="206"/>
      <c r="D122" s="205">
        <v>-0.19886</v>
      </c>
      <c r="E122" s="205">
        <v>-0.00275</v>
      </c>
      <c r="F122" s="205">
        <v>-0.43856</v>
      </c>
      <c r="G122" s="206"/>
      <c r="H122" s="207" t="s">
        <v>1686</v>
      </c>
      <c r="I122" s="207" t="s">
        <v>168</v>
      </c>
      <c r="J122" s="207" t="s">
        <v>1412</v>
      </c>
      <c r="K122" s="207" t="s">
        <v>1687</v>
      </c>
      <c r="L122" s="206"/>
      <c r="M122" s="207" t="s">
        <v>1373</v>
      </c>
      <c r="N122" s="207" t="s">
        <v>1454</v>
      </c>
      <c r="O122" s="206"/>
      <c r="P122" s="206"/>
      <c r="Q122" s="207">
        <v>4.0</v>
      </c>
      <c r="R122" s="207" t="s">
        <v>1613</v>
      </c>
      <c r="S122" s="207" t="s">
        <v>1375</v>
      </c>
      <c r="T122" s="205">
        <v>73.0</v>
      </c>
      <c r="U122" s="205">
        <v>14.0</v>
      </c>
      <c r="V122" s="206"/>
      <c r="W122" s="205">
        <v>35.0</v>
      </c>
      <c r="X122" s="205">
        <v>21.21288</v>
      </c>
      <c r="Y122" s="205">
        <v>2.791096</v>
      </c>
      <c r="Z122" s="205">
        <v>3.324247</v>
      </c>
      <c r="AA122" s="205">
        <v>3.395068</v>
      </c>
      <c r="AB122" s="205">
        <v>0.631644</v>
      </c>
      <c r="AC122" s="205">
        <v>0.071096</v>
      </c>
      <c r="AD122" s="205">
        <v>0.494131</v>
      </c>
      <c r="AE122" s="205">
        <v>16.26767</v>
      </c>
      <c r="AF122" s="205">
        <v>0.847979</v>
      </c>
      <c r="AG122" s="205">
        <v>2.765479</v>
      </c>
      <c r="AH122" s="205">
        <v>2.263288</v>
      </c>
      <c r="AI122" s="205">
        <v>25.32494</v>
      </c>
      <c r="AJ122" s="205">
        <v>0.733571</v>
      </c>
      <c r="AK122" s="205">
        <v>0.997352</v>
      </c>
      <c r="AL122" s="205">
        <v>-1.12405</v>
      </c>
      <c r="AM122" s="205">
        <v>-0.19377</v>
      </c>
      <c r="AN122" s="205">
        <v>-1.12744</v>
      </c>
      <c r="AO122" s="205">
        <v>-1.21499</v>
      </c>
      <c r="AP122" s="205">
        <v>0.134856</v>
      </c>
      <c r="AQ122" s="205">
        <v>0.458533</v>
      </c>
      <c r="AR122" s="205">
        <v>-0.45378</v>
      </c>
    </row>
    <row r="123">
      <c r="A123" s="205">
        <v>122.0</v>
      </c>
      <c r="B123" s="206"/>
      <c r="C123" s="206"/>
      <c r="D123" s="205">
        <v>-0.19988</v>
      </c>
      <c r="E123" s="205">
        <v>-0.00418</v>
      </c>
      <c r="F123" s="205">
        <v>-0.66158</v>
      </c>
      <c r="G123" s="206"/>
      <c r="H123" s="207" t="s">
        <v>1688</v>
      </c>
      <c r="I123" s="207" t="s">
        <v>89</v>
      </c>
      <c r="J123" s="207" t="s">
        <v>1379</v>
      </c>
      <c r="K123" s="207" t="s">
        <v>1689</v>
      </c>
      <c r="L123" s="206"/>
      <c r="M123" s="207" t="s">
        <v>1384</v>
      </c>
      <c r="N123" s="208"/>
      <c r="O123" s="206"/>
      <c r="P123" s="206"/>
      <c r="Q123" s="207">
        <v>2.0</v>
      </c>
      <c r="R123" s="207" t="s">
        <v>1646</v>
      </c>
      <c r="S123" s="207" t="s">
        <v>1375</v>
      </c>
      <c r="T123" s="205">
        <v>68.0</v>
      </c>
      <c r="U123" s="205">
        <v>13.0</v>
      </c>
      <c r="V123" s="206"/>
      <c r="W123" s="205">
        <v>32.0</v>
      </c>
      <c r="X123" s="205">
        <v>13.39735</v>
      </c>
      <c r="Y123" s="205">
        <v>1.446912</v>
      </c>
      <c r="Z123" s="205">
        <v>3.501324</v>
      </c>
      <c r="AA123" s="205">
        <v>6.666029</v>
      </c>
      <c r="AB123" s="205">
        <v>1.212059</v>
      </c>
      <c r="AC123" s="205">
        <v>0.199706</v>
      </c>
      <c r="AD123" s="205">
        <v>0.446404</v>
      </c>
      <c r="AE123" s="205">
        <v>10.63926</v>
      </c>
      <c r="AF123" s="205">
        <v>0.823015</v>
      </c>
      <c r="AG123" s="205">
        <v>2.978824</v>
      </c>
      <c r="AH123" s="205">
        <v>2.222059</v>
      </c>
      <c r="AI123" s="205">
        <v>18.96901</v>
      </c>
      <c r="AJ123" s="205">
        <v>-0.63823</v>
      </c>
      <c r="AK123" s="205">
        <v>-0.29492</v>
      </c>
      <c r="AL123" s="205">
        <v>-1.05194</v>
      </c>
      <c r="AM123" s="205">
        <v>1.39356</v>
      </c>
      <c r="AN123" s="205">
        <v>0.578311</v>
      </c>
      <c r="AO123" s="205">
        <v>-0.98335</v>
      </c>
      <c r="AP123" s="205">
        <v>-0.66197</v>
      </c>
      <c r="AQ123" s="205">
        <v>0.260945</v>
      </c>
      <c r="AR123" s="205">
        <v>-0.40132</v>
      </c>
    </row>
    <row r="124">
      <c r="A124" s="205">
        <v>123.0</v>
      </c>
      <c r="B124" s="206"/>
      <c r="C124" s="206"/>
      <c r="D124" s="205">
        <v>-0.2001</v>
      </c>
      <c r="E124" s="205">
        <v>-0.00631</v>
      </c>
      <c r="F124" s="205">
        <v>0.620789</v>
      </c>
      <c r="G124" s="206"/>
      <c r="H124" s="207" t="s">
        <v>1690</v>
      </c>
      <c r="I124" s="207" t="s">
        <v>99</v>
      </c>
      <c r="J124" s="207" t="s">
        <v>34</v>
      </c>
      <c r="K124" s="207" t="s">
        <v>1691</v>
      </c>
      <c r="L124" s="206"/>
      <c r="M124" s="207" t="s">
        <v>1384</v>
      </c>
      <c r="N124" s="208"/>
      <c r="O124" s="206"/>
      <c r="P124" s="206"/>
      <c r="Q124" s="207">
        <v>2.0</v>
      </c>
      <c r="R124" s="208"/>
      <c r="S124" s="207" t="s">
        <v>1402</v>
      </c>
      <c r="T124" s="205">
        <v>68.0</v>
      </c>
      <c r="U124" s="205">
        <v>13.0</v>
      </c>
      <c r="V124" s="206"/>
      <c r="W124" s="205">
        <v>22.0</v>
      </c>
      <c r="X124" s="205">
        <v>9.651471</v>
      </c>
      <c r="Y124" s="205">
        <v>0.079265</v>
      </c>
      <c r="Z124" s="205">
        <v>7.553382</v>
      </c>
      <c r="AA124" s="205">
        <v>1.510735</v>
      </c>
      <c r="AB124" s="205">
        <v>0.594559</v>
      </c>
      <c r="AC124" s="205">
        <v>1.239265</v>
      </c>
      <c r="AD124" s="205">
        <v>0.620251</v>
      </c>
      <c r="AE124" s="205">
        <v>6.4675</v>
      </c>
      <c r="AF124" s="205">
        <v>0.759991</v>
      </c>
      <c r="AG124" s="205">
        <v>2.038529</v>
      </c>
      <c r="AH124" s="205">
        <v>1.180147</v>
      </c>
      <c r="AI124" s="205">
        <v>15.91855</v>
      </c>
      <c r="AJ124" s="205">
        <v>-1.29571</v>
      </c>
      <c r="AK124" s="205">
        <v>-1.60976</v>
      </c>
      <c r="AL124" s="205">
        <v>0.598238</v>
      </c>
      <c r="AM124" s="205">
        <v>-1.1082</v>
      </c>
      <c r="AN124" s="205">
        <v>-1.23643</v>
      </c>
      <c r="AO124" s="205">
        <v>0.888939</v>
      </c>
      <c r="AP124" s="205">
        <v>1.266062</v>
      </c>
      <c r="AQ124" s="205">
        <v>-0.22836</v>
      </c>
      <c r="AR124" s="205">
        <v>0.924308</v>
      </c>
    </row>
    <row r="125">
      <c r="A125" s="205">
        <v>124.0</v>
      </c>
      <c r="B125" s="206"/>
      <c r="C125" s="206"/>
      <c r="D125" s="205">
        <v>-0.20124</v>
      </c>
      <c r="E125" s="205">
        <v>-0.00313</v>
      </c>
      <c r="F125" s="205">
        <v>-0.78239</v>
      </c>
      <c r="G125" s="206"/>
      <c r="H125" s="207" t="s">
        <v>1692</v>
      </c>
      <c r="I125" s="207" t="s">
        <v>138</v>
      </c>
      <c r="J125" s="207" t="s">
        <v>1387</v>
      </c>
      <c r="K125" s="207" t="s">
        <v>1693</v>
      </c>
      <c r="L125" s="206"/>
      <c r="M125" s="207" t="s">
        <v>1384</v>
      </c>
      <c r="N125" s="208"/>
      <c r="O125" s="206"/>
      <c r="P125" s="206"/>
      <c r="Q125" s="207">
        <v>2.0</v>
      </c>
      <c r="R125" s="207" t="s">
        <v>1541</v>
      </c>
      <c r="S125" s="207" t="s">
        <v>1375</v>
      </c>
      <c r="T125" s="205">
        <v>61.0</v>
      </c>
      <c r="U125" s="205">
        <v>15.0</v>
      </c>
      <c r="V125" s="206"/>
      <c r="W125" s="205">
        <v>33.0</v>
      </c>
      <c r="X125" s="205">
        <v>19.02902</v>
      </c>
      <c r="Y125" s="205">
        <v>1.749672</v>
      </c>
      <c r="Z125" s="205">
        <v>5.523443</v>
      </c>
      <c r="AA125" s="205">
        <v>4.744426</v>
      </c>
      <c r="AB125" s="205">
        <v>0.708197</v>
      </c>
      <c r="AC125" s="205">
        <v>0.566557</v>
      </c>
      <c r="AD125" s="205">
        <v>0.468587</v>
      </c>
      <c r="AE125" s="205">
        <v>15.29574</v>
      </c>
      <c r="AF125" s="205">
        <v>0.836999</v>
      </c>
      <c r="AG125" s="205">
        <v>3.518033</v>
      </c>
      <c r="AH125" s="205">
        <v>2.832459</v>
      </c>
      <c r="AI125" s="205">
        <v>25.00319</v>
      </c>
      <c r="AJ125" s="205">
        <v>0.350255</v>
      </c>
      <c r="AK125" s="205">
        <v>-0.00386</v>
      </c>
      <c r="AL125" s="205">
        <v>-0.22844</v>
      </c>
      <c r="AM125" s="205">
        <v>0.461045</v>
      </c>
      <c r="AN125" s="205">
        <v>-0.90246</v>
      </c>
      <c r="AO125" s="205">
        <v>-0.32264</v>
      </c>
      <c r="AP125" s="205">
        <v>-0.45175</v>
      </c>
      <c r="AQ125" s="205">
        <v>0.464594</v>
      </c>
      <c r="AR125" s="205">
        <v>-1.17794</v>
      </c>
    </row>
    <row r="126">
      <c r="A126" s="205">
        <v>125.0</v>
      </c>
      <c r="B126" s="206"/>
      <c r="C126" s="206"/>
      <c r="D126" s="205">
        <v>-0.21083</v>
      </c>
      <c r="E126" s="205">
        <v>0.032698</v>
      </c>
      <c r="F126" s="205">
        <v>-0.262</v>
      </c>
      <c r="G126" s="206"/>
      <c r="H126" s="207" t="s">
        <v>1694</v>
      </c>
      <c r="I126" s="207" t="s">
        <v>197</v>
      </c>
      <c r="J126" s="207" t="s">
        <v>1395</v>
      </c>
      <c r="K126" s="207" t="s">
        <v>1695</v>
      </c>
      <c r="L126" s="206"/>
      <c r="M126" s="207" t="s">
        <v>1373</v>
      </c>
      <c r="N126" s="207" t="s">
        <v>1385</v>
      </c>
      <c r="O126" s="206"/>
      <c r="P126" s="206"/>
      <c r="Q126" s="207">
        <v>4.0</v>
      </c>
      <c r="R126" s="208"/>
      <c r="S126" s="207" t="s">
        <v>1402</v>
      </c>
      <c r="T126" s="205">
        <v>73.0</v>
      </c>
      <c r="U126" s="205">
        <v>14.0</v>
      </c>
      <c r="V126" s="206"/>
      <c r="W126" s="205">
        <v>28.0</v>
      </c>
      <c r="X126" s="205">
        <v>12.74507</v>
      </c>
      <c r="Y126" s="205">
        <v>2.103973</v>
      </c>
      <c r="Z126" s="205">
        <v>6.127397</v>
      </c>
      <c r="AA126" s="205">
        <v>3.336712</v>
      </c>
      <c r="AB126" s="205">
        <v>0.849726</v>
      </c>
      <c r="AC126" s="205">
        <v>0.606438</v>
      </c>
      <c r="AD126" s="205">
        <v>0.448072</v>
      </c>
      <c r="AE126" s="205">
        <v>10.61658</v>
      </c>
      <c r="AF126" s="205">
        <v>0.663014</v>
      </c>
      <c r="AG126" s="205">
        <v>1.7</v>
      </c>
      <c r="AH126" s="205">
        <v>1.273973</v>
      </c>
      <c r="AI126" s="205">
        <v>18.50852</v>
      </c>
      <c r="AJ126" s="205">
        <v>-0.75272</v>
      </c>
      <c r="AK126" s="205">
        <v>0.336763</v>
      </c>
      <c r="AL126" s="205">
        <v>0.017515</v>
      </c>
      <c r="AM126" s="205">
        <v>-0.22209</v>
      </c>
      <c r="AN126" s="205">
        <v>-0.48653</v>
      </c>
      <c r="AO126" s="205">
        <v>-0.25081</v>
      </c>
      <c r="AP126" s="205">
        <v>-0.63431</v>
      </c>
      <c r="AQ126" s="205">
        <v>-0.71025</v>
      </c>
      <c r="AR126" s="205">
        <v>0.804933</v>
      </c>
    </row>
    <row r="127">
      <c r="A127" s="205">
        <v>126.0</v>
      </c>
      <c r="B127" s="206"/>
      <c r="C127" s="206"/>
      <c r="D127" s="205">
        <v>-0.21905</v>
      </c>
      <c r="E127" s="205">
        <v>-0.00481</v>
      </c>
      <c r="F127" s="205">
        <v>-0.0204</v>
      </c>
      <c r="G127" s="206"/>
      <c r="H127" s="207" t="s">
        <v>1696</v>
      </c>
      <c r="I127" s="207" t="s">
        <v>271</v>
      </c>
      <c r="J127" s="207" t="s">
        <v>1379</v>
      </c>
      <c r="K127" s="207" t="s">
        <v>1697</v>
      </c>
      <c r="L127" s="206"/>
      <c r="M127" s="207" t="s">
        <v>1384</v>
      </c>
      <c r="N127" s="207" t="s">
        <v>1503</v>
      </c>
      <c r="O127" s="206"/>
      <c r="P127" s="206"/>
      <c r="Q127" s="207">
        <v>4.0</v>
      </c>
      <c r="R127" s="208"/>
      <c r="S127" s="207" t="s">
        <v>1402</v>
      </c>
      <c r="T127" s="205">
        <v>68.0</v>
      </c>
      <c r="U127" s="205">
        <v>13.0</v>
      </c>
      <c r="V127" s="206"/>
      <c r="W127" s="205">
        <v>27.0</v>
      </c>
      <c r="X127" s="205">
        <v>12.82838</v>
      </c>
      <c r="Y127" s="205">
        <v>2.538824</v>
      </c>
      <c r="Z127" s="205">
        <v>3.2175</v>
      </c>
      <c r="AA127" s="205">
        <v>2.500735</v>
      </c>
      <c r="AB127" s="205">
        <v>1.023088</v>
      </c>
      <c r="AC127" s="205">
        <v>0.357353</v>
      </c>
      <c r="AD127" s="205">
        <v>0.466113</v>
      </c>
      <c r="AE127" s="205">
        <v>10.41309</v>
      </c>
      <c r="AF127" s="205">
        <v>0.733012</v>
      </c>
      <c r="AG127" s="205">
        <v>0.794265</v>
      </c>
      <c r="AH127" s="205">
        <v>1.128824</v>
      </c>
      <c r="AI127" s="205">
        <v>18.3155</v>
      </c>
      <c r="AJ127" s="205">
        <v>-0.73809</v>
      </c>
      <c r="AK127" s="205">
        <v>0.754822</v>
      </c>
      <c r="AL127" s="205">
        <v>-1.16752</v>
      </c>
      <c r="AM127" s="205">
        <v>-0.62777</v>
      </c>
      <c r="AN127" s="205">
        <v>0.022955</v>
      </c>
      <c r="AO127" s="205">
        <v>-0.69942</v>
      </c>
      <c r="AP127" s="205">
        <v>-0.34367</v>
      </c>
      <c r="AQ127" s="205">
        <v>-0.16236</v>
      </c>
      <c r="AR127" s="205">
        <v>0.989608</v>
      </c>
    </row>
    <row r="128">
      <c r="A128" s="205">
        <v>127.0</v>
      </c>
      <c r="B128" s="206"/>
      <c r="C128" s="206"/>
      <c r="D128" s="205">
        <v>-0.22072</v>
      </c>
      <c r="E128" s="205">
        <v>-0.00535</v>
      </c>
      <c r="F128" s="205">
        <v>-0.74522</v>
      </c>
      <c r="G128" s="206"/>
      <c r="H128" s="207" t="s">
        <v>1698</v>
      </c>
      <c r="I128" s="207" t="s">
        <v>1392</v>
      </c>
      <c r="J128" s="207" t="s">
        <v>1395</v>
      </c>
      <c r="K128" s="206"/>
      <c r="L128" s="206"/>
      <c r="M128" s="207" t="s">
        <v>1384</v>
      </c>
      <c r="N128" s="207" t="s">
        <v>1454</v>
      </c>
      <c r="O128" s="206"/>
      <c r="P128" s="208"/>
      <c r="Q128" s="207">
        <v>4.0</v>
      </c>
      <c r="R128" s="207" t="s">
        <v>1561</v>
      </c>
      <c r="S128" s="207" t="s">
        <v>1375</v>
      </c>
      <c r="T128" s="205">
        <v>68.0</v>
      </c>
      <c r="U128" s="205">
        <v>15.0</v>
      </c>
      <c r="V128" s="206"/>
      <c r="W128" s="205">
        <v>29.0</v>
      </c>
      <c r="X128" s="205">
        <v>8.763529</v>
      </c>
      <c r="Y128" s="205">
        <v>1.165</v>
      </c>
      <c r="Z128" s="205">
        <v>5.921471</v>
      </c>
      <c r="AA128" s="205">
        <v>5.921471</v>
      </c>
      <c r="AB128" s="205">
        <v>1.375735</v>
      </c>
      <c r="AC128" s="205">
        <v>0.837353</v>
      </c>
      <c r="AD128" s="205">
        <v>0.411559</v>
      </c>
      <c r="AE128" s="205">
        <v>7.595588</v>
      </c>
      <c r="AF128" s="205">
        <v>0.708998</v>
      </c>
      <c r="AG128" s="205">
        <v>1.899118</v>
      </c>
      <c r="AH128" s="205">
        <v>2.518529</v>
      </c>
      <c r="AI128" s="205">
        <v>16.29956</v>
      </c>
      <c r="AJ128" s="205">
        <v>-1.45156</v>
      </c>
      <c r="AK128" s="205">
        <v>-0.56595</v>
      </c>
      <c r="AL128" s="205">
        <v>-0.06635</v>
      </c>
      <c r="AM128" s="205">
        <v>1.032241</v>
      </c>
      <c r="AN128" s="205">
        <v>1.059332</v>
      </c>
      <c r="AO128" s="205">
        <v>0.165077</v>
      </c>
      <c r="AP128" s="205">
        <v>-0.86294</v>
      </c>
      <c r="AQ128" s="205">
        <v>-0.5178</v>
      </c>
      <c r="AR128" s="205">
        <v>-0.77852</v>
      </c>
    </row>
    <row r="129">
      <c r="A129" s="205">
        <v>128.0</v>
      </c>
      <c r="B129" s="206"/>
      <c r="C129" s="206"/>
      <c r="D129" s="205">
        <v>-0.22253</v>
      </c>
      <c r="E129" s="205">
        <v>-0.00273</v>
      </c>
      <c r="F129" s="205">
        <v>-2.57585</v>
      </c>
      <c r="G129" s="206"/>
      <c r="H129" s="207" t="s">
        <v>1699</v>
      </c>
      <c r="I129" s="207" t="s">
        <v>1392</v>
      </c>
      <c r="J129" s="207" t="s">
        <v>1395</v>
      </c>
      <c r="K129" s="206"/>
      <c r="L129" s="207" t="s">
        <v>1700</v>
      </c>
      <c r="M129" s="207" t="s">
        <v>1384</v>
      </c>
      <c r="N129" s="207" t="s">
        <v>1435</v>
      </c>
      <c r="O129" s="206"/>
      <c r="P129" s="206"/>
      <c r="Q129" s="207">
        <v>4.0</v>
      </c>
      <c r="R129" s="208"/>
      <c r="S129" s="207" t="s">
        <v>1402</v>
      </c>
      <c r="T129" s="205">
        <v>53.0</v>
      </c>
      <c r="U129" s="205">
        <v>15.0</v>
      </c>
      <c r="V129" s="206"/>
      <c r="W129" s="205">
        <v>28.0</v>
      </c>
      <c r="X129" s="205">
        <v>8.823962</v>
      </c>
      <c r="Y129" s="205">
        <v>1.85434</v>
      </c>
      <c r="Z129" s="205">
        <v>6.52566</v>
      </c>
      <c r="AA129" s="205">
        <v>2.540943</v>
      </c>
      <c r="AB129" s="205">
        <v>0.575849</v>
      </c>
      <c r="AC129" s="205">
        <v>0.867925</v>
      </c>
      <c r="AD129" s="205">
        <v>0.438634</v>
      </c>
      <c r="AE129" s="205">
        <v>7.508302</v>
      </c>
      <c r="AF129" s="205">
        <v>0.850021</v>
      </c>
      <c r="AG129" s="205">
        <v>0.450377</v>
      </c>
      <c r="AH129" s="205">
        <v>0.866226</v>
      </c>
      <c r="AI129" s="205">
        <v>13.2169</v>
      </c>
      <c r="AJ129" s="205">
        <v>-1.44096</v>
      </c>
      <c r="AK129" s="205">
        <v>0.09677</v>
      </c>
      <c r="AL129" s="205">
        <v>0.179705</v>
      </c>
      <c r="AM129" s="205">
        <v>-0.60826</v>
      </c>
      <c r="AN129" s="205">
        <v>-1.29142</v>
      </c>
      <c r="AO129" s="205">
        <v>0.220138</v>
      </c>
      <c r="AP129" s="205">
        <v>-0.55173</v>
      </c>
      <c r="AQ129" s="205">
        <v>0.069284</v>
      </c>
      <c r="AR129" s="205">
        <v>1.323711</v>
      </c>
    </row>
    <row r="130">
      <c r="A130" s="205">
        <v>129.0</v>
      </c>
      <c r="B130" s="206"/>
      <c r="C130" s="206"/>
      <c r="D130" s="205">
        <v>-0.23413</v>
      </c>
      <c r="E130" s="211">
        <v>-3.9E-5</v>
      </c>
      <c r="F130" s="205">
        <v>1.568629</v>
      </c>
      <c r="G130" s="206"/>
      <c r="H130" s="207" t="s">
        <v>1701</v>
      </c>
      <c r="I130" s="207" t="s">
        <v>129</v>
      </c>
      <c r="J130" s="207" t="s">
        <v>1379</v>
      </c>
      <c r="K130" s="207" t="s">
        <v>1702</v>
      </c>
      <c r="L130" s="206"/>
      <c r="M130" s="207" t="s">
        <v>1442</v>
      </c>
      <c r="N130" s="207" t="s">
        <v>1551</v>
      </c>
      <c r="O130" s="206"/>
      <c r="P130" s="206"/>
      <c r="Q130" s="207">
        <v>4.0</v>
      </c>
      <c r="R130" s="207" t="s">
        <v>1587</v>
      </c>
      <c r="S130" s="207" t="s">
        <v>1375</v>
      </c>
      <c r="T130" s="205">
        <v>77.0</v>
      </c>
      <c r="U130" s="205">
        <v>16.0</v>
      </c>
      <c r="V130" s="206"/>
      <c r="W130" s="205">
        <v>35.0</v>
      </c>
      <c r="X130" s="205">
        <v>21.6387</v>
      </c>
      <c r="Y130" s="205">
        <v>2.884416</v>
      </c>
      <c r="Z130" s="205">
        <v>5.053117</v>
      </c>
      <c r="AA130" s="205">
        <v>5.341818</v>
      </c>
      <c r="AB130" s="205">
        <v>0.878831</v>
      </c>
      <c r="AC130" s="205">
        <v>0.357403</v>
      </c>
      <c r="AD130" s="205">
        <v>0.42896</v>
      </c>
      <c r="AE130" s="205">
        <v>17.61403</v>
      </c>
      <c r="AF130" s="205">
        <v>0.765996</v>
      </c>
      <c r="AG130" s="205">
        <v>4.755714</v>
      </c>
      <c r="AH130" s="205">
        <v>2.887532</v>
      </c>
      <c r="AI130" s="205">
        <v>27.81841</v>
      </c>
      <c r="AJ130" s="205">
        <v>0.808313</v>
      </c>
      <c r="AK130" s="205">
        <v>1.087068</v>
      </c>
      <c r="AL130" s="205">
        <v>-0.41998</v>
      </c>
      <c r="AM130" s="205">
        <v>0.750947</v>
      </c>
      <c r="AN130" s="205">
        <v>-0.401</v>
      </c>
      <c r="AO130" s="205">
        <v>-0.69934</v>
      </c>
      <c r="AP130" s="205">
        <v>-1.55539</v>
      </c>
      <c r="AQ130" s="205">
        <v>-0.4298</v>
      </c>
      <c r="AR130" s="205">
        <v>-1.24801</v>
      </c>
    </row>
    <row r="131">
      <c r="A131" s="205">
        <v>130.0</v>
      </c>
      <c r="B131" s="206"/>
      <c r="C131" s="206"/>
      <c r="D131" s="205">
        <v>-0.23501</v>
      </c>
      <c r="E131" s="205">
        <v>-0.0066</v>
      </c>
      <c r="F131" s="205">
        <v>-0.12262</v>
      </c>
      <c r="G131" s="206"/>
      <c r="H131" s="207" t="s">
        <v>1703</v>
      </c>
      <c r="I131" s="207" t="s">
        <v>68</v>
      </c>
      <c r="J131" s="207" t="s">
        <v>34</v>
      </c>
      <c r="K131" s="207" t="s">
        <v>1704</v>
      </c>
      <c r="L131" s="206"/>
      <c r="M131" s="207" t="s">
        <v>1384</v>
      </c>
      <c r="N131" s="207" t="s">
        <v>1385</v>
      </c>
      <c r="O131" s="206"/>
      <c r="P131" s="206"/>
      <c r="Q131" s="207">
        <v>2.0</v>
      </c>
      <c r="R131" s="208"/>
      <c r="S131" s="207" t="s">
        <v>1402</v>
      </c>
      <c r="T131" s="205">
        <v>68.0</v>
      </c>
      <c r="U131" s="205">
        <v>14.0</v>
      </c>
      <c r="V131" s="206"/>
      <c r="W131" s="205">
        <v>21.0</v>
      </c>
      <c r="X131" s="205">
        <v>9.703971</v>
      </c>
      <c r="Y131" s="205">
        <v>0.0</v>
      </c>
      <c r="Z131" s="205">
        <v>6.318824</v>
      </c>
      <c r="AA131" s="205">
        <v>1.368382</v>
      </c>
      <c r="AB131" s="205">
        <v>0.48</v>
      </c>
      <c r="AC131" s="205">
        <v>1.590735</v>
      </c>
      <c r="AD131" s="205">
        <v>0.694505</v>
      </c>
      <c r="AE131" s="205">
        <v>5.7</v>
      </c>
      <c r="AF131" s="205">
        <v>0.680998</v>
      </c>
      <c r="AG131" s="205">
        <v>2.623529</v>
      </c>
      <c r="AH131" s="205">
        <v>0.972059</v>
      </c>
      <c r="AI131" s="205">
        <v>15.93811</v>
      </c>
      <c r="AJ131" s="205">
        <v>-1.2865</v>
      </c>
      <c r="AK131" s="205">
        <v>-1.68596</v>
      </c>
      <c r="AL131" s="205">
        <v>0.095472</v>
      </c>
      <c r="AM131" s="205">
        <v>-1.17728</v>
      </c>
      <c r="AN131" s="205">
        <v>-1.5731</v>
      </c>
      <c r="AO131" s="205">
        <v>1.521953</v>
      </c>
      <c r="AP131" s="205">
        <v>1.743707</v>
      </c>
      <c r="AQ131" s="205">
        <v>-0.94242</v>
      </c>
      <c r="AR131" s="205">
        <v>1.18906</v>
      </c>
    </row>
    <row r="132">
      <c r="A132" s="205">
        <v>131.0</v>
      </c>
      <c r="B132" s="206"/>
      <c r="C132" s="206"/>
      <c r="D132" s="205">
        <v>-0.23543</v>
      </c>
      <c r="E132" s="205">
        <v>-0.00573</v>
      </c>
      <c r="F132" s="205">
        <v>0.825225</v>
      </c>
      <c r="G132" s="206"/>
      <c r="H132" s="207" t="s">
        <v>1705</v>
      </c>
      <c r="I132" s="207" t="s">
        <v>89</v>
      </c>
      <c r="J132" s="207" t="s">
        <v>1379</v>
      </c>
      <c r="K132" s="207" t="s">
        <v>1706</v>
      </c>
      <c r="L132" s="206"/>
      <c r="M132" s="207" t="s">
        <v>1373</v>
      </c>
      <c r="N132" s="206"/>
      <c r="O132" s="206"/>
      <c r="P132" s="208"/>
      <c r="Q132" s="207">
        <v>3.0</v>
      </c>
      <c r="R132" s="208"/>
      <c r="S132" s="207" t="s">
        <v>1617</v>
      </c>
      <c r="T132" s="205">
        <v>73.0</v>
      </c>
      <c r="U132" s="205">
        <v>13.0</v>
      </c>
      <c r="V132" s="206"/>
      <c r="W132" s="205">
        <v>24.0</v>
      </c>
      <c r="X132" s="205">
        <v>11.28986</v>
      </c>
      <c r="Y132" s="205">
        <v>0.317671</v>
      </c>
      <c r="Z132" s="205">
        <v>3.232055</v>
      </c>
      <c r="AA132" s="205">
        <v>6.982466</v>
      </c>
      <c r="AB132" s="205">
        <v>1.262466</v>
      </c>
      <c r="AC132" s="205">
        <v>0.295479</v>
      </c>
      <c r="AD132" s="205">
        <v>0.518861</v>
      </c>
      <c r="AE132" s="205">
        <v>9.69589</v>
      </c>
      <c r="AF132" s="205">
        <v>0.730038</v>
      </c>
      <c r="AG132" s="205">
        <v>1.24726</v>
      </c>
      <c r="AH132" s="205">
        <v>2.070548</v>
      </c>
      <c r="AI132" s="205">
        <v>21.97833</v>
      </c>
      <c r="AJ132" s="205">
        <v>-1.00814</v>
      </c>
      <c r="AK132" s="205">
        <v>-1.38056</v>
      </c>
      <c r="AL132" s="205">
        <v>-1.16159</v>
      </c>
      <c r="AM132" s="205">
        <v>1.54712</v>
      </c>
      <c r="AN132" s="205">
        <v>0.72645</v>
      </c>
      <c r="AO132" s="205">
        <v>-0.81086</v>
      </c>
      <c r="AP132" s="205">
        <v>0.438248</v>
      </c>
      <c r="AQ132" s="205">
        <v>-0.26098</v>
      </c>
      <c r="AR132" s="205">
        <v>-0.20855</v>
      </c>
    </row>
    <row r="133">
      <c r="A133" s="205">
        <v>132.0</v>
      </c>
      <c r="B133" s="206"/>
      <c r="C133" s="206"/>
      <c r="D133" s="205">
        <v>-0.2374</v>
      </c>
      <c r="E133" s="205">
        <v>-0.00501</v>
      </c>
      <c r="F133" s="205">
        <v>0.825225</v>
      </c>
      <c r="G133" s="206"/>
      <c r="H133" s="207" t="s">
        <v>1707</v>
      </c>
      <c r="I133" s="207" t="s">
        <v>197</v>
      </c>
      <c r="J133" s="207" t="s">
        <v>1379</v>
      </c>
      <c r="K133" s="207" t="s">
        <v>1708</v>
      </c>
      <c r="L133" s="206"/>
      <c r="M133" s="207" t="s">
        <v>1373</v>
      </c>
      <c r="N133" s="208"/>
      <c r="O133" s="206"/>
      <c r="P133" s="206"/>
      <c r="Q133" s="207">
        <v>2.0</v>
      </c>
      <c r="R133" s="208"/>
      <c r="S133" s="207" t="s">
        <v>1402</v>
      </c>
      <c r="T133" s="205">
        <v>73.0</v>
      </c>
      <c r="U133" s="205">
        <v>14.0</v>
      </c>
      <c r="V133" s="206"/>
      <c r="W133" s="205">
        <v>25.0</v>
      </c>
      <c r="X133" s="205">
        <v>12.13548</v>
      </c>
      <c r="Y133" s="205">
        <v>1.403151</v>
      </c>
      <c r="Z133" s="205">
        <v>3.520822</v>
      </c>
      <c r="AA133" s="205">
        <v>4.875068</v>
      </c>
      <c r="AB133" s="205">
        <v>1.408356</v>
      </c>
      <c r="AC133" s="205">
        <v>0.478219</v>
      </c>
      <c r="AD133" s="205">
        <v>0.468865</v>
      </c>
      <c r="AE133" s="205">
        <v>9.208767</v>
      </c>
      <c r="AF133" s="205">
        <v>0.721021</v>
      </c>
      <c r="AG133" s="205">
        <v>2.908356</v>
      </c>
      <c r="AH133" s="205">
        <v>2.024795</v>
      </c>
      <c r="AI133" s="205">
        <v>20.52401</v>
      </c>
      <c r="AJ133" s="205">
        <v>-0.85971</v>
      </c>
      <c r="AK133" s="205">
        <v>-0.337</v>
      </c>
      <c r="AL133" s="205">
        <v>-1.044</v>
      </c>
      <c r="AM133" s="205">
        <v>0.524443</v>
      </c>
      <c r="AN133" s="205">
        <v>1.1552</v>
      </c>
      <c r="AO133" s="205">
        <v>-0.48174</v>
      </c>
      <c r="AP133" s="205">
        <v>-0.26563</v>
      </c>
      <c r="AQ133" s="205">
        <v>-0.67781</v>
      </c>
      <c r="AR133" s="205">
        <v>-0.15034</v>
      </c>
    </row>
    <row r="134">
      <c r="A134" s="205">
        <v>133.0</v>
      </c>
      <c r="B134" s="206"/>
      <c r="C134" s="206"/>
      <c r="D134" s="205">
        <v>-0.2374</v>
      </c>
      <c r="E134" s="205">
        <v>-0.00369</v>
      </c>
      <c r="F134" s="205">
        <v>0.091113</v>
      </c>
      <c r="G134" s="206"/>
      <c r="H134" s="207" t="s">
        <v>1709</v>
      </c>
      <c r="I134" s="207" t="s">
        <v>99</v>
      </c>
      <c r="J134" s="207" t="s">
        <v>1387</v>
      </c>
      <c r="K134" s="207" t="s">
        <v>1710</v>
      </c>
      <c r="L134" s="206"/>
      <c r="M134" s="207" t="s">
        <v>1442</v>
      </c>
      <c r="N134" s="207" t="s">
        <v>1711</v>
      </c>
      <c r="O134" s="206"/>
      <c r="P134" s="208"/>
      <c r="Q134" s="207">
        <v>1.0</v>
      </c>
      <c r="R134" s="208"/>
      <c r="S134" s="207" t="s">
        <v>1402</v>
      </c>
      <c r="T134" s="205">
        <v>77.0</v>
      </c>
      <c r="U134" s="205">
        <v>13.0</v>
      </c>
      <c r="V134" s="206"/>
      <c r="W134" s="205">
        <v>24.0</v>
      </c>
      <c r="X134" s="205">
        <v>12.08701</v>
      </c>
      <c r="Y134" s="205">
        <v>1.692468</v>
      </c>
      <c r="Z134" s="205">
        <v>6.746494</v>
      </c>
      <c r="AA134" s="205">
        <v>0.909091</v>
      </c>
      <c r="AB134" s="205">
        <v>0.641039</v>
      </c>
      <c r="AC134" s="205">
        <v>0.669481</v>
      </c>
      <c r="AD134" s="205">
        <v>0.481692</v>
      </c>
      <c r="AE134" s="205">
        <v>9.218312</v>
      </c>
      <c r="AF134" s="205">
        <v>0.781967</v>
      </c>
      <c r="AG134" s="205">
        <v>1.935844</v>
      </c>
      <c r="AH134" s="205">
        <v>0.859351</v>
      </c>
      <c r="AI134" s="205">
        <v>18.6647</v>
      </c>
      <c r="AJ134" s="205">
        <v>-0.86822</v>
      </c>
      <c r="AK134" s="205">
        <v>-0.05885</v>
      </c>
      <c r="AL134" s="205">
        <v>0.269638</v>
      </c>
      <c r="AM134" s="205">
        <v>-1.40016</v>
      </c>
      <c r="AN134" s="205">
        <v>-1.09983</v>
      </c>
      <c r="AO134" s="205">
        <v>-0.13727</v>
      </c>
      <c r="AP134" s="205">
        <v>-0.09071</v>
      </c>
      <c r="AQ134" s="205">
        <v>-0.08364</v>
      </c>
      <c r="AR134" s="205">
        <v>1.33246</v>
      </c>
    </row>
    <row r="135">
      <c r="A135" s="205">
        <v>134.0</v>
      </c>
      <c r="B135" s="206"/>
      <c r="C135" s="206"/>
      <c r="D135" s="205">
        <v>-0.24183</v>
      </c>
      <c r="E135" s="205">
        <v>-0.00344</v>
      </c>
      <c r="F135" s="205">
        <v>1.224805</v>
      </c>
      <c r="G135" s="206"/>
      <c r="H135" s="207" t="s">
        <v>1712</v>
      </c>
      <c r="I135" s="207" t="s">
        <v>85</v>
      </c>
      <c r="J135" s="207" t="s">
        <v>1379</v>
      </c>
      <c r="K135" s="207" t="s">
        <v>1713</v>
      </c>
      <c r="L135" s="206"/>
      <c r="M135" s="207" t="s">
        <v>1373</v>
      </c>
      <c r="N135" s="207" t="s">
        <v>1405</v>
      </c>
      <c r="O135" s="206"/>
      <c r="P135" s="208"/>
      <c r="Q135" s="207">
        <v>2.0</v>
      </c>
      <c r="R135" s="207" t="s">
        <v>1635</v>
      </c>
      <c r="S135" s="207" t="s">
        <v>1402</v>
      </c>
      <c r="T135" s="205">
        <v>73.0</v>
      </c>
      <c r="U135" s="205">
        <v>14.0</v>
      </c>
      <c r="V135" s="206"/>
      <c r="W135" s="205">
        <v>28.0</v>
      </c>
      <c r="X135" s="205">
        <v>15.31274</v>
      </c>
      <c r="Y135" s="205">
        <v>1.126712</v>
      </c>
      <c r="Z135" s="205">
        <v>5.184658</v>
      </c>
      <c r="AA135" s="205">
        <v>5.656027</v>
      </c>
      <c r="AB135" s="205">
        <v>1.178356</v>
      </c>
      <c r="AC135" s="205">
        <v>0.171644</v>
      </c>
      <c r="AD135" s="205">
        <v>0.461765</v>
      </c>
      <c r="AE135" s="205">
        <v>11.37151</v>
      </c>
      <c r="AF135" s="205">
        <v>0.809987</v>
      </c>
      <c r="AG135" s="205">
        <v>4.548356</v>
      </c>
      <c r="AH135" s="205">
        <v>2.710137</v>
      </c>
      <c r="AI135" s="205">
        <v>25.17111</v>
      </c>
      <c r="AJ135" s="205">
        <v>-0.30203</v>
      </c>
      <c r="AK135" s="205">
        <v>-0.60276</v>
      </c>
      <c r="AL135" s="205">
        <v>-0.36641</v>
      </c>
      <c r="AM135" s="205">
        <v>0.903427</v>
      </c>
      <c r="AN135" s="205">
        <v>0.479264</v>
      </c>
      <c r="AO135" s="205">
        <v>-1.0339</v>
      </c>
      <c r="AP135" s="205">
        <v>-0.44916</v>
      </c>
      <c r="AQ135" s="205">
        <v>0.217399</v>
      </c>
      <c r="AR135" s="205">
        <v>-1.02231</v>
      </c>
    </row>
    <row r="136">
      <c r="A136" s="205">
        <v>135.0</v>
      </c>
      <c r="B136" s="206"/>
      <c r="C136" s="206"/>
      <c r="D136" s="205">
        <v>-0.24202</v>
      </c>
      <c r="E136" s="205">
        <v>0.028974</v>
      </c>
      <c r="F136" s="205">
        <v>0.007481</v>
      </c>
      <c r="G136" s="206"/>
      <c r="H136" s="207" t="s">
        <v>1714</v>
      </c>
      <c r="I136" s="207" t="s">
        <v>81</v>
      </c>
      <c r="J136" s="207" t="s">
        <v>1387</v>
      </c>
      <c r="K136" s="207" t="s">
        <v>1715</v>
      </c>
      <c r="L136" s="206"/>
      <c r="M136" s="207" t="s">
        <v>1373</v>
      </c>
      <c r="N136" s="206"/>
      <c r="O136" s="206"/>
      <c r="P136" s="206"/>
      <c r="Q136" s="207">
        <v>2.0</v>
      </c>
      <c r="R136" s="208"/>
      <c r="S136" s="207" t="s">
        <v>1402</v>
      </c>
      <c r="T136" s="205">
        <v>73.0</v>
      </c>
      <c r="U136" s="205">
        <v>16.0</v>
      </c>
      <c r="V136" s="206"/>
      <c r="W136" s="205">
        <v>33.0</v>
      </c>
      <c r="X136" s="205">
        <v>13.16712</v>
      </c>
      <c r="Y136" s="205">
        <v>1.124795</v>
      </c>
      <c r="Z136" s="205">
        <v>4.764384</v>
      </c>
      <c r="AA136" s="205">
        <v>1.497397</v>
      </c>
      <c r="AB136" s="205">
        <v>1.361233</v>
      </c>
      <c r="AC136" s="205">
        <v>0.48274</v>
      </c>
      <c r="AD136" s="205">
        <v>0.470829</v>
      </c>
      <c r="AE136" s="205">
        <v>10.61753</v>
      </c>
      <c r="AF136" s="205">
        <v>0.763013</v>
      </c>
      <c r="AG136" s="205">
        <v>2.679178</v>
      </c>
      <c r="AH136" s="205">
        <v>1.307671</v>
      </c>
      <c r="AI136" s="205">
        <v>17.4852</v>
      </c>
      <c r="AJ136" s="205">
        <v>-0.67864</v>
      </c>
      <c r="AK136" s="205">
        <v>-0.6046</v>
      </c>
      <c r="AL136" s="205">
        <v>-0.53756</v>
      </c>
      <c r="AM136" s="205">
        <v>-1.11467</v>
      </c>
      <c r="AN136" s="205">
        <v>1.016712</v>
      </c>
      <c r="AO136" s="205">
        <v>-0.4736</v>
      </c>
      <c r="AP136" s="205">
        <v>-0.27635</v>
      </c>
      <c r="AQ136" s="205">
        <v>-0.27157</v>
      </c>
      <c r="AR136" s="205">
        <v>0.762058</v>
      </c>
    </row>
    <row r="137">
      <c r="A137" s="205">
        <v>136.0</v>
      </c>
      <c r="B137" s="206"/>
      <c r="C137" s="206"/>
      <c r="D137" s="205">
        <v>-0.24227</v>
      </c>
      <c r="E137" s="205">
        <v>5.66E-4</v>
      </c>
      <c r="F137" s="205">
        <v>-0.3921</v>
      </c>
      <c r="G137" s="206"/>
      <c r="H137" s="207" t="s">
        <v>1716</v>
      </c>
      <c r="I137" s="207" t="s">
        <v>81</v>
      </c>
      <c r="J137" s="207" t="s">
        <v>1412</v>
      </c>
      <c r="K137" s="207" t="s">
        <v>1717</v>
      </c>
      <c r="L137" s="206"/>
      <c r="M137" s="207" t="s">
        <v>1384</v>
      </c>
      <c r="N137" s="208"/>
      <c r="O137" s="206"/>
      <c r="P137" s="208"/>
      <c r="Q137" s="207">
        <v>3.0</v>
      </c>
      <c r="R137" s="208"/>
      <c r="S137" s="207" t="s">
        <v>1402</v>
      </c>
      <c r="T137" s="205">
        <v>68.0</v>
      </c>
      <c r="U137" s="205">
        <v>16.0</v>
      </c>
      <c r="V137" s="206"/>
      <c r="W137" s="205">
        <v>28.0</v>
      </c>
      <c r="X137" s="205">
        <v>12.8575</v>
      </c>
      <c r="Y137" s="205">
        <v>2.393971</v>
      </c>
      <c r="Z137" s="205">
        <v>4.215735</v>
      </c>
      <c r="AA137" s="205">
        <v>2.656471</v>
      </c>
      <c r="AB137" s="205">
        <v>1.055294</v>
      </c>
      <c r="AC137" s="205">
        <v>0.355441</v>
      </c>
      <c r="AD137" s="205">
        <v>0.453338</v>
      </c>
      <c r="AE137" s="205">
        <v>9.817059</v>
      </c>
      <c r="AF137" s="205">
        <v>0.757971</v>
      </c>
      <c r="AG137" s="205">
        <v>2.061618</v>
      </c>
      <c r="AH137" s="205">
        <v>1.443824</v>
      </c>
      <c r="AI137" s="205">
        <v>19.13551</v>
      </c>
      <c r="AJ137" s="205">
        <v>-0.73298</v>
      </c>
      <c r="AK137" s="205">
        <v>0.615562</v>
      </c>
      <c r="AL137" s="205">
        <v>-0.761</v>
      </c>
      <c r="AM137" s="205">
        <v>-0.5522</v>
      </c>
      <c r="AN137" s="205">
        <v>0.117603</v>
      </c>
      <c r="AO137" s="205">
        <v>-0.70287</v>
      </c>
      <c r="AP137" s="205">
        <v>-0.50947</v>
      </c>
      <c r="AQ137" s="205">
        <v>-0.24392</v>
      </c>
      <c r="AR137" s="205">
        <v>0.588831</v>
      </c>
    </row>
    <row r="138">
      <c r="A138" s="205">
        <v>137.0</v>
      </c>
      <c r="B138" s="206"/>
      <c r="C138" s="206"/>
      <c r="D138" s="205">
        <v>-0.24899</v>
      </c>
      <c r="E138" s="205">
        <v>-0.04333</v>
      </c>
      <c r="F138" s="205">
        <v>0.44423</v>
      </c>
      <c r="G138" s="206"/>
      <c r="H138" s="207" t="s">
        <v>1718</v>
      </c>
      <c r="I138" s="207" t="s">
        <v>172</v>
      </c>
      <c r="J138" s="207" t="s">
        <v>1387</v>
      </c>
      <c r="K138" s="207" t="s">
        <v>1719</v>
      </c>
      <c r="L138" s="206"/>
      <c r="M138" s="207" t="s">
        <v>1384</v>
      </c>
      <c r="N138" s="208"/>
      <c r="O138" s="206"/>
      <c r="P138" s="206"/>
      <c r="Q138" s="207">
        <v>1.0</v>
      </c>
      <c r="R138" s="208"/>
      <c r="S138" s="207" t="s">
        <v>1402</v>
      </c>
      <c r="T138" s="205">
        <v>61.0</v>
      </c>
      <c r="U138" s="205">
        <v>15.0</v>
      </c>
      <c r="V138" s="206"/>
      <c r="W138" s="205">
        <v>26.0</v>
      </c>
      <c r="X138" s="205">
        <v>8.184754</v>
      </c>
      <c r="Y138" s="205">
        <v>1.561475</v>
      </c>
      <c r="Z138" s="205">
        <v>5.300164</v>
      </c>
      <c r="AA138" s="205">
        <v>0.977377</v>
      </c>
      <c r="AB138" s="205">
        <v>0.959672</v>
      </c>
      <c r="AC138" s="205">
        <v>1.115902</v>
      </c>
      <c r="AD138" s="205">
        <v>0.423453</v>
      </c>
      <c r="AE138" s="205">
        <v>6.862787</v>
      </c>
      <c r="AF138" s="205">
        <v>0.788024</v>
      </c>
      <c r="AG138" s="205">
        <v>1.029344</v>
      </c>
      <c r="AH138" s="205">
        <v>0.831639</v>
      </c>
      <c r="AI138" s="205">
        <v>12.94298</v>
      </c>
      <c r="AJ138" s="205">
        <v>-1.55315</v>
      </c>
      <c r="AK138" s="205">
        <v>-0.18478</v>
      </c>
      <c r="AL138" s="205">
        <v>-0.31937</v>
      </c>
      <c r="AM138" s="205">
        <v>-1.36703</v>
      </c>
      <c r="AN138" s="205">
        <v>-0.16342</v>
      </c>
      <c r="AO138" s="205">
        <v>0.666756</v>
      </c>
      <c r="AP138" s="205">
        <v>-0.65812</v>
      </c>
      <c r="AQ138" s="205">
        <v>-0.02951</v>
      </c>
      <c r="AR138" s="205">
        <v>1.367717</v>
      </c>
    </row>
    <row r="139">
      <c r="A139" s="205">
        <v>138.0</v>
      </c>
      <c r="B139" s="206"/>
      <c r="C139" s="206"/>
      <c r="D139" s="205">
        <v>-0.25096</v>
      </c>
      <c r="E139" s="205">
        <v>0.004663</v>
      </c>
      <c r="F139" s="205">
        <v>0.388475</v>
      </c>
      <c r="G139" s="206"/>
      <c r="H139" s="207" t="s">
        <v>1720</v>
      </c>
      <c r="I139" s="207" t="s">
        <v>312</v>
      </c>
      <c r="J139" s="207" t="s">
        <v>1387</v>
      </c>
      <c r="K139" s="207" t="s">
        <v>1721</v>
      </c>
      <c r="L139" s="206"/>
      <c r="M139" s="207" t="s">
        <v>1384</v>
      </c>
      <c r="N139" s="207" t="s">
        <v>1503</v>
      </c>
      <c r="O139" s="206"/>
      <c r="P139" s="206"/>
      <c r="Q139" s="207">
        <v>1.0</v>
      </c>
      <c r="R139" s="208"/>
      <c r="S139" s="207" t="s">
        <v>1375</v>
      </c>
      <c r="T139" s="205">
        <v>49.0</v>
      </c>
      <c r="U139" s="205">
        <v>16.0</v>
      </c>
      <c r="V139" s="206"/>
      <c r="W139" s="205">
        <v>25.0</v>
      </c>
      <c r="X139" s="205">
        <v>13.24163</v>
      </c>
      <c r="Y139" s="205">
        <v>1.436939</v>
      </c>
      <c r="Z139" s="205">
        <v>4.291633</v>
      </c>
      <c r="AA139" s="205">
        <v>4.770408</v>
      </c>
      <c r="AB139" s="205">
        <v>0.858367</v>
      </c>
      <c r="AC139" s="205">
        <v>0.214082</v>
      </c>
      <c r="AD139" s="205">
        <v>0.484611</v>
      </c>
      <c r="AE139" s="205">
        <v>9.97898</v>
      </c>
      <c r="AF139" s="205">
        <v>0.855027</v>
      </c>
      <c r="AG139" s="205">
        <v>2.49449</v>
      </c>
      <c r="AH139" s="205">
        <v>1.926939</v>
      </c>
      <c r="AI139" s="205">
        <v>21.94016</v>
      </c>
      <c r="AJ139" s="205">
        <v>-0.66556</v>
      </c>
      <c r="AK139" s="205">
        <v>-0.30451</v>
      </c>
      <c r="AL139" s="205">
        <v>-0.73009</v>
      </c>
      <c r="AM139" s="205">
        <v>0.473654</v>
      </c>
      <c r="AN139" s="205">
        <v>-0.46114</v>
      </c>
      <c r="AO139" s="205">
        <v>-0.95746</v>
      </c>
      <c r="AP139" s="205">
        <v>-0.05557</v>
      </c>
      <c r="AQ139" s="205">
        <v>0.467894</v>
      </c>
      <c r="AR139" s="205">
        <v>-0.02584</v>
      </c>
    </row>
    <row r="140">
      <c r="A140" s="205">
        <v>139.0</v>
      </c>
      <c r="B140" s="206"/>
      <c r="C140" s="206"/>
      <c r="D140" s="205">
        <v>-0.26645</v>
      </c>
      <c r="E140" s="205">
        <v>0.003729</v>
      </c>
      <c r="F140" s="205">
        <v>1.085417</v>
      </c>
      <c r="G140" s="206"/>
      <c r="H140" s="207" t="s">
        <v>1722</v>
      </c>
      <c r="I140" s="207" t="s">
        <v>312</v>
      </c>
      <c r="J140" s="207" t="s">
        <v>1387</v>
      </c>
      <c r="K140" s="207" t="s">
        <v>1723</v>
      </c>
      <c r="L140" s="206"/>
      <c r="M140" s="207" t="s">
        <v>1384</v>
      </c>
      <c r="N140" s="206"/>
      <c r="O140" s="206"/>
      <c r="P140" s="208"/>
      <c r="Q140" s="207">
        <v>3.0</v>
      </c>
      <c r="R140" s="208"/>
      <c r="S140" s="207" t="s">
        <v>1402</v>
      </c>
      <c r="T140" s="205">
        <v>68.0</v>
      </c>
      <c r="U140" s="205">
        <v>16.0</v>
      </c>
      <c r="V140" s="206"/>
      <c r="W140" s="205">
        <v>28.0</v>
      </c>
      <c r="X140" s="205">
        <v>10.13235</v>
      </c>
      <c r="Y140" s="205">
        <v>1.693676</v>
      </c>
      <c r="Z140" s="205">
        <v>5.167206</v>
      </c>
      <c r="AA140" s="205">
        <v>3.004118</v>
      </c>
      <c r="AB140" s="205">
        <v>1.140147</v>
      </c>
      <c r="AC140" s="205">
        <v>0.660882</v>
      </c>
      <c r="AD140" s="205">
        <v>0.422027</v>
      </c>
      <c r="AE140" s="205">
        <v>8.472059</v>
      </c>
      <c r="AF140" s="205">
        <v>0.760024</v>
      </c>
      <c r="AG140" s="205">
        <v>1.694412</v>
      </c>
      <c r="AH140" s="205">
        <v>1.563235</v>
      </c>
      <c r="AI140" s="205">
        <v>16.24105</v>
      </c>
      <c r="AJ140" s="205">
        <v>-1.21131</v>
      </c>
      <c r="AK140" s="205">
        <v>-0.05769</v>
      </c>
      <c r="AL140" s="205">
        <v>-0.37352</v>
      </c>
      <c r="AM140" s="205">
        <v>-0.38349</v>
      </c>
      <c r="AN140" s="205">
        <v>0.366973</v>
      </c>
      <c r="AO140" s="205">
        <v>-0.15275</v>
      </c>
      <c r="AP140" s="205">
        <v>-0.83183</v>
      </c>
      <c r="AQ140" s="205">
        <v>-0.1913</v>
      </c>
      <c r="AR140" s="205">
        <v>0.436903</v>
      </c>
    </row>
    <row r="141">
      <c r="A141" s="205">
        <v>140.0</v>
      </c>
      <c r="B141" s="206"/>
      <c r="C141" s="206"/>
      <c r="D141" s="205">
        <v>-0.27096</v>
      </c>
      <c r="E141" s="205">
        <v>-0.00551</v>
      </c>
      <c r="F141" s="205">
        <v>-0.58724</v>
      </c>
      <c r="G141" s="206"/>
      <c r="H141" s="207" t="s">
        <v>1724</v>
      </c>
      <c r="I141" s="207" t="s">
        <v>129</v>
      </c>
      <c r="J141" s="207" t="s">
        <v>1379</v>
      </c>
      <c r="K141" s="207" t="s">
        <v>1725</v>
      </c>
      <c r="L141" s="206"/>
      <c r="M141" s="207" t="s">
        <v>1373</v>
      </c>
      <c r="N141" s="206"/>
      <c r="O141" s="206"/>
      <c r="P141" s="208"/>
      <c r="Q141" s="207">
        <v>3.0</v>
      </c>
      <c r="R141" s="208"/>
      <c r="S141" s="207" t="s">
        <v>1617</v>
      </c>
      <c r="T141" s="205">
        <v>73.0</v>
      </c>
      <c r="U141" s="205">
        <v>16.0</v>
      </c>
      <c r="V141" s="206"/>
      <c r="W141" s="205">
        <v>27.0</v>
      </c>
      <c r="X141" s="205">
        <v>11.65137</v>
      </c>
      <c r="Y141" s="205">
        <v>2.337671</v>
      </c>
      <c r="Z141" s="205">
        <v>3.062877</v>
      </c>
      <c r="AA141" s="205">
        <v>3.174247</v>
      </c>
      <c r="AB141" s="205">
        <v>0.956301</v>
      </c>
      <c r="AC141" s="205">
        <v>0.331918</v>
      </c>
      <c r="AD141" s="205">
        <v>0.455071</v>
      </c>
      <c r="AE141" s="205">
        <v>8.575205</v>
      </c>
      <c r="AF141" s="205">
        <v>0.823996</v>
      </c>
      <c r="AG141" s="205">
        <v>1.83137</v>
      </c>
      <c r="AH141" s="205">
        <v>1.392192</v>
      </c>
      <c r="AI141" s="205">
        <v>17.19439</v>
      </c>
      <c r="AJ141" s="205">
        <v>-0.94468</v>
      </c>
      <c r="AK141" s="205">
        <v>0.561437</v>
      </c>
      <c r="AL141" s="205">
        <v>-1.23049</v>
      </c>
      <c r="AM141" s="205">
        <v>-0.30093</v>
      </c>
      <c r="AN141" s="205">
        <v>-0.17332</v>
      </c>
      <c r="AO141" s="205">
        <v>-0.74523</v>
      </c>
      <c r="AP141" s="205">
        <v>-0.42218</v>
      </c>
      <c r="AQ141" s="205">
        <v>0.162261</v>
      </c>
      <c r="AR141" s="205">
        <v>0.654522</v>
      </c>
    </row>
    <row r="142">
      <c r="A142" s="205">
        <v>141.0</v>
      </c>
      <c r="B142" s="206"/>
      <c r="C142" s="206"/>
      <c r="D142" s="205">
        <v>-0.2723</v>
      </c>
      <c r="E142" s="205">
        <v>-0.00326</v>
      </c>
      <c r="F142" s="205">
        <v>0.091113</v>
      </c>
      <c r="G142" s="206"/>
      <c r="H142" s="207" t="s">
        <v>1726</v>
      </c>
      <c r="I142" s="207" t="s">
        <v>1488</v>
      </c>
      <c r="J142" s="207" t="s">
        <v>1379</v>
      </c>
      <c r="K142" s="207" t="s">
        <v>1727</v>
      </c>
      <c r="L142" s="207" t="s">
        <v>1728</v>
      </c>
      <c r="M142" s="207" t="s">
        <v>1384</v>
      </c>
      <c r="N142" s="208"/>
      <c r="O142" s="206"/>
      <c r="P142" s="206"/>
      <c r="Q142" s="207">
        <v>2.0</v>
      </c>
      <c r="R142" s="208"/>
      <c r="S142" s="207" t="s">
        <v>1617</v>
      </c>
      <c r="T142" s="205">
        <v>25.0</v>
      </c>
      <c r="U142" s="205">
        <v>15.0</v>
      </c>
      <c r="V142" s="206"/>
      <c r="W142" s="205">
        <v>26.0</v>
      </c>
      <c r="X142" s="205">
        <v>13.6072</v>
      </c>
      <c r="Y142" s="205">
        <v>1.6608</v>
      </c>
      <c r="Z142" s="205">
        <v>5.088</v>
      </c>
      <c r="AA142" s="205">
        <v>5.0956</v>
      </c>
      <c r="AB142" s="205">
        <v>1.2036</v>
      </c>
      <c r="AC142" s="205">
        <v>0.282</v>
      </c>
      <c r="AD142" s="205">
        <v>0.410889</v>
      </c>
      <c r="AE142" s="205">
        <v>12.0344</v>
      </c>
      <c r="AF142" s="205">
        <v>0.799938</v>
      </c>
      <c r="AG142" s="205">
        <v>2.5712</v>
      </c>
      <c r="AH142" s="205">
        <v>2.1884</v>
      </c>
      <c r="AI142" s="205">
        <v>24.75871</v>
      </c>
      <c r="AJ142" s="205">
        <v>-0.60139</v>
      </c>
      <c r="AK142" s="205">
        <v>-0.0893</v>
      </c>
      <c r="AL142" s="205">
        <v>-0.40577</v>
      </c>
      <c r="AM142" s="205">
        <v>0.631463</v>
      </c>
      <c r="AN142" s="205">
        <v>0.553452</v>
      </c>
      <c r="AO142" s="205">
        <v>-0.83514</v>
      </c>
      <c r="AP142" s="205">
        <v>-1.3829</v>
      </c>
      <c r="AQ142" s="205">
        <v>0.037383</v>
      </c>
      <c r="AR142" s="205">
        <v>-0.3585</v>
      </c>
    </row>
    <row r="143">
      <c r="A143" s="205">
        <v>142.0</v>
      </c>
      <c r="B143" s="206"/>
      <c r="C143" s="206"/>
      <c r="D143" s="205">
        <v>-0.27443</v>
      </c>
      <c r="E143" s="205">
        <v>-0.0038</v>
      </c>
      <c r="F143" s="205">
        <v>-0.53149</v>
      </c>
      <c r="G143" s="206"/>
      <c r="H143" s="207" t="s">
        <v>1729</v>
      </c>
      <c r="I143" s="207" t="s">
        <v>85</v>
      </c>
      <c r="J143" s="207" t="s">
        <v>1412</v>
      </c>
      <c r="K143" s="207" t="s">
        <v>1730</v>
      </c>
      <c r="L143" s="206"/>
      <c r="M143" s="207" t="s">
        <v>1373</v>
      </c>
      <c r="N143" s="207" t="s">
        <v>1586</v>
      </c>
      <c r="O143" s="206"/>
      <c r="P143" s="206"/>
      <c r="Q143" s="207">
        <v>4.0</v>
      </c>
      <c r="R143" s="208"/>
      <c r="S143" s="207" t="s">
        <v>1402</v>
      </c>
      <c r="T143" s="205">
        <v>73.0</v>
      </c>
      <c r="U143" s="205">
        <v>14.0</v>
      </c>
      <c r="V143" s="206"/>
      <c r="W143" s="205">
        <v>29.0</v>
      </c>
      <c r="X143" s="205">
        <v>12.43164</v>
      </c>
      <c r="Y143" s="205">
        <v>2.513562</v>
      </c>
      <c r="Z143" s="205">
        <v>2.623836</v>
      </c>
      <c r="AA143" s="205">
        <v>1.550548</v>
      </c>
      <c r="AB143" s="205">
        <v>1.105616</v>
      </c>
      <c r="AC143" s="205">
        <v>0.060822</v>
      </c>
      <c r="AD143" s="205">
        <v>0.430743</v>
      </c>
      <c r="AE143" s="205">
        <v>9.641507</v>
      </c>
      <c r="AF143" s="205">
        <v>0.836033</v>
      </c>
      <c r="AG143" s="205">
        <v>1.928219</v>
      </c>
      <c r="AH143" s="205">
        <v>0.608082</v>
      </c>
      <c r="AI143" s="205">
        <v>16.77036</v>
      </c>
      <c r="AJ143" s="205">
        <v>-0.80773</v>
      </c>
      <c r="AK143" s="205">
        <v>0.730535</v>
      </c>
      <c r="AL143" s="205">
        <v>-1.40929</v>
      </c>
      <c r="AM143" s="205">
        <v>-1.08888</v>
      </c>
      <c r="AN143" s="205">
        <v>0.265493</v>
      </c>
      <c r="AO143" s="205">
        <v>-1.23349</v>
      </c>
      <c r="AP143" s="205">
        <v>-0.82302</v>
      </c>
      <c r="AQ143" s="205">
        <v>0.244316</v>
      </c>
      <c r="AR143" s="205">
        <v>1.65215</v>
      </c>
    </row>
    <row r="144">
      <c r="A144" s="205">
        <v>143.0</v>
      </c>
      <c r="B144" s="206"/>
      <c r="C144" s="206"/>
      <c r="D144" s="205">
        <v>-0.28085</v>
      </c>
      <c r="E144" s="205">
        <v>-0.00564</v>
      </c>
      <c r="F144" s="205">
        <v>0.7323</v>
      </c>
      <c r="G144" s="206"/>
      <c r="H144" s="207" t="s">
        <v>1731</v>
      </c>
      <c r="I144" s="207" t="s">
        <v>58</v>
      </c>
      <c r="J144" s="207" t="s">
        <v>1387</v>
      </c>
      <c r="K144" s="207" t="s">
        <v>1732</v>
      </c>
      <c r="L144" s="206"/>
      <c r="M144" s="207" t="s">
        <v>1373</v>
      </c>
      <c r="N144" s="208"/>
      <c r="O144" s="206"/>
      <c r="P144" s="206"/>
      <c r="Q144" s="207">
        <v>5.0</v>
      </c>
      <c r="R144" s="208"/>
      <c r="S144" s="207" t="s">
        <v>1375</v>
      </c>
      <c r="T144" s="205">
        <v>73.0</v>
      </c>
      <c r="U144" s="205">
        <v>13.0</v>
      </c>
      <c r="V144" s="206"/>
      <c r="W144" s="205">
        <v>29.0</v>
      </c>
      <c r="X144" s="205">
        <v>9.455479</v>
      </c>
      <c r="Y144" s="205">
        <v>2.292466</v>
      </c>
      <c r="Z144" s="205">
        <v>3.943973</v>
      </c>
      <c r="AA144" s="205">
        <v>1.417397</v>
      </c>
      <c r="AB144" s="205">
        <v>1.099452</v>
      </c>
      <c r="AC144" s="205">
        <v>0.49589</v>
      </c>
      <c r="AD144" s="205">
        <v>0.42136</v>
      </c>
      <c r="AE144" s="205">
        <v>8.011233</v>
      </c>
      <c r="AF144" s="205">
        <v>0.744981</v>
      </c>
      <c r="AG144" s="205">
        <v>0.55274</v>
      </c>
      <c r="AH144" s="205">
        <v>0.805068</v>
      </c>
      <c r="AI144" s="205">
        <v>13.40426</v>
      </c>
      <c r="AJ144" s="205">
        <v>-1.33011</v>
      </c>
      <c r="AK144" s="205">
        <v>0.517977</v>
      </c>
      <c r="AL144" s="205">
        <v>-0.87167</v>
      </c>
      <c r="AM144" s="205">
        <v>-1.15349</v>
      </c>
      <c r="AN144" s="205">
        <v>0.247377</v>
      </c>
      <c r="AO144" s="205">
        <v>-0.44991</v>
      </c>
      <c r="AP144" s="205">
        <v>-0.79416</v>
      </c>
      <c r="AQ144" s="205">
        <v>-0.09521</v>
      </c>
      <c r="AR144" s="205">
        <v>1.401523</v>
      </c>
    </row>
    <row r="145">
      <c r="A145" s="205">
        <v>144.0</v>
      </c>
      <c r="B145" s="206"/>
      <c r="C145" s="206"/>
      <c r="D145" s="205">
        <v>-0.28127</v>
      </c>
      <c r="E145" s="205">
        <v>-3.5E-4</v>
      </c>
      <c r="F145" s="205">
        <v>-0.06686</v>
      </c>
      <c r="G145" s="206"/>
      <c r="H145" s="207" t="s">
        <v>1733</v>
      </c>
      <c r="I145" s="207" t="s">
        <v>316</v>
      </c>
      <c r="J145" s="207" t="s">
        <v>1412</v>
      </c>
      <c r="K145" s="207" t="s">
        <v>1734</v>
      </c>
      <c r="L145" s="206"/>
      <c r="M145" s="207" t="s">
        <v>1373</v>
      </c>
      <c r="N145" s="207" t="s">
        <v>1735</v>
      </c>
      <c r="O145" s="206"/>
      <c r="P145" s="206"/>
      <c r="Q145" s="207">
        <v>4.0</v>
      </c>
      <c r="R145" s="208"/>
      <c r="S145" s="207" t="s">
        <v>1375</v>
      </c>
      <c r="T145" s="205">
        <v>59.0</v>
      </c>
      <c r="U145" s="205">
        <v>14.0</v>
      </c>
      <c r="V145" s="206"/>
      <c r="W145" s="205">
        <v>28.0</v>
      </c>
      <c r="X145" s="205">
        <v>22.24847</v>
      </c>
      <c r="Y145" s="205">
        <v>2.430339</v>
      </c>
      <c r="Z145" s="205">
        <v>2.974915</v>
      </c>
      <c r="AA145" s="205">
        <v>3.61661</v>
      </c>
      <c r="AB145" s="205">
        <v>0.582881</v>
      </c>
      <c r="AC145" s="205">
        <v>0.11678</v>
      </c>
      <c r="AD145" s="205">
        <v>0.425829</v>
      </c>
      <c r="AE145" s="205">
        <v>17.38305</v>
      </c>
      <c r="AF145" s="205">
        <v>0.874996</v>
      </c>
      <c r="AG145" s="205">
        <v>5.73</v>
      </c>
      <c r="AH145" s="205">
        <v>2.042542</v>
      </c>
      <c r="AI145" s="205">
        <v>33.71065</v>
      </c>
      <c r="AJ145" s="205">
        <v>0.915341</v>
      </c>
      <c r="AK145" s="205">
        <v>0.650526</v>
      </c>
      <c r="AL145" s="205">
        <v>-1.26631</v>
      </c>
      <c r="AM145" s="205">
        <v>-0.08626</v>
      </c>
      <c r="AN145" s="205">
        <v>-1.27075</v>
      </c>
      <c r="AO145" s="205">
        <v>-1.13271</v>
      </c>
      <c r="AP145" s="205">
        <v>-1.61556</v>
      </c>
      <c r="AQ145" s="205">
        <v>1.447249</v>
      </c>
      <c r="AR145" s="205">
        <v>-0.17292</v>
      </c>
    </row>
    <row r="146">
      <c r="A146" s="205">
        <v>145.0</v>
      </c>
      <c r="B146" s="206"/>
      <c r="C146" s="206"/>
      <c r="D146" s="205">
        <v>-0.28183</v>
      </c>
      <c r="E146" s="205">
        <v>-0.00104</v>
      </c>
      <c r="F146" s="205">
        <v>-0.05757</v>
      </c>
      <c r="G146" s="206"/>
      <c r="H146" s="207" t="s">
        <v>1736</v>
      </c>
      <c r="I146" s="207" t="s">
        <v>89</v>
      </c>
      <c r="J146" s="207" t="s">
        <v>1412</v>
      </c>
      <c r="K146" s="207" t="s">
        <v>1737</v>
      </c>
      <c r="L146" s="206"/>
      <c r="M146" s="207" t="s">
        <v>1384</v>
      </c>
      <c r="N146" s="207" t="s">
        <v>1414</v>
      </c>
      <c r="O146" s="206"/>
      <c r="P146" s="208"/>
      <c r="Q146" s="207">
        <v>4.0</v>
      </c>
      <c r="R146" s="208"/>
      <c r="S146" s="207" t="s">
        <v>1375</v>
      </c>
      <c r="T146" s="205">
        <v>68.0</v>
      </c>
      <c r="U146" s="205">
        <v>13.0</v>
      </c>
      <c r="V146" s="206"/>
      <c r="W146" s="205">
        <v>32.0</v>
      </c>
      <c r="X146" s="205">
        <v>19.48147</v>
      </c>
      <c r="Y146" s="205">
        <v>1.623382</v>
      </c>
      <c r="Z146" s="205">
        <v>5.453971</v>
      </c>
      <c r="AA146" s="205">
        <v>2.558676</v>
      </c>
      <c r="AB146" s="205">
        <v>0.758971</v>
      </c>
      <c r="AC146" s="205">
        <v>0.331176</v>
      </c>
      <c r="AD146" s="205">
        <v>0.450974</v>
      </c>
      <c r="AE146" s="205">
        <v>13.60162</v>
      </c>
      <c r="AF146" s="205">
        <v>0.822009</v>
      </c>
      <c r="AG146" s="205">
        <v>6.800588</v>
      </c>
      <c r="AH146" s="205">
        <v>2.154706</v>
      </c>
      <c r="AI146" s="205">
        <v>25.09469</v>
      </c>
      <c r="AJ146" s="205">
        <v>0.429671</v>
      </c>
      <c r="AK146" s="205">
        <v>-0.12527</v>
      </c>
      <c r="AL146" s="205">
        <v>-0.25673</v>
      </c>
      <c r="AM146" s="205">
        <v>-0.59965</v>
      </c>
      <c r="AN146" s="205">
        <v>-0.75325</v>
      </c>
      <c r="AO146" s="205">
        <v>-0.74657</v>
      </c>
      <c r="AP146" s="205">
        <v>-0.75597</v>
      </c>
      <c r="AQ146" s="205">
        <v>0.586922</v>
      </c>
      <c r="AR146" s="205">
        <v>-0.31563</v>
      </c>
    </row>
    <row r="147">
      <c r="A147" s="205">
        <v>146.0</v>
      </c>
      <c r="B147" s="206"/>
      <c r="C147" s="206"/>
      <c r="D147" s="205">
        <v>-0.28501</v>
      </c>
      <c r="E147" s="205">
        <v>-0.00515</v>
      </c>
      <c r="F147" s="205">
        <v>-0.06686</v>
      </c>
      <c r="G147" s="206"/>
      <c r="H147" s="207" t="s">
        <v>1738</v>
      </c>
      <c r="I147" s="207" t="s">
        <v>197</v>
      </c>
      <c r="J147" s="207" t="s">
        <v>1412</v>
      </c>
      <c r="K147" s="207" t="s">
        <v>1739</v>
      </c>
      <c r="L147" s="206"/>
      <c r="M147" s="207" t="s">
        <v>1373</v>
      </c>
      <c r="N147" s="207" t="s">
        <v>1435</v>
      </c>
      <c r="O147" s="206"/>
      <c r="P147" s="206"/>
      <c r="Q147" s="207">
        <v>3.0</v>
      </c>
      <c r="R147" s="208"/>
      <c r="S147" s="207" t="s">
        <v>1617</v>
      </c>
      <c r="T147" s="205">
        <v>73.0</v>
      </c>
      <c r="U147" s="205">
        <v>14.0</v>
      </c>
      <c r="V147" s="206"/>
      <c r="W147" s="205">
        <v>22.0</v>
      </c>
      <c r="X147" s="205">
        <v>12.75562</v>
      </c>
      <c r="Y147" s="205">
        <v>1.496438</v>
      </c>
      <c r="Z147" s="205">
        <v>2.716986</v>
      </c>
      <c r="AA147" s="205">
        <v>4.051644</v>
      </c>
      <c r="AB147" s="205">
        <v>1.091233</v>
      </c>
      <c r="AC147" s="205">
        <v>0.047808</v>
      </c>
      <c r="AD147" s="205">
        <v>0.476933</v>
      </c>
      <c r="AE147" s="205">
        <v>9.772192</v>
      </c>
      <c r="AF147" s="205">
        <v>0.868972</v>
      </c>
      <c r="AG147" s="205">
        <v>2.23</v>
      </c>
      <c r="AH147" s="205">
        <v>1.620685</v>
      </c>
      <c r="AI147" s="205">
        <v>23.06337</v>
      </c>
      <c r="AJ147" s="205">
        <v>-0.75087</v>
      </c>
      <c r="AK147" s="205">
        <v>-0.24731</v>
      </c>
      <c r="AL147" s="205">
        <v>-1.37135</v>
      </c>
      <c r="AM147" s="205">
        <v>0.124852</v>
      </c>
      <c r="AN147" s="205">
        <v>0.223222</v>
      </c>
      <c r="AO147" s="205">
        <v>-1.25693</v>
      </c>
      <c r="AP147" s="205">
        <v>-0.16545</v>
      </c>
      <c r="AQ147" s="205">
        <v>0.514975</v>
      </c>
      <c r="AR147" s="205">
        <v>0.363809</v>
      </c>
    </row>
    <row r="148">
      <c r="A148" s="205">
        <v>147.0</v>
      </c>
      <c r="B148" s="206"/>
      <c r="C148" s="206"/>
      <c r="D148" s="205">
        <v>-0.28503</v>
      </c>
      <c r="E148" s="205">
        <v>-0.00828</v>
      </c>
      <c r="F148" s="205">
        <v>1.31773</v>
      </c>
      <c r="G148" s="206"/>
      <c r="H148" s="207" t="s">
        <v>1740</v>
      </c>
      <c r="I148" s="207" t="s">
        <v>168</v>
      </c>
      <c r="J148" s="207" t="s">
        <v>1379</v>
      </c>
      <c r="K148" s="207" t="s">
        <v>1741</v>
      </c>
      <c r="L148" s="206"/>
      <c r="M148" s="207" t="s">
        <v>1373</v>
      </c>
      <c r="N148" s="207" t="s">
        <v>1503</v>
      </c>
      <c r="O148" s="206"/>
      <c r="P148" s="206"/>
      <c r="Q148" s="207">
        <v>3.0</v>
      </c>
      <c r="R148" s="208"/>
      <c r="S148" s="207" t="s">
        <v>1402</v>
      </c>
      <c r="T148" s="205">
        <v>73.0</v>
      </c>
      <c r="U148" s="205">
        <v>14.0</v>
      </c>
      <c r="V148" s="206"/>
      <c r="W148" s="205">
        <v>23.0</v>
      </c>
      <c r="X148" s="205">
        <v>6.315068</v>
      </c>
      <c r="Y148" s="205">
        <v>1.41863</v>
      </c>
      <c r="Z148" s="205">
        <v>2.509863</v>
      </c>
      <c r="AA148" s="205">
        <v>1.400548</v>
      </c>
      <c r="AB148" s="205">
        <v>1.394384</v>
      </c>
      <c r="AC148" s="205">
        <v>0.707808</v>
      </c>
      <c r="AD148" s="205">
        <v>0.44344</v>
      </c>
      <c r="AE148" s="205">
        <v>4.834247</v>
      </c>
      <c r="AF148" s="205">
        <v>0.819086</v>
      </c>
      <c r="AG148" s="205">
        <v>0.743562</v>
      </c>
      <c r="AH148" s="205">
        <v>0.743699</v>
      </c>
      <c r="AI148" s="205">
        <v>11.52388</v>
      </c>
      <c r="AJ148" s="205">
        <v>-1.88132</v>
      </c>
      <c r="AK148" s="205">
        <v>-0.32211</v>
      </c>
      <c r="AL148" s="205">
        <v>-1.4557</v>
      </c>
      <c r="AM148" s="205">
        <v>-1.16167</v>
      </c>
      <c r="AN148" s="205">
        <v>1.114137</v>
      </c>
      <c r="AO148" s="205">
        <v>-0.06824</v>
      </c>
      <c r="AP148" s="205">
        <v>-0.31853</v>
      </c>
      <c r="AQ148" s="205">
        <v>0.04853</v>
      </c>
      <c r="AR148" s="205">
        <v>1.479604</v>
      </c>
    </row>
    <row r="149">
      <c r="A149" s="205">
        <v>148.0</v>
      </c>
      <c r="B149" s="206"/>
      <c r="C149" s="206"/>
      <c r="D149" s="205">
        <v>-0.28864</v>
      </c>
      <c r="E149" s="205">
        <v>-0.00425</v>
      </c>
      <c r="F149" s="205">
        <v>1.104002</v>
      </c>
      <c r="G149" s="206"/>
      <c r="H149" s="207" t="s">
        <v>1742</v>
      </c>
      <c r="I149" s="207" t="s">
        <v>89</v>
      </c>
      <c r="J149" s="207" t="s">
        <v>1387</v>
      </c>
      <c r="K149" s="207" t="s">
        <v>1743</v>
      </c>
      <c r="L149" s="206"/>
      <c r="M149" s="207" t="s">
        <v>1442</v>
      </c>
      <c r="N149" s="208"/>
      <c r="O149" s="206"/>
      <c r="P149" s="208"/>
      <c r="Q149" s="207">
        <v>4.0</v>
      </c>
      <c r="R149" s="208"/>
      <c r="S149" s="207" t="s">
        <v>1617</v>
      </c>
      <c r="T149" s="205">
        <v>77.0</v>
      </c>
      <c r="U149" s="205">
        <v>13.0</v>
      </c>
      <c r="V149" s="206"/>
      <c r="W149" s="205">
        <v>24.0</v>
      </c>
      <c r="X149" s="205">
        <v>13.43558</v>
      </c>
      <c r="Y149" s="205">
        <v>1.759221</v>
      </c>
      <c r="Z149" s="205">
        <v>5.05</v>
      </c>
      <c r="AA149" s="205">
        <v>2.373506</v>
      </c>
      <c r="AB149" s="205">
        <v>0.555455</v>
      </c>
      <c r="AC149" s="205">
        <v>0.446883</v>
      </c>
      <c r="AD149" s="205">
        <v>0.522329</v>
      </c>
      <c r="AE149" s="205">
        <v>9.695584</v>
      </c>
      <c r="AF149" s="205">
        <v>0.76202</v>
      </c>
      <c r="AG149" s="205">
        <v>2.031169</v>
      </c>
      <c r="AH149" s="205">
        <v>1.312987</v>
      </c>
      <c r="AI149" s="205">
        <v>21.24137</v>
      </c>
      <c r="AJ149" s="205">
        <v>-0.63152</v>
      </c>
      <c r="AK149" s="205">
        <v>0.005325</v>
      </c>
      <c r="AL149" s="205">
        <v>-0.42125</v>
      </c>
      <c r="AM149" s="205">
        <v>-0.68951</v>
      </c>
      <c r="AN149" s="205">
        <v>-1.35135</v>
      </c>
      <c r="AO149" s="205">
        <v>-0.53818</v>
      </c>
      <c r="AP149" s="205">
        <v>0.488053</v>
      </c>
      <c r="AQ149" s="205">
        <v>-0.21461</v>
      </c>
      <c r="AR149" s="205">
        <v>0.755295</v>
      </c>
    </row>
    <row r="150">
      <c r="A150" s="205">
        <v>149.0</v>
      </c>
      <c r="B150" s="206"/>
      <c r="C150" s="206"/>
      <c r="D150" s="205">
        <v>-0.28968</v>
      </c>
      <c r="E150" s="205">
        <v>-0.00294</v>
      </c>
      <c r="F150" s="205">
        <v>1.503581</v>
      </c>
      <c r="G150" s="206"/>
      <c r="H150" s="207" t="s">
        <v>1744</v>
      </c>
      <c r="I150" s="207" t="s">
        <v>94</v>
      </c>
      <c r="J150" s="207" t="s">
        <v>1387</v>
      </c>
      <c r="K150" s="207" t="s">
        <v>1745</v>
      </c>
      <c r="L150" s="206"/>
      <c r="M150" s="207" t="s">
        <v>1442</v>
      </c>
      <c r="N150" s="206"/>
      <c r="O150" s="206"/>
      <c r="P150" s="208"/>
      <c r="Q150" s="207">
        <v>2.0</v>
      </c>
      <c r="R150" s="208"/>
      <c r="S150" s="207" t="s">
        <v>1402</v>
      </c>
      <c r="T150" s="205">
        <v>77.0</v>
      </c>
      <c r="U150" s="205">
        <v>13.0</v>
      </c>
      <c r="V150" s="206"/>
      <c r="W150" s="205">
        <v>30.0</v>
      </c>
      <c r="X150" s="205">
        <v>16.85221</v>
      </c>
      <c r="Y150" s="205">
        <v>2.316234</v>
      </c>
      <c r="Z150" s="205">
        <v>3.9</v>
      </c>
      <c r="AA150" s="205">
        <v>1.537143</v>
      </c>
      <c r="AB150" s="205">
        <v>0.788701</v>
      </c>
      <c r="AC150" s="205">
        <v>0.454935</v>
      </c>
      <c r="AD150" s="205">
        <v>0.499267</v>
      </c>
      <c r="AE150" s="205">
        <v>12.93532</v>
      </c>
      <c r="AF150" s="205">
        <v>0.683006</v>
      </c>
      <c r="AG150" s="205">
        <v>2.371299</v>
      </c>
      <c r="AH150" s="205">
        <v>1.364935</v>
      </c>
      <c r="AI150" s="205">
        <v>21.22821</v>
      </c>
      <c r="AJ150" s="205">
        <v>-0.03182</v>
      </c>
      <c r="AK150" s="205">
        <v>0.540827</v>
      </c>
      <c r="AL150" s="205">
        <v>-0.88958</v>
      </c>
      <c r="AM150" s="205">
        <v>-1.09538</v>
      </c>
      <c r="AN150" s="205">
        <v>-0.66587</v>
      </c>
      <c r="AO150" s="205">
        <v>-0.52368</v>
      </c>
      <c r="AP150" s="205">
        <v>0.206985</v>
      </c>
      <c r="AQ150" s="205">
        <v>-0.8378</v>
      </c>
      <c r="AR150" s="205">
        <v>0.689201</v>
      </c>
    </row>
    <row r="151">
      <c r="A151" s="205">
        <v>150.0</v>
      </c>
      <c r="B151" s="206"/>
      <c r="C151" s="206"/>
      <c r="D151" s="205">
        <v>-0.28976</v>
      </c>
      <c r="E151" s="205">
        <v>0.021539</v>
      </c>
      <c r="F151" s="205">
        <v>0.657959</v>
      </c>
      <c r="G151" s="206"/>
      <c r="H151" s="207" t="s">
        <v>1746</v>
      </c>
      <c r="I151" s="207" t="s">
        <v>312</v>
      </c>
      <c r="J151" s="207" t="s">
        <v>1379</v>
      </c>
      <c r="K151" s="207" t="s">
        <v>1747</v>
      </c>
      <c r="L151" s="206"/>
      <c r="M151" s="207" t="s">
        <v>1384</v>
      </c>
      <c r="N151" s="207" t="s">
        <v>1400</v>
      </c>
      <c r="O151" s="206"/>
      <c r="P151" s="206"/>
      <c r="Q151" s="207">
        <v>2.0</v>
      </c>
      <c r="R151" s="208"/>
      <c r="S151" s="207" t="s">
        <v>1375</v>
      </c>
      <c r="T151" s="205">
        <v>57.0</v>
      </c>
      <c r="U151" s="205">
        <v>16.0</v>
      </c>
      <c r="V151" s="206"/>
      <c r="W151" s="205">
        <v>30.0</v>
      </c>
      <c r="X151" s="205">
        <v>19.45105</v>
      </c>
      <c r="Y151" s="205">
        <v>2.874386</v>
      </c>
      <c r="Z151" s="205">
        <v>3.862456</v>
      </c>
      <c r="AA151" s="205">
        <v>4.699298</v>
      </c>
      <c r="AB151" s="205">
        <v>0.694737</v>
      </c>
      <c r="AC151" s="205">
        <v>0.391228</v>
      </c>
      <c r="AD151" s="205">
        <v>0.438001</v>
      </c>
      <c r="AE151" s="205">
        <v>16.09386</v>
      </c>
      <c r="AF151" s="205">
        <v>0.76999</v>
      </c>
      <c r="AG151" s="205">
        <v>3.218772</v>
      </c>
      <c r="AH151" s="205">
        <v>2.38193</v>
      </c>
      <c r="AI151" s="205">
        <v>27.96906</v>
      </c>
      <c r="AJ151" s="205">
        <v>0.424332</v>
      </c>
      <c r="AK151" s="205">
        <v>1.077426</v>
      </c>
      <c r="AL151" s="205">
        <v>-0.90487</v>
      </c>
      <c r="AM151" s="205">
        <v>0.439146</v>
      </c>
      <c r="AN151" s="205">
        <v>-0.94202</v>
      </c>
      <c r="AO151" s="205">
        <v>-0.63841</v>
      </c>
      <c r="AP151" s="205">
        <v>-1.20502</v>
      </c>
      <c r="AQ151" s="205">
        <v>-0.25369</v>
      </c>
      <c r="AR151" s="205">
        <v>-0.60473</v>
      </c>
    </row>
    <row r="152">
      <c r="A152" s="205">
        <v>151.0</v>
      </c>
      <c r="B152" s="206"/>
      <c r="C152" s="206"/>
      <c r="D152" s="205">
        <v>-0.29772</v>
      </c>
      <c r="E152" s="205">
        <v>-0.00665</v>
      </c>
      <c r="F152" s="205">
        <v>0.388475</v>
      </c>
      <c r="G152" s="206"/>
      <c r="H152" s="207" t="s">
        <v>1748</v>
      </c>
      <c r="I152" s="207" t="s">
        <v>264</v>
      </c>
      <c r="J152" s="207" t="s">
        <v>34</v>
      </c>
      <c r="K152" s="207" t="s">
        <v>1749</v>
      </c>
      <c r="L152" s="206"/>
      <c r="M152" s="207" t="s">
        <v>1384</v>
      </c>
      <c r="N152" s="208"/>
      <c r="O152" s="206"/>
      <c r="P152" s="206"/>
      <c r="Q152" s="207">
        <v>2.0</v>
      </c>
      <c r="R152" s="208"/>
      <c r="S152" s="207" t="s">
        <v>1617</v>
      </c>
      <c r="T152" s="205">
        <v>68.0</v>
      </c>
      <c r="U152" s="205">
        <v>14.0</v>
      </c>
      <c r="V152" s="206"/>
      <c r="W152" s="205">
        <v>21.0</v>
      </c>
      <c r="X152" s="205">
        <v>7.173088</v>
      </c>
      <c r="Y152" s="205">
        <v>0.102794</v>
      </c>
      <c r="Z152" s="205">
        <v>6.431176</v>
      </c>
      <c r="AA152" s="205">
        <v>1.715</v>
      </c>
      <c r="AB152" s="205">
        <v>0.723676</v>
      </c>
      <c r="AC152" s="205">
        <v>1.329118</v>
      </c>
      <c r="AD152" s="205">
        <v>0.600416</v>
      </c>
      <c r="AE152" s="205">
        <v>4.802794</v>
      </c>
      <c r="AF152" s="205">
        <v>0.669994</v>
      </c>
      <c r="AG152" s="205">
        <v>1.944706</v>
      </c>
      <c r="AH152" s="205">
        <v>0.900441</v>
      </c>
      <c r="AI152" s="205">
        <v>13.84954</v>
      </c>
      <c r="AJ152" s="205">
        <v>-1.73072</v>
      </c>
      <c r="AK152" s="205">
        <v>-1.58714</v>
      </c>
      <c r="AL152" s="205">
        <v>0.141227</v>
      </c>
      <c r="AM152" s="205">
        <v>-1.00907</v>
      </c>
      <c r="AN152" s="205">
        <v>-0.85697</v>
      </c>
      <c r="AO152" s="205">
        <v>1.050768</v>
      </c>
      <c r="AP152" s="205">
        <v>0.80068</v>
      </c>
      <c r="AQ152" s="205">
        <v>-0.7684</v>
      </c>
      <c r="AR152" s="205">
        <v>1.28018</v>
      </c>
    </row>
    <row r="153">
      <c r="A153" s="205">
        <v>152.0</v>
      </c>
      <c r="B153" s="206"/>
      <c r="C153" s="206"/>
      <c r="D153" s="205">
        <v>-0.30053</v>
      </c>
      <c r="E153" s="205">
        <v>-0.00314</v>
      </c>
      <c r="F153" s="205">
        <v>-1.16338</v>
      </c>
      <c r="G153" s="206"/>
      <c r="H153" s="207" t="s">
        <v>1750</v>
      </c>
      <c r="I153" s="207" t="s">
        <v>99</v>
      </c>
      <c r="J153" s="207" t="s">
        <v>1379</v>
      </c>
      <c r="K153" s="207" t="s">
        <v>1751</v>
      </c>
      <c r="L153" s="206"/>
      <c r="M153" s="207" t="s">
        <v>1373</v>
      </c>
      <c r="N153" s="207" t="s">
        <v>1400</v>
      </c>
      <c r="O153" s="206"/>
      <c r="P153" s="208"/>
      <c r="Q153" s="207">
        <v>1.0</v>
      </c>
      <c r="R153" s="208"/>
      <c r="S153" s="207" t="s">
        <v>1402</v>
      </c>
      <c r="T153" s="205">
        <v>61.0</v>
      </c>
      <c r="U153" s="205">
        <v>13.0</v>
      </c>
      <c r="V153" s="206"/>
      <c r="W153" s="205">
        <v>30.0</v>
      </c>
      <c r="X153" s="205">
        <v>18.41</v>
      </c>
      <c r="Y153" s="205">
        <v>3.131803</v>
      </c>
      <c r="Z153" s="205">
        <v>2.510656</v>
      </c>
      <c r="AA153" s="205">
        <v>5.021311</v>
      </c>
      <c r="AB153" s="205">
        <v>0.64377</v>
      </c>
      <c r="AC153" s="205">
        <v>0.06459</v>
      </c>
      <c r="AD153" s="205">
        <v>0.426504</v>
      </c>
      <c r="AE153" s="205">
        <v>15.06377</v>
      </c>
      <c r="AF153" s="205">
        <v>0.900991</v>
      </c>
      <c r="AG153" s="205">
        <v>2.695574</v>
      </c>
      <c r="AH153" s="205">
        <v>2.381803</v>
      </c>
      <c r="AI153" s="205">
        <v>25.45447</v>
      </c>
      <c r="AJ153" s="205">
        <v>0.241604</v>
      </c>
      <c r="AK153" s="205">
        <v>1.324902</v>
      </c>
      <c r="AL153" s="205">
        <v>-1.45538</v>
      </c>
      <c r="AM153" s="205">
        <v>0.595412</v>
      </c>
      <c r="AN153" s="205">
        <v>-1.0918</v>
      </c>
      <c r="AO153" s="205">
        <v>-1.2267</v>
      </c>
      <c r="AP153" s="205">
        <v>-1.3841</v>
      </c>
      <c r="AQ153" s="205">
        <v>0.895831</v>
      </c>
      <c r="AR153" s="205">
        <v>-0.60457</v>
      </c>
    </row>
    <row r="154">
      <c r="A154" s="205">
        <v>153.0</v>
      </c>
      <c r="B154" s="206"/>
      <c r="C154" s="206"/>
      <c r="D154" s="205">
        <v>-0.30224</v>
      </c>
      <c r="E154" s="205">
        <v>-0.00314</v>
      </c>
      <c r="F154" s="205">
        <v>-1.81386</v>
      </c>
      <c r="G154" s="206"/>
      <c r="H154" s="207" t="s">
        <v>1752</v>
      </c>
      <c r="I154" s="207" t="s">
        <v>250</v>
      </c>
      <c r="J154" s="207" t="s">
        <v>1412</v>
      </c>
      <c r="K154" s="207" t="s">
        <v>1753</v>
      </c>
      <c r="L154" s="206"/>
      <c r="M154" s="207" t="s">
        <v>1384</v>
      </c>
      <c r="N154" s="207" t="s">
        <v>1754</v>
      </c>
      <c r="O154" s="206"/>
      <c r="P154" s="206"/>
      <c r="Q154" s="207">
        <v>4.0</v>
      </c>
      <c r="R154" s="208"/>
      <c r="S154" s="207" t="s">
        <v>1617</v>
      </c>
      <c r="T154" s="205">
        <v>68.0</v>
      </c>
      <c r="U154" s="205">
        <v>14.0</v>
      </c>
      <c r="V154" s="206"/>
      <c r="W154" s="205">
        <v>28.0</v>
      </c>
      <c r="X154" s="205">
        <v>13.20162</v>
      </c>
      <c r="Y154" s="205">
        <v>1.781618</v>
      </c>
      <c r="Z154" s="205">
        <v>3.711765</v>
      </c>
      <c r="AA154" s="205">
        <v>3.181471</v>
      </c>
      <c r="AB154" s="205">
        <v>1.015882</v>
      </c>
      <c r="AC154" s="205">
        <v>0.412353</v>
      </c>
      <c r="AD154" s="205">
        <v>0.448395</v>
      </c>
      <c r="AE154" s="205">
        <v>10.60515</v>
      </c>
      <c r="AF154" s="205">
        <v>0.73298</v>
      </c>
      <c r="AG154" s="205">
        <v>2.605</v>
      </c>
      <c r="AH154" s="205">
        <v>1.178382</v>
      </c>
      <c r="AI154" s="205">
        <v>19.84107</v>
      </c>
      <c r="AJ154" s="205">
        <v>-0.67258</v>
      </c>
      <c r="AK154" s="205">
        <v>0.026857</v>
      </c>
      <c r="AL154" s="205">
        <v>-0.96623</v>
      </c>
      <c r="AM154" s="205">
        <v>-0.29742</v>
      </c>
      <c r="AN154" s="205">
        <v>0.001778</v>
      </c>
      <c r="AO154" s="205">
        <v>-0.60037</v>
      </c>
      <c r="AP154" s="205">
        <v>-0.62854</v>
      </c>
      <c r="AQ154" s="205">
        <v>-0.51023</v>
      </c>
      <c r="AR154" s="205">
        <v>0.926554</v>
      </c>
    </row>
    <row r="155">
      <c r="A155" s="205">
        <v>154.0</v>
      </c>
      <c r="B155" s="206"/>
      <c r="C155" s="206"/>
      <c r="D155" s="205">
        <v>-0.30272</v>
      </c>
      <c r="E155" s="205">
        <v>-1.9E-4</v>
      </c>
      <c r="F155" s="205">
        <v>1.559337</v>
      </c>
      <c r="G155" s="206"/>
      <c r="H155" s="207" t="s">
        <v>1755</v>
      </c>
      <c r="I155" s="207" t="s">
        <v>1392</v>
      </c>
      <c r="J155" s="207" t="s">
        <v>1412</v>
      </c>
      <c r="K155" s="206"/>
      <c r="L155" s="206"/>
      <c r="M155" s="207" t="s">
        <v>1442</v>
      </c>
      <c r="N155" s="208"/>
      <c r="O155" s="206"/>
      <c r="P155" s="206"/>
      <c r="Q155" s="207">
        <v>5.0</v>
      </c>
      <c r="R155" s="208"/>
      <c r="S155" s="207" t="s">
        <v>1617</v>
      </c>
      <c r="T155" s="205">
        <v>77.0</v>
      </c>
      <c r="U155" s="205">
        <v>15.0</v>
      </c>
      <c r="V155" s="206"/>
      <c r="W155" s="205">
        <v>23.0</v>
      </c>
      <c r="X155" s="205">
        <v>11.99987</v>
      </c>
      <c r="Y155" s="205">
        <v>2.832468</v>
      </c>
      <c r="Z155" s="205">
        <v>3.225714</v>
      </c>
      <c r="AA155" s="205">
        <v>1.423117</v>
      </c>
      <c r="AB155" s="205">
        <v>0.859091</v>
      </c>
      <c r="AC155" s="205">
        <v>0.283506</v>
      </c>
      <c r="AD155" s="205">
        <v>0.433015</v>
      </c>
      <c r="AE155" s="205">
        <v>9.724935</v>
      </c>
      <c r="AF155" s="205">
        <v>0.842979</v>
      </c>
      <c r="AG155" s="205">
        <v>0.884156</v>
      </c>
      <c r="AH155" s="205">
        <v>0.806494</v>
      </c>
      <c r="AI155" s="205">
        <v>20.49668</v>
      </c>
      <c r="AJ155" s="205">
        <v>-0.88352</v>
      </c>
      <c r="AK155" s="205">
        <v>1.037126</v>
      </c>
      <c r="AL155" s="205">
        <v>-1.16418</v>
      </c>
      <c r="AM155" s="205">
        <v>-1.15072</v>
      </c>
      <c r="AN155" s="205">
        <v>-0.45901</v>
      </c>
      <c r="AO155" s="205">
        <v>-0.83243</v>
      </c>
      <c r="AP155" s="205">
        <v>-0.79747</v>
      </c>
      <c r="AQ155" s="205">
        <v>0.125973</v>
      </c>
      <c r="AR155" s="205">
        <v>1.39971</v>
      </c>
    </row>
    <row r="156">
      <c r="A156" s="205">
        <v>155.0</v>
      </c>
      <c r="B156" s="206"/>
      <c r="C156" s="206"/>
      <c r="D156" s="205">
        <v>-0.30298</v>
      </c>
      <c r="E156" s="205">
        <v>-0.00615</v>
      </c>
      <c r="F156" s="205">
        <v>0.509278</v>
      </c>
      <c r="G156" s="206"/>
      <c r="H156" s="207" t="s">
        <v>1756</v>
      </c>
      <c r="I156" s="207" t="s">
        <v>197</v>
      </c>
      <c r="J156" s="207" t="s">
        <v>1412</v>
      </c>
      <c r="K156" s="207" t="s">
        <v>1757</v>
      </c>
      <c r="L156" s="206"/>
      <c r="M156" s="207" t="s">
        <v>1442</v>
      </c>
      <c r="N156" s="207" t="s">
        <v>1758</v>
      </c>
      <c r="O156" s="206"/>
      <c r="P156" s="206"/>
      <c r="Q156" s="207">
        <v>4.0</v>
      </c>
      <c r="R156" s="208"/>
      <c r="S156" s="207" t="s">
        <v>1402</v>
      </c>
      <c r="T156" s="205">
        <v>77.0</v>
      </c>
      <c r="U156" s="205">
        <v>14.0</v>
      </c>
      <c r="V156" s="206"/>
      <c r="W156" s="205">
        <v>28.0</v>
      </c>
      <c r="X156" s="205">
        <v>9.322078</v>
      </c>
      <c r="Y156" s="205">
        <v>1.835714</v>
      </c>
      <c r="Z156" s="205">
        <v>2.669351</v>
      </c>
      <c r="AA156" s="205">
        <v>1.880649</v>
      </c>
      <c r="AB156" s="205">
        <v>1.148442</v>
      </c>
      <c r="AC156" s="205">
        <v>0.364935</v>
      </c>
      <c r="AD156" s="205">
        <v>0.436349</v>
      </c>
      <c r="AE156" s="205">
        <v>7.28</v>
      </c>
      <c r="AF156" s="205">
        <v>0.869977</v>
      </c>
      <c r="AG156" s="205">
        <v>1.302468</v>
      </c>
      <c r="AH156" s="205">
        <v>0.79026</v>
      </c>
      <c r="AI156" s="205">
        <v>12.65775</v>
      </c>
      <c r="AJ156" s="205">
        <v>-1.35353</v>
      </c>
      <c r="AK156" s="205">
        <v>0.078864</v>
      </c>
      <c r="AL156" s="205">
        <v>-1.39075</v>
      </c>
      <c r="AM156" s="205">
        <v>-0.92869</v>
      </c>
      <c r="AN156" s="205">
        <v>0.39135</v>
      </c>
      <c r="AO156" s="205">
        <v>-0.68577</v>
      </c>
      <c r="AP156" s="205">
        <v>-0.5594</v>
      </c>
      <c r="AQ156" s="205">
        <v>0.300777</v>
      </c>
      <c r="AR156" s="205">
        <v>1.420364</v>
      </c>
    </row>
    <row r="157">
      <c r="A157" s="205">
        <v>156.0</v>
      </c>
      <c r="B157" s="206"/>
      <c r="C157" s="206"/>
      <c r="D157" s="205">
        <v>-0.30323</v>
      </c>
      <c r="E157" s="205">
        <v>-0.04834</v>
      </c>
      <c r="F157" s="205">
        <v>0.815933</v>
      </c>
      <c r="G157" s="206"/>
      <c r="H157" s="207" t="s">
        <v>1759</v>
      </c>
      <c r="I157" s="207" t="s">
        <v>89</v>
      </c>
      <c r="J157" s="207" t="s">
        <v>34</v>
      </c>
      <c r="K157" s="207" t="s">
        <v>1760</v>
      </c>
      <c r="L157" s="206"/>
      <c r="M157" s="207" t="s">
        <v>1384</v>
      </c>
      <c r="N157" s="207" t="s">
        <v>1551</v>
      </c>
      <c r="O157" s="206"/>
      <c r="P157" s="206"/>
      <c r="Q157" s="207">
        <v>1.0</v>
      </c>
      <c r="R157" s="208"/>
      <c r="S157" s="207" t="s">
        <v>1402</v>
      </c>
      <c r="T157" s="205">
        <v>68.0</v>
      </c>
      <c r="U157" s="205">
        <v>13.0</v>
      </c>
      <c r="V157" s="206"/>
      <c r="W157" s="205">
        <v>22.0</v>
      </c>
      <c r="X157" s="205">
        <v>9.1975</v>
      </c>
      <c r="Y157" s="205">
        <v>1.536765</v>
      </c>
      <c r="Z157" s="205">
        <v>4.443971</v>
      </c>
      <c r="AA157" s="205">
        <v>1.018382</v>
      </c>
      <c r="AB157" s="205">
        <v>0.554412</v>
      </c>
      <c r="AC157" s="205">
        <v>1.203529</v>
      </c>
      <c r="AD157" s="205">
        <v>0.490804</v>
      </c>
      <c r="AE157" s="205">
        <v>7.036471</v>
      </c>
      <c r="AF157" s="205">
        <v>0.823955</v>
      </c>
      <c r="AG157" s="205">
        <v>0.914706</v>
      </c>
      <c r="AH157" s="205">
        <v>0.8875</v>
      </c>
      <c r="AI157" s="205">
        <v>16.21064</v>
      </c>
      <c r="AJ157" s="205">
        <v>-1.37539</v>
      </c>
      <c r="AK157" s="205">
        <v>-0.20854</v>
      </c>
      <c r="AL157" s="205">
        <v>-0.66805</v>
      </c>
      <c r="AM157" s="205">
        <v>-1.34713</v>
      </c>
      <c r="AN157" s="205">
        <v>-1.35442</v>
      </c>
      <c r="AO157" s="205">
        <v>0.824578</v>
      </c>
      <c r="AP157" s="205">
        <v>0.027272</v>
      </c>
      <c r="AQ157" s="205">
        <v>0.075974</v>
      </c>
      <c r="AR157" s="205">
        <v>1.296645</v>
      </c>
    </row>
    <row r="158">
      <c r="A158" s="205">
        <v>157.0</v>
      </c>
      <c r="B158" s="206"/>
      <c r="C158" s="206"/>
      <c r="D158" s="205">
        <v>-0.30432</v>
      </c>
      <c r="E158" s="205">
        <v>-0.00494</v>
      </c>
      <c r="F158" s="205">
        <v>0.537156</v>
      </c>
      <c r="G158" s="206"/>
      <c r="H158" s="207" t="s">
        <v>1761</v>
      </c>
      <c r="I158" s="207" t="s">
        <v>168</v>
      </c>
      <c r="J158" s="207" t="s">
        <v>1379</v>
      </c>
      <c r="K158" s="207" t="s">
        <v>1762</v>
      </c>
      <c r="L158" s="206"/>
      <c r="M158" s="207" t="s">
        <v>1384</v>
      </c>
      <c r="N158" s="208"/>
      <c r="O158" s="206"/>
      <c r="P158" s="206"/>
      <c r="Q158" s="207">
        <v>1.0</v>
      </c>
      <c r="R158" s="208"/>
      <c r="S158" s="207" t="s">
        <v>1617</v>
      </c>
      <c r="T158" s="205">
        <v>68.0</v>
      </c>
      <c r="U158" s="205">
        <v>14.0</v>
      </c>
      <c r="V158" s="206"/>
      <c r="W158" s="205">
        <v>27.0</v>
      </c>
      <c r="X158" s="205">
        <v>14.88412</v>
      </c>
      <c r="Y158" s="205">
        <v>1.971618</v>
      </c>
      <c r="Z158" s="205">
        <v>3.11</v>
      </c>
      <c r="AA158" s="205">
        <v>4.365</v>
      </c>
      <c r="AB158" s="205">
        <v>0.737206</v>
      </c>
      <c r="AC158" s="205">
        <v>0.502794</v>
      </c>
      <c r="AD158" s="205">
        <v>0.462743</v>
      </c>
      <c r="AE158" s="205">
        <v>12.00324</v>
      </c>
      <c r="AF158" s="205">
        <v>0.838002</v>
      </c>
      <c r="AG158" s="205">
        <v>2.152353</v>
      </c>
      <c r="AH158" s="205">
        <v>2.073382</v>
      </c>
      <c r="AI158" s="205">
        <v>24.97527</v>
      </c>
      <c r="AJ158" s="205">
        <v>-0.37727</v>
      </c>
      <c r="AK158" s="205">
        <v>0.209519</v>
      </c>
      <c r="AL158" s="205">
        <v>-1.2113</v>
      </c>
      <c r="AM158" s="205">
        <v>0.276918</v>
      </c>
      <c r="AN158" s="205">
        <v>-0.81721</v>
      </c>
      <c r="AO158" s="205">
        <v>-0.43748</v>
      </c>
      <c r="AP158" s="205">
        <v>-0.45706</v>
      </c>
      <c r="AQ158" s="205">
        <v>0.287187</v>
      </c>
      <c r="AR158" s="205">
        <v>-0.21216</v>
      </c>
    </row>
    <row r="159">
      <c r="A159" s="205">
        <v>158.0</v>
      </c>
      <c r="B159" s="206"/>
      <c r="C159" s="206"/>
      <c r="D159" s="205">
        <v>-0.30954</v>
      </c>
      <c r="E159" s="205">
        <v>-0.00444</v>
      </c>
      <c r="F159" s="205">
        <v>1.122587</v>
      </c>
      <c r="G159" s="206"/>
      <c r="H159" s="207" t="s">
        <v>1763</v>
      </c>
      <c r="I159" s="207" t="s">
        <v>58</v>
      </c>
      <c r="J159" s="207" t="s">
        <v>1412</v>
      </c>
      <c r="K159" s="207" t="s">
        <v>1764</v>
      </c>
      <c r="L159" s="206"/>
      <c r="M159" s="207" t="s">
        <v>1373</v>
      </c>
      <c r="N159" s="208"/>
      <c r="O159" s="206"/>
      <c r="P159" s="206"/>
      <c r="Q159" s="207">
        <v>5.0</v>
      </c>
      <c r="R159" s="208"/>
      <c r="S159" s="207" t="s">
        <v>1617</v>
      </c>
      <c r="T159" s="205">
        <v>73.0</v>
      </c>
      <c r="U159" s="205">
        <v>13.0</v>
      </c>
      <c r="V159" s="206"/>
      <c r="W159" s="205">
        <v>22.0</v>
      </c>
      <c r="X159" s="205">
        <v>12.71849</v>
      </c>
      <c r="Y159" s="205">
        <v>1.837808</v>
      </c>
      <c r="Z159" s="205">
        <v>3.693288</v>
      </c>
      <c r="AA159" s="205">
        <v>1.716164</v>
      </c>
      <c r="AB159" s="205">
        <v>0.784247</v>
      </c>
      <c r="AC159" s="205">
        <v>0.235753</v>
      </c>
      <c r="AD159" s="205">
        <v>0.492403</v>
      </c>
      <c r="AE159" s="205">
        <v>9.817945</v>
      </c>
      <c r="AF159" s="205">
        <v>0.822977</v>
      </c>
      <c r="AG159" s="205">
        <v>1.472603</v>
      </c>
      <c r="AH159" s="205">
        <v>0.894521</v>
      </c>
      <c r="AI159" s="205">
        <v>22.15684</v>
      </c>
      <c r="AJ159" s="205">
        <v>-0.75738</v>
      </c>
      <c r="AK159" s="205">
        <v>0.080877</v>
      </c>
      <c r="AL159" s="205">
        <v>-0.97376</v>
      </c>
      <c r="AM159" s="205">
        <v>-1.00851</v>
      </c>
      <c r="AN159" s="205">
        <v>-0.67897</v>
      </c>
      <c r="AO159" s="205">
        <v>-0.91843</v>
      </c>
      <c r="AP159" s="205">
        <v>0.058783</v>
      </c>
      <c r="AQ159" s="205">
        <v>0.123819</v>
      </c>
      <c r="AR159" s="205">
        <v>1.287713</v>
      </c>
    </row>
    <row r="160">
      <c r="A160" s="205">
        <v>159.0</v>
      </c>
      <c r="B160" s="206"/>
      <c r="C160" s="206"/>
      <c r="D160" s="205">
        <v>-0.3139</v>
      </c>
      <c r="E160" s="205">
        <v>-0.00288</v>
      </c>
      <c r="F160" s="205">
        <v>0.397768</v>
      </c>
      <c r="G160" s="206"/>
      <c r="H160" s="207" t="s">
        <v>1765</v>
      </c>
      <c r="I160" s="207" t="s">
        <v>204</v>
      </c>
      <c r="J160" s="207" t="s">
        <v>1387</v>
      </c>
      <c r="K160" s="207" t="s">
        <v>1766</v>
      </c>
      <c r="L160" s="206"/>
      <c r="M160" s="207" t="s">
        <v>1373</v>
      </c>
      <c r="N160" s="207" t="s">
        <v>1385</v>
      </c>
      <c r="O160" s="206"/>
      <c r="P160" s="206"/>
      <c r="Q160" s="207">
        <v>2.0</v>
      </c>
      <c r="R160" s="208"/>
      <c r="S160" s="207" t="s">
        <v>1402</v>
      </c>
      <c r="T160" s="205">
        <v>70.0</v>
      </c>
      <c r="U160" s="205">
        <v>14.0</v>
      </c>
      <c r="V160" s="206"/>
      <c r="W160" s="205">
        <v>28.0</v>
      </c>
      <c r="X160" s="205">
        <v>13.27057</v>
      </c>
      <c r="Y160" s="205">
        <v>1.990571</v>
      </c>
      <c r="Z160" s="205">
        <v>7.07</v>
      </c>
      <c r="AA160" s="205">
        <v>1.105143</v>
      </c>
      <c r="AB160" s="205">
        <v>0.468857</v>
      </c>
      <c r="AC160" s="205">
        <v>0.530286</v>
      </c>
      <c r="AD160" s="205">
        <v>0.446872</v>
      </c>
      <c r="AE160" s="205">
        <v>10.66429</v>
      </c>
      <c r="AF160" s="205">
        <v>0.820015</v>
      </c>
      <c r="AG160" s="205">
        <v>2.132714</v>
      </c>
      <c r="AH160" s="205">
        <v>1.122714</v>
      </c>
      <c r="AI160" s="205">
        <v>18.64892</v>
      </c>
      <c r="AJ160" s="205">
        <v>-0.66048</v>
      </c>
      <c r="AK160" s="205">
        <v>0.227741</v>
      </c>
      <c r="AL160" s="205">
        <v>0.401384</v>
      </c>
      <c r="AM160" s="205">
        <v>-1.30502</v>
      </c>
      <c r="AN160" s="205">
        <v>-1.60585</v>
      </c>
      <c r="AO160" s="205">
        <v>-0.38797</v>
      </c>
      <c r="AP160" s="205">
        <v>-0.65615</v>
      </c>
      <c r="AQ160" s="205">
        <v>0.163902</v>
      </c>
      <c r="AR160" s="205">
        <v>0.99738</v>
      </c>
    </row>
    <row r="161">
      <c r="A161" s="205">
        <v>160.0</v>
      </c>
      <c r="B161" s="206"/>
      <c r="C161" s="206"/>
      <c r="D161" s="205">
        <v>-0.31406</v>
      </c>
      <c r="E161" s="205">
        <v>0.033863</v>
      </c>
      <c r="F161" s="205">
        <v>0.992491</v>
      </c>
      <c r="G161" s="206"/>
      <c r="H161" s="207" t="s">
        <v>1767</v>
      </c>
      <c r="I161" s="207" t="s">
        <v>81</v>
      </c>
      <c r="J161" s="207" t="s">
        <v>34</v>
      </c>
      <c r="K161" s="207" t="s">
        <v>1768</v>
      </c>
      <c r="L161" s="206"/>
      <c r="M161" s="207" t="s">
        <v>1373</v>
      </c>
      <c r="N161" s="208"/>
      <c r="O161" s="206"/>
      <c r="P161" s="208"/>
      <c r="Q161" s="207">
        <v>2.0</v>
      </c>
      <c r="R161" s="208"/>
      <c r="S161" s="207" t="s">
        <v>1617</v>
      </c>
      <c r="T161" s="205">
        <v>66.0</v>
      </c>
      <c r="U161" s="205">
        <v>16.0</v>
      </c>
      <c r="V161" s="206"/>
      <c r="W161" s="205">
        <v>22.0</v>
      </c>
      <c r="X161" s="205">
        <v>8.162424</v>
      </c>
      <c r="Y161" s="205">
        <v>0.008182</v>
      </c>
      <c r="Z161" s="205">
        <v>5.944091</v>
      </c>
      <c r="AA161" s="205">
        <v>0.619848</v>
      </c>
      <c r="AB161" s="205">
        <v>0.629697</v>
      </c>
      <c r="AC161" s="205">
        <v>1.733182</v>
      </c>
      <c r="AD161" s="205">
        <v>0.713611</v>
      </c>
      <c r="AE161" s="205">
        <v>4.810152</v>
      </c>
      <c r="AF161" s="205">
        <v>0.670027</v>
      </c>
      <c r="AG161" s="205">
        <v>1.923939</v>
      </c>
      <c r="AH161" s="205">
        <v>1.503939</v>
      </c>
      <c r="AI161" s="205">
        <v>14.33202</v>
      </c>
      <c r="AJ161" s="205">
        <v>-1.55707</v>
      </c>
      <c r="AK161" s="205">
        <v>-1.67809</v>
      </c>
      <c r="AL161" s="205">
        <v>-0.05714</v>
      </c>
      <c r="AM161" s="205">
        <v>-1.54053</v>
      </c>
      <c r="AN161" s="205">
        <v>-1.13316</v>
      </c>
      <c r="AO161" s="205">
        <v>1.778506</v>
      </c>
      <c r="AP161" s="205">
        <v>1.608661</v>
      </c>
      <c r="AQ161" s="205">
        <v>-0.7601</v>
      </c>
      <c r="AR161" s="205">
        <v>0.512345</v>
      </c>
    </row>
    <row r="162">
      <c r="A162" s="205">
        <v>161.0</v>
      </c>
      <c r="B162" s="206"/>
      <c r="C162" s="206"/>
      <c r="D162" s="205">
        <v>-0.31436</v>
      </c>
      <c r="E162" s="205">
        <v>-0.00504</v>
      </c>
      <c r="F162" s="205">
        <v>-0.18766</v>
      </c>
      <c r="G162" s="206"/>
      <c r="H162" s="207" t="s">
        <v>1769</v>
      </c>
      <c r="I162" s="207" t="s">
        <v>68</v>
      </c>
      <c r="J162" s="207" t="s">
        <v>1379</v>
      </c>
      <c r="K162" s="207" t="s">
        <v>1770</v>
      </c>
      <c r="L162" s="206"/>
      <c r="M162" s="207" t="s">
        <v>1373</v>
      </c>
      <c r="N162" s="207" t="s">
        <v>1586</v>
      </c>
      <c r="O162" s="206"/>
      <c r="P162" s="208"/>
      <c r="Q162" s="207">
        <v>4.0</v>
      </c>
      <c r="R162" s="208"/>
      <c r="S162" s="207" t="s">
        <v>1375</v>
      </c>
      <c r="T162" s="205">
        <v>73.0</v>
      </c>
      <c r="U162" s="205">
        <v>14.0</v>
      </c>
      <c r="V162" s="206"/>
      <c r="W162" s="205">
        <v>27.0</v>
      </c>
      <c r="X162" s="205">
        <v>12.91973</v>
      </c>
      <c r="Y162" s="205">
        <v>2.306986</v>
      </c>
      <c r="Z162" s="205">
        <v>2.499726</v>
      </c>
      <c r="AA162" s="205">
        <v>5.635205</v>
      </c>
      <c r="AB162" s="205">
        <v>0.852192</v>
      </c>
      <c r="AC162" s="205">
        <v>0.451918</v>
      </c>
      <c r="AD162" s="205">
        <v>0.418053</v>
      </c>
      <c r="AE162" s="205">
        <v>10.68096</v>
      </c>
      <c r="AF162" s="205">
        <v>0.829013</v>
      </c>
      <c r="AG162" s="205">
        <v>2.029315</v>
      </c>
      <c r="AH162" s="205">
        <v>2.035342</v>
      </c>
      <c r="AI162" s="205">
        <v>21.55571</v>
      </c>
      <c r="AJ162" s="205">
        <v>-0.72206</v>
      </c>
      <c r="AK162" s="205">
        <v>0.531937</v>
      </c>
      <c r="AL162" s="205">
        <v>-1.45983</v>
      </c>
      <c r="AM162" s="205">
        <v>0.893322</v>
      </c>
      <c r="AN162" s="205">
        <v>-0.47928</v>
      </c>
      <c r="AO162" s="205">
        <v>-0.52911</v>
      </c>
      <c r="AP162" s="205">
        <v>-1.11328</v>
      </c>
      <c r="AQ162" s="205">
        <v>0.21287</v>
      </c>
      <c r="AR162" s="205">
        <v>-0.16376</v>
      </c>
    </row>
    <row r="163">
      <c r="A163" s="205">
        <v>162.0</v>
      </c>
      <c r="B163" s="206"/>
      <c r="C163" s="206"/>
      <c r="D163" s="205">
        <v>-0.31444</v>
      </c>
      <c r="E163" s="205">
        <v>-0.00466</v>
      </c>
      <c r="F163" s="205">
        <v>0.499986</v>
      </c>
      <c r="G163" s="206"/>
      <c r="H163" s="207" t="s">
        <v>1771</v>
      </c>
      <c r="I163" s="207" t="s">
        <v>193</v>
      </c>
      <c r="J163" s="207" t="s">
        <v>1379</v>
      </c>
      <c r="K163" s="207" t="s">
        <v>1772</v>
      </c>
      <c r="L163" s="206"/>
      <c r="M163" s="207" t="s">
        <v>1373</v>
      </c>
      <c r="N163" s="207" t="s">
        <v>1385</v>
      </c>
      <c r="O163" s="206"/>
      <c r="P163" s="206"/>
      <c r="Q163" s="207">
        <v>2.0</v>
      </c>
      <c r="R163" s="208"/>
      <c r="S163" s="207" t="s">
        <v>1617</v>
      </c>
      <c r="T163" s="205">
        <v>73.0</v>
      </c>
      <c r="U163" s="205">
        <v>15.0</v>
      </c>
      <c r="V163" s="206"/>
      <c r="W163" s="205">
        <v>30.0</v>
      </c>
      <c r="X163" s="205">
        <v>8.566027</v>
      </c>
      <c r="Y163" s="205">
        <v>1.06137</v>
      </c>
      <c r="Z163" s="205">
        <v>2.817534</v>
      </c>
      <c r="AA163" s="205">
        <v>5.88</v>
      </c>
      <c r="AB163" s="205">
        <v>1.347534</v>
      </c>
      <c r="AC163" s="205">
        <v>0.25137</v>
      </c>
      <c r="AD163" s="205">
        <v>0.470345</v>
      </c>
      <c r="AE163" s="205">
        <v>6.982055</v>
      </c>
      <c r="AF163" s="205">
        <v>0.70604</v>
      </c>
      <c r="AG163" s="205">
        <v>1.326712</v>
      </c>
      <c r="AH163" s="205">
        <v>1.815753</v>
      </c>
      <c r="AI163" s="205">
        <v>13.95548</v>
      </c>
      <c r="AJ163" s="205">
        <v>-1.48623</v>
      </c>
      <c r="AK163" s="205">
        <v>-0.66558</v>
      </c>
      <c r="AL163" s="205">
        <v>-1.3304</v>
      </c>
      <c r="AM163" s="205">
        <v>1.012116</v>
      </c>
      <c r="AN163" s="205">
        <v>0.976454</v>
      </c>
      <c r="AO163" s="205">
        <v>-0.89031</v>
      </c>
      <c r="AP163" s="205">
        <v>-0.18455</v>
      </c>
      <c r="AQ163" s="205">
        <v>-0.37705</v>
      </c>
      <c r="AR163" s="205">
        <v>0.115622</v>
      </c>
    </row>
    <row r="164">
      <c r="A164" s="205">
        <v>163.0</v>
      </c>
      <c r="B164" s="206"/>
      <c r="C164" s="206"/>
      <c r="D164" s="205">
        <v>-0.3233</v>
      </c>
      <c r="E164" s="205">
        <v>-0.02375</v>
      </c>
      <c r="F164" s="205">
        <v>0.29555</v>
      </c>
      <c r="G164" s="206"/>
      <c r="H164" s="207" t="s">
        <v>1773</v>
      </c>
      <c r="I164" s="207" t="s">
        <v>312</v>
      </c>
      <c r="J164" s="207" t="s">
        <v>1387</v>
      </c>
      <c r="K164" s="207" t="s">
        <v>1774</v>
      </c>
      <c r="L164" s="207" t="s">
        <v>1775</v>
      </c>
      <c r="M164" s="207" t="s">
        <v>1384</v>
      </c>
      <c r="N164" s="208"/>
      <c r="O164" s="206"/>
      <c r="P164" s="206"/>
      <c r="Q164" s="207">
        <v>3.0</v>
      </c>
      <c r="R164" s="208"/>
      <c r="S164" s="207" t="s">
        <v>1375</v>
      </c>
      <c r="T164" s="205">
        <v>63.0</v>
      </c>
      <c r="U164" s="205">
        <v>16.0</v>
      </c>
      <c r="V164" s="206"/>
      <c r="W164" s="205">
        <v>31.0</v>
      </c>
      <c r="X164" s="205">
        <v>12.67698</v>
      </c>
      <c r="Y164" s="205">
        <v>1.154444</v>
      </c>
      <c r="Z164" s="205">
        <v>4.989048</v>
      </c>
      <c r="AA164" s="205">
        <v>3.592063</v>
      </c>
      <c r="AB164" s="205">
        <v>1.194603</v>
      </c>
      <c r="AC164" s="205">
        <v>0.666349</v>
      </c>
      <c r="AD164" s="205">
        <v>0.446249</v>
      </c>
      <c r="AE164" s="205">
        <v>10.37714</v>
      </c>
      <c r="AF164" s="205">
        <v>0.729004</v>
      </c>
      <c r="AG164" s="205">
        <v>3.101429</v>
      </c>
      <c r="AH164" s="205">
        <v>1.998254</v>
      </c>
      <c r="AI164" s="205">
        <v>18.69586</v>
      </c>
      <c r="AJ164" s="205">
        <v>-0.76467</v>
      </c>
      <c r="AK164" s="205">
        <v>-0.5761</v>
      </c>
      <c r="AL164" s="205">
        <v>-0.44607</v>
      </c>
      <c r="AM164" s="205">
        <v>-0.09817</v>
      </c>
      <c r="AN164" s="205">
        <v>0.527012</v>
      </c>
      <c r="AO164" s="205">
        <v>-0.14291</v>
      </c>
      <c r="AP164" s="205">
        <v>-0.64788</v>
      </c>
      <c r="AQ164" s="205">
        <v>-0.64433</v>
      </c>
      <c r="AR164" s="205">
        <v>-0.11657</v>
      </c>
    </row>
    <row r="165">
      <c r="A165" s="205">
        <v>164.0</v>
      </c>
      <c r="B165" s="206"/>
      <c r="C165" s="206"/>
      <c r="D165" s="205">
        <v>-0.32688</v>
      </c>
      <c r="E165" s="205">
        <v>-0.00343</v>
      </c>
      <c r="F165" s="205">
        <v>0.88098</v>
      </c>
      <c r="G165" s="206"/>
      <c r="H165" s="207" t="s">
        <v>1776</v>
      </c>
      <c r="I165" s="207" t="s">
        <v>129</v>
      </c>
      <c r="J165" s="207" t="s">
        <v>1387</v>
      </c>
      <c r="K165" s="207" t="s">
        <v>1777</v>
      </c>
      <c r="L165" s="206"/>
      <c r="M165" s="207" t="s">
        <v>1373</v>
      </c>
      <c r="N165" s="208"/>
      <c r="O165" s="206"/>
      <c r="P165" s="206"/>
      <c r="Q165" s="207">
        <v>4.0</v>
      </c>
      <c r="R165" s="208"/>
      <c r="S165" s="207" t="s">
        <v>1402</v>
      </c>
      <c r="T165" s="205">
        <v>73.0</v>
      </c>
      <c r="U165" s="205">
        <v>16.0</v>
      </c>
      <c r="V165" s="206"/>
      <c r="W165" s="205">
        <v>26.0</v>
      </c>
      <c r="X165" s="205">
        <v>9.960822</v>
      </c>
      <c r="Y165" s="205">
        <v>1.803288</v>
      </c>
      <c r="Z165" s="205">
        <v>5.737808</v>
      </c>
      <c r="AA165" s="205">
        <v>0.857945</v>
      </c>
      <c r="AB165" s="205">
        <v>1.286986</v>
      </c>
      <c r="AC165" s="205">
        <v>0.677534</v>
      </c>
      <c r="AD165" s="205">
        <v>0.393764</v>
      </c>
      <c r="AE165" s="205">
        <v>9.599315</v>
      </c>
      <c r="AF165" s="205">
        <v>0.518968</v>
      </c>
      <c r="AG165" s="205">
        <v>1.151918</v>
      </c>
      <c r="AH165" s="205">
        <v>0.73274</v>
      </c>
      <c r="AI165" s="205">
        <v>17.9646</v>
      </c>
      <c r="AJ165" s="205">
        <v>-1.24141</v>
      </c>
      <c r="AK165" s="205">
        <v>0.04769</v>
      </c>
      <c r="AL165" s="205">
        <v>-0.14114</v>
      </c>
      <c r="AM165" s="205">
        <v>-1.42498</v>
      </c>
      <c r="AN165" s="205">
        <v>0.798512</v>
      </c>
      <c r="AO165" s="205">
        <v>-0.12276</v>
      </c>
      <c r="AP165" s="205">
        <v>-1.34536</v>
      </c>
      <c r="AQ165" s="205">
        <v>-1.00598</v>
      </c>
      <c r="AR165" s="205">
        <v>1.493547</v>
      </c>
    </row>
    <row r="166">
      <c r="A166" s="205">
        <v>165.0</v>
      </c>
      <c r="B166" s="206"/>
      <c r="C166" s="206"/>
      <c r="D166" s="205">
        <v>-0.3272</v>
      </c>
      <c r="E166" s="205">
        <v>0.037412</v>
      </c>
      <c r="F166" s="205">
        <v>-3.30996</v>
      </c>
      <c r="G166" s="206"/>
      <c r="H166" s="207" t="s">
        <v>1778</v>
      </c>
      <c r="I166" s="207" t="s">
        <v>287</v>
      </c>
      <c r="J166" s="207" t="s">
        <v>1387</v>
      </c>
      <c r="K166" s="207" t="s">
        <v>1779</v>
      </c>
      <c r="L166" s="206"/>
      <c r="M166" s="207" t="s">
        <v>1384</v>
      </c>
      <c r="N166" s="206"/>
      <c r="O166" s="206"/>
      <c r="P166" s="208"/>
      <c r="Q166" s="207">
        <v>3.0</v>
      </c>
      <c r="R166" s="208"/>
      <c r="S166" s="207" t="s">
        <v>1402</v>
      </c>
      <c r="T166" s="205">
        <v>57.0</v>
      </c>
      <c r="U166" s="205">
        <v>15.0</v>
      </c>
      <c r="V166" s="206"/>
      <c r="W166" s="205">
        <v>30.0</v>
      </c>
      <c r="X166" s="205">
        <v>14.33965</v>
      </c>
      <c r="Y166" s="205">
        <v>2.362456</v>
      </c>
      <c r="Z166" s="205">
        <v>3.251228</v>
      </c>
      <c r="AA166" s="205">
        <v>1.784912</v>
      </c>
      <c r="AB166" s="205">
        <v>0.826842</v>
      </c>
      <c r="AC166" s="205">
        <v>0.83</v>
      </c>
      <c r="AD166" s="205">
        <v>0.388123</v>
      </c>
      <c r="AE166" s="205">
        <v>11.98526</v>
      </c>
      <c r="AF166" s="205">
        <v>0.858011</v>
      </c>
      <c r="AG166" s="205">
        <v>3.11614</v>
      </c>
      <c r="AH166" s="205">
        <v>1.404386</v>
      </c>
      <c r="AI166" s="205">
        <v>20.44392</v>
      </c>
      <c r="AJ166" s="205">
        <v>-0.47283</v>
      </c>
      <c r="AK166" s="205">
        <v>0.585265</v>
      </c>
      <c r="AL166" s="205">
        <v>-1.15379</v>
      </c>
      <c r="AM166" s="205">
        <v>-0.97515</v>
      </c>
      <c r="AN166" s="205">
        <v>-0.55378</v>
      </c>
      <c r="AO166" s="205">
        <v>0.151834</v>
      </c>
      <c r="AP166" s="205">
        <v>-1.78152</v>
      </c>
      <c r="AQ166" s="205">
        <v>0.61619</v>
      </c>
      <c r="AR166" s="205">
        <v>0.639008</v>
      </c>
    </row>
    <row r="167">
      <c r="A167" s="205">
        <v>166.0</v>
      </c>
      <c r="B167" s="206"/>
      <c r="C167" s="206"/>
      <c r="D167" s="205">
        <v>-0.33341</v>
      </c>
      <c r="E167" s="205">
        <v>-0.00703</v>
      </c>
      <c r="F167" s="205">
        <v>0.416353</v>
      </c>
      <c r="G167" s="206"/>
      <c r="H167" s="207" t="s">
        <v>1780</v>
      </c>
      <c r="I167" s="207" t="s">
        <v>99</v>
      </c>
      <c r="J167" s="207" t="s">
        <v>1387</v>
      </c>
      <c r="K167" s="207" t="s">
        <v>1781</v>
      </c>
      <c r="L167" s="206"/>
      <c r="M167" s="207" t="s">
        <v>1373</v>
      </c>
      <c r="N167" s="207" t="s">
        <v>1754</v>
      </c>
      <c r="O167" s="206"/>
      <c r="P167" s="206"/>
      <c r="Q167" s="207">
        <v>3.0</v>
      </c>
      <c r="R167" s="208"/>
      <c r="S167" s="207" t="s">
        <v>1617</v>
      </c>
      <c r="T167" s="205">
        <v>73.0</v>
      </c>
      <c r="U167" s="205">
        <v>13.0</v>
      </c>
      <c r="V167" s="206"/>
      <c r="W167" s="205">
        <v>17.0</v>
      </c>
      <c r="X167" s="205">
        <v>8.201096</v>
      </c>
      <c r="Y167" s="205">
        <v>1.034932</v>
      </c>
      <c r="Z167" s="205">
        <v>3.550959</v>
      </c>
      <c r="AA167" s="205">
        <v>1.153425</v>
      </c>
      <c r="AB167" s="205">
        <v>0.948493</v>
      </c>
      <c r="AC167" s="205">
        <v>0.736301</v>
      </c>
      <c r="AD167" s="205">
        <v>0.492009</v>
      </c>
      <c r="AE167" s="205">
        <v>5.983014</v>
      </c>
      <c r="AF167" s="205">
        <v>0.842129</v>
      </c>
      <c r="AG167" s="205">
        <v>1.518493</v>
      </c>
      <c r="AH167" s="205">
        <v>0.717534</v>
      </c>
      <c r="AI167" s="205">
        <v>17.76543</v>
      </c>
      <c r="AJ167" s="205">
        <v>-1.55028</v>
      </c>
      <c r="AK167" s="205">
        <v>-0.69099</v>
      </c>
      <c r="AL167" s="205">
        <v>-1.03172</v>
      </c>
      <c r="AM167" s="205">
        <v>-1.28159</v>
      </c>
      <c r="AN167" s="205">
        <v>-0.19627</v>
      </c>
      <c r="AO167" s="205">
        <v>-0.01692</v>
      </c>
      <c r="AP167" s="205">
        <v>0.034828</v>
      </c>
      <c r="AQ167" s="205">
        <v>0.219394</v>
      </c>
      <c r="AR167" s="205">
        <v>1.512893</v>
      </c>
    </row>
    <row r="168">
      <c r="A168" s="205">
        <v>167.0</v>
      </c>
      <c r="B168" s="206"/>
      <c r="C168" s="206"/>
      <c r="D168" s="205">
        <v>-0.33684</v>
      </c>
      <c r="E168" s="205">
        <v>-0.00531</v>
      </c>
      <c r="F168" s="205">
        <v>-0.74522</v>
      </c>
      <c r="G168" s="206"/>
      <c r="H168" s="207" t="s">
        <v>1782</v>
      </c>
      <c r="I168" s="207" t="s">
        <v>264</v>
      </c>
      <c r="J168" s="207" t="s">
        <v>34</v>
      </c>
      <c r="K168" s="207" t="s">
        <v>1783</v>
      </c>
      <c r="L168" s="206"/>
      <c r="M168" s="207" t="s">
        <v>1384</v>
      </c>
      <c r="N168" s="208"/>
      <c r="O168" s="206"/>
      <c r="P168" s="208"/>
      <c r="Q168" s="207">
        <v>3.0</v>
      </c>
      <c r="R168" s="208"/>
      <c r="S168" s="207" t="s">
        <v>1375</v>
      </c>
      <c r="T168" s="205">
        <v>68.0</v>
      </c>
      <c r="U168" s="205">
        <v>14.0</v>
      </c>
      <c r="V168" s="206"/>
      <c r="W168" s="205">
        <v>27.0</v>
      </c>
      <c r="X168" s="205">
        <v>8.797647</v>
      </c>
      <c r="Y168" s="205">
        <v>0.743676</v>
      </c>
      <c r="Z168" s="205">
        <v>7.166176</v>
      </c>
      <c r="AA168" s="205">
        <v>1.598676</v>
      </c>
      <c r="AB168" s="205">
        <v>0.831618</v>
      </c>
      <c r="AC168" s="205">
        <v>0.716618</v>
      </c>
      <c r="AD168" s="205">
        <v>0.498602</v>
      </c>
      <c r="AE168" s="205">
        <v>6.835882</v>
      </c>
      <c r="AF168" s="205">
        <v>0.72401</v>
      </c>
      <c r="AG168" s="205">
        <v>1.708824</v>
      </c>
      <c r="AH168" s="205">
        <v>1.212794</v>
      </c>
      <c r="AI168" s="205">
        <v>14.45339</v>
      </c>
      <c r="AJ168" s="205">
        <v>-1.44558</v>
      </c>
      <c r="AK168" s="205">
        <v>-0.971</v>
      </c>
      <c r="AL168" s="205">
        <v>0.440551</v>
      </c>
      <c r="AM168" s="205">
        <v>-1.06552</v>
      </c>
      <c r="AN168" s="205">
        <v>-0.53975</v>
      </c>
      <c r="AO168" s="205">
        <v>-0.05237</v>
      </c>
      <c r="AP168" s="205">
        <v>0.105655</v>
      </c>
      <c r="AQ168" s="205">
        <v>-0.38627</v>
      </c>
      <c r="AR168" s="205">
        <v>0.882771</v>
      </c>
    </row>
    <row r="169">
      <c r="A169" s="205">
        <v>168.0</v>
      </c>
      <c r="B169" s="206"/>
      <c r="C169" s="206"/>
      <c r="D169" s="205">
        <v>-0.33949</v>
      </c>
      <c r="E169" s="205">
        <v>-0.00365</v>
      </c>
      <c r="F169" s="205">
        <v>1.234097</v>
      </c>
      <c r="G169" s="206"/>
      <c r="H169" s="207" t="s">
        <v>1784</v>
      </c>
      <c r="I169" s="207" t="s">
        <v>129</v>
      </c>
      <c r="J169" s="207" t="s">
        <v>1412</v>
      </c>
      <c r="K169" s="207" t="s">
        <v>1785</v>
      </c>
      <c r="L169" s="206"/>
      <c r="M169" s="207" t="s">
        <v>1373</v>
      </c>
      <c r="N169" s="207" t="s">
        <v>1551</v>
      </c>
      <c r="O169" s="206"/>
      <c r="P169" s="208"/>
      <c r="Q169" s="207">
        <v>5.0</v>
      </c>
      <c r="R169" s="208"/>
      <c r="S169" s="207" t="s">
        <v>1375</v>
      </c>
      <c r="T169" s="205">
        <v>73.0</v>
      </c>
      <c r="U169" s="205">
        <v>16.0</v>
      </c>
      <c r="V169" s="206"/>
      <c r="W169" s="205">
        <v>31.0</v>
      </c>
      <c r="X169" s="205">
        <v>14.13068</v>
      </c>
      <c r="Y169" s="205">
        <v>2.45274</v>
      </c>
      <c r="Z169" s="205">
        <v>3.452603</v>
      </c>
      <c r="AA169" s="205">
        <v>2.685342</v>
      </c>
      <c r="AB169" s="205">
        <v>0.959041</v>
      </c>
      <c r="AC169" s="205">
        <v>0.192192</v>
      </c>
      <c r="AD169" s="205">
        <v>0.429553</v>
      </c>
      <c r="AE169" s="205">
        <v>11.82849</v>
      </c>
      <c r="AF169" s="205">
        <v>0.801028</v>
      </c>
      <c r="AG169" s="205">
        <v>1.892603</v>
      </c>
      <c r="AH169" s="205">
        <v>1.470548</v>
      </c>
      <c r="AI169" s="205">
        <v>19.64451</v>
      </c>
      <c r="AJ169" s="205">
        <v>-0.50951</v>
      </c>
      <c r="AK169" s="205">
        <v>0.672062</v>
      </c>
      <c r="AL169" s="205">
        <v>-1.07178</v>
      </c>
      <c r="AM169" s="205">
        <v>-0.53819</v>
      </c>
      <c r="AN169" s="205">
        <v>-0.16527</v>
      </c>
      <c r="AO169" s="205">
        <v>-0.99689</v>
      </c>
      <c r="AP169" s="205">
        <v>-1.03202</v>
      </c>
      <c r="AQ169" s="205">
        <v>0.03139</v>
      </c>
      <c r="AR169" s="205">
        <v>0.554829</v>
      </c>
    </row>
    <row r="170">
      <c r="A170" s="205">
        <v>169.0</v>
      </c>
      <c r="B170" s="206"/>
      <c r="C170" s="206"/>
      <c r="D170" s="205">
        <v>-0.34214</v>
      </c>
      <c r="E170" s="205">
        <v>-0.00526</v>
      </c>
      <c r="F170" s="205">
        <v>-0.3921</v>
      </c>
      <c r="G170" s="206"/>
      <c r="H170" s="207" t="s">
        <v>1786</v>
      </c>
      <c r="I170" s="207" t="s">
        <v>121</v>
      </c>
      <c r="J170" s="207" t="s">
        <v>1379</v>
      </c>
      <c r="K170" s="207" t="s">
        <v>1787</v>
      </c>
      <c r="L170" s="206"/>
      <c r="M170" s="207" t="s">
        <v>1373</v>
      </c>
      <c r="N170" s="207" t="s">
        <v>1385</v>
      </c>
      <c r="O170" s="206"/>
      <c r="P170" s="206"/>
      <c r="Q170" s="207">
        <v>4.0</v>
      </c>
      <c r="R170" s="208"/>
      <c r="S170" s="207" t="s">
        <v>1617</v>
      </c>
      <c r="T170" s="205">
        <v>73.0</v>
      </c>
      <c r="U170" s="205">
        <v>14.0</v>
      </c>
      <c r="V170" s="206"/>
      <c r="W170" s="205">
        <v>23.0</v>
      </c>
      <c r="X170" s="205">
        <v>9.584795</v>
      </c>
      <c r="Y170" s="205">
        <v>2.766575</v>
      </c>
      <c r="Z170" s="205">
        <v>2.661781</v>
      </c>
      <c r="AA170" s="205">
        <v>1.973014</v>
      </c>
      <c r="AB170" s="205">
        <v>0.836849</v>
      </c>
      <c r="AC170" s="205">
        <v>0.191644</v>
      </c>
      <c r="AD170" s="205">
        <v>0.421071</v>
      </c>
      <c r="AE170" s="205">
        <v>7.840411</v>
      </c>
      <c r="AF170" s="205">
        <v>0.916133</v>
      </c>
      <c r="AG170" s="205">
        <v>0.235205</v>
      </c>
      <c r="AH170" s="205">
        <v>0.527671</v>
      </c>
      <c r="AI170" s="205">
        <v>15.79618</v>
      </c>
      <c r="AJ170" s="205">
        <v>-1.30741</v>
      </c>
      <c r="AK170" s="205">
        <v>0.973778</v>
      </c>
      <c r="AL170" s="205">
        <v>-1.39383</v>
      </c>
      <c r="AM170" s="205">
        <v>-0.88386</v>
      </c>
      <c r="AN170" s="205">
        <v>-0.52437</v>
      </c>
      <c r="AO170" s="205">
        <v>-0.99787</v>
      </c>
      <c r="AP170" s="205">
        <v>-0.78045</v>
      </c>
      <c r="AQ170" s="205">
        <v>0.08033</v>
      </c>
      <c r="AR170" s="205">
        <v>1.754457</v>
      </c>
    </row>
    <row r="171">
      <c r="A171" s="205">
        <v>170.0</v>
      </c>
      <c r="B171" s="206"/>
      <c r="C171" s="206"/>
      <c r="D171" s="205">
        <v>-0.34973</v>
      </c>
      <c r="E171" s="205">
        <v>-0.00473</v>
      </c>
      <c r="F171" s="205">
        <v>-0.0204</v>
      </c>
      <c r="G171" s="206"/>
      <c r="H171" s="207" t="s">
        <v>1788</v>
      </c>
      <c r="I171" s="207" t="s">
        <v>316</v>
      </c>
      <c r="J171" s="207" t="s">
        <v>1387</v>
      </c>
      <c r="K171" s="207" t="s">
        <v>1789</v>
      </c>
      <c r="L171" s="206"/>
      <c r="M171" s="207" t="s">
        <v>1384</v>
      </c>
      <c r="N171" s="207" t="s">
        <v>1385</v>
      </c>
      <c r="O171" s="206"/>
      <c r="P171" s="206"/>
      <c r="Q171" s="207">
        <v>3.0</v>
      </c>
      <c r="R171" s="208"/>
      <c r="S171" s="207" t="s">
        <v>1402</v>
      </c>
      <c r="T171" s="205">
        <v>68.0</v>
      </c>
      <c r="U171" s="205">
        <v>14.0</v>
      </c>
      <c r="V171" s="206"/>
      <c r="W171" s="205">
        <v>26.0</v>
      </c>
      <c r="X171" s="205">
        <v>11.76338</v>
      </c>
      <c r="Y171" s="205">
        <v>2.120147</v>
      </c>
      <c r="Z171" s="205">
        <v>3.9</v>
      </c>
      <c r="AA171" s="205">
        <v>1.191618</v>
      </c>
      <c r="AB171" s="205">
        <v>0.975</v>
      </c>
      <c r="AC171" s="205">
        <v>0.435882</v>
      </c>
      <c r="AD171" s="205">
        <v>0.420521</v>
      </c>
      <c r="AE171" s="205">
        <v>9.587206</v>
      </c>
      <c r="AF171" s="205">
        <v>0.82399</v>
      </c>
      <c r="AG171" s="205">
        <v>1.9175</v>
      </c>
      <c r="AH171" s="205">
        <v>1.083382</v>
      </c>
      <c r="AI171" s="205">
        <v>19.04662</v>
      </c>
      <c r="AJ171" s="205">
        <v>-0.92502</v>
      </c>
      <c r="AK171" s="205">
        <v>0.352313</v>
      </c>
      <c r="AL171" s="205">
        <v>-0.88958</v>
      </c>
      <c r="AM171" s="205">
        <v>-1.26306</v>
      </c>
      <c r="AN171" s="205">
        <v>-0.11837</v>
      </c>
      <c r="AO171" s="205">
        <v>-0.55799</v>
      </c>
      <c r="AP171" s="205">
        <v>-0.96357</v>
      </c>
      <c r="AQ171" s="205">
        <v>0.17032</v>
      </c>
      <c r="AR171" s="205">
        <v>1.047423</v>
      </c>
    </row>
    <row r="172">
      <c r="A172" s="205">
        <v>171.0</v>
      </c>
      <c r="B172" s="206"/>
      <c r="C172" s="206"/>
      <c r="D172" s="205">
        <v>-0.35381</v>
      </c>
      <c r="E172" s="205">
        <v>-0.00806</v>
      </c>
      <c r="F172" s="205">
        <v>0.174746</v>
      </c>
      <c r="G172" s="206"/>
      <c r="H172" s="207" t="s">
        <v>1790</v>
      </c>
      <c r="I172" s="207" t="s">
        <v>250</v>
      </c>
      <c r="J172" s="207" t="s">
        <v>34</v>
      </c>
      <c r="K172" s="207" t="s">
        <v>1791</v>
      </c>
      <c r="L172" s="206"/>
      <c r="M172" s="207" t="s">
        <v>1373</v>
      </c>
      <c r="N172" s="208"/>
      <c r="O172" s="206"/>
      <c r="P172" s="208"/>
      <c r="Q172" s="207">
        <v>5.0</v>
      </c>
      <c r="R172" s="208"/>
      <c r="S172" s="207" t="s">
        <v>1617</v>
      </c>
      <c r="T172" s="205">
        <v>73.0</v>
      </c>
      <c r="U172" s="205">
        <v>14.0</v>
      </c>
      <c r="V172" s="206"/>
      <c r="W172" s="205">
        <v>22.0</v>
      </c>
      <c r="X172" s="205">
        <v>6.928356</v>
      </c>
      <c r="Y172" s="205">
        <v>0.30411</v>
      </c>
      <c r="Z172" s="205">
        <v>5.647534</v>
      </c>
      <c r="AA172" s="205">
        <v>1.527671</v>
      </c>
      <c r="AB172" s="205">
        <v>0.375068</v>
      </c>
      <c r="AC172" s="205">
        <v>1.573973</v>
      </c>
      <c r="AD172" s="205">
        <v>0.583253</v>
      </c>
      <c r="AE172" s="205">
        <v>4.860548</v>
      </c>
      <c r="AF172" s="205">
        <v>0.739047</v>
      </c>
      <c r="AG172" s="205">
        <v>1.29137</v>
      </c>
      <c r="AH172" s="205">
        <v>0.965616</v>
      </c>
      <c r="AI172" s="205">
        <v>12.48845</v>
      </c>
      <c r="AJ172" s="205">
        <v>-1.77368</v>
      </c>
      <c r="AK172" s="205">
        <v>-1.39359</v>
      </c>
      <c r="AL172" s="205">
        <v>-0.17791</v>
      </c>
      <c r="AM172" s="205">
        <v>-1.09998</v>
      </c>
      <c r="AN172" s="205">
        <v>-1.88148</v>
      </c>
      <c r="AO172" s="205">
        <v>1.491763</v>
      </c>
      <c r="AP172" s="205">
        <v>0.686625</v>
      </c>
      <c r="AQ172" s="205">
        <v>-0.23329</v>
      </c>
      <c r="AR172" s="205">
        <v>1.197257</v>
      </c>
    </row>
    <row r="173">
      <c r="A173" s="205">
        <v>172.0</v>
      </c>
      <c r="B173" s="206"/>
      <c r="C173" s="206"/>
      <c r="D173" s="205">
        <v>-0.35381</v>
      </c>
      <c r="E173" s="205">
        <v>-0.00657</v>
      </c>
      <c r="F173" s="205">
        <v>1.16905</v>
      </c>
      <c r="G173" s="206"/>
      <c r="H173" s="207" t="s">
        <v>1792</v>
      </c>
      <c r="I173" s="207" t="s">
        <v>103</v>
      </c>
      <c r="J173" s="207" t="s">
        <v>1379</v>
      </c>
      <c r="K173" s="207" t="s">
        <v>1793</v>
      </c>
      <c r="L173" s="206"/>
      <c r="M173" s="207" t="s">
        <v>1384</v>
      </c>
      <c r="N173" s="207" t="s">
        <v>1794</v>
      </c>
      <c r="O173" s="206"/>
      <c r="P173" s="208"/>
      <c r="Q173" s="207">
        <v>5.0</v>
      </c>
      <c r="R173" s="208"/>
      <c r="S173" s="207" t="s">
        <v>1617</v>
      </c>
      <c r="T173" s="205">
        <v>58.0</v>
      </c>
      <c r="U173" s="205">
        <v>15.0</v>
      </c>
      <c r="V173" s="206"/>
      <c r="W173" s="205">
        <v>24.0</v>
      </c>
      <c r="X173" s="205">
        <v>7.233966</v>
      </c>
      <c r="Y173" s="205">
        <v>1.517414</v>
      </c>
      <c r="Z173" s="205">
        <v>3.055517</v>
      </c>
      <c r="AA173" s="205">
        <v>5.043966</v>
      </c>
      <c r="AB173" s="205">
        <v>1.012241</v>
      </c>
      <c r="AC173" s="205">
        <v>0.243448</v>
      </c>
      <c r="AD173" s="205">
        <v>0.424589</v>
      </c>
      <c r="AE173" s="205">
        <v>6.110172</v>
      </c>
      <c r="AF173" s="205">
        <v>0.863995</v>
      </c>
      <c r="AG173" s="205">
        <v>0.611034</v>
      </c>
      <c r="AH173" s="205">
        <v>1.313966</v>
      </c>
      <c r="AI173" s="205">
        <v>14.31347</v>
      </c>
      <c r="AJ173" s="205">
        <v>-1.72004</v>
      </c>
      <c r="AK173" s="205">
        <v>-0.22714</v>
      </c>
      <c r="AL173" s="205">
        <v>-1.23349</v>
      </c>
      <c r="AM173" s="205">
        <v>0.606406</v>
      </c>
      <c r="AN173" s="205">
        <v>-0.00892</v>
      </c>
      <c r="AO173" s="205">
        <v>-0.90457</v>
      </c>
      <c r="AP173" s="205">
        <v>-0.57496</v>
      </c>
      <c r="AQ173" s="205">
        <v>0.124366</v>
      </c>
      <c r="AR173" s="205">
        <v>0.75405</v>
      </c>
    </row>
    <row r="174">
      <c r="A174" s="205">
        <v>173.0</v>
      </c>
      <c r="B174" s="206"/>
      <c r="C174" s="206"/>
      <c r="D174" s="205">
        <v>-0.35854</v>
      </c>
      <c r="E174" s="205">
        <v>-0.00612</v>
      </c>
      <c r="F174" s="205">
        <v>-0.48502</v>
      </c>
      <c r="G174" s="206"/>
      <c r="H174" s="207" t="s">
        <v>1795</v>
      </c>
      <c r="I174" s="207" t="s">
        <v>271</v>
      </c>
      <c r="J174" s="207" t="s">
        <v>1412</v>
      </c>
      <c r="K174" s="207" t="s">
        <v>1796</v>
      </c>
      <c r="L174" s="206"/>
      <c r="M174" s="207" t="s">
        <v>1384</v>
      </c>
      <c r="N174" s="207" t="s">
        <v>1503</v>
      </c>
      <c r="O174" s="206"/>
      <c r="P174" s="208"/>
      <c r="Q174" s="207">
        <v>5.0</v>
      </c>
      <c r="R174" s="208"/>
      <c r="S174" s="207" t="s">
        <v>1402</v>
      </c>
      <c r="T174" s="205">
        <v>68.0</v>
      </c>
      <c r="U174" s="205">
        <v>13.0</v>
      </c>
      <c r="V174" s="206"/>
      <c r="W174" s="205">
        <v>26.0</v>
      </c>
      <c r="X174" s="205">
        <v>11.45897</v>
      </c>
      <c r="Y174" s="205">
        <v>1.364853</v>
      </c>
      <c r="Z174" s="205">
        <v>2.760294</v>
      </c>
      <c r="AA174" s="205">
        <v>3.603235</v>
      </c>
      <c r="AB174" s="205">
        <v>0.873824</v>
      </c>
      <c r="AC174" s="205">
        <v>0.345</v>
      </c>
      <c r="AD174" s="205">
        <v>0.506948</v>
      </c>
      <c r="AE174" s="205">
        <v>8.900735</v>
      </c>
      <c r="AF174" s="205">
        <v>0.790051</v>
      </c>
      <c r="AG174" s="205">
        <v>1.353971</v>
      </c>
      <c r="AH174" s="205">
        <v>1.521029</v>
      </c>
      <c r="AI174" s="205">
        <v>17.6222</v>
      </c>
      <c r="AJ174" s="205">
        <v>-0.97846</v>
      </c>
      <c r="AK174" s="205">
        <v>-0.37381</v>
      </c>
      <c r="AL174" s="205">
        <v>-1.35371</v>
      </c>
      <c r="AM174" s="205">
        <v>-0.09275</v>
      </c>
      <c r="AN174" s="205">
        <v>-0.41571</v>
      </c>
      <c r="AO174" s="205">
        <v>-0.72167</v>
      </c>
      <c r="AP174" s="205">
        <v>0.245709</v>
      </c>
      <c r="AQ174" s="205">
        <v>-0.02707</v>
      </c>
      <c r="AR174" s="205">
        <v>0.490602</v>
      </c>
    </row>
    <row r="175">
      <c r="A175" s="205">
        <v>174.0</v>
      </c>
      <c r="B175" s="206"/>
      <c r="C175" s="206"/>
      <c r="D175" s="205">
        <v>-0.36898</v>
      </c>
      <c r="E175" s="205">
        <v>-0.00578</v>
      </c>
      <c r="F175" s="205">
        <v>0.36989</v>
      </c>
      <c r="G175" s="206"/>
      <c r="H175" s="207" t="s">
        <v>1797</v>
      </c>
      <c r="I175" s="207" t="s">
        <v>316</v>
      </c>
      <c r="J175" s="207" t="s">
        <v>34</v>
      </c>
      <c r="K175" s="207" t="s">
        <v>1798</v>
      </c>
      <c r="L175" s="206"/>
      <c r="M175" s="207" t="s">
        <v>1384</v>
      </c>
      <c r="N175" s="207" t="s">
        <v>1385</v>
      </c>
      <c r="O175" s="206"/>
      <c r="P175" s="206"/>
      <c r="Q175" s="207">
        <v>3.0</v>
      </c>
      <c r="R175" s="208"/>
      <c r="S175" s="207" t="s">
        <v>1617</v>
      </c>
      <c r="T175" s="205">
        <v>68.0</v>
      </c>
      <c r="U175" s="205">
        <v>14.0</v>
      </c>
      <c r="V175" s="206"/>
      <c r="W175" s="205">
        <v>19.0</v>
      </c>
      <c r="X175" s="205">
        <v>8.641471</v>
      </c>
      <c r="Y175" s="205">
        <v>0.304412</v>
      </c>
      <c r="Z175" s="205">
        <v>7.3625</v>
      </c>
      <c r="AA175" s="205">
        <v>1.903971</v>
      </c>
      <c r="AB175" s="205">
        <v>0.593824</v>
      </c>
      <c r="AC175" s="205">
        <v>0.940735</v>
      </c>
      <c r="AD175" s="205">
        <v>0.529218</v>
      </c>
      <c r="AE175" s="205">
        <v>7.046471</v>
      </c>
      <c r="AF175" s="205">
        <v>0.69295</v>
      </c>
      <c r="AG175" s="205">
        <v>1.268235</v>
      </c>
      <c r="AH175" s="205">
        <v>1.266618</v>
      </c>
      <c r="AI175" s="205">
        <v>20.08069</v>
      </c>
      <c r="AJ175" s="205">
        <v>-1.47299</v>
      </c>
      <c r="AK175" s="205">
        <v>-1.3933</v>
      </c>
      <c r="AL175" s="205">
        <v>0.520502</v>
      </c>
      <c r="AM175" s="205">
        <v>-0.91737</v>
      </c>
      <c r="AN175" s="205">
        <v>-1.23859</v>
      </c>
      <c r="AO175" s="205">
        <v>0.351273</v>
      </c>
      <c r="AP175" s="205">
        <v>0.428371</v>
      </c>
      <c r="AQ175" s="205">
        <v>-0.41304</v>
      </c>
      <c r="AR175" s="205">
        <v>0.814291</v>
      </c>
    </row>
    <row r="176">
      <c r="A176" s="205">
        <v>175.0</v>
      </c>
      <c r="B176" s="206"/>
      <c r="C176" s="206"/>
      <c r="D176" s="205">
        <v>-0.36994</v>
      </c>
      <c r="E176" s="205">
        <v>-0.00622</v>
      </c>
      <c r="F176" s="205">
        <v>0.40706</v>
      </c>
      <c r="G176" s="206"/>
      <c r="H176" s="207" t="s">
        <v>1799</v>
      </c>
      <c r="I176" s="207" t="s">
        <v>121</v>
      </c>
      <c r="J176" s="207" t="s">
        <v>1395</v>
      </c>
      <c r="K176" s="207" t="s">
        <v>1800</v>
      </c>
      <c r="L176" s="206"/>
      <c r="M176" s="207" t="s">
        <v>1384</v>
      </c>
      <c r="N176" s="207" t="s">
        <v>1801</v>
      </c>
      <c r="O176" s="206"/>
      <c r="P176" s="208"/>
      <c r="Q176" s="207">
        <v>3.0</v>
      </c>
      <c r="R176" s="208"/>
      <c r="S176" s="207" t="s">
        <v>1617</v>
      </c>
      <c r="T176" s="205">
        <v>59.0</v>
      </c>
      <c r="U176" s="205">
        <v>14.0</v>
      </c>
      <c r="V176" s="206"/>
      <c r="W176" s="205">
        <v>22.0</v>
      </c>
      <c r="X176" s="205">
        <v>7.270169</v>
      </c>
      <c r="Y176" s="205">
        <v>0.89322</v>
      </c>
      <c r="Z176" s="205">
        <v>4.767966</v>
      </c>
      <c r="AA176" s="205">
        <v>1.897966</v>
      </c>
      <c r="AB176" s="205">
        <v>1.030169</v>
      </c>
      <c r="AC176" s="205">
        <v>0.413729</v>
      </c>
      <c r="AD176" s="205">
        <v>0.476707</v>
      </c>
      <c r="AE176" s="205">
        <v>6.20322</v>
      </c>
      <c r="AF176" s="205">
        <v>0.745902</v>
      </c>
      <c r="AG176" s="205">
        <v>0.620339</v>
      </c>
      <c r="AH176" s="205">
        <v>0.782203</v>
      </c>
      <c r="AI176" s="205">
        <v>14.14922</v>
      </c>
      <c r="AJ176" s="205">
        <v>-1.71368</v>
      </c>
      <c r="AK176" s="205">
        <v>-0.82723</v>
      </c>
      <c r="AL176" s="205">
        <v>-0.5361</v>
      </c>
      <c r="AM176" s="205">
        <v>-0.92028</v>
      </c>
      <c r="AN176" s="205">
        <v>0.043766</v>
      </c>
      <c r="AO176" s="205">
        <v>-0.59789</v>
      </c>
      <c r="AP176" s="205">
        <v>-0.10477</v>
      </c>
      <c r="AQ176" s="205">
        <v>-0.10384</v>
      </c>
      <c r="AR176" s="205">
        <v>1.430614</v>
      </c>
    </row>
    <row r="177">
      <c r="A177" s="205">
        <v>176.0</v>
      </c>
      <c r="B177" s="206"/>
      <c r="C177" s="206"/>
      <c r="D177" s="205">
        <v>-0.37156</v>
      </c>
      <c r="E177" s="205">
        <v>-0.00542</v>
      </c>
      <c r="F177" s="205">
        <v>-0.05757</v>
      </c>
      <c r="G177" s="206"/>
      <c r="H177" s="207" t="s">
        <v>1802</v>
      </c>
      <c r="I177" s="207" t="s">
        <v>89</v>
      </c>
      <c r="J177" s="207" t="s">
        <v>1379</v>
      </c>
      <c r="K177" s="207" t="s">
        <v>1803</v>
      </c>
      <c r="L177" s="206"/>
      <c r="M177" s="207" t="s">
        <v>1373</v>
      </c>
      <c r="N177" s="208"/>
      <c r="O177" s="206"/>
      <c r="P177" s="206"/>
      <c r="Q177" s="207">
        <v>2.0</v>
      </c>
      <c r="R177" s="208"/>
      <c r="S177" s="207" t="s">
        <v>1617</v>
      </c>
      <c r="T177" s="205">
        <v>73.0</v>
      </c>
      <c r="U177" s="205">
        <v>13.0</v>
      </c>
      <c r="V177" s="206"/>
      <c r="W177" s="205">
        <v>24.0</v>
      </c>
      <c r="X177" s="205">
        <v>8.527945</v>
      </c>
      <c r="Y177" s="205">
        <v>1.66726</v>
      </c>
      <c r="Z177" s="205">
        <v>4.04</v>
      </c>
      <c r="AA177" s="205">
        <v>2.171507</v>
      </c>
      <c r="AB177" s="205">
        <v>0.833562</v>
      </c>
      <c r="AC177" s="205">
        <v>0.247671</v>
      </c>
      <c r="AD177" s="205">
        <v>0.437345</v>
      </c>
      <c r="AE177" s="205">
        <v>6.867397</v>
      </c>
      <c r="AF177" s="205">
        <v>0.888018</v>
      </c>
      <c r="AG177" s="205">
        <v>0.961507</v>
      </c>
      <c r="AH177" s="205">
        <v>0.706986</v>
      </c>
      <c r="AI177" s="205">
        <v>14.27261</v>
      </c>
      <c r="AJ177" s="205">
        <v>-1.49291</v>
      </c>
      <c r="AK177" s="205">
        <v>-0.08308</v>
      </c>
      <c r="AL177" s="205">
        <v>-0.83256</v>
      </c>
      <c r="AM177" s="205">
        <v>-0.78754</v>
      </c>
      <c r="AN177" s="205">
        <v>-0.53404</v>
      </c>
      <c r="AO177" s="205">
        <v>-0.89697</v>
      </c>
      <c r="AP177" s="205">
        <v>-0.5172</v>
      </c>
      <c r="AQ177" s="205">
        <v>0.273972</v>
      </c>
      <c r="AR177" s="205">
        <v>1.526314</v>
      </c>
    </row>
    <row r="178">
      <c r="A178" s="205">
        <v>177.0</v>
      </c>
      <c r="B178" s="206"/>
      <c r="C178" s="206"/>
      <c r="D178" s="205">
        <v>-0.37258</v>
      </c>
      <c r="E178" s="205">
        <v>-0.03105</v>
      </c>
      <c r="F178" s="205">
        <v>-0.5222</v>
      </c>
      <c r="G178" s="206"/>
      <c r="H178" s="207" t="s">
        <v>1804</v>
      </c>
      <c r="I178" s="207" t="s">
        <v>287</v>
      </c>
      <c r="J178" s="207" t="s">
        <v>1379</v>
      </c>
      <c r="K178" s="207" t="s">
        <v>1805</v>
      </c>
      <c r="L178" s="207" t="s">
        <v>1806</v>
      </c>
      <c r="M178" s="207" t="s">
        <v>1384</v>
      </c>
      <c r="N178" s="208"/>
      <c r="O178" s="206"/>
      <c r="P178" s="208"/>
      <c r="Q178" s="207">
        <v>2.0</v>
      </c>
      <c r="R178" s="207" t="s">
        <v>1635</v>
      </c>
      <c r="S178" s="207" t="s">
        <v>1617</v>
      </c>
      <c r="T178" s="205">
        <v>51.0</v>
      </c>
      <c r="U178" s="205">
        <v>15.0</v>
      </c>
      <c r="V178" s="206"/>
      <c r="W178" s="205">
        <v>31.0</v>
      </c>
      <c r="X178" s="205">
        <v>16.64647</v>
      </c>
      <c r="Y178" s="205">
        <v>2.28902</v>
      </c>
      <c r="Z178" s="205">
        <v>3.491373</v>
      </c>
      <c r="AA178" s="205">
        <v>6.531176</v>
      </c>
      <c r="AB178" s="205">
        <v>0.988039</v>
      </c>
      <c r="AC178" s="205">
        <v>0.193529</v>
      </c>
      <c r="AD178" s="205">
        <v>0.433899</v>
      </c>
      <c r="AE178" s="205">
        <v>13.30706</v>
      </c>
      <c r="AF178" s="205">
        <v>0.782023</v>
      </c>
      <c r="AG178" s="205">
        <v>3.592745</v>
      </c>
      <c r="AH178" s="205">
        <v>3.301961</v>
      </c>
      <c r="AI178" s="205">
        <v>24.38057</v>
      </c>
      <c r="AJ178" s="205">
        <v>-0.06793</v>
      </c>
      <c r="AK178" s="205">
        <v>0.514664</v>
      </c>
      <c r="AL178" s="205">
        <v>-1.05599</v>
      </c>
      <c r="AM178" s="205">
        <v>1.328118</v>
      </c>
      <c r="AN178" s="205">
        <v>-0.08005</v>
      </c>
      <c r="AO178" s="205">
        <v>-0.99448</v>
      </c>
      <c r="AP178" s="205">
        <v>-1.07612</v>
      </c>
      <c r="AQ178" s="205">
        <v>-0.14614</v>
      </c>
      <c r="AR178" s="205">
        <v>-1.77529</v>
      </c>
    </row>
    <row r="179">
      <c r="A179" s="205">
        <v>178.0</v>
      </c>
      <c r="B179" s="206"/>
      <c r="C179" s="206"/>
      <c r="D179" s="205">
        <v>-0.37304</v>
      </c>
      <c r="E179" s="205">
        <v>-0.00362</v>
      </c>
      <c r="F179" s="205">
        <v>0.723007</v>
      </c>
      <c r="G179" s="206"/>
      <c r="H179" s="207" t="s">
        <v>1807</v>
      </c>
      <c r="I179" s="207" t="s">
        <v>193</v>
      </c>
      <c r="J179" s="207" t="s">
        <v>1387</v>
      </c>
      <c r="K179" s="207" t="s">
        <v>1808</v>
      </c>
      <c r="L179" s="206"/>
      <c r="M179" s="207" t="s">
        <v>1384</v>
      </c>
      <c r="N179" s="207" t="s">
        <v>1414</v>
      </c>
      <c r="O179" s="206"/>
      <c r="P179" s="206"/>
      <c r="Q179" s="207">
        <v>2.0</v>
      </c>
      <c r="R179" s="208"/>
      <c r="S179" s="207" t="s">
        <v>1402</v>
      </c>
      <c r="T179" s="205">
        <v>68.0</v>
      </c>
      <c r="U179" s="205">
        <v>15.0</v>
      </c>
      <c r="V179" s="206"/>
      <c r="W179" s="205">
        <v>26.0</v>
      </c>
      <c r="X179" s="205">
        <v>10.05279</v>
      </c>
      <c r="Y179" s="205">
        <v>1.708676</v>
      </c>
      <c r="Z179" s="205">
        <v>4.299706</v>
      </c>
      <c r="AA179" s="205">
        <v>3.025735</v>
      </c>
      <c r="AB179" s="205">
        <v>0.828235</v>
      </c>
      <c r="AC179" s="205">
        <v>0.323529</v>
      </c>
      <c r="AD179" s="205">
        <v>0.464708</v>
      </c>
      <c r="AE179" s="205">
        <v>7.856618</v>
      </c>
      <c r="AF179" s="205">
        <v>0.828966</v>
      </c>
      <c r="AG179" s="205">
        <v>1.257059</v>
      </c>
      <c r="AH179" s="205">
        <v>1.539412</v>
      </c>
      <c r="AI179" s="205">
        <v>17.07666</v>
      </c>
      <c r="AJ179" s="205">
        <v>-1.22527</v>
      </c>
      <c r="AK179" s="205">
        <v>-0.04327</v>
      </c>
      <c r="AL179" s="205">
        <v>-0.7268</v>
      </c>
      <c r="AM179" s="205">
        <v>-0.373</v>
      </c>
      <c r="AN179" s="205">
        <v>-0.54969</v>
      </c>
      <c r="AO179" s="205">
        <v>-0.76034</v>
      </c>
      <c r="AP179" s="205">
        <v>-0.27409</v>
      </c>
      <c r="AQ179" s="205">
        <v>0.12791</v>
      </c>
      <c r="AR179" s="205">
        <v>0.467214</v>
      </c>
    </row>
    <row r="180">
      <c r="A180" s="205">
        <v>179.0</v>
      </c>
      <c r="B180" s="206"/>
      <c r="C180" s="206"/>
      <c r="D180" s="205">
        <v>-0.37809</v>
      </c>
      <c r="E180" s="205">
        <v>-2.9E-4</v>
      </c>
      <c r="F180" s="205">
        <v>-1.84174</v>
      </c>
      <c r="G180" s="206"/>
      <c r="H180" s="207" t="s">
        <v>1809</v>
      </c>
      <c r="I180" s="207" t="s">
        <v>138</v>
      </c>
      <c r="J180" s="207" t="s">
        <v>1412</v>
      </c>
      <c r="K180" s="207" t="s">
        <v>1810</v>
      </c>
      <c r="L180" s="206"/>
      <c r="M180" s="207" t="s">
        <v>1373</v>
      </c>
      <c r="N180" s="208"/>
      <c r="O180" s="206"/>
      <c r="P180" s="208"/>
      <c r="Q180" s="207">
        <v>2.0</v>
      </c>
      <c r="R180" s="208"/>
      <c r="S180" s="207" t="s">
        <v>1375</v>
      </c>
      <c r="T180" s="205">
        <v>73.0</v>
      </c>
      <c r="U180" s="205">
        <v>15.0</v>
      </c>
      <c r="V180" s="206"/>
      <c r="W180" s="205">
        <v>31.0</v>
      </c>
      <c r="X180" s="205">
        <v>17.68466</v>
      </c>
      <c r="Y180" s="205">
        <v>1.590822</v>
      </c>
      <c r="Z180" s="205">
        <v>5.986849</v>
      </c>
      <c r="AA180" s="205">
        <v>3.991233</v>
      </c>
      <c r="AB180" s="205">
        <v>0.797671</v>
      </c>
      <c r="AC180" s="205">
        <v>0.266164</v>
      </c>
      <c r="AD180" s="205">
        <v>0.461318</v>
      </c>
      <c r="AE180" s="205">
        <v>14.36918</v>
      </c>
      <c r="AF180" s="205">
        <v>0.704995</v>
      </c>
      <c r="AG180" s="205">
        <v>4.023151</v>
      </c>
      <c r="AH180" s="205">
        <v>2.062192</v>
      </c>
      <c r="AI180" s="205">
        <v>24.62161</v>
      </c>
      <c r="AJ180" s="205">
        <v>0.114291</v>
      </c>
      <c r="AK180" s="205">
        <v>-0.15657</v>
      </c>
      <c r="AL180" s="205">
        <v>-0.03972</v>
      </c>
      <c r="AM180" s="205">
        <v>0.095536</v>
      </c>
      <c r="AN180" s="205">
        <v>-0.63951</v>
      </c>
      <c r="AO180" s="205">
        <v>-0.86366</v>
      </c>
      <c r="AP180" s="205">
        <v>-0.57874</v>
      </c>
      <c r="AQ180" s="205">
        <v>-1.13647</v>
      </c>
      <c r="AR180" s="205">
        <v>-0.19792</v>
      </c>
    </row>
    <row r="181">
      <c r="A181" s="205">
        <v>180.0</v>
      </c>
      <c r="B181" s="206"/>
      <c r="C181" s="206"/>
      <c r="D181" s="205">
        <v>-0.38309</v>
      </c>
      <c r="E181" s="205">
        <v>-0.00569</v>
      </c>
      <c r="F181" s="205">
        <v>-1.03329</v>
      </c>
      <c r="G181" s="206"/>
      <c r="H181" s="207" t="s">
        <v>1811</v>
      </c>
      <c r="I181" s="207" t="s">
        <v>204</v>
      </c>
      <c r="J181" s="207" t="s">
        <v>1387</v>
      </c>
      <c r="K181" s="207" t="s">
        <v>1812</v>
      </c>
      <c r="L181" s="206"/>
      <c r="M181" s="207" t="s">
        <v>1373</v>
      </c>
      <c r="N181" s="207" t="s">
        <v>1754</v>
      </c>
      <c r="O181" s="206"/>
      <c r="P181" s="206"/>
      <c r="Q181" s="207">
        <v>4.0</v>
      </c>
      <c r="R181" s="208"/>
      <c r="S181" s="207" t="s">
        <v>1402</v>
      </c>
      <c r="T181" s="205">
        <v>73.0</v>
      </c>
      <c r="U181" s="205">
        <v>14.0</v>
      </c>
      <c r="V181" s="206"/>
      <c r="W181" s="205">
        <v>30.0</v>
      </c>
      <c r="X181" s="205">
        <v>9.590411</v>
      </c>
      <c r="Y181" s="205">
        <v>2.227534</v>
      </c>
      <c r="Z181" s="205">
        <v>3.787534</v>
      </c>
      <c r="AA181" s="205">
        <v>1.325616</v>
      </c>
      <c r="AB181" s="205">
        <v>0.98589</v>
      </c>
      <c r="AC181" s="205">
        <v>0.384795</v>
      </c>
      <c r="AD181" s="205">
        <v>0.423442</v>
      </c>
      <c r="AE181" s="205">
        <v>8.205753</v>
      </c>
      <c r="AF181" s="205">
        <v>0.72001</v>
      </c>
      <c r="AG181" s="205">
        <v>0.574384</v>
      </c>
      <c r="AH181" s="205">
        <v>0.959726</v>
      </c>
      <c r="AI181" s="205">
        <v>12.88213</v>
      </c>
      <c r="AJ181" s="205">
        <v>-1.30643</v>
      </c>
      <c r="AK181" s="205">
        <v>0.455553</v>
      </c>
      <c r="AL181" s="205">
        <v>-0.93538</v>
      </c>
      <c r="AM181" s="205">
        <v>-1.19803</v>
      </c>
      <c r="AN181" s="205">
        <v>-0.08636</v>
      </c>
      <c r="AO181" s="205">
        <v>-0.65</v>
      </c>
      <c r="AP181" s="205">
        <v>-0.78829</v>
      </c>
      <c r="AQ181" s="205">
        <v>-0.14363</v>
      </c>
      <c r="AR181" s="205">
        <v>1.204751</v>
      </c>
    </row>
    <row r="182">
      <c r="A182" s="205">
        <v>181.0</v>
      </c>
      <c r="B182" s="206"/>
      <c r="C182" s="206"/>
      <c r="D182" s="205">
        <v>-0.38407</v>
      </c>
      <c r="E182" s="205">
        <v>-0.00458</v>
      </c>
      <c r="F182" s="205">
        <v>0.100406</v>
      </c>
      <c r="G182" s="206"/>
      <c r="H182" s="207" t="s">
        <v>1813</v>
      </c>
      <c r="I182" s="207" t="s">
        <v>160</v>
      </c>
      <c r="J182" s="207" t="s">
        <v>34</v>
      </c>
      <c r="K182" s="207" t="s">
        <v>1814</v>
      </c>
      <c r="L182" s="206"/>
      <c r="M182" s="207" t="s">
        <v>1373</v>
      </c>
      <c r="N182" s="208"/>
      <c r="O182" s="206"/>
      <c r="P182" s="206"/>
      <c r="Q182" s="207">
        <v>3.0</v>
      </c>
      <c r="R182" s="208"/>
      <c r="S182" s="207" t="s">
        <v>1402</v>
      </c>
      <c r="T182" s="205">
        <v>73.0</v>
      </c>
      <c r="U182" s="205">
        <v>16.0</v>
      </c>
      <c r="V182" s="206"/>
      <c r="W182" s="205">
        <v>22.0</v>
      </c>
      <c r="X182" s="205">
        <v>9.221233</v>
      </c>
      <c r="Y182" s="205">
        <v>0.032466</v>
      </c>
      <c r="Z182" s="205">
        <v>7.562466</v>
      </c>
      <c r="AA182" s="205">
        <v>0.916712</v>
      </c>
      <c r="AB182" s="205">
        <v>0.897808</v>
      </c>
      <c r="AC182" s="205">
        <v>0.641644</v>
      </c>
      <c r="AD182" s="205">
        <v>0.620212</v>
      </c>
      <c r="AE182" s="205">
        <v>6.004795</v>
      </c>
      <c r="AF182" s="205">
        <v>0.64</v>
      </c>
      <c r="AG182" s="205">
        <v>2.719178</v>
      </c>
      <c r="AH182" s="205">
        <v>1.083151</v>
      </c>
      <c r="AI182" s="205">
        <v>16.18765</v>
      </c>
      <c r="AJ182" s="205">
        <v>-1.37123</v>
      </c>
      <c r="AK182" s="205">
        <v>-1.65475</v>
      </c>
      <c r="AL182" s="205">
        <v>0.601937</v>
      </c>
      <c r="AM182" s="205">
        <v>-1.39646</v>
      </c>
      <c r="AN182" s="205">
        <v>-0.34522</v>
      </c>
      <c r="AO182" s="205">
        <v>-0.1874</v>
      </c>
      <c r="AP182" s="205">
        <v>1.175599</v>
      </c>
      <c r="AQ182" s="205">
        <v>-1.32681</v>
      </c>
      <c r="AR182" s="205">
        <v>1.047717</v>
      </c>
    </row>
    <row r="183">
      <c r="A183" s="205">
        <v>182.0</v>
      </c>
      <c r="B183" s="208"/>
      <c r="C183" s="208"/>
      <c r="D183" s="205">
        <v>-0.38718</v>
      </c>
      <c r="E183" s="205">
        <v>-0.00313</v>
      </c>
      <c r="F183" s="205">
        <v>0.853103</v>
      </c>
      <c r="G183" s="206"/>
      <c r="H183" s="207" t="s">
        <v>1815</v>
      </c>
      <c r="I183" s="207" t="s">
        <v>168</v>
      </c>
      <c r="J183" s="207" t="s">
        <v>1379</v>
      </c>
      <c r="K183" s="207" t="s">
        <v>1816</v>
      </c>
      <c r="L183" s="206"/>
      <c r="M183" s="207" t="s">
        <v>1373</v>
      </c>
      <c r="N183" s="207" t="s">
        <v>1754</v>
      </c>
      <c r="O183" s="206"/>
      <c r="P183" s="206"/>
      <c r="Q183" s="207">
        <v>3.0</v>
      </c>
      <c r="R183" s="208"/>
      <c r="S183" s="207" t="s">
        <v>1375</v>
      </c>
      <c r="T183" s="205">
        <v>73.0</v>
      </c>
      <c r="U183" s="205">
        <v>14.0</v>
      </c>
      <c r="V183" s="206"/>
      <c r="W183" s="205">
        <v>31.0</v>
      </c>
      <c r="X183" s="205">
        <v>13.20507</v>
      </c>
      <c r="Y183" s="205">
        <v>1.514795</v>
      </c>
      <c r="Z183" s="205">
        <v>3.006986</v>
      </c>
      <c r="AA183" s="205">
        <v>6.230137</v>
      </c>
      <c r="AB183" s="205">
        <v>0.814384</v>
      </c>
      <c r="AC183" s="205">
        <v>0.184521</v>
      </c>
      <c r="AD183" s="205">
        <v>0.409561</v>
      </c>
      <c r="AE183" s="205">
        <v>10.96329</v>
      </c>
      <c r="AF183" s="205">
        <v>0.823983</v>
      </c>
      <c r="AG183" s="205">
        <v>3.288904</v>
      </c>
      <c r="AH183" s="205">
        <v>1.850822</v>
      </c>
      <c r="AI183" s="205">
        <v>20.64874</v>
      </c>
      <c r="AJ183" s="205">
        <v>-0.67198</v>
      </c>
      <c r="AK183" s="205">
        <v>-0.22966</v>
      </c>
      <c r="AL183" s="205">
        <v>-1.25325</v>
      </c>
      <c r="AM183" s="205">
        <v>1.18203</v>
      </c>
      <c r="AN183" s="205">
        <v>-0.5904</v>
      </c>
      <c r="AO183" s="205">
        <v>-1.0107</v>
      </c>
      <c r="AP183" s="205">
        <v>-1.28082</v>
      </c>
      <c r="AQ183" s="205">
        <v>0.299137</v>
      </c>
      <c r="AR183" s="205">
        <v>0.071005</v>
      </c>
    </row>
    <row r="184">
      <c r="A184" s="205">
        <v>183.0</v>
      </c>
      <c r="B184" s="208"/>
      <c r="C184" s="208"/>
      <c r="D184" s="205">
        <v>-0.38902</v>
      </c>
      <c r="E184" s="205">
        <v>-0.00472</v>
      </c>
      <c r="F184" s="205">
        <v>-0.46644</v>
      </c>
      <c r="G184" s="206"/>
      <c r="H184" s="207" t="s">
        <v>1817</v>
      </c>
      <c r="I184" s="207" t="s">
        <v>271</v>
      </c>
      <c r="J184" s="207" t="s">
        <v>34</v>
      </c>
      <c r="K184" s="207" t="s">
        <v>1818</v>
      </c>
      <c r="L184" s="206"/>
      <c r="M184" s="207" t="s">
        <v>1384</v>
      </c>
      <c r="N184" s="208"/>
      <c r="O184" s="206"/>
      <c r="P184" s="206"/>
      <c r="Q184" s="207">
        <v>2.0</v>
      </c>
      <c r="R184" s="208"/>
      <c r="S184" s="207" t="s">
        <v>1617</v>
      </c>
      <c r="T184" s="205">
        <v>59.0</v>
      </c>
      <c r="U184" s="205">
        <v>13.0</v>
      </c>
      <c r="V184" s="206"/>
      <c r="W184" s="205">
        <v>17.0</v>
      </c>
      <c r="X184" s="205">
        <v>9.186271</v>
      </c>
      <c r="Y184" s="205">
        <v>1.094068</v>
      </c>
      <c r="Z184" s="205">
        <v>6.482712</v>
      </c>
      <c r="AA184" s="205">
        <v>1.17678</v>
      </c>
      <c r="AB184" s="205">
        <v>0.297966</v>
      </c>
      <c r="AC184" s="205">
        <v>0.732034</v>
      </c>
      <c r="AD184" s="205">
        <v>0.499502</v>
      </c>
      <c r="AE184" s="205">
        <v>7.145763</v>
      </c>
      <c r="AF184" s="205">
        <v>0.784987</v>
      </c>
      <c r="AG184" s="205">
        <v>1.214746</v>
      </c>
      <c r="AH184" s="205">
        <v>0.589322</v>
      </c>
      <c r="AI184" s="205">
        <v>20.22945</v>
      </c>
      <c r="AJ184" s="205">
        <v>-1.37736</v>
      </c>
      <c r="AK184" s="205">
        <v>-0.63414</v>
      </c>
      <c r="AL184" s="205">
        <v>0.162215</v>
      </c>
      <c r="AM184" s="205">
        <v>-1.27026</v>
      </c>
      <c r="AN184" s="205">
        <v>-2.10807</v>
      </c>
      <c r="AO184" s="205">
        <v>-0.02461</v>
      </c>
      <c r="AP184" s="205">
        <v>0.119687</v>
      </c>
      <c r="AQ184" s="205">
        <v>-0.04464</v>
      </c>
      <c r="AR184" s="205">
        <v>1.676019</v>
      </c>
    </row>
    <row r="185">
      <c r="A185" s="205">
        <v>184.0</v>
      </c>
      <c r="B185" s="206"/>
      <c r="C185" s="206"/>
      <c r="D185" s="205">
        <v>-0.39201</v>
      </c>
      <c r="E185" s="205">
        <v>-0.00165</v>
      </c>
      <c r="F185" s="205">
        <v>-0.30847</v>
      </c>
      <c r="G185" s="206"/>
      <c r="H185" s="207" t="s">
        <v>1819</v>
      </c>
      <c r="I185" s="207" t="s">
        <v>172</v>
      </c>
      <c r="J185" s="207" t="s">
        <v>1379</v>
      </c>
      <c r="K185" s="207" t="s">
        <v>1820</v>
      </c>
      <c r="L185" s="206"/>
      <c r="M185" s="207" t="s">
        <v>1384</v>
      </c>
      <c r="N185" s="208"/>
      <c r="O185" s="206"/>
      <c r="P185" s="208"/>
      <c r="Q185" s="207">
        <v>1.0</v>
      </c>
      <c r="R185" s="208"/>
      <c r="S185" s="207" t="s">
        <v>1402</v>
      </c>
      <c r="T185" s="205">
        <v>68.0</v>
      </c>
      <c r="U185" s="205">
        <v>15.0</v>
      </c>
      <c r="V185" s="206"/>
      <c r="W185" s="205">
        <v>30.0</v>
      </c>
      <c r="X185" s="205">
        <v>17.63132</v>
      </c>
      <c r="Y185" s="205">
        <v>2.700588</v>
      </c>
      <c r="Z185" s="205">
        <v>3.3475</v>
      </c>
      <c r="AA185" s="205">
        <v>4.506176</v>
      </c>
      <c r="AB185" s="205">
        <v>0.574559</v>
      </c>
      <c r="AC185" s="205">
        <v>0.129412</v>
      </c>
      <c r="AD185" s="205">
        <v>0.410038</v>
      </c>
      <c r="AE185" s="205">
        <v>13.97</v>
      </c>
      <c r="AF185" s="205">
        <v>0.829006</v>
      </c>
      <c r="AG185" s="205">
        <v>4.190882</v>
      </c>
      <c r="AH185" s="205">
        <v>2.06</v>
      </c>
      <c r="AI185" s="205">
        <v>24.60889</v>
      </c>
      <c r="AJ185" s="205">
        <v>0.104929</v>
      </c>
      <c r="AK185" s="205">
        <v>0.910339</v>
      </c>
      <c r="AL185" s="205">
        <v>-1.11458</v>
      </c>
      <c r="AM185" s="205">
        <v>0.345428</v>
      </c>
      <c r="AN185" s="205">
        <v>-1.29521</v>
      </c>
      <c r="AO185" s="205">
        <v>-1.10996</v>
      </c>
      <c r="AP185" s="205">
        <v>-1.62396</v>
      </c>
      <c r="AQ185" s="205">
        <v>0.450051</v>
      </c>
      <c r="AR185" s="205">
        <v>-0.19513</v>
      </c>
    </row>
    <row r="186">
      <c r="A186" s="205">
        <v>185.0</v>
      </c>
      <c r="B186" s="206"/>
      <c r="C186" s="206"/>
      <c r="D186" s="205">
        <v>-0.395</v>
      </c>
      <c r="E186" s="205">
        <v>-0.00421</v>
      </c>
      <c r="F186" s="205">
        <v>-0.42927</v>
      </c>
      <c r="G186" s="206"/>
      <c r="H186" s="207" t="s">
        <v>1821</v>
      </c>
      <c r="I186" s="207" t="s">
        <v>75</v>
      </c>
      <c r="J186" s="207" t="s">
        <v>1387</v>
      </c>
      <c r="K186" s="207" t="s">
        <v>1822</v>
      </c>
      <c r="L186" s="206"/>
      <c r="M186" s="207" t="s">
        <v>1373</v>
      </c>
      <c r="N186" s="207" t="s">
        <v>1503</v>
      </c>
      <c r="O186" s="206"/>
      <c r="P186" s="206"/>
      <c r="Q186" s="207">
        <v>2.0</v>
      </c>
      <c r="R186" s="208"/>
      <c r="S186" s="207" t="s">
        <v>1402</v>
      </c>
      <c r="T186" s="205">
        <v>73.0</v>
      </c>
      <c r="U186" s="205">
        <v>14.0</v>
      </c>
      <c r="V186" s="206"/>
      <c r="W186" s="205">
        <v>29.0</v>
      </c>
      <c r="X186" s="205">
        <v>11.69219</v>
      </c>
      <c r="Y186" s="205">
        <v>1.546712</v>
      </c>
      <c r="Z186" s="205">
        <v>4.203836</v>
      </c>
      <c r="AA186" s="205">
        <v>1.006575</v>
      </c>
      <c r="AB186" s="205">
        <v>0.582466</v>
      </c>
      <c r="AC186" s="205">
        <v>0.359178</v>
      </c>
      <c r="AD186" s="205">
        <v>0.508259</v>
      </c>
      <c r="AE186" s="205">
        <v>8.881507</v>
      </c>
      <c r="AF186" s="205">
        <v>0.739975</v>
      </c>
      <c r="AG186" s="205">
        <v>1.509863</v>
      </c>
      <c r="AH186" s="205">
        <v>0.592055</v>
      </c>
      <c r="AI186" s="205">
        <v>15.55852</v>
      </c>
      <c r="AJ186" s="205">
        <v>-0.93752</v>
      </c>
      <c r="AK186" s="205">
        <v>-0.19898</v>
      </c>
      <c r="AL186" s="205">
        <v>-0.76584</v>
      </c>
      <c r="AM186" s="205">
        <v>-1.35286</v>
      </c>
      <c r="AN186" s="205">
        <v>-1.27197</v>
      </c>
      <c r="AO186" s="205">
        <v>-0.69614</v>
      </c>
      <c r="AP186" s="205">
        <v>0.262456</v>
      </c>
      <c r="AQ186" s="205">
        <v>-0.26669</v>
      </c>
      <c r="AR186" s="205">
        <v>1.672542</v>
      </c>
    </row>
    <row r="187">
      <c r="A187" s="205">
        <v>186.0</v>
      </c>
      <c r="B187" s="208"/>
      <c r="C187" s="208"/>
      <c r="D187" s="205">
        <v>-0.3956</v>
      </c>
      <c r="E187" s="205">
        <v>-0.00747</v>
      </c>
      <c r="F187" s="205">
        <v>1.094709</v>
      </c>
      <c r="G187" s="206"/>
      <c r="H187" s="207" t="s">
        <v>1823</v>
      </c>
      <c r="I187" s="207" t="s">
        <v>103</v>
      </c>
      <c r="J187" s="207" t="s">
        <v>34</v>
      </c>
      <c r="K187" s="207" t="s">
        <v>1824</v>
      </c>
      <c r="L187" s="206"/>
      <c r="M187" s="207" t="s">
        <v>1373</v>
      </c>
      <c r="N187" s="207" t="s">
        <v>1435</v>
      </c>
      <c r="O187" s="206"/>
      <c r="P187" s="206"/>
      <c r="Q187" s="207">
        <v>4.0</v>
      </c>
      <c r="R187" s="208"/>
      <c r="S187" s="207" t="s">
        <v>1617</v>
      </c>
      <c r="T187" s="205">
        <v>73.0</v>
      </c>
      <c r="U187" s="205">
        <v>15.0</v>
      </c>
      <c r="V187" s="206"/>
      <c r="W187" s="205">
        <v>21.0</v>
      </c>
      <c r="X187" s="205">
        <v>9.180137</v>
      </c>
      <c r="Y187" s="205">
        <v>1.169452</v>
      </c>
      <c r="Z187" s="205">
        <v>3.310137</v>
      </c>
      <c r="AA187" s="205">
        <v>1.004521</v>
      </c>
      <c r="AB187" s="205">
        <v>0.317534</v>
      </c>
      <c r="AC187" s="205">
        <v>1.315616</v>
      </c>
      <c r="AD187" s="205">
        <v>0.507592</v>
      </c>
      <c r="AE187" s="205">
        <v>6.874521</v>
      </c>
      <c r="AF187" s="205">
        <v>0.838006</v>
      </c>
      <c r="AG187" s="205">
        <v>1.231233</v>
      </c>
      <c r="AH187" s="205">
        <v>0.704384</v>
      </c>
      <c r="AI187" s="205">
        <v>17.2676</v>
      </c>
      <c r="AJ187" s="205">
        <v>-1.37844</v>
      </c>
      <c r="AK187" s="205">
        <v>-0.56167</v>
      </c>
      <c r="AL187" s="205">
        <v>-1.1298</v>
      </c>
      <c r="AM187" s="205">
        <v>-1.35385</v>
      </c>
      <c r="AN187" s="205">
        <v>-2.05056</v>
      </c>
      <c r="AO187" s="205">
        <v>1.026452</v>
      </c>
      <c r="AP187" s="205">
        <v>0.197793</v>
      </c>
      <c r="AQ187" s="205">
        <v>0.160064</v>
      </c>
      <c r="AR187" s="205">
        <v>1.529625</v>
      </c>
    </row>
    <row r="188">
      <c r="A188" s="205">
        <v>187.0</v>
      </c>
      <c r="B188" s="206"/>
      <c r="C188" s="206"/>
      <c r="D188" s="205">
        <v>-0.39673</v>
      </c>
      <c r="E188" s="205">
        <v>0.02404</v>
      </c>
      <c r="F188" s="205">
        <v>1.540752</v>
      </c>
      <c r="G188" s="206"/>
      <c r="H188" s="207" t="s">
        <v>1825</v>
      </c>
      <c r="I188" s="207" t="s">
        <v>197</v>
      </c>
      <c r="J188" s="207" t="s">
        <v>1412</v>
      </c>
      <c r="K188" s="207" t="s">
        <v>1826</v>
      </c>
      <c r="L188" s="206"/>
      <c r="M188" s="207" t="s">
        <v>1373</v>
      </c>
      <c r="N188" s="208"/>
      <c r="O188" s="206"/>
      <c r="P188" s="206"/>
      <c r="Q188" s="207">
        <v>4.0</v>
      </c>
      <c r="R188" s="208"/>
      <c r="S188" s="207" t="s">
        <v>1375</v>
      </c>
      <c r="T188" s="205">
        <v>73.0</v>
      </c>
      <c r="U188" s="205">
        <v>14.0</v>
      </c>
      <c r="V188" s="206"/>
      <c r="W188" s="205">
        <v>29.0</v>
      </c>
      <c r="X188" s="205">
        <v>11.57014</v>
      </c>
      <c r="Y188" s="205">
        <v>2.028356</v>
      </c>
      <c r="Z188" s="205">
        <v>4.398356</v>
      </c>
      <c r="AA188" s="205">
        <v>2.262055</v>
      </c>
      <c r="AB188" s="205">
        <v>0.635068</v>
      </c>
      <c r="AC188" s="205">
        <v>0.124795</v>
      </c>
      <c r="AD188" s="205">
        <v>0.437379</v>
      </c>
      <c r="AE188" s="205">
        <v>8.796164</v>
      </c>
      <c r="AF188" s="205">
        <v>0.839978</v>
      </c>
      <c r="AG188" s="205">
        <v>2.199178</v>
      </c>
      <c r="AH188" s="205">
        <v>1.005342</v>
      </c>
      <c r="AI188" s="205">
        <v>15.22705</v>
      </c>
      <c r="AJ188" s="205">
        <v>-0.95894</v>
      </c>
      <c r="AK188" s="205">
        <v>0.264067</v>
      </c>
      <c r="AL188" s="205">
        <v>-0.68663</v>
      </c>
      <c r="AM188" s="205">
        <v>-0.7436</v>
      </c>
      <c r="AN188" s="205">
        <v>-1.11738</v>
      </c>
      <c r="AO188" s="205">
        <v>-1.11827</v>
      </c>
      <c r="AP188" s="205">
        <v>-0.66381</v>
      </c>
      <c r="AQ188" s="205">
        <v>0.307304</v>
      </c>
      <c r="AR188" s="205">
        <v>1.146713</v>
      </c>
    </row>
    <row r="189">
      <c r="A189" s="205">
        <v>188.0</v>
      </c>
      <c r="B189" s="206"/>
      <c r="C189" s="206"/>
      <c r="D189" s="205">
        <v>-0.39868</v>
      </c>
      <c r="E189" s="205">
        <v>-0.00199</v>
      </c>
      <c r="F189" s="205">
        <v>0.425645</v>
      </c>
      <c r="G189" s="206"/>
      <c r="H189" s="207" t="s">
        <v>1827</v>
      </c>
      <c r="I189" s="207" t="s">
        <v>250</v>
      </c>
      <c r="J189" s="207" t="s">
        <v>1379</v>
      </c>
      <c r="K189" s="207" t="s">
        <v>1828</v>
      </c>
      <c r="L189" s="206"/>
      <c r="M189" s="207" t="s">
        <v>1384</v>
      </c>
      <c r="N189" s="207" t="s">
        <v>1414</v>
      </c>
      <c r="O189" s="206"/>
      <c r="P189" s="208"/>
      <c r="Q189" s="207">
        <v>2.0</v>
      </c>
      <c r="R189" s="208"/>
      <c r="S189" s="207" t="s">
        <v>1375</v>
      </c>
      <c r="T189" s="205">
        <v>68.0</v>
      </c>
      <c r="U189" s="205">
        <v>14.0</v>
      </c>
      <c r="V189" s="206"/>
      <c r="W189" s="205">
        <v>32.0</v>
      </c>
      <c r="X189" s="205">
        <v>18.80382</v>
      </c>
      <c r="Y189" s="205">
        <v>2.082794</v>
      </c>
      <c r="Z189" s="205">
        <v>4.04</v>
      </c>
      <c r="AA189" s="205">
        <v>4.309265</v>
      </c>
      <c r="AB189" s="205">
        <v>0.955735</v>
      </c>
      <c r="AC189" s="205">
        <v>0.400294</v>
      </c>
      <c r="AD189" s="205">
        <v>0.446003</v>
      </c>
      <c r="AE189" s="205">
        <v>14.81294</v>
      </c>
      <c r="AF189" s="205">
        <v>0.739995</v>
      </c>
      <c r="AG189" s="205">
        <v>4.740294</v>
      </c>
      <c r="AH189" s="205">
        <v>2.760735</v>
      </c>
      <c r="AI189" s="205">
        <v>26.39697</v>
      </c>
      <c r="AJ189" s="205">
        <v>0.310729</v>
      </c>
      <c r="AK189" s="205">
        <v>0.316403</v>
      </c>
      <c r="AL189" s="205">
        <v>-0.83256</v>
      </c>
      <c r="AM189" s="205">
        <v>0.249871</v>
      </c>
      <c r="AN189" s="205">
        <v>-0.17499</v>
      </c>
      <c r="AO189" s="205">
        <v>-0.62209</v>
      </c>
      <c r="AP189" s="205">
        <v>-0.93296</v>
      </c>
      <c r="AQ189" s="205">
        <v>-0.81582</v>
      </c>
      <c r="AR189" s="205">
        <v>-1.08668</v>
      </c>
    </row>
    <row r="190">
      <c r="A190" s="212"/>
      <c r="B190" s="213"/>
      <c r="C190" s="213"/>
      <c r="D190" s="213"/>
      <c r="E190" s="212"/>
      <c r="F190" s="212"/>
      <c r="G190" s="212"/>
      <c r="H190" s="212"/>
      <c r="I190" s="214"/>
      <c r="J190" s="212"/>
      <c r="K190" s="212"/>
      <c r="L190" s="212"/>
      <c r="M190" s="212"/>
      <c r="N190" s="214"/>
      <c r="O190" s="212"/>
      <c r="P190" s="212"/>
      <c r="Q190" s="212"/>
      <c r="R190" s="214"/>
      <c r="S190" s="212"/>
      <c r="T190" s="212"/>
      <c r="U190" s="212"/>
      <c r="V190" s="212"/>
      <c r="W190" s="213"/>
    </row>
    <row r="191">
      <c r="A191" s="212"/>
      <c r="B191" s="215"/>
      <c r="C191" s="215"/>
      <c r="D191" s="213"/>
      <c r="E191" s="212"/>
      <c r="F191" s="212"/>
      <c r="G191" s="212"/>
      <c r="H191" s="212"/>
      <c r="I191" s="214"/>
      <c r="J191" s="212"/>
      <c r="K191" s="212"/>
      <c r="L191" s="212"/>
      <c r="M191" s="212"/>
      <c r="N191" s="214"/>
      <c r="O191" s="212"/>
      <c r="P191" s="212"/>
      <c r="Q191" s="212"/>
      <c r="R191" s="214"/>
      <c r="S191" s="212"/>
      <c r="T191" s="212"/>
      <c r="U191" s="212"/>
      <c r="V191" s="212"/>
      <c r="W191" s="213"/>
    </row>
    <row r="192">
      <c r="A192" s="212"/>
      <c r="B192" s="213"/>
      <c r="C192" s="213"/>
      <c r="D192" s="213"/>
      <c r="E192" s="212"/>
      <c r="F192" s="212"/>
      <c r="G192" s="212"/>
      <c r="H192" s="212"/>
      <c r="I192" s="214"/>
      <c r="J192" s="212"/>
      <c r="K192" s="212"/>
      <c r="L192" s="212"/>
      <c r="M192" s="212"/>
      <c r="N192" s="214"/>
      <c r="O192" s="212"/>
      <c r="P192" s="212"/>
      <c r="Q192" s="212"/>
      <c r="R192" s="214"/>
      <c r="S192" s="212"/>
      <c r="T192" s="212"/>
      <c r="U192" s="212"/>
      <c r="V192" s="212"/>
      <c r="W192" s="213"/>
    </row>
    <row r="193">
      <c r="A193" s="212"/>
      <c r="B193" s="213"/>
      <c r="C193" s="213"/>
      <c r="D193" s="213"/>
      <c r="E193" s="212"/>
      <c r="F193" s="212"/>
      <c r="G193" s="212"/>
      <c r="H193" s="212"/>
      <c r="I193" s="214"/>
      <c r="J193" s="212"/>
      <c r="K193" s="212"/>
      <c r="L193" s="212"/>
      <c r="M193" s="212"/>
      <c r="N193" s="212"/>
      <c r="O193" s="212"/>
      <c r="P193" s="212"/>
      <c r="Q193" s="212"/>
      <c r="R193" s="214"/>
      <c r="S193" s="212"/>
      <c r="T193" s="212"/>
      <c r="U193" s="212"/>
      <c r="V193" s="212"/>
      <c r="W193" s="213"/>
    </row>
    <row r="194">
      <c r="A194" s="212"/>
      <c r="B194" s="213"/>
      <c r="C194" s="213"/>
      <c r="D194" s="213"/>
      <c r="E194" s="212"/>
      <c r="F194" s="212"/>
      <c r="G194" s="212"/>
      <c r="H194" s="212"/>
      <c r="I194" s="214"/>
      <c r="J194" s="212"/>
      <c r="K194" s="212"/>
      <c r="L194" s="212"/>
      <c r="M194" s="212"/>
      <c r="N194" s="214"/>
      <c r="O194" s="212"/>
      <c r="P194" s="212"/>
      <c r="Q194" s="212"/>
      <c r="R194" s="214"/>
      <c r="S194" s="212"/>
      <c r="T194" s="212"/>
      <c r="U194" s="212"/>
      <c r="V194" s="212"/>
      <c r="W194" s="213"/>
    </row>
    <row r="195">
      <c r="A195" s="212"/>
      <c r="B195" s="213"/>
      <c r="C195" s="213"/>
      <c r="D195" s="213"/>
      <c r="E195" s="212"/>
      <c r="F195" s="212"/>
      <c r="G195" s="212"/>
      <c r="H195" s="212"/>
      <c r="I195" s="214"/>
      <c r="J195" s="212"/>
      <c r="K195" s="212"/>
      <c r="L195" s="212"/>
      <c r="M195" s="212"/>
      <c r="N195" s="214"/>
      <c r="O195" s="212"/>
      <c r="P195" s="214"/>
      <c r="Q195" s="212"/>
      <c r="R195" s="214"/>
      <c r="S195" s="212"/>
      <c r="T195" s="212"/>
      <c r="U195" s="212"/>
      <c r="V195" s="212"/>
      <c r="W195" s="213"/>
    </row>
    <row r="196">
      <c r="A196" s="212"/>
      <c r="B196" s="213"/>
      <c r="C196" s="213"/>
      <c r="D196" s="213"/>
      <c r="E196" s="212"/>
      <c r="F196" s="212"/>
      <c r="G196" s="212"/>
      <c r="H196" s="212"/>
      <c r="I196" s="214"/>
      <c r="J196" s="212"/>
      <c r="K196" s="212"/>
      <c r="L196" s="212"/>
      <c r="M196" s="212"/>
      <c r="N196" s="212"/>
      <c r="O196" s="212"/>
      <c r="P196" s="212"/>
      <c r="Q196" s="212"/>
      <c r="R196" s="214"/>
      <c r="S196" s="212"/>
      <c r="T196" s="212"/>
      <c r="U196" s="212"/>
      <c r="V196" s="212"/>
      <c r="W196" s="213"/>
    </row>
    <row r="197">
      <c r="A197" s="212"/>
      <c r="B197" s="213"/>
      <c r="C197" s="213"/>
      <c r="D197" s="213"/>
      <c r="E197" s="212"/>
      <c r="F197" s="212"/>
      <c r="G197" s="212"/>
      <c r="H197" s="212"/>
      <c r="I197" s="214"/>
      <c r="J197" s="212"/>
      <c r="K197" s="212"/>
      <c r="L197" s="212"/>
      <c r="M197" s="212"/>
      <c r="N197" s="214"/>
      <c r="O197" s="212"/>
      <c r="P197" s="214"/>
      <c r="Q197" s="212"/>
      <c r="R197" s="214"/>
      <c r="S197" s="212"/>
      <c r="T197" s="212"/>
      <c r="U197" s="212"/>
      <c r="V197" s="212"/>
      <c r="W197" s="213"/>
    </row>
    <row r="198">
      <c r="A198" s="212"/>
      <c r="B198" s="213"/>
      <c r="C198" s="213"/>
      <c r="D198" s="213"/>
      <c r="E198" s="212"/>
      <c r="F198" s="212"/>
      <c r="G198" s="212"/>
      <c r="H198" s="212"/>
      <c r="I198" s="214"/>
      <c r="J198" s="212"/>
      <c r="K198" s="212"/>
      <c r="L198" s="212"/>
      <c r="M198" s="212"/>
      <c r="N198" s="212"/>
      <c r="O198" s="212"/>
      <c r="P198" s="212"/>
      <c r="Q198" s="212"/>
      <c r="R198" s="214"/>
      <c r="S198" s="212"/>
      <c r="T198" s="212"/>
      <c r="U198" s="212"/>
      <c r="V198" s="212"/>
      <c r="W198" s="213"/>
    </row>
    <row r="199">
      <c r="A199" s="212"/>
      <c r="B199" s="213"/>
      <c r="C199" s="213"/>
      <c r="D199" s="213"/>
      <c r="E199" s="212"/>
      <c r="F199" s="212"/>
      <c r="G199" s="212"/>
      <c r="H199" s="212"/>
      <c r="I199" s="214"/>
      <c r="J199" s="212"/>
      <c r="K199" s="212"/>
      <c r="L199" s="212"/>
      <c r="M199" s="212"/>
      <c r="N199" s="214"/>
      <c r="O199" s="212"/>
      <c r="P199" s="212"/>
      <c r="Q199" s="212"/>
      <c r="R199" s="214"/>
      <c r="S199" s="212"/>
      <c r="T199" s="212"/>
      <c r="U199" s="212"/>
      <c r="V199" s="212"/>
      <c r="W199" s="213"/>
    </row>
    <row r="200">
      <c r="A200" s="212"/>
      <c r="B200" s="215"/>
      <c r="C200" s="215"/>
      <c r="D200" s="213"/>
      <c r="E200" s="212"/>
      <c r="F200" s="212"/>
      <c r="G200" s="212"/>
      <c r="H200" s="212"/>
      <c r="I200" s="214"/>
      <c r="J200" s="212"/>
      <c r="K200" s="212"/>
      <c r="L200" s="212"/>
      <c r="M200" s="212"/>
      <c r="N200" s="214"/>
      <c r="O200" s="212"/>
      <c r="P200" s="212"/>
      <c r="Q200" s="212"/>
      <c r="R200" s="214"/>
      <c r="S200" s="212"/>
      <c r="T200" s="212"/>
      <c r="U200" s="212"/>
      <c r="V200" s="212"/>
      <c r="W200" s="213"/>
    </row>
    <row r="201">
      <c r="A201" s="212"/>
      <c r="B201" s="213"/>
      <c r="C201" s="213"/>
      <c r="D201" s="213"/>
      <c r="E201" s="212"/>
      <c r="F201" s="212"/>
      <c r="G201" s="212"/>
      <c r="H201" s="214"/>
      <c r="I201" s="214"/>
      <c r="J201" s="212"/>
      <c r="K201" s="212"/>
      <c r="L201" s="212"/>
      <c r="M201" s="212"/>
      <c r="N201" s="214"/>
      <c r="O201" s="212"/>
      <c r="P201" s="214"/>
      <c r="Q201" s="212"/>
      <c r="R201" s="214"/>
      <c r="S201" s="212"/>
      <c r="T201" s="212"/>
      <c r="U201" s="212"/>
      <c r="V201" s="212"/>
      <c r="W201" s="213"/>
    </row>
    <row r="202">
      <c r="A202" s="212"/>
      <c r="B202" s="213"/>
      <c r="C202" s="213"/>
      <c r="D202" s="213"/>
      <c r="E202" s="212"/>
      <c r="F202" s="212"/>
      <c r="G202" s="212"/>
      <c r="H202" s="212"/>
      <c r="I202" s="214"/>
      <c r="J202" s="212"/>
      <c r="K202" s="212"/>
      <c r="L202" s="212"/>
      <c r="M202" s="212"/>
      <c r="N202" s="214"/>
      <c r="O202" s="212"/>
      <c r="P202" s="214"/>
      <c r="Q202" s="212"/>
      <c r="R202" s="214"/>
      <c r="S202" s="212"/>
      <c r="T202" s="212"/>
      <c r="U202" s="212"/>
      <c r="V202" s="212"/>
      <c r="W202" s="213"/>
    </row>
    <row r="203">
      <c r="A203" s="212"/>
      <c r="B203" s="213"/>
      <c r="C203" s="213"/>
      <c r="D203" s="213"/>
      <c r="E203" s="212"/>
      <c r="F203" s="212"/>
      <c r="G203" s="212"/>
      <c r="H203" s="212"/>
      <c r="I203" s="214"/>
      <c r="J203" s="212"/>
      <c r="K203" s="212"/>
      <c r="L203" s="212"/>
      <c r="M203" s="212"/>
      <c r="N203" s="212"/>
      <c r="O203" s="212"/>
      <c r="P203" s="212"/>
      <c r="Q203" s="212"/>
      <c r="R203" s="214"/>
      <c r="S203" s="212"/>
      <c r="T203" s="212"/>
      <c r="U203" s="212"/>
      <c r="V203" s="212"/>
      <c r="W203" s="213"/>
    </row>
    <row r="204">
      <c r="A204" s="212"/>
      <c r="B204" s="215"/>
      <c r="C204" s="215"/>
      <c r="D204" s="213"/>
      <c r="E204" s="212"/>
      <c r="F204" s="212"/>
      <c r="G204" s="212"/>
      <c r="H204" s="212"/>
      <c r="I204" s="214"/>
      <c r="J204" s="212"/>
      <c r="K204" s="212"/>
      <c r="L204" s="212"/>
      <c r="M204" s="212"/>
      <c r="N204" s="214"/>
      <c r="O204" s="212"/>
      <c r="P204" s="212"/>
      <c r="Q204" s="212"/>
      <c r="R204" s="214"/>
      <c r="S204" s="212"/>
      <c r="T204" s="212"/>
      <c r="U204" s="212"/>
      <c r="V204" s="212"/>
      <c r="W204" s="213"/>
    </row>
    <row r="205">
      <c r="A205" s="212"/>
      <c r="B205" s="215"/>
      <c r="C205" s="215"/>
      <c r="D205" s="213"/>
      <c r="E205" s="212"/>
      <c r="F205" s="212"/>
      <c r="G205" s="212"/>
      <c r="H205" s="212"/>
      <c r="I205" s="214"/>
      <c r="J205" s="212"/>
      <c r="K205" s="212"/>
      <c r="L205" s="212"/>
      <c r="M205" s="212"/>
      <c r="N205" s="212"/>
      <c r="O205" s="212"/>
      <c r="P205" s="214"/>
      <c r="Q205" s="212"/>
      <c r="R205" s="214"/>
      <c r="S205" s="212"/>
      <c r="T205" s="212"/>
      <c r="U205" s="212"/>
      <c r="V205" s="212"/>
      <c r="W205" s="213"/>
    </row>
    <row r="206">
      <c r="A206" s="212"/>
      <c r="B206" s="215"/>
      <c r="C206" s="215"/>
      <c r="D206" s="213"/>
      <c r="E206" s="212"/>
      <c r="F206" s="212"/>
      <c r="G206" s="212"/>
      <c r="H206" s="212"/>
      <c r="I206" s="214"/>
      <c r="J206" s="212"/>
      <c r="K206" s="212"/>
      <c r="L206" s="212"/>
      <c r="M206" s="212"/>
      <c r="N206" s="214"/>
      <c r="O206" s="212"/>
      <c r="P206" s="212"/>
      <c r="Q206" s="212"/>
      <c r="R206" s="214"/>
      <c r="S206" s="212"/>
      <c r="T206" s="212"/>
      <c r="U206" s="212"/>
      <c r="V206" s="212"/>
      <c r="W206" s="213"/>
    </row>
    <row r="207">
      <c r="A207" s="212"/>
      <c r="B207" s="213"/>
      <c r="C207" s="213"/>
      <c r="D207" s="213"/>
      <c r="E207" s="212"/>
      <c r="F207" s="212"/>
      <c r="G207" s="212"/>
      <c r="H207" s="212"/>
      <c r="I207" s="214"/>
      <c r="J207" s="212"/>
      <c r="K207" s="212"/>
      <c r="L207" s="212"/>
      <c r="M207" s="212"/>
      <c r="N207" s="212"/>
      <c r="O207" s="212"/>
      <c r="P207" s="212"/>
      <c r="Q207" s="212"/>
      <c r="R207" s="214"/>
      <c r="S207" s="212"/>
      <c r="T207" s="212"/>
      <c r="U207" s="212"/>
      <c r="V207" s="212"/>
      <c r="W207" s="213"/>
    </row>
    <row r="208">
      <c r="A208" s="212"/>
      <c r="B208" s="215"/>
      <c r="C208" s="215"/>
      <c r="D208" s="213"/>
      <c r="E208" s="212"/>
      <c r="F208" s="212"/>
      <c r="G208" s="212"/>
      <c r="H208" s="212"/>
      <c r="I208" s="214"/>
      <c r="J208" s="212"/>
      <c r="K208" s="212"/>
      <c r="L208" s="212"/>
      <c r="M208" s="212"/>
      <c r="N208" s="214"/>
      <c r="O208" s="212"/>
      <c r="P208" s="212"/>
      <c r="Q208" s="212"/>
      <c r="R208" s="214"/>
      <c r="S208" s="212"/>
      <c r="T208" s="212"/>
      <c r="U208" s="212"/>
      <c r="V208" s="212"/>
      <c r="W208" s="213"/>
    </row>
    <row r="209">
      <c r="A209" s="212"/>
      <c r="B209" s="213"/>
      <c r="C209" s="213"/>
      <c r="D209" s="213"/>
      <c r="E209" s="212"/>
      <c r="F209" s="212"/>
      <c r="G209" s="212"/>
      <c r="H209" s="212"/>
      <c r="I209" s="214"/>
      <c r="J209" s="212"/>
      <c r="K209" s="212"/>
      <c r="L209" s="212"/>
      <c r="M209" s="212"/>
      <c r="N209" s="214"/>
      <c r="O209" s="212"/>
      <c r="P209" s="214"/>
      <c r="Q209" s="212"/>
      <c r="R209" s="214"/>
      <c r="S209" s="212"/>
      <c r="T209" s="212"/>
      <c r="U209" s="212"/>
      <c r="V209" s="212"/>
      <c r="W209" s="213"/>
    </row>
    <row r="210">
      <c r="A210" s="212"/>
      <c r="B210" s="213"/>
      <c r="C210" s="213"/>
      <c r="D210" s="213"/>
      <c r="E210" s="212"/>
      <c r="F210" s="212"/>
      <c r="G210" s="212"/>
      <c r="H210" s="212"/>
      <c r="I210" s="214"/>
      <c r="J210" s="212"/>
      <c r="K210" s="212"/>
      <c r="L210" s="212"/>
      <c r="M210" s="212"/>
      <c r="N210" s="214"/>
      <c r="O210" s="212"/>
      <c r="P210" s="212"/>
      <c r="Q210" s="212"/>
      <c r="R210" s="214"/>
      <c r="S210" s="212"/>
      <c r="T210" s="212"/>
      <c r="U210" s="212"/>
      <c r="V210" s="212"/>
      <c r="W210" s="213"/>
    </row>
    <row r="211">
      <c r="A211" s="212"/>
      <c r="B211" s="213"/>
      <c r="C211" s="213"/>
      <c r="D211" s="213"/>
      <c r="E211" s="212"/>
      <c r="F211" s="212"/>
      <c r="G211" s="212"/>
      <c r="H211" s="212"/>
      <c r="I211" s="214"/>
      <c r="J211" s="212"/>
      <c r="K211" s="212"/>
      <c r="L211" s="212"/>
      <c r="M211" s="212"/>
      <c r="N211" s="214"/>
      <c r="O211" s="212"/>
      <c r="P211" s="214"/>
      <c r="Q211" s="212"/>
      <c r="R211" s="214"/>
      <c r="S211" s="212"/>
      <c r="T211" s="212"/>
      <c r="U211" s="212"/>
      <c r="V211" s="212"/>
      <c r="W211" s="213"/>
    </row>
    <row r="212">
      <c r="A212" s="212"/>
      <c r="B212" s="213"/>
      <c r="C212" s="213"/>
      <c r="D212" s="213"/>
      <c r="E212" s="212"/>
      <c r="F212" s="212"/>
      <c r="G212" s="212"/>
      <c r="H212" s="212"/>
      <c r="I212" s="214"/>
      <c r="J212" s="212"/>
      <c r="K212" s="212"/>
      <c r="L212" s="212"/>
      <c r="M212" s="212"/>
      <c r="N212" s="214"/>
      <c r="O212" s="212"/>
      <c r="P212" s="212"/>
      <c r="Q212" s="212"/>
      <c r="R212" s="214"/>
      <c r="S212" s="212"/>
      <c r="T212" s="212"/>
      <c r="U212" s="212"/>
      <c r="V212" s="212"/>
      <c r="W212" s="213"/>
    </row>
    <row r="213">
      <c r="A213" s="212"/>
      <c r="B213" s="215"/>
      <c r="C213" s="215"/>
      <c r="D213" s="213"/>
      <c r="E213" s="212"/>
      <c r="F213" s="212"/>
      <c r="G213" s="212"/>
      <c r="H213" s="212"/>
      <c r="I213" s="214"/>
      <c r="J213" s="212"/>
      <c r="K213" s="212"/>
      <c r="L213" s="212"/>
      <c r="M213" s="212"/>
      <c r="N213" s="214"/>
      <c r="O213" s="212"/>
      <c r="P213" s="212"/>
      <c r="Q213" s="212"/>
      <c r="R213" s="214"/>
      <c r="S213" s="212"/>
      <c r="T213" s="212"/>
      <c r="U213" s="212"/>
      <c r="V213" s="212"/>
      <c r="W213" s="213"/>
    </row>
    <row r="214">
      <c r="A214" s="212"/>
      <c r="B214" s="215"/>
      <c r="C214" s="215"/>
      <c r="D214" s="213"/>
      <c r="E214" s="212"/>
      <c r="F214" s="212"/>
      <c r="G214" s="212"/>
      <c r="H214" s="212"/>
      <c r="I214" s="214"/>
      <c r="J214" s="212"/>
      <c r="K214" s="212"/>
      <c r="L214" s="212"/>
      <c r="M214" s="212"/>
      <c r="N214" s="214"/>
      <c r="O214" s="212"/>
      <c r="P214" s="214"/>
      <c r="Q214" s="212"/>
      <c r="R214" s="214"/>
      <c r="S214" s="212"/>
      <c r="T214" s="212"/>
      <c r="U214" s="212"/>
      <c r="V214" s="212"/>
      <c r="W214" s="213"/>
    </row>
    <row r="215">
      <c r="A215" s="212"/>
      <c r="B215" s="213"/>
      <c r="C215" s="213"/>
      <c r="D215" s="213"/>
      <c r="E215" s="212"/>
      <c r="F215" s="212"/>
      <c r="G215" s="212"/>
      <c r="H215" s="212"/>
      <c r="I215" s="214"/>
      <c r="J215" s="212"/>
      <c r="K215" s="212"/>
      <c r="L215" s="212"/>
      <c r="M215" s="212"/>
      <c r="N215" s="214"/>
      <c r="O215" s="212"/>
      <c r="P215" s="212"/>
      <c r="Q215" s="212"/>
      <c r="R215" s="214"/>
      <c r="S215" s="212"/>
      <c r="T215" s="212"/>
      <c r="U215" s="212"/>
      <c r="V215" s="212"/>
      <c r="W215" s="213"/>
    </row>
    <row r="216">
      <c r="A216" s="212"/>
      <c r="B216" s="215"/>
      <c r="C216" s="215"/>
      <c r="D216" s="213"/>
      <c r="E216" s="212"/>
      <c r="F216" s="212"/>
      <c r="G216" s="212"/>
      <c r="H216" s="212"/>
      <c r="I216" s="214"/>
      <c r="J216" s="212"/>
      <c r="K216" s="212"/>
      <c r="L216" s="212"/>
      <c r="M216" s="212"/>
      <c r="N216" s="214"/>
      <c r="O216" s="212"/>
      <c r="P216" s="212"/>
      <c r="Q216" s="212"/>
      <c r="R216" s="214"/>
      <c r="S216" s="212"/>
      <c r="T216" s="212"/>
      <c r="U216" s="212"/>
      <c r="V216" s="212"/>
      <c r="W216" s="213"/>
    </row>
    <row r="217">
      <c r="A217" s="212"/>
      <c r="B217" s="213"/>
      <c r="C217" s="213"/>
      <c r="D217" s="213"/>
      <c r="E217" s="212"/>
      <c r="F217" s="212"/>
      <c r="G217" s="212"/>
      <c r="H217" s="212"/>
      <c r="I217" s="214"/>
      <c r="J217" s="212"/>
      <c r="K217" s="212"/>
      <c r="L217" s="212"/>
      <c r="M217" s="212"/>
      <c r="N217" s="214"/>
      <c r="O217" s="212"/>
      <c r="P217" s="214"/>
      <c r="Q217" s="212"/>
      <c r="R217" s="214"/>
      <c r="S217" s="212"/>
      <c r="T217" s="212"/>
      <c r="U217" s="212"/>
      <c r="V217" s="212"/>
      <c r="W217" s="213"/>
    </row>
    <row r="218">
      <c r="A218" s="212"/>
      <c r="B218" s="213"/>
      <c r="C218" s="213"/>
      <c r="D218" s="213"/>
      <c r="E218" s="212"/>
      <c r="F218" s="212"/>
      <c r="G218" s="212"/>
      <c r="H218" s="212"/>
      <c r="I218" s="214"/>
      <c r="J218" s="212"/>
      <c r="K218" s="212"/>
      <c r="L218" s="212"/>
      <c r="M218" s="212"/>
      <c r="N218" s="214"/>
      <c r="O218" s="212"/>
      <c r="P218" s="214"/>
      <c r="Q218" s="212"/>
      <c r="R218" s="214"/>
      <c r="S218" s="212"/>
      <c r="T218" s="212"/>
      <c r="U218" s="212"/>
      <c r="V218" s="212"/>
      <c r="W218" s="213"/>
    </row>
    <row r="219">
      <c r="A219" s="212"/>
      <c r="B219" s="215"/>
      <c r="C219" s="215"/>
      <c r="D219" s="213"/>
      <c r="E219" s="212"/>
      <c r="F219" s="212"/>
      <c r="G219" s="212"/>
      <c r="H219" s="212"/>
      <c r="I219" s="214"/>
      <c r="J219" s="212"/>
      <c r="K219" s="212"/>
      <c r="L219" s="212"/>
      <c r="M219" s="212"/>
      <c r="N219" s="214"/>
      <c r="O219" s="212"/>
      <c r="P219" s="212"/>
      <c r="Q219" s="212"/>
      <c r="R219" s="214"/>
      <c r="S219" s="212"/>
      <c r="T219" s="212"/>
      <c r="U219" s="212"/>
      <c r="V219" s="212"/>
      <c r="W219" s="213"/>
    </row>
    <row r="220">
      <c r="A220" s="212"/>
      <c r="B220" s="215"/>
      <c r="C220" s="215"/>
      <c r="D220" s="213"/>
      <c r="E220" s="212"/>
      <c r="F220" s="212"/>
      <c r="G220" s="212"/>
      <c r="H220" s="212"/>
      <c r="I220" s="214"/>
      <c r="J220" s="212"/>
      <c r="K220" s="212"/>
      <c r="L220" s="212"/>
      <c r="M220" s="212"/>
      <c r="N220" s="214"/>
      <c r="O220" s="212"/>
      <c r="P220" s="214"/>
      <c r="Q220" s="212"/>
      <c r="R220" s="214"/>
      <c r="S220" s="212"/>
      <c r="T220" s="212"/>
      <c r="U220" s="212"/>
      <c r="V220" s="212"/>
      <c r="W220" s="213"/>
    </row>
    <row r="221">
      <c r="A221" s="212"/>
      <c r="B221" s="213"/>
      <c r="C221" s="213"/>
      <c r="D221" s="213"/>
      <c r="E221" s="212"/>
      <c r="F221" s="212"/>
      <c r="G221" s="212"/>
      <c r="H221" s="212"/>
      <c r="I221" s="214"/>
      <c r="J221" s="212"/>
      <c r="K221" s="212"/>
      <c r="L221" s="212"/>
      <c r="M221" s="212"/>
      <c r="N221" s="214"/>
      <c r="O221" s="212"/>
      <c r="P221" s="212"/>
      <c r="Q221" s="212"/>
      <c r="R221" s="214"/>
      <c r="S221" s="212"/>
      <c r="T221" s="212"/>
      <c r="U221" s="212"/>
      <c r="V221" s="212"/>
      <c r="W221" s="213"/>
    </row>
    <row r="222">
      <c r="A222" s="212"/>
      <c r="B222" s="215"/>
      <c r="C222" s="215"/>
      <c r="D222" s="213"/>
      <c r="E222" s="212"/>
      <c r="F222" s="212"/>
      <c r="G222" s="212"/>
      <c r="H222" s="214"/>
      <c r="I222" s="214"/>
      <c r="J222" s="212"/>
      <c r="K222" s="212"/>
      <c r="L222" s="212"/>
      <c r="M222" s="212"/>
      <c r="N222" s="214"/>
      <c r="O222" s="212"/>
      <c r="P222" s="214"/>
      <c r="Q222" s="212"/>
      <c r="R222" s="214"/>
      <c r="S222" s="212"/>
      <c r="T222" s="212"/>
      <c r="U222" s="212"/>
      <c r="V222" s="212"/>
      <c r="W222" s="213"/>
    </row>
    <row r="223">
      <c r="A223" s="212"/>
      <c r="B223" s="213"/>
      <c r="C223" s="213"/>
      <c r="D223" s="213"/>
      <c r="E223" s="212"/>
      <c r="F223" s="212"/>
      <c r="G223" s="212"/>
      <c r="H223" s="214"/>
      <c r="I223" s="214"/>
      <c r="J223" s="212"/>
      <c r="K223" s="212"/>
      <c r="L223" s="212"/>
      <c r="M223" s="212"/>
      <c r="N223" s="214"/>
      <c r="O223" s="212"/>
      <c r="P223" s="214"/>
      <c r="Q223" s="212"/>
      <c r="R223" s="214"/>
      <c r="S223" s="212"/>
      <c r="T223" s="212"/>
      <c r="U223" s="212"/>
      <c r="V223" s="212"/>
      <c r="W223" s="213"/>
    </row>
    <row r="224">
      <c r="A224" s="212"/>
      <c r="B224" s="215"/>
      <c r="C224" s="215"/>
      <c r="D224" s="213"/>
      <c r="E224" s="212"/>
      <c r="F224" s="212"/>
      <c r="G224" s="212"/>
      <c r="H224" s="212"/>
      <c r="I224" s="214"/>
      <c r="J224" s="212"/>
      <c r="K224" s="212"/>
      <c r="L224" s="212"/>
      <c r="M224" s="212"/>
      <c r="N224" s="212"/>
      <c r="O224" s="212"/>
      <c r="P224" s="214"/>
      <c r="Q224" s="212"/>
      <c r="R224" s="214"/>
      <c r="S224" s="212"/>
      <c r="T224" s="212"/>
      <c r="U224" s="212"/>
      <c r="V224" s="212"/>
      <c r="W224" s="213"/>
    </row>
    <row r="225">
      <c r="A225" s="212"/>
      <c r="B225" s="215"/>
      <c r="C225" s="215"/>
      <c r="D225" s="213"/>
      <c r="E225" s="212"/>
      <c r="F225" s="212"/>
      <c r="G225" s="212"/>
      <c r="H225" s="212"/>
      <c r="I225" s="214"/>
      <c r="J225" s="212"/>
      <c r="K225" s="212"/>
      <c r="L225" s="212"/>
      <c r="M225" s="212"/>
      <c r="N225" s="214"/>
      <c r="O225" s="212"/>
      <c r="P225" s="212"/>
      <c r="Q225" s="212"/>
      <c r="R225" s="214"/>
      <c r="S225" s="212"/>
      <c r="T225" s="212"/>
      <c r="U225" s="212"/>
      <c r="V225" s="212"/>
      <c r="W225" s="213"/>
    </row>
    <row r="226">
      <c r="A226" s="212"/>
      <c r="B226" s="213"/>
      <c r="C226" s="213"/>
      <c r="D226" s="213"/>
      <c r="E226" s="212"/>
      <c r="F226" s="212"/>
      <c r="G226" s="212"/>
      <c r="H226" s="212"/>
      <c r="I226" s="214"/>
      <c r="J226" s="212"/>
      <c r="K226" s="212"/>
      <c r="L226" s="212"/>
      <c r="M226" s="212"/>
      <c r="N226" s="214"/>
      <c r="O226" s="212"/>
      <c r="P226" s="212"/>
      <c r="Q226" s="212"/>
      <c r="R226" s="214"/>
      <c r="S226" s="212"/>
      <c r="T226" s="212"/>
      <c r="U226" s="212"/>
      <c r="V226" s="212"/>
      <c r="W226" s="213"/>
    </row>
    <row r="227">
      <c r="A227" s="212"/>
      <c r="B227" s="213"/>
      <c r="C227" s="213"/>
      <c r="D227" s="213"/>
      <c r="E227" s="212"/>
      <c r="F227" s="212"/>
      <c r="G227" s="212"/>
      <c r="H227" s="214"/>
      <c r="I227" s="214"/>
      <c r="J227" s="212"/>
      <c r="K227" s="212"/>
      <c r="L227" s="212"/>
      <c r="M227" s="212"/>
      <c r="N227" s="214"/>
      <c r="O227" s="212"/>
      <c r="P227" s="214"/>
      <c r="Q227" s="212"/>
      <c r="R227" s="214"/>
      <c r="S227" s="212"/>
      <c r="T227" s="212"/>
      <c r="U227" s="212"/>
      <c r="V227" s="212"/>
      <c r="W227" s="213"/>
    </row>
    <row r="228">
      <c r="A228" s="212"/>
      <c r="B228" s="213"/>
      <c r="C228" s="213"/>
      <c r="D228" s="213"/>
      <c r="E228" s="212"/>
      <c r="F228" s="212"/>
      <c r="G228" s="212"/>
      <c r="H228" s="212"/>
      <c r="I228" s="214"/>
      <c r="J228" s="212"/>
      <c r="K228" s="212"/>
      <c r="L228" s="212"/>
      <c r="M228" s="212"/>
      <c r="N228" s="214"/>
      <c r="O228" s="212"/>
      <c r="P228" s="212"/>
      <c r="Q228" s="212"/>
      <c r="R228" s="214"/>
      <c r="S228" s="212"/>
      <c r="T228" s="212"/>
      <c r="U228" s="212"/>
      <c r="V228" s="212"/>
      <c r="W228" s="213"/>
    </row>
    <row r="229">
      <c r="A229" s="212"/>
      <c r="B229" s="213"/>
      <c r="C229" s="213"/>
      <c r="D229" s="213"/>
      <c r="E229" s="212"/>
      <c r="F229" s="212"/>
      <c r="G229" s="212"/>
      <c r="H229" s="214"/>
      <c r="I229" s="214"/>
      <c r="J229" s="212"/>
      <c r="K229" s="212"/>
      <c r="L229" s="212"/>
      <c r="M229" s="212"/>
      <c r="N229" s="212"/>
      <c r="O229" s="212"/>
      <c r="P229" s="214"/>
      <c r="Q229" s="212"/>
      <c r="R229" s="214"/>
      <c r="S229" s="212"/>
      <c r="T229" s="212"/>
      <c r="U229" s="212"/>
      <c r="V229" s="212"/>
      <c r="W229" s="213"/>
    </row>
    <row r="230">
      <c r="A230" s="212"/>
      <c r="B230" s="213"/>
      <c r="C230" s="213"/>
      <c r="D230" s="213"/>
      <c r="E230" s="212"/>
      <c r="F230" s="212"/>
      <c r="G230" s="212"/>
      <c r="H230" s="212"/>
      <c r="I230" s="214"/>
      <c r="J230" s="212"/>
      <c r="K230" s="212"/>
      <c r="L230" s="212"/>
      <c r="M230" s="212"/>
      <c r="N230" s="214"/>
      <c r="O230" s="212"/>
      <c r="P230" s="212"/>
      <c r="Q230" s="212"/>
      <c r="R230" s="214"/>
      <c r="S230" s="212"/>
      <c r="T230" s="212"/>
      <c r="U230" s="212"/>
      <c r="V230" s="212"/>
      <c r="W230" s="213"/>
    </row>
    <row r="231">
      <c r="A231" s="212"/>
      <c r="B231" s="213"/>
      <c r="C231" s="213"/>
      <c r="D231" s="213"/>
      <c r="E231" s="212"/>
      <c r="F231" s="212"/>
      <c r="G231" s="212"/>
      <c r="H231" s="212"/>
      <c r="I231" s="214"/>
      <c r="J231" s="212"/>
      <c r="K231" s="212"/>
      <c r="L231" s="212"/>
      <c r="M231" s="212"/>
      <c r="N231" s="212"/>
      <c r="O231" s="212"/>
      <c r="P231" s="214"/>
      <c r="Q231" s="212"/>
      <c r="R231" s="214"/>
      <c r="S231" s="212"/>
      <c r="T231" s="212"/>
      <c r="U231" s="212"/>
      <c r="V231" s="212"/>
      <c r="W231" s="213"/>
    </row>
    <row r="232">
      <c r="A232" s="212"/>
      <c r="B232" s="213"/>
      <c r="C232" s="213"/>
      <c r="D232" s="213"/>
      <c r="E232" s="212"/>
      <c r="F232" s="212"/>
      <c r="G232" s="212"/>
      <c r="H232" s="212"/>
      <c r="I232" s="214"/>
      <c r="J232" s="212"/>
      <c r="K232" s="212"/>
      <c r="L232" s="212"/>
      <c r="M232" s="212"/>
      <c r="N232" s="214"/>
      <c r="O232" s="212"/>
      <c r="P232" s="212"/>
      <c r="Q232" s="212"/>
      <c r="R232" s="214"/>
      <c r="S232" s="212"/>
      <c r="T232" s="212"/>
      <c r="U232" s="212"/>
      <c r="V232" s="212"/>
      <c r="W232" s="213"/>
    </row>
    <row r="233">
      <c r="A233" s="212"/>
      <c r="B233" s="215"/>
      <c r="C233" s="215"/>
      <c r="D233" s="213"/>
      <c r="E233" s="212"/>
      <c r="F233" s="212"/>
      <c r="G233" s="212"/>
      <c r="H233" s="212"/>
      <c r="I233" s="214"/>
      <c r="J233" s="212"/>
      <c r="K233" s="212"/>
      <c r="L233" s="212"/>
      <c r="M233" s="212"/>
      <c r="N233" s="214"/>
      <c r="O233" s="212"/>
      <c r="P233" s="214"/>
      <c r="Q233" s="212"/>
      <c r="R233" s="214"/>
      <c r="S233" s="212"/>
      <c r="T233" s="212"/>
      <c r="U233" s="212"/>
      <c r="V233" s="212"/>
      <c r="W233" s="213"/>
    </row>
    <row r="234">
      <c r="A234" s="212"/>
      <c r="B234" s="213"/>
      <c r="C234" s="213"/>
      <c r="D234" s="213"/>
      <c r="E234" s="212"/>
      <c r="F234" s="212"/>
      <c r="G234" s="212"/>
      <c r="H234" s="212"/>
      <c r="I234" s="214"/>
      <c r="J234" s="212"/>
      <c r="K234" s="212"/>
      <c r="L234" s="212"/>
      <c r="M234" s="212"/>
      <c r="N234" s="212"/>
      <c r="O234" s="212"/>
      <c r="P234" s="212"/>
      <c r="Q234" s="212"/>
      <c r="R234" s="214"/>
      <c r="S234" s="212"/>
      <c r="T234" s="212"/>
      <c r="U234" s="212"/>
      <c r="V234" s="212"/>
      <c r="W234" s="213"/>
    </row>
    <row r="235">
      <c r="A235" s="212"/>
      <c r="B235" s="215"/>
      <c r="C235" s="215"/>
      <c r="D235" s="213"/>
      <c r="E235" s="212"/>
      <c r="F235" s="212"/>
      <c r="G235" s="212"/>
      <c r="H235" s="212"/>
      <c r="I235" s="214"/>
      <c r="J235" s="212"/>
      <c r="K235" s="212"/>
      <c r="L235" s="212"/>
      <c r="M235" s="212"/>
      <c r="N235" s="214"/>
      <c r="O235" s="212"/>
      <c r="P235" s="214"/>
      <c r="Q235" s="212"/>
      <c r="R235" s="214"/>
      <c r="S235" s="212"/>
      <c r="T235" s="212"/>
      <c r="U235" s="212"/>
      <c r="V235" s="212"/>
      <c r="W235" s="213"/>
    </row>
    <row r="236">
      <c r="A236" s="212"/>
      <c r="B236" s="215"/>
      <c r="C236" s="215"/>
      <c r="D236" s="213"/>
      <c r="E236" s="212"/>
      <c r="F236" s="212"/>
      <c r="G236" s="212"/>
      <c r="H236" s="212"/>
      <c r="I236" s="214"/>
      <c r="J236" s="212"/>
      <c r="K236" s="212"/>
      <c r="L236" s="212"/>
      <c r="M236" s="212"/>
      <c r="N236" s="214"/>
      <c r="O236" s="212"/>
      <c r="P236" s="212"/>
      <c r="Q236" s="212"/>
      <c r="R236" s="214"/>
      <c r="S236" s="212"/>
      <c r="T236" s="212"/>
      <c r="U236" s="212"/>
      <c r="V236" s="212"/>
      <c r="W236" s="213"/>
    </row>
    <row r="237">
      <c r="A237" s="212"/>
      <c r="B237" s="215"/>
      <c r="C237" s="215"/>
      <c r="D237" s="213"/>
      <c r="E237" s="212"/>
      <c r="F237" s="212"/>
      <c r="G237" s="212"/>
      <c r="H237" s="212"/>
      <c r="I237" s="214"/>
      <c r="J237" s="212"/>
      <c r="K237" s="212"/>
      <c r="L237" s="212"/>
      <c r="M237" s="212"/>
      <c r="N237" s="212"/>
      <c r="O237" s="212"/>
      <c r="P237" s="214"/>
      <c r="Q237" s="212"/>
      <c r="R237" s="214"/>
      <c r="S237" s="212"/>
      <c r="T237" s="212"/>
      <c r="U237" s="212"/>
      <c r="V237" s="212"/>
      <c r="W237" s="213"/>
    </row>
    <row r="238">
      <c r="A238" s="212"/>
      <c r="B238" s="215"/>
      <c r="C238" s="215"/>
      <c r="D238" s="213"/>
      <c r="E238" s="212"/>
      <c r="F238" s="212"/>
      <c r="G238" s="212"/>
      <c r="H238" s="212"/>
      <c r="I238" s="214"/>
      <c r="J238" s="212"/>
      <c r="K238" s="212"/>
      <c r="L238" s="212"/>
      <c r="M238" s="212"/>
      <c r="N238" s="214"/>
      <c r="O238" s="212"/>
      <c r="P238" s="212"/>
      <c r="Q238" s="212"/>
      <c r="R238" s="214"/>
      <c r="S238" s="212"/>
      <c r="T238" s="212"/>
      <c r="U238" s="212"/>
      <c r="V238" s="212"/>
      <c r="W238" s="213"/>
    </row>
    <row r="239">
      <c r="A239" s="212"/>
      <c r="B239" s="215"/>
      <c r="C239" s="215"/>
      <c r="D239" s="213"/>
      <c r="E239" s="212"/>
      <c r="F239" s="212"/>
      <c r="G239" s="212"/>
      <c r="H239" s="212"/>
      <c r="I239" s="214"/>
      <c r="J239" s="212"/>
      <c r="K239" s="212"/>
      <c r="L239" s="212"/>
      <c r="M239" s="212"/>
      <c r="N239" s="214"/>
      <c r="O239" s="212"/>
      <c r="P239" s="212"/>
      <c r="Q239" s="212"/>
      <c r="R239" s="214"/>
      <c r="S239" s="212"/>
      <c r="T239" s="212"/>
      <c r="U239" s="212"/>
      <c r="V239" s="212"/>
      <c r="W239" s="213"/>
    </row>
    <row r="240">
      <c r="A240" s="212"/>
      <c r="B240" s="213"/>
      <c r="C240" s="213"/>
      <c r="D240" s="213"/>
      <c r="E240" s="212"/>
      <c r="F240" s="212"/>
      <c r="G240" s="212"/>
      <c r="H240" s="212"/>
      <c r="I240" s="214"/>
      <c r="J240" s="212"/>
      <c r="K240" s="212"/>
      <c r="L240" s="212"/>
      <c r="M240" s="212"/>
      <c r="N240" s="214"/>
      <c r="O240" s="212"/>
      <c r="P240" s="214"/>
      <c r="Q240" s="212"/>
      <c r="R240" s="214"/>
      <c r="S240" s="212"/>
      <c r="T240" s="212"/>
      <c r="U240" s="212"/>
      <c r="V240" s="212"/>
      <c r="W240" s="213"/>
    </row>
    <row r="241">
      <c r="A241" s="212"/>
      <c r="B241" s="213"/>
      <c r="C241" s="213"/>
      <c r="D241" s="213"/>
      <c r="E241" s="212"/>
      <c r="F241" s="212"/>
      <c r="G241" s="212"/>
      <c r="H241" s="212"/>
      <c r="I241" s="214"/>
      <c r="J241" s="212"/>
      <c r="K241" s="212"/>
      <c r="L241" s="212"/>
      <c r="M241" s="212"/>
      <c r="N241" s="214"/>
      <c r="O241" s="212"/>
      <c r="P241" s="212"/>
      <c r="Q241" s="212"/>
      <c r="R241" s="214"/>
      <c r="S241" s="212"/>
      <c r="T241" s="212"/>
      <c r="U241" s="212"/>
      <c r="V241" s="212"/>
      <c r="W241" s="213"/>
    </row>
    <row r="242">
      <c r="A242" s="212"/>
      <c r="B242" s="215"/>
      <c r="C242" s="215"/>
      <c r="D242" s="213"/>
      <c r="E242" s="212"/>
      <c r="F242" s="212"/>
      <c r="G242" s="212"/>
      <c r="H242" s="212"/>
      <c r="I242" s="214"/>
      <c r="J242" s="212"/>
      <c r="K242" s="212"/>
      <c r="L242" s="212"/>
      <c r="M242" s="212"/>
      <c r="N242" s="214"/>
      <c r="O242" s="212"/>
      <c r="P242" s="214"/>
      <c r="Q242" s="212"/>
      <c r="R242" s="214"/>
      <c r="S242" s="212"/>
      <c r="T242" s="212"/>
      <c r="U242" s="212"/>
      <c r="V242" s="212"/>
      <c r="W242" s="213"/>
    </row>
    <row r="243">
      <c r="A243" s="212"/>
      <c r="B243" s="213"/>
      <c r="C243" s="213"/>
      <c r="D243" s="213"/>
      <c r="E243" s="212"/>
      <c r="F243" s="212"/>
      <c r="G243" s="212"/>
      <c r="H243" s="212"/>
      <c r="I243" s="214"/>
      <c r="J243" s="212"/>
      <c r="K243" s="212"/>
      <c r="L243" s="212"/>
      <c r="M243" s="212"/>
      <c r="N243" s="214"/>
      <c r="O243" s="212"/>
      <c r="P243" s="214"/>
      <c r="Q243" s="212"/>
      <c r="R243" s="214"/>
      <c r="S243" s="212"/>
      <c r="T243" s="212"/>
      <c r="U243" s="212"/>
      <c r="V243" s="212"/>
      <c r="W243" s="213"/>
    </row>
    <row r="244">
      <c r="A244" s="212"/>
      <c r="B244" s="213"/>
      <c r="C244" s="213"/>
      <c r="D244" s="213"/>
      <c r="E244" s="212"/>
      <c r="F244" s="212"/>
      <c r="G244" s="212"/>
      <c r="H244" s="212"/>
      <c r="I244" s="214"/>
      <c r="J244" s="212"/>
      <c r="K244" s="212"/>
      <c r="L244" s="212"/>
      <c r="M244" s="212"/>
      <c r="N244" s="214"/>
      <c r="O244" s="212"/>
      <c r="P244" s="212"/>
      <c r="Q244" s="212"/>
      <c r="R244" s="214"/>
      <c r="S244" s="212"/>
      <c r="T244" s="212"/>
      <c r="U244" s="212"/>
      <c r="V244" s="212"/>
      <c r="W244" s="213"/>
    </row>
    <row r="245">
      <c r="A245" s="212"/>
      <c r="B245" s="213"/>
      <c r="C245" s="213"/>
      <c r="D245" s="213"/>
      <c r="E245" s="212"/>
      <c r="F245" s="212"/>
      <c r="G245" s="212"/>
      <c r="H245" s="212"/>
      <c r="I245" s="214"/>
      <c r="J245" s="212"/>
      <c r="K245" s="212"/>
      <c r="L245" s="212"/>
      <c r="M245" s="212"/>
      <c r="N245" s="214"/>
      <c r="O245" s="212"/>
      <c r="P245" s="214"/>
      <c r="Q245" s="212"/>
      <c r="R245" s="214"/>
      <c r="S245" s="212"/>
      <c r="T245" s="212"/>
      <c r="U245" s="212"/>
      <c r="V245" s="212"/>
      <c r="W245" s="213"/>
    </row>
    <row r="246">
      <c r="A246" s="212"/>
      <c r="B246" s="215"/>
      <c r="C246" s="215"/>
      <c r="D246" s="213"/>
      <c r="E246" s="212"/>
      <c r="F246" s="212"/>
      <c r="G246" s="212"/>
      <c r="H246" s="212"/>
      <c r="I246" s="214"/>
      <c r="J246" s="212"/>
      <c r="K246" s="212"/>
      <c r="L246" s="212"/>
      <c r="M246" s="212"/>
      <c r="N246" s="214"/>
      <c r="O246" s="212"/>
      <c r="P246" s="212"/>
      <c r="Q246" s="212"/>
      <c r="R246" s="214"/>
      <c r="S246" s="212"/>
      <c r="T246" s="212"/>
      <c r="U246" s="212"/>
      <c r="V246" s="212"/>
      <c r="W246" s="213"/>
    </row>
    <row r="247">
      <c r="A247" s="212"/>
      <c r="B247" s="215"/>
      <c r="C247" s="215"/>
      <c r="D247" s="213"/>
      <c r="E247" s="212"/>
      <c r="F247" s="212"/>
      <c r="G247" s="212"/>
      <c r="H247" s="212"/>
      <c r="I247" s="214"/>
      <c r="J247" s="212"/>
      <c r="K247" s="212"/>
      <c r="L247" s="212"/>
      <c r="M247" s="212"/>
      <c r="N247" s="214"/>
      <c r="O247" s="212"/>
      <c r="P247" s="212"/>
      <c r="Q247" s="212"/>
      <c r="R247" s="214"/>
      <c r="S247" s="212"/>
      <c r="T247" s="212"/>
      <c r="U247" s="212"/>
      <c r="V247" s="212"/>
      <c r="W247" s="213"/>
    </row>
    <row r="248">
      <c r="A248" s="212"/>
      <c r="B248" s="213"/>
      <c r="C248" s="213"/>
      <c r="D248" s="213"/>
      <c r="E248" s="212"/>
      <c r="F248" s="212"/>
      <c r="G248" s="212"/>
      <c r="H248" s="212"/>
      <c r="I248" s="214"/>
      <c r="J248" s="212"/>
      <c r="K248" s="212"/>
      <c r="L248" s="212"/>
      <c r="M248" s="212"/>
      <c r="N248" s="214"/>
      <c r="O248" s="212"/>
      <c r="P248" s="212"/>
      <c r="Q248" s="212"/>
      <c r="R248" s="214"/>
      <c r="S248" s="212"/>
      <c r="T248" s="212"/>
      <c r="U248" s="212"/>
      <c r="V248" s="212"/>
      <c r="W248" s="213"/>
    </row>
    <row r="249">
      <c r="A249" s="212"/>
      <c r="B249" s="215"/>
      <c r="C249" s="215"/>
      <c r="D249" s="213"/>
      <c r="E249" s="212"/>
      <c r="F249" s="212"/>
      <c r="G249" s="212"/>
      <c r="H249" s="212"/>
      <c r="I249" s="214"/>
      <c r="J249" s="212"/>
      <c r="K249" s="212"/>
      <c r="L249" s="212"/>
      <c r="M249" s="212"/>
      <c r="N249" s="214"/>
      <c r="O249" s="212"/>
      <c r="P249" s="212"/>
      <c r="Q249" s="212"/>
      <c r="R249" s="214"/>
      <c r="S249" s="212"/>
      <c r="T249" s="212"/>
      <c r="U249" s="212"/>
      <c r="V249" s="212"/>
      <c r="W249" s="213"/>
    </row>
    <row r="250">
      <c r="A250" s="212"/>
      <c r="B250" s="213"/>
      <c r="C250" s="213"/>
      <c r="D250" s="213"/>
      <c r="E250" s="212"/>
      <c r="F250" s="212"/>
      <c r="G250" s="212"/>
      <c r="H250" s="212"/>
      <c r="I250" s="214"/>
      <c r="J250" s="212"/>
      <c r="K250" s="212"/>
      <c r="L250" s="212"/>
      <c r="M250" s="212"/>
      <c r="N250" s="212"/>
      <c r="O250" s="212"/>
      <c r="P250" s="212"/>
      <c r="Q250" s="212"/>
      <c r="R250" s="214"/>
      <c r="S250" s="212"/>
      <c r="T250" s="212"/>
      <c r="U250" s="212"/>
      <c r="V250" s="212"/>
      <c r="W250" s="213"/>
    </row>
    <row r="251">
      <c r="A251" s="212"/>
      <c r="B251" s="213"/>
      <c r="C251" s="213"/>
      <c r="D251" s="213"/>
      <c r="E251" s="212"/>
      <c r="F251" s="212"/>
      <c r="G251" s="212"/>
      <c r="H251" s="212"/>
      <c r="I251" s="214"/>
      <c r="J251" s="212"/>
      <c r="K251" s="212"/>
      <c r="L251" s="212"/>
      <c r="M251" s="212"/>
      <c r="N251" s="214"/>
      <c r="O251" s="212"/>
      <c r="P251" s="212"/>
      <c r="Q251" s="212"/>
      <c r="R251" s="214"/>
      <c r="S251" s="212"/>
      <c r="T251" s="212"/>
      <c r="U251" s="212"/>
      <c r="V251" s="212"/>
      <c r="W251" s="213"/>
    </row>
    <row r="252">
      <c r="A252" s="212"/>
      <c r="B252" s="215"/>
      <c r="C252" s="215"/>
      <c r="D252" s="213"/>
      <c r="E252" s="212"/>
      <c r="F252" s="212"/>
      <c r="G252" s="212"/>
      <c r="H252" s="212"/>
      <c r="I252" s="214"/>
      <c r="J252" s="212"/>
      <c r="K252" s="212"/>
      <c r="L252" s="212"/>
      <c r="M252" s="212"/>
      <c r="N252" s="214"/>
      <c r="O252" s="212"/>
      <c r="P252" s="212"/>
      <c r="Q252" s="212"/>
      <c r="R252" s="214"/>
      <c r="S252" s="212"/>
      <c r="T252" s="212"/>
      <c r="U252" s="212"/>
      <c r="V252" s="212"/>
      <c r="W252" s="213"/>
    </row>
    <row r="253">
      <c r="A253" s="212"/>
      <c r="B253" s="215"/>
      <c r="C253" s="215"/>
      <c r="D253" s="213"/>
      <c r="E253" s="212"/>
      <c r="F253" s="212"/>
      <c r="G253" s="212"/>
      <c r="H253" s="212"/>
      <c r="I253" s="214"/>
      <c r="J253" s="212"/>
      <c r="K253" s="212"/>
      <c r="L253" s="212"/>
      <c r="M253" s="212"/>
      <c r="N253" s="212"/>
      <c r="O253" s="212"/>
      <c r="P253" s="212"/>
      <c r="Q253" s="212"/>
      <c r="R253" s="214"/>
      <c r="S253" s="212"/>
      <c r="T253" s="212"/>
      <c r="U253" s="212"/>
      <c r="V253" s="212"/>
      <c r="W253" s="213"/>
    </row>
    <row r="254">
      <c r="A254" s="212"/>
      <c r="B254" s="215"/>
      <c r="C254" s="215"/>
      <c r="D254" s="213"/>
      <c r="E254" s="212"/>
      <c r="F254" s="212"/>
      <c r="G254" s="212"/>
      <c r="H254" s="212"/>
      <c r="I254" s="214"/>
      <c r="J254" s="212"/>
      <c r="K254" s="212"/>
      <c r="L254" s="212"/>
      <c r="M254" s="212"/>
      <c r="N254" s="214"/>
      <c r="O254" s="212"/>
      <c r="P254" s="214"/>
      <c r="Q254" s="214"/>
      <c r="R254" s="214"/>
      <c r="S254" s="212"/>
      <c r="T254" s="212"/>
      <c r="U254" s="212"/>
      <c r="V254" s="212"/>
      <c r="W254" s="213"/>
    </row>
    <row r="255">
      <c r="A255" s="212"/>
      <c r="B255" s="215"/>
      <c r="C255" s="215"/>
      <c r="D255" s="213"/>
      <c r="E255" s="212"/>
      <c r="F255" s="212"/>
      <c r="G255" s="212"/>
      <c r="H255" s="212"/>
      <c r="I255" s="214"/>
      <c r="J255" s="212"/>
      <c r="K255" s="212"/>
      <c r="L255" s="212"/>
      <c r="M255" s="212"/>
      <c r="N255" s="214"/>
      <c r="O255" s="212"/>
      <c r="P255" s="212"/>
      <c r="Q255" s="212"/>
      <c r="R255" s="214"/>
      <c r="S255" s="212"/>
      <c r="T255" s="212"/>
      <c r="U255" s="212"/>
      <c r="V255" s="212"/>
      <c r="W255" s="213"/>
    </row>
    <row r="256">
      <c r="A256" s="212"/>
      <c r="B256" s="213"/>
      <c r="C256" s="213"/>
      <c r="D256" s="213"/>
      <c r="E256" s="212"/>
      <c r="F256" s="212"/>
      <c r="G256" s="212"/>
      <c r="H256" s="212"/>
      <c r="I256" s="214"/>
      <c r="J256" s="212"/>
      <c r="K256" s="212"/>
      <c r="L256" s="212"/>
      <c r="M256" s="212"/>
      <c r="N256" s="214"/>
      <c r="O256" s="212"/>
      <c r="P256" s="212"/>
      <c r="Q256" s="212"/>
      <c r="R256" s="214"/>
      <c r="S256" s="212"/>
      <c r="T256" s="212"/>
      <c r="U256" s="212"/>
      <c r="V256" s="212"/>
      <c r="W256" s="213"/>
    </row>
    <row r="257">
      <c r="A257" s="212"/>
      <c r="B257" s="215"/>
      <c r="C257" s="215"/>
      <c r="D257" s="213"/>
      <c r="E257" s="212"/>
      <c r="F257" s="212"/>
      <c r="G257" s="212"/>
      <c r="H257" s="212"/>
      <c r="I257" s="214"/>
      <c r="J257" s="212"/>
      <c r="K257" s="212"/>
      <c r="L257" s="212"/>
      <c r="M257" s="212"/>
      <c r="N257" s="214"/>
      <c r="O257" s="212"/>
      <c r="P257" s="212"/>
      <c r="Q257" s="212"/>
      <c r="R257" s="214"/>
      <c r="S257" s="212"/>
      <c r="T257" s="212"/>
      <c r="U257" s="212"/>
      <c r="V257" s="212"/>
      <c r="W257" s="213"/>
    </row>
    <row r="258">
      <c r="A258" s="212"/>
      <c r="B258" s="215"/>
      <c r="C258" s="215"/>
      <c r="D258" s="213"/>
      <c r="E258" s="212"/>
      <c r="F258" s="212"/>
      <c r="G258" s="212"/>
      <c r="H258" s="212"/>
      <c r="I258" s="214"/>
      <c r="J258" s="212"/>
      <c r="K258" s="212"/>
      <c r="L258" s="212"/>
      <c r="M258" s="212"/>
      <c r="N258" s="214"/>
      <c r="O258" s="212"/>
      <c r="P258" s="214"/>
      <c r="Q258" s="212"/>
      <c r="R258" s="214"/>
      <c r="S258" s="212"/>
      <c r="T258" s="212"/>
      <c r="U258" s="212"/>
      <c r="V258" s="212"/>
      <c r="W258" s="213"/>
    </row>
    <row r="259">
      <c r="A259" s="212"/>
      <c r="B259" s="215"/>
      <c r="C259" s="215"/>
      <c r="D259" s="213"/>
      <c r="E259" s="212"/>
      <c r="F259" s="212"/>
      <c r="G259" s="212"/>
      <c r="H259" s="212"/>
      <c r="I259" s="214"/>
      <c r="J259" s="212"/>
      <c r="K259" s="212"/>
      <c r="L259" s="212"/>
      <c r="M259" s="212"/>
      <c r="N259" s="212"/>
      <c r="O259" s="212"/>
      <c r="P259" s="212"/>
      <c r="Q259" s="212"/>
      <c r="R259" s="214"/>
      <c r="S259" s="212"/>
      <c r="T259" s="212"/>
      <c r="U259" s="212"/>
      <c r="V259" s="212"/>
      <c r="W259" s="213"/>
    </row>
    <row r="260">
      <c r="A260" s="212"/>
      <c r="B260" s="213"/>
      <c r="C260" s="213"/>
      <c r="D260" s="213"/>
      <c r="E260" s="212"/>
      <c r="F260" s="212"/>
      <c r="G260" s="212"/>
      <c r="H260" s="212"/>
      <c r="I260" s="214"/>
      <c r="J260" s="212"/>
      <c r="K260" s="212"/>
      <c r="L260" s="212"/>
      <c r="M260" s="212"/>
      <c r="N260" s="212"/>
      <c r="O260" s="212"/>
      <c r="P260" s="212"/>
      <c r="Q260" s="212"/>
      <c r="R260" s="214"/>
      <c r="S260" s="212"/>
      <c r="T260" s="212"/>
      <c r="U260" s="212"/>
      <c r="V260" s="212"/>
      <c r="W260" s="213"/>
    </row>
    <row r="261">
      <c r="A261" s="212"/>
      <c r="B261" s="215"/>
      <c r="C261" s="215"/>
      <c r="D261" s="213"/>
      <c r="E261" s="212"/>
      <c r="F261" s="212"/>
      <c r="G261" s="212"/>
      <c r="H261" s="212"/>
      <c r="I261" s="214"/>
      <c r="J261" s="212"/>
      <c r="K261" s="212"/>
      <c r="L261" s="212"/>
      <c r="M261" s="212"/>
      <c r="N261" s="214"/>
      <c r="O261" s="212"/>
      <c r="P261" s="214"/>
      <c r="Q261" s="212"/>
      <c r="R261" s="214"/>
      <c r="S261" s="212"/>
      <c r="T261" s="212"/>
      <c r="U261" s="212"/>
      <c r="V261" s="212"/>
      <c r="W261" s="213"/>
    </row>
    <row r="262">
      <c r="A262" s="212"/>
      <c r="B262" s="215"/>
      <c r="C262" s="215"/>
      <c r="D262" s="213"/>
      <c r="E262" s="212"/>
      <c r="F262" s="212"/>
      <c r="G262" s="212"/>
      <c r="H262" s="212"/>
      <c r="I262" s="214"/>
      <c r="J262" s="212"/>
      <c r="K262" s="212"/>
      <c r="L262" s="212"/>
      <c r="M262" s="212"/>
      <c r="N262" s="214"/>
      <c r="O262" s="212"/>
      <c r="P262" s="212"/>
      <c r="Q262" s="212"/>
      <c r="R262" s="214"/>
      <c r="S262" s="212"/>
      <c r="T262" s="212"/>
      <c r="U262" s="212"/>
      <c r="V262" s="212"/>
      <c r="W262" s="213"/>
    </row>
    <row r="263">
      <c r="A263" s="212"/>
      <c r="B263" s="215"/>
      <c r="C263" s="215"/>
      <c r="D263" s="213"/>
      <c r="E263" s="212"/>
      <c r="F263" s="212"/>
      <c r="G263" s="212"/>
      <c r="H263" s="212"/>
      <c r="I263" s="214"/>
      <c r="J263" s="212"/>
      <c r="K263" s="212"/>
      <c r="L263" s="212"/>
      <c r="M263" s="212"/>
      <c r="N263" s="214"/>
      <c r="O263" s="212"/>
      <c r="P263" s="212"/>
      <c r="Q263" s="212"/>
      <c r="R263" s="214"/>
      <c r="S263" s="212"/>
      <c r="T263" s="212"/>
      <c r="U263" s="212"/>
      <c r="V263" s="212"/>
      <c r="W263" s="213"/>
    </row>
    <row r="264">
      <c r="A264" s="212"/>
      <c r="B264" s="215"/>
      <c r="C264" s="215"/>
      <c r="D264" s="213"/>
      <c r="E264" s="212"/>
      <c r="F264" s="212"/>
      <c r="G264" s="212"/>
      <c r="H264" s="212"/>
      <c r="I264" s="214"/>
      <c r="J264" s="212"/>
      <c r="K264" s="212"/>
      <c r="L264" s="212"/>
      <c r="M264" s="212"/>
      <c r="N264" s="214"/>
      <c r="O264" s="212"/>
      <c r="P264" s="212"/>
      <c r="Q264" s="212"/>
      <c r="R264" s="214"/>
      <c r="S264" s="212"/>
      <c r="T264" s="212"/>
      <c r="U264" s="212"/>
      <c r="V264" s="212"/>
      <c r="W264" s="213"/>
    </row>
    <row r="265">
      <c r="A265" s="212"/>
      <c r="B265" s="213"/>
      <c r="C265" s="213"/>
      <c r="D265" s="213"/>
      <c r="E265" s="212"/>
      <c r="F265" s="212"/>
      <c r="G265" s="212"/>
      <c r="H265" s="212"/>
      <c r="I265" s="214"/>
      <c r="J265" s="212"/>
      <c r="K265" s="212"/>
      <c r="L265" s="212"/>
      <c r="M265" s="212"/>
      <c r="N265" s="214"/>
      <c r="O265" s="212"/>
      <c r="P265" s="214"/>
      <c r="Q265" s="212"/>
      <c r="R265" s="214"/>
      <c r="S265" s="212"/>
      <c r="T265" s="212"/>
      <c r="U265" s="212"/>
      <c r="V265" s="212"/>
      <c r="W265" s="213"/>
    </row>
    <row r="266">
      <c r="A266" s="212"/>
      <c r="B266" s="215"/>
      <c r="C266" s="215"/>
      <c r="D266" s="213"/>
      <c r="E266" s="212"/>
      <c r="F266" s="212"/>
      <c r="G266" s="212"/>
      <c r="H266" s="214"/>
      <c r="I266" s="214"/>
      <c r="J266" s="212"/>
      <c r="K266" s="212"/>
      <c r="L266" s="212"/>
      <c r="M266" s="212"/>
      <c r="N266" s="214"/>
      <c r="O266" s="212"/>
      <c r="P266" s="214"/>
      <c r="Q266" s="212"/>
      <c r="R266" s="214"/>
      <c r="S266" s="212"/>
      <c r="T266" s="212"/>
      <c r="U266" s="212"/>
      <c r="V266" s="212"/>
      <c r="W266" s="213"/>
    </row>
    <row r="267">
      <c r="A267" s="212"/>
      <c r="B267" s="215"/>
      <c r="C267" s="215"/>
      <c r="D267" s="213"/>
      <c r="E267" s="212"/>
      <c r="F267" s="212"/>
      <c r="G267" s="212"/>
      <c r="H267" s="212"/>
      <c r="I267" s="214"/>
      <c r="J267" s="212"/>
      <c r="K267" s="212"/>
      <c r="L267" s="212"/>
      <c r="M267" s="212"/>
      <c r="N267" s="212"/>
      <c r="O267" s="212"/>
      <c r="P267" s="214"/>
      <c r="Q267" s="212"/>
      <c r="R267" s="214"/>
      <c r="S267" s="212"/>
      <c r="T267" s="212"/>
      <c r="U267" s="212"/>
      <c r="V267" s="212"/>
      <c r="W267" s="213"/>
    </row>
    <row r="268">
      <c r="A268" s="212"/>
      <c r="B268" s="213"/>
      <c r="C268" s="213"/>
      <c r="D268" s="213"/>
      <c r="E268" s="212"/>
      <c r="F268" s="212"/>
      <c r="G268" s="212"/>
      <c r="H268" s="212"/>
      <c r="I268" s="214"/>
      <c r="J268" s="212"/>
      <c r="K268" s="212"/>
      <c r="L268" s="212"/>
      <c r="M268" s="212"/>
      <c r="N268" s="214"/>
      <c r="O268" s="212"/>
      <c r="P268" s="212"/>
      <c r="Q268" s="212"/>
      <c r="R268" s="214"/>
      <c r="S268" s="212"/>
      <c r="T268" s="212"/>
      <c r="U268" s="212"/>
      <c r="V268" s="212"/>
      <c r="W268" s="213"/>
    </row>
    <row r="269">
      <c r="A269" s="212"/>
      <c r="B269" s="215"/>
      <c r="C269" s="215"/>
      <c r="D269" s="213"/>
      <c r="E269" s="212"/>
      <c r="F269" s="212"/>
      <c r="G269" s="212"/>
      <c r="H269" s="212"/>
      <c r="I269" s="214"/>
      <c r="J269" s="212"/>
      <c r="K269" s="212"/>
      <c r="L269" s="212"/>
      <c r="M269" s="212"/>
      <c r="N269" s="214"/>
      <c r="O269" s="212"/>
      <c r="P269" s="212"/>
      <c r="Q269" s="212"/>
      <c r="R269" s="214"/>
      <c r="S269" s="212"/>
      <c r="T269" s="212"/>
      <c r="U269" s="212"/>
      <c r="V269" s="212"/>
      <c r="W269" s="213"/>
    </row>
    <row r="270">
      <c r="A270" s="212"/>
      <c r="B270" s="215"/>
      <c r="C270" s="215"/>
      <c r="D270" s="213"/>
      <c r="E270" s="212"/>
      <c r="F270" s="212"/>
      <c r="G270" s="212"/>
      <c r="H270" s="212"/>
      <c r="I270" s="214"/>
      <c r="J270" s="212"/>
      <c r="K270" s="212"/>
      <c r="L270" s="212"/>
      <c r="M270" s="212"/>
      <c r="N270" s="214"/>
      <c r="O270" s="212"/>
      <c r="P270" s="212"/>
      <c r="Q270" s="212"/>
      <c r="R270" s="214"/>
      <c r="S270" s="212"/>
      <c r="T270" s="212"/>
      <c r="U270" s="212"/>
      <c r="V270" s="212"/>
      <c r="W270" s="213"/>
    </row>
    <row r="271">
      <c r="A271" s="212"/>
      <c r="B271" s="213"/>
      <c r="C271" s="213"/>
      <c r="D271" s="213"/>
      <c r="E271" s="212"/>
      <c r="F271" s="212"/>
      <c r="G271" s="212"/>
      <c r="H271" s="212"/>
      <c r="I271" s="214"/>
      <c r="J271" s="212"/>
      <c r="K271" s="212"/>
      <c r="L271" s="212"/>
      <c r="M271" s="212"/>
      <c r="N271" s="214"/>
      <c r="O271" s="212"/>
      <c r="P271" s="212"/>
      <c r="Q271" s="212"/>
      <c r="R271" s="214"/>
      <c r="S271" s="212"/>
      <c r="T271" s="212"/>
      <c r="U271" s="212"/>
      <c r="V271" s="212"/>
      <c r="W271" s="213"/>
    </row>
    <row r="272">
      <c r="A272" s="212"/>
      <c r="B272" s="213"/>
      <c r="C272" s="213"/>
      <c r="D272" s="213"/>
      <c r="E272" s="212"/>
      <c r="F272" s="212"/>
      <c r="G272" s="212"/>
      <c r="H272" s="212"/>
      <c r="I272" s="214"/>
      <c r="J272" s="212"/>
      <c r="K272" s="212"/>
      <c r="L272" s="212"/>
      <c r="M272" s="212"/>
      <c r="N272" s="214"/>
      <c r="O272" s="212"/>
      <c r="P272" s="212"/>
      <c r="Q272" s="212"/>
      <c r="R272" s="214"/>
      <c r="S272" s="212"/>
      <c r="T272" s="212"/>
      <c r="U272" s="212"/>
      <c r="V272" s="212"/>
      <c r="W272" s="213"/>
    </row>
    <row r="273">
      <c r="A273" s="212"/>
      <c r="B273" s="215"/>
      <c r="C273" s="215"/>
      <c r="D273" s="213"/>
      <c r="E273" s="212"/>
      <c r="F273" s="212"/>
      <c r="G273" s="212"/>
      <c r="H273" s="212"/>
      <c r="I273" s="214"/>
      <c r="J273" s="212"/>
      <c r="K273" s="212"/>
      <c r="L273" s="212"/>
      <c r="M273" s="212"/>
      <c r="N273" s="214"/>
      <c r="O273" s="212"/>
      <c r="P273" s="214"/>
      <c r="Q273" s="212"/>
      <c r="R273" s="214"/>
      <c r="S273" s="212"/>
      <c r="T273" s="212"/>
      <c r="U273" s="212"/>
      <c r="V273" s="212"/>
      <c r="W273" s="213"/>
    </row>
    <row r="274">
      <c r="A274" s="212"/>
      <c r="B274" s="213"/>
      <c r="C274" s="213"/>
      <c r="D274" s="213"/>
      <c r="E274" s="212"/>
      <c r="F274" s="212"/>
      <c r="G274" s="212"/>
      <c r="H274" s="214"/>
      <c r="I274" s="214"/>
      <c r="J274" s="212"/>
      <c r="K274" s="212"/>
      <c r="L274" s="212"/>
      <c r="M274" s="212"/>
      <c r="N274" s="214"/>
      <c r="O274" s="212"/>
      <c r="P274" s="214"/>
      <c r="Q274" s="212"/>
      <c r="R274" s="214"/>
      <c r="S274" s="212"/>
      <c r="T274" s="212"/>
      <c r="U274" s="212"/>
      <c r="V274" s="212"/>
      <c r="W274" s="213"/>
    </row>
    <row r="275">
      <c r="A275" s="212"/>
      <c r="B275" s="215"/>
      <c r="C275" s="215"/>
      <c r="D275" s="213"/>
      <c r="E275" s="212"/>
      <c r="F275" s="212"/>
      <c r="G275" s="212"/>
      <c r="H275" s="214"/>
      <c r="I275" s="214"/>
      <c r="J275" s="212"/>
      <c r="K275" s="212"/>
      <c r="L275" s="212"/>
      <c r="M275" s="212"/>
      <c r="N275" s="214"/>
      <c r="O275" s="212"/>
      <c r="P275" s="214"/>
      <c r="Q275" s="212"/>
      <c r="R275" s="214"/>
      <c r="S275" s="212"/>
      <c r="T275" s="212"/>
      <c r="U275" s="212"/>
      <c r="V275" s="212"/>
      <c r="W275" s="213"/>
    </row>
    <row r="276">
      <c r="A276" s="212"/>
      <c r="B276" s="215"/>
      <c r="C276" s="215"/>
      <c r="D276" s="213"/>
      <c r="E276" s="212"/>
      <c r="F276" s="212"/>
      <c r="G276" s="212"/>
      <c r="H276" s="212"/>
      <c r="I276" s="214"/>
      <c r="J276" s="212"/>
      <c r="K276" s="212"/>
      <c r="L276" s="212"/>
      <c r="M276" s="212"/>
      <c r="N276" s="212"/>
      <c r="O276" s="212"/>
      <c r="P276" s="212"/>
      <c r="Q276" s="212"/>
      <c r="R276" s="214"/>
      <c r="S276" s="212"/>
      <c r="T276" s="212"/>
      <c r="U276" s="212"/>
      <c r="V276" s="212"/>
      <c r="W276" s="213"/>
    </row>
    <row r="277">
      <c r="A277" s="212"/>
      <c r="B277" s="215"/>
      <c r="C277" s="215"/>
      <c r="D277" s="213"/>
      <c r="E277" s="212"/>
      <c r="F277" s="212"/>
      <c r="G277" s="212"/>
      <c r="H277" s="212"/>
      <c r="I277" s="214"/>
      <c r="J277" s="212"/>
      <c r="K277" s="212"/>
      <c r="L277" s="212"/>
      <c r="M277" s="212"/>
      <c r="N277" s="214"/>
      <c r="O277" s="212"/>
      <c r="P277" s="212"/>
      <c r="Q277" s="212"/>
      <c r="R277" s="214"/>
      <c r="S277" s="212"/>
      <c r="T277" s="212"/>
      <c r="U277" s="212"/>
      <c r="V277" s="212"/>
      <c r="W277" s="213"/>
    </row>
    <row r="278">
      <c r="A278" s="212"/>
      <c r="B278" s="213"/>
      <c r="C278" s="213"/>
      <c r="D278" s="213"/>
      <c r="E278" s="212"/>
      <c r="F278" s="212"/>
      <c r="G278" s="212"/>
      <c r="H278" s="212"/>
      <c r="I278" s="214"/>
      <c r="J278" s="212"/>
      <c r="K278" s="212"/>
      <c r="L278" s="212"/>
      <c r="M278" s="212"/>
      <c r="N278" s="212"/>
      <c r="O278" s="212"/>
      <c r="P278" s="212"/>
      <c r="Q278" s="212"/>
      <c r="R278" s="214"/>
      <c r="S278" s="212"/>
      <c r="T278" s="212"/>
      <c r="U278" s="212"/>
      <c r="V278" s="212"/>
      <c r="W278" s="213"/>
    </row>
    <row r="279">
      <c r="A279" s="212"/>
      <c r="B279" s="213"/>
      <c r="C279" s="213"/>
      <c r="D279" s="213"/>
      <c r="E279" s="212"/>
      <c r="F279" s="212"/>
      <c r="G279" s="212"/>
      <c r="H279" s="214"/>
      <c r="I279" s="214"/>
      <c r="J279" s="212"/>
      <c r="K279" s="212"/>
      <c r="L279" s="212"/>
      <c r="M279" s="212"/>
      <c r="N279" s="212"/>
      <c r="O279" s="212"/>
      <c r="P279" s="214"/>
      <c r="Q279" s="212"/>
      <c r="R279" s="214"/>
      <c r="S279" s="212"/>
      <c r="T279" s="212"/>
      <c r="U279" s="212"/>
      <c r="V279" s="212"/>
      <c r="W279" s="213"/>
    </row>
    <row r="280">
      <c r="A280" s="212"/>
      <c r="B280" s="215"/>
      <c r="C280" s="215"/>
      <c r="D280" s="213"/>
      <c r="E280" s="212"/>
      <c r="F280" s="212"/>
      <c r="G280" s="212"/>
      <c r="H280" s="212"/>
      <c r="I280" s="214"/>
      <c r="J280" s="212"/>
      <c r="K280" s="212"/>
      <c r="L280" s="212"/>
      <c r="M280" s="212"/>
      <c r="N280" s="212"/>
      <c r="O280" s="212"/>
      <c r="P280" s="214"/>
      <c r="Q280" s="212"/>
      <c r="R280" s="214"/>
      <c r="S280" s="212"/>
      <c r="T280" s="212"/>
      <c r="U280" s="212"/>
      <c r="V280" s="212"/>
      <c r="W280" s="213"/>
    </row>
    <row r="281">
      <c r="A281" s="212"/>
      <c r="B281" s="215"/>
      <c r="C281" s="215"/>
      <c r="D281" s="213"/>
      <c r="E281" s="212"/>
      <c r="F281" s="212"/>
      <c r="G281" s="212"/>
      <c r="H281" s="212"/>
      <c r="I281" s="214"/>
      <c r="J281" s="212"/>
      <c r="K281" s="212"/>
      <c r="L281" s="212"/>
      <c r="M281" s="212"/>
      <c r="N281" s="214"/>
      <c r="O281" s="212"/>
      <c r="P281" s="212"/>
      <c r="Q281" s="212"/>
      <c r="R281" s="214"/>
      <c r="S281" s="212"/>
      <c r="T281" s="212"/>
      <c r="U281" s="212"/>
      <c r="V281" s="212"/>
      <c r="W281" s="213"/>
    </row>
    <row r="282">
      <c r="A282" s="212"/>
      <c r="B282" s="215"/>
      <c r="C282" s="215"/>
      <c r="D282" s="213"/>
      <c r="E282" s="212"/>
      <c r="F282" s="212"/>
      <c r="G282" s="212"/>
      <c r="H282" s="212"/>
      <c r="I282" s="214"/>
      <c r="J282" s="212"/>
      <c r="K282" s="212"/>
      <c r="L282" s="212"/>
      <c r="M282" s="212"/>
      <c r="N282" s="214"/>
      <c r="O282" s="212"/>
      <c r="P282" s="212"/>
      <c r="Q282" s="212"/>
      <c r="R282" s="214"/>
      <c r="S282" s="212"/>
      <c r="T282" s="212"/>
      <c r="U282" s="212"/>
      <c r="V282" s="212"/>
      <c r="W282" s="213"/>
    </row>
    <row r="283">
      <c r="A283" s="212"/>
      <c r="B283" s="215"/>
      <c r="C283" s="215"/>
      <c r="D283" s="213"/>
      <c r="E283" s="212"/>
      <c r="F283" s="212"/>
      <c r="G283" s="212"/>
      <c r="H283" s="212"/>
      <c r="I283" s="214"/>
      <c r="J283" s="212"/>
      <c r="K283" s="212"/>
      <c r="L283" s="212"/>
      <c r="M283" s="212"/>
      <c r="N283" s="214"/>
      <c r="O283" s="212"/>
      <c r="P283" s="212"/>
      <c r="Q283" s="212"/>
      <c r="R283" s="214"/>
      <c r="S283" s="212"/>
      <c r="T283" s="212"/>
      <c r="U283" s="212"/>
      <c r="V283" s="212"/>
      <c r="W283" s="213"/>
    </row>
    <row r="284">
      <c r="A284" s="212"/>
      <c r="B284" s="215"/>
      <c r="C284" s="215"/>
      <c r="D284" s="213"/>
      <c r="E284" s="212"/>
      <c r="F284" s="212"/>
      <c r="G284" s="212"/>
      <c r="H284" s="212"/>
      <c r="I284" s="214"/>
      <c r="J284" s="212"/>
      <c r="K284" s="212"/>
      <c r="L284" s="212"/>
      <c r="M284" s="212"/>
      <c r="N284" s="212"/>
      <c r="O284" s="212"/>
      <c r="P284" s="212"/>
      <c r="Q284" s="212"/>
      <c r="R284" s="214"/>
      <c r="S284" s="212"/>
      <c r="T284" s="212"/>
      <c r="U284" s="212"/>
      <c r="V284" s="212"/>
      <c r="W284" s="213"/>
    </row>
    <row r="285">
      <c r="A285" s="212"/>
      <c r="B285" s="213"/>
      <c r="C285" s="213"/>
      <c r="D285" s="213"/>
      <c r="E285" s="212"/>
      <c r="F285" s="212"/>
      <c r="G285" s="212"/>
      <c r="H285" s="212"/>
      <c r="I285" s="214"/>
      <c r="J285" s="212"/>
      <c r="K285" s="212"/>
      <c r="L285" s="212"/>
      <c r="M285" s="212"/>
      <c r="N285" s="212"/>
      <c r="O285" s="212"/>
      <c r="P285" s="214"/>
      <c r="Q285" s="212"/>
      <c r="R285" s="214"/>
      <c r="S285" s="212"/>
      <c r="T285" s="212"/>
      <c r="U285" s="212"/>
      <c r="V285" s="212"/>
      <c r="W285" s="213"/>
    </row>
    <row r="286">
      <c r="A286" s="212"/>
      <c r="B286" s="213"/>
      <c r="C286" s="213"/>
      <c r="D286" s="213"/>
      <c r="E286" s="212"/>
      <c r="F286" s="212"/>
      <c r="G286" s="212"/>
      <c r="H286" s="212"/>
      <c r="I286" s="214"/>
      <c r="J286" s="212"/>
      <c r="K286" s="212"/>
      <c r="L286" s="212"/>
      <c r="M286" s="212"/>
      <c r="N286" s="214"/>
      <c r="O286" s="212"/>
      <c r="P286" s="212"/>
      <c r="Q286" s="212"/>
      <c r="R286" s="214"/>
      <c r="S286" s="212"/>
      <c r="T286" s="212"/>
      <c r="U286" s="212"/>
      <c r="V286" s="212"/>
      <c r="W286" s="213"/>
    </row>
    <row r="287">
      <c r="A287" s="212"/>
      <c r="B287" s="215"/>
      <c r="C287" s="215"/>
      <c r="D287" s="213"/>
      <c r="E287" s="212"/>
      <c r="F287" s="212"/>
      <c r="G287" s="212"/>
      <c r="H287" s="212"/>
      <c r="I287" s="214"/>
      <c r="J287" s="212"/>
      <c r="K287" s="212"/>
      <c r="L287" s="212"/>
      <c r="M287" s="212"/>
      <c r="N287" s="214"/>
      <c r="O287" s="212"/>
      <c r="P287" s="212"/>
      <c r="Q287" s="212"/>
      <c r="R287" s="214"/>
      <c r="S287" s="212"/>
      <c r="T287" s="212"/>
      <c r="U287" s="212"/>
      <c r="V287" s="212"/>
      <c r="W287" s="213"/>
    </row>
    <row r="288">
      <c r="A288" s="212"/>
      <c r="B288" s="213"/>
      <c r="C288" s="213"/>
      <c r="D288" s="213"/>
      <c r="E288" s="212"/>
      <c r="F288" s="212"/>
      <c r="G288" s="212"/>
      <c r="H288" s="212"/>
      <c r="I288" s="214"/>
      <c r="J288" s="212"/>
      <c r="K288" s="212"/>
      <c r="L288" s="212"/>
      <c r="M288" s="212"/>
      <c r="N288" s="214"/>
      <c r="O288" s="212"/>
      <c r="P288" s="212"/>
      <c r="Q288" s="212"/>
      <c r="R288" s="214"/>
      <c r="S288" s="212"/>
      <c r="T288" s="212"/>
      <c r="U288" s="212"/>
      <c r="V288" s="212"/>
      <c r="W288" s="213"/>
    </row>
    <row r="289">
      <c r="A289" s="212"/>
      <c r="B289" s="215"/>
      <c r="C289" s="215"/>
      <c r="D289" s="213"/>
      <c r="E289" s="212"/>
      <c r="F289" s="212"/>
      <c r="G289" s="212"/>
      <c r="H289" s="214"/>
      <c r="I289" s="214"/>
      <c r="J289" s="212"/>
      <c r="K289" s="212"/>
      <c r="L289" s="212"/>
      <c r="M289" s="212"/>
      <c r="N289" s="214"/>
      <c r="O289" s="212"/>
      <c r="P289" s="214"/>
      <c r="Q289" s="212"/>
      <c r="R289" s="214"/>
      <c r="S289" s="212"/>
      <c r="T289" s="212"/>
      <c r="U289" s="212"/>
      <c r="V289" s="212"/>
      <c r="W289" s="213"/>
    </row>
    <row r="290">
      <c r="A290" s="212"/>
      <c r="B290" s="215"/>
      <c r="C290" s="215"/>
      <c r="D290" s="213"/>
      <c r="E290" s="212"/>
      <c r="F290" s="212"/>
      <c r="G290" s="212"/>
      <c r="H290" s="212"/>
      <c r="I290" s="214"/>
      <c r="J290" s="212"/>
      <c r="K290" s="212"/>
      <c r="L290" s="212"/>
      <c r="M290" s="212"/>
      <c r="N290" s="212"/>
      <c r="O290" s="212"/>
      <c r="P290" s="212"/>
      <c r="Q290" s="212"/>
      <c r="R290" s="214"/>
      <c r="S290" s="212"/>
      <c r="T290" s="212"/>
      <c r="U290" s="212"/>
      <c r="V290" s="212"/>
      <c r="W290" s="213"/>
    </row>
    <row r="291">
      <c r="A291" s="212"/>
      <c r="B291" s="213"/>
      <c r="C291" s="213"/>
      <c r="D291" s="213"/>
      <c r="E291" s="212"/>
      <c r="F291" s="212"/>
      <c r="G291" s="212"/>
      <c r="H291" s="214"/>
      <c r="I291" s="214"/>
      <c r="J291" s="212"/>
      <c r="K291" s="212"/>
      <c r="L291" s="212"/>
      <c r="M291" s="212"/>
      <c r="N291" s="214"/>
      <c r="O291" s="212"/>
      <c r="P291" s="214"/>
      <c r="Q291" s="212"/>
      <c r="R291" s="214"/>
      <c r="S291" s="212"/>
      <c r="T291" s="212"/>
      <c r="U291" s="212"/>
      <c r="V291" s="212"/>
      <c r="W291" s="213"/>
    </row>
    <row r="292">
      <c r="A292" s="212"/>
      <c r="B292" s="215"/>
      <c r="C292" s="215"/>
      <c r="D292" s="213"/>
      <c r="E292" s="212"/>
      <c r="F292" s="212"/>
      <c r="G292" s="212"/>
      <c r="H292" s="212"/>
      <c r="I292" s="214"/>
      <c r="J292" s="212"/>
      <c r="K292" s="212"/>
      <c r="L292" s="212"/>
      <c r="M292" s="212"/>
      <c r="N292" s="214"/>
      <c r="O292" s="212"/>
      <c r="P292" s="212"/>
      <c r="Q292" s="212"/>
      <c r="R292" s="214"/>
      <c r="S292" s="212"/>
      <c r="T292" s="212"/>
      <c r="U292" s="212"/>
      <c r="V292" s="212"/>
      <c r="W292" s="213"/>
    </row>
    <row r="293">
      <c r="A293" s="212"/>
      <c r="B293" s="213"/>
      <c r="C293" s="213"/>
      <c r="D293" s="213"/>
      <c r="E293" s="212"/>
      <c r="F293" s="212"/>
      <c r="G293" s="212"/>
      <c r="H293" s="212"/>
      <c r="I293" s="214"/>
      <c r="J293" s="212"/>
      <c r="K293" s="212"/>
      <c r="L293" s="212"/>
      <c r="M293" s="212"/>
      <c r="N293" s="212"/>
      <c r="O293" s="212"/>
      <c r="P293" s="212"/>
      <c r="Q293" s="212"/>
      <c r="R293" s="214"/>
      <c r="S293" s="212"/>
      <c r="T293" s="212"/>
      <c r="U293" s="212"/>
      <c r="V293" s="212"/>
      <c r="W293" s="213"/>
    </row>
    <row r="294">
      <c r="A294" s="212"/>
      <c r="B294" s="213"/>
      <c r="C294" s="213"/>
      <c r="D294" s="213"/>
      <c r="E294" s="212"/>
      <c r="F294" s="212"/>
      <c r="G294" s="212"/>
      <c r="H294" s="212"/>
      <c r="I294" s="214"/>
      <c r="J294" s="212"/>
      <c r="K294" s="212"/>
      <c r="L294" s="212"/>
      <c r="M294" s="212"/>
      <c r="N294" s="214"/>
      <c r="O294" s="212"/>
      <c r="P294" s="212"/>
      <c r="Q294" s="212"/>
      <c r="R294" s="214"/>
      <c r="S294" s="212"/>
      <c r="T294" s="212"/>
      <c r="U294" s="212"/>
      <c r="V294" s="212"/>
      <c r="W294" s="213"/>
    </row>
    <row r="295">
      <c r="A295" s="212"/>
      <c r="B295" s="215"/>
      <c r="C295" s="215"/>
      <c r="D295" s="213"/>
      <c r="E295" s="212"/>
      <c r="F295" s="212"/>
      <c r="G295" s="212"/>
      <c r="H295" s="212"/>
      <c r="I295" s="214"/>
      <c r="J295" s="212"/>
      <c r="K295" s="212"/>
      <c r="L295" s="212"/>
      <c r="M295" s="212"/>
      <c r="N295" s="214"/>
      <c r="O295" s="212"/>
      <c r="P295" s="212"/>
      <c r="Q295" s="212"/>
      <c r="R295" s="214"/>
      <c r="S295" s="212"/>
      <c r="T295" s="212"/>
      <c r="U295" s="212"/>
      <c r="V295" s="212"/>
      <c r="W295" s="213"/>
    </row>
    <row r="296">
      <c r="A296" s="212"/>
      <c r="B296" s="215"/>
      <c r="C296" s="215"/>
      <c r="D296" s="213"/>
      <c r="E296" s="212"/>
      <c r="F296" s="212"/>
      <c r="G296" s="212"/>
      <c r="H296" s="212"/>
      <c r="I296" s="214"/>
      <c r="J296" s="212"/>
      <c r="K296" s="212"/>
      <c r="L296" s="212"/>
      <c r="M296" s="212"/>
      <c r="N296" s="214"/>
      <c r="O296" s="212"/>
      <c r="P296" s="214"/>
      <c r="Q296" s="212"/>
      <c r="R296" s="214"/>
      <c r="S296" s="212"/>
      <c r="T296" s="212"/>
      <c r="U296" s="212"/>
      <c r="V296" s="212"/>
      <c r="W296" s="213"/>
    </row>
    <row r="297">
      <c r="A297" s="212"/>
      <c r="B297" s="213"/>
      <c r="C297" s="213"/>
      <c r="D297" s="213"/>
      <c r="E297" s="212"/>
      <c r="F297" s="212"/>
      <c r="G297" s="212"/>
      <c r="H297" s="214"/>
      <c r="I297" s="214"/>
      <c r="J297" s="212"/>
      <c r="K297" s="212"/>
      <c r="L297" s="212"/>
      <c r="M297" s="212"/>
      <c r="N297" s="214"/>
      <c r="O297" s="212"/>
      <c r="P297" s="214"/>
      <c r="Q297" s="212"/>
      <c r="R297" s="214"/>
      <c r="S297" s="212"/>
      <c r="T297" s="212"/>
      <c r="U297" s="212"/>
      <c r="V297" s="212"/>
      <c r="W297" s="213"/>
    </row>
    <row r="298">
      <c r="A298" s="212"/>
      <c r="B298" s="215"/>
      <c r="C298" s="215"/>
      <c r="D298" s="213"/>
      <c r="E298" s="212"/>
      <c r="F298" s="212"/>
      <c r="G298" s="212"/>
      <c r="H298" s="212"/>
      <c r="I298" s="214"/>
      <c r="J298" s="212"/>
      <c r="K298" s="212"/>
      <c r="L298" s="212"/>
      <c r="M298" s="212"/>
      <c r="N298" s="214"/>
      <c r="O298" s="212"/>
      <c r="P298" s="212"/>
      <c r="Q298" s="212"/>
      <c r="R298" s="214"/>
      <c r="S298" s="212"/>
      <c r="T298" s="212"/>
      <c r="U298" s="212"/>
      <c r="V298" s="212"/>
      <c r="W298" s="213"/>
    </row>
    <row r="299">
      <c r="A299" s="212"/>
      <c r="B299" s="215"/>
      <c r="C299" s="215"/>
      <c r="D299" s="213"/>
      <c r="E299" s="212"/>
      <c r="F299" s="212"/>
      <c r="G299" s="212"/>
      <c r="H299" s="212"/>
      <c r="I299" s="214"/>
      <c r="J299" s="212"/>
      <c r="K299" s="212"/>
      <c r="L299" s="212"/>
      <c r="M299" s="212"/>
      <c r="N299" s="214"/>
      <c r="O299" s="212"/>
      <c r="P299" s="212"/>
      <c r="Q299" s="212"/>
      <c r="R299" s="214"/>
      <c r="S299" s="212"/>
      <c r="T299" s="212"/>
      <c r="U299" s="212"/>
      <c r="V299" s="212"/>
      <c r="W299" s="213"/>
    </row>
    <row r="300">
      <c r="A300" s="212"/>
      <c r="B300" s="215"/>
      <c r="C300" s="215"/>
      <c r="D300" s="213"/>
      <c r="E300" s="212"/>
      <c r="F300" s="212"/>
      <c r="G300" s="212"/>
      <c r="H300" s="212"/>
      <c r="I300" s="214"/>
      <c r="J300" s="212"/>
      <c r="K300" s="212"/>
      <c r="L300" s="212"/>
      <c r="M300" s="212"/>
      <c r="N300" s="214"/>
      <c r="O300" s="212"/>
      <c r="P300" s="212"/>
      <c r="Q300" s="212"/>
      <c r="R300" s="214"/>
      <c r="S300" s="212"/>
      <c r="T300" s="212"/>
      <c r="U300" s="212"/>
      <c r="V300" s="212"/>
      <c r="W300" s="213"/>
    </row>
    <row r="301">
      <c r="A301" s="212"/>
      <c r="B301" s="215"/>
      <c r="C301" s="215"/>
      <c r="D301" s="213"/>
      <c r="E301" s="212"/>
      <c r="F301" s="212"/>
      <c r="G301" s="212"/>
      <c r="H301" s="212"/>
      <c r="I301" s="214"/>
      <c r="J301" s="212"/>
      <c r="K301" s="212"/>
      <c r="L301" s="212"/>
      <c r="M301" s="212"/>
      <c r="N301" s="214"/>
      <c r="O301" s="212"/>
      <c r="P301" s="212"/>
      <c r="Q301" s="212"/>
      <c r="R301" s="214"/>
      <c r="S301" s="212"/>
      <c r="T301" s="212"/>
      <c r="U301" s="212"/>
      <c r="V301" s="212"/>
      <c r="W301" s="213"/>
    </row>
    <row r="302">
      <c r="A302" s="212"/>
      <c r="B302" s="215"/>
      <c r="C302" s="215"/>
      <c r="D302" s="213"/>
      <c r="E302" s="212"/>
      <c r="F302" s="212"/>
      <c r="G302" s="212"/>
      <c r="H302" s="212"/>
      <c r="I302" s="214"/>
      <c r="J302" s="212"/>
      <c r="K302" s="212"/>
      <c r="L302" s="212"/>
      <c r="M302" s="212"/>
      <c r="N302" s="214"/>
      <c r="O302" s="212"/>
      <c r="P302" s="212"/>
      <c r="Q302" s="212"/>
      <c r="R302" s="214"/>
      <c r="S302" s="212"/>
      <c r="T302" s="212"/>
      <c r="U302" s="212"/>
      <c r="V302" s="212"/>
      <c r="W302" s="213"/>
    </row>
    <row r="303">
      <c r="A303" s="212"/>
      <c r="B303" s="215"/>
      <c r="C303" s="215"/>
      <c r="D303" s="213"/>
      <c r="E303" s="212"/>
      <c r="F303" s="212"/>
      <c r="G303" s="212"/>
      <c r="H303" s="212"/>
      <c r="I303" s="214"/>
      <c r="J303" s="212"/>
      <c r="K303" s="212"/>
      <c r="L303" s="212"/>
      <c r="M303" s="212"/>
      <c r="N303" s="214"/>
      <c r="O303" s="212"/>
      <c r="P303" s="214"/>
      <c r="Q303" s="212"/>
      <c r="R303" s="214"/>
      <c r="S303" s="212"/>
      <c r="T303" s="212"/>
      <c r="U303" s="212"/>
      <c r="V303" s="212"/>
      <c r="W303" s="213"/>
    </row>
    <row r="304">
      <c r="A304" s="212"/>
      <c r="B304" s="215"/>
      <c r="C304" s="215"/>
      <c r="D304" s="213"/>
      <c r="E304" s="212"/>
      <c r="F304" s="212"/>
      <c r="G304" s="212"/>
      <c r="H304" s="212"/>
      <c r="I304" s="214"/>
      <c r="J304" s="212"/>
      <c r="K304" s="212"/>
      <c r="L304" s="212"/>
      <c r="M304" s="212"/>
      <c r="N304" s="212"/>
      <c r="O304" s="212"/>
      <c r="P304" s="212"/>
      <c r="Q304" s="212"/>
      <c r="R304" s="214"/>
      <c r="S304" s="212"/>
      <c r="T304" s="212"/>
      <c r="U304" s="212"/>
      <c r="V304" s="212"/>
      <c r="W304" s="213"/>
    </row>
    <row r="305">
      <c r="A305" s="212"/>
      <c r="B305" s="215"/>
      <c r="C305" s="215"/>
      <c r="D305" s="213"/>
      <c r="E305" s="212"/>
      <c r="F305" s="212"/>
      <c r="G305" s="212"/>
      <c r="H305" s="212"/>
      <c r="I305" s="214"/>
      <c r="J305" s="212"/>
      <c r="K305" s="212"/>
      <c r="L305" s="212"/>
      <c r="M305" s="212"/>
      <c r="N305" s="212"/>
      <c r="O305" s="212"/>
      <c r="P305" s="212"/>
      <c r="Q305" s="212"/>
      <c r="R305" s="214"/>
      <c r="S305" s="212"/>
      <c r="T305" s="212"/>
      <c r="U305" s="212"/>
      <c r="V305" s="212"/>
      <c r="W305" s="213"/>
    </row>
    <row r="306">
      <c r="A306" s="212"/>
      <c r="B306" s="213"/>
      <c r="C306" s="213"/>
      <c r="D306" s="213"/>
      <c r="E306" s="212"/>
      <c r="F306" s="212"/>
      <c r="G306" s="212"/>
      <c r="H306" s="212"/>
      <c r="I306" s="214"/>
      <c r="J306" s="212"/>
      <c r="K306" s="212"/>
      <c r="L306" s="212"/>
      <c r="M306" s="212"/>
      <c r="N306" s="212"/>
      <c r="O306" s="212"/>
      <c r="P306" s="214"/>
      <c r="Q306" s="212"/>
      <c r="R306" s="214"/>
      <c r="S306" s="212"/>
      <c r="T306" s="212"/>
      <c r="U306" s="212"/>
      <c r="V306" s="212"/>
      <c r="W306" s="213"/>
    </row>
    <row r="307">
      <c r="A307" s="212"/>
      <c r="B307" s="213"/>
      <c r="C307" s="213"/>
      <c r="D307" s="213"/>
      <c r="E307" s="212"/>
      <c r="F307" s="212"/>
      <c r="G307" s="212"/>
      <c r="H307" s="214"/>
      <c r="I307" s="214"/>
      <c r="J307" s="212"/>
      <c r="K307" s="212"/>
      <c r="L307" s="212"/>
      <c r="M307" s="212"/>
      <c r="N307" s="214"/>
      <c r="O307" s="212"/>
      <c r="P307" s="214"/>
      <c r="Q307" s="212"/>
      <c r="R307" s="214"/>
      <c r="S307" s="212"/>
      <c r="T307" s="212"/>
      <c r="U307" s="212"/>
      <c r="V307" s="212"/>
      <c r="W307" s="213"/>
    </row>
    <row r="308">
      <c r="A308" s="212"/>
      <c r="B308" s="215"/>
      <c r="C308" s="215"/>
      <c r="D308" s="213"/>
      <c r="E308" s="212"/>
      <c r="F308" s="212"/>
      <c r="G308" s="212"/>
      <c r="H308" s="212"/>
      <c r="I308" s="214"/>
      <c r="J308" s="212"/>
      <c r="K308" s="212"/>
      <c r="L308" s="212"/>
      <c r="M308" s="212"/>
      <c r="N308" s="212"/>
      <c r="O308" s="212"/>
      <c r="P308" s="214"/>
      <c r="Q308" s="212"/>
      <c r="R308" s="214"/>
      <c r="S308" s="212"/>
      <c r="T308" s="212"/>
      <c r="U308" s="212"/>
      <c r="V308" s="212"/>
      <c r="W308" s="213"/>
    </row>
    <row r="309">
      <c r="A309" s="212"/>
      <c r="B309" s="215"/>
      <c r="C309" s="215"/>
      <c r="D309" s="213"/>
      <c r="E309" s="212"/>
      <c r="F309" s="212"/>
      <c r="G309" s="212"/>
      <c r="H309" s="212"/>
      <c r="I309" s="214"/>
      <c r="J309" s="212"/>
      <c r="K309" s="212"/>
      <c r="L309" s="212"/>
      <c r="M309" s="212"/>
      <c r="N309" s="214"/>
      <c r="O309" s="212"/>
      <c r="P309" s="212"/>
      <c r="Q309" s="212"/>
      <c r="R309" s="214"/>
      <c r="S309" s="212"/>
      <c r="T309" s="212"/>
      <c r="U309" s="212"/>
      <c r="V309" s="212"/>
      <c r="W309" s="213"/>
    </row>
    <row r="310">
      <c r="A310" s="212"/>
      <c r="B310" s="215"/>
      <c r="C310" s="215"/>
      <c r="D310" s="213"/>
      <c r="E310" s="212"/>
      <c r="F310" s="212"/>
      <c r="G310" s="212"/>
      <c r="H310" s="214"/>
      <c r="I310" s="214"/>
      <c r="J310" s="212"/>
      <c r="K310" s="212"/>
      <c r="L310" s="212"/>
      <c r="M310" s="212"/>
      <c r="N310" s="212"/>
      <c r="O310" s="212"/>
      <c r="P310" s="214"/>
      <c r="Q310" s="212"/>
      <c r="R310" s="214"/>
      <c r="S310" s="212"/>
      <c r="T310" s="212"/>
      <c r="U310" s="212"/>
      <c r="V310" s="212"/>
      <c r="W310" s="213"/>
    </row>
    <row r="311">
      <c r="A311" s="212"/>
      <c r="B311" s="215"/>
      <c r="C311" s="215"/>
      <c r="D311" s="213"/>
      <c r="E311" s="212"/>
      <c r="F311" s="212"/>
      <c r="G311" s="212"/>
      <c r="H311" s="212"/>
      <c r="I311" s="214"/>
      <c r="J311" s="212"/>
      <c r="K311" s="212"/>
      <c r="L311" s="212"/>
      <c r="M311" s="214"/>
      <c r="N311" s="214"/>
      <c r="O311" s="212"/>
      <c r="P311" s="214"/>
      <c r="Q311" s="214"/>
      <c r="R311" s="214"/>
      <c r="S311" s="212"/>
      <c r="T311" s="212"/>
      <c r="U311" s="212"/>
      <c r="V311" s="212"/>
      <c r="W311" s="213"/>
    </row>
    <row r="312">
      <c r="A312" s="212"/>
      <c r="B312" s="215"/>
      <c r="C312" s="215"/>
      <c r="D312" s="213"/>
      <c r="E312" s="212"/>
      <c r="F312" s="212"/>
      <c r="G312" s="212"/>
      <c r="H312" s="212"/>
      <c r="I312" s="214"/>
      <c r="J312" s="212"/>
      <c r="K312" s="212"/>
      <c r="L312" s="212"/>
      <c r="M312" s="212"/>
      <c r="N312" s="214"/>
      <c r="O312" s="212"/>
      <c r="P312" s="212"/>
      <c r="Q312" s="212"/>
      <c r="R312" s="214"/>
      <c r="S312" s="212"/>
      <c r="T312" s="212"/>
      <c r="U312" s="212"/>
      <c r="V312" s="212"/>
      <c r="W312" s="213"/>
    </row>
    <row r="313">
      <c r="A313" s="212"/>
      <c r="B313" s="215"/>
      <c r="C313" s="215"/>
      <c r="D313" s="213"/>
      <c r="E313" s="212"/>
      <c r="F313" s="212"/>
      <c r="G313" s="212"/>
      <c r="H313" s="212"/>
      <c r="I313" s="214"/>
      <c r="J313" s="212"/>
      <c r="K313" s="212"/>
      <c r="L313" s="212"/>
      <c r="M313" s="212"/>
      <c r="N313" s="214"/>
      <c r="O313" s="212"/>
      <c r="P313" s="212"/>
      <c r="Q313" s="212"/>
      <c r="R313" s="214"/>
      <c r="S313" s="212"/>
      <c r="T313" s="212"/>
      <c r="U313" s="212"/>
      <c r="V313" s="212"/>
      <c r="W313" s="213"/>
    </row>
    <row r="314">
      <c r="A314" s="212"/>
      <c r="B314" s="215"/>
      <c r="C314" s="215"/>
      <c r="D314" s="213"/>
      <c r="E314" s="212"/>
      <c r="F314" s="212"/>
      <c r="G314" s="212"/>
      <c r="H314" s="212"/>
      <c r="I314" s="214"/>
      <c r="J314" s="212"/>
      <c r="K314" s="212"/>
      <c r="L314" s="212"/>
      <c r="M314" s="212"/>
      <c r="N314" s="214"/>
      <c r="O314" s="212"/>
      <c r="P314" s="214"/>
      <c r="Q314" s="212"/>
      <c r="R314" s="214"/>
      <c r="S314" s="212"/>
      <c r="T314" s="212"/>
      <c r="U314" s="212"/>
      <c r="V314" s="212"/>
      <c r="W314" s="213"/>
    </row>
    <row r="315">
      <c r="A315" s="212"/>
      <c r="B315" s="215"/>
      <c r="C315" s="215"/>
      <c r="D315" s="213"/>
      <c r="E315" s="212"/>
      <c r="F315" s="212"/>
      <c r="G315" s="212"/>
      <c r="H315" s="212"/>
      <c r="I315" s="214"/>
      <c r="J315" s="212"/>
      <c r="K315" s="212"/>
      <c r="L315" s="212"/>
      <c r="M315" s="212"/>
      <c r="N315" s="212"/>
      <c r="O315" s="212"/>
      <c r="P315" s="212"/>
      <c r="Q315" s="212"/>
      <c r="R315" s="214"/>
      <c r="S315" s="212"/>
      <c r="T315" s="212"/>
      <c r="U315" s="212"/>
      <c r="V315" s="212"/>
      <c r="W315" s="213"/>
    </row>
    <row r="316">
      <c r="A316" s="212"/>
      <c r="B316" s="215"/>
      <c r="C316" s="215"/>
      <c r="D316" s="213"/>
      <c r="E316" s="212"/>
      <c r="F316" s="212"/>
      <c r="G316" s="212"/>
      <c r="H316" s="212"/>
      <c r="I316" s="214"/>
      <c r="J316" s="212"/>
      <c r="K316" s="212"/>
      <c r="L316" s="212"/>
      <c r="M316" s="212"/>
      <c r="N316" s="214"/>
      <c r="O316" s="212"/>
      <c r="P316" s="212"/>
      <c r="Q316" s="212"/>
      <c r="R316" s="214"/>
      <c r="S316" s="212"/>
      <c r="T316" s="212"/>
      <c r="U316" s="212"/>
      <c r="V316" s="212"/>
      <c r="W316" s="213"/>
    </row>
    <row r="317">
      <c r="A317" s="212"/>
      <c r="B317" s="215"/>
      <c r="C317" s="215"/>
      <c r="D317" s="213"/>
      <c r="E317" s="212"/>
      <c r="F317" s="212"/>
      <c r="G317" s="212"/>
      <c r="H317" s="212"/>
      <c r="I317" s="214"/>
      <c r="J317" s="212"/>
      <c r="K317" s="212"/>
      <c r="L317" s="212"/>
      <c r="M317" s="212"/>
      <c r="N317" s="214"/>
      <c r="O317" s="212"/>
      <c r="P317" s="212"/>
      <c r="Q317" s="212"/>
      <c r="R317" s="214"/>
      <c r="S317" s="212"/>
      <c r="T317" s="212"/>
      <c r="U317" s="212"/>
      <c r="V317" s="212"/>
      <c r="W317" s="213"/>
    </row>
    <row r="318">
      <c r="A318" s="212"/>
      <c r="B318" s="215"/>
      <c r="C318" s="215"/>
      <c r="D318" s="213"/>
      <c r="E318" s="212"/>
      <c r="F318" s="212"/>
      <c r="G318" s="212"/>
      <c r="H318" s="212"/>
      <c r="I318" s="214"/>
      <c r="J318" s="212"/>
      <c r="K318" s="212"/>
      <c r="L318" s="212"/>
      <c r="M318" s="212"/>
      <c r="N318" s="214"/>
      <c r="O318" s="212"/>
      <c r="P318" s="214"/>
      <c r="Q318" s="212"/>
      <c r="R318" s="214"/>
      <c r="S318" s="212"/>
      <c r="T318" s="212"/>
      <c r="U318" s="212"/>
      <c r="V318" s="212"/>
      <c r="W318" s="213"/>
    </row>
    <row r="319">
      <c r="A319" s="212"/>
      <c r="B319" s="215"/>
      <c r="C319" s="215"/>
      <c r="D319" s="213"/>
      <c r="E319" s="212"/>
      <c r="F319" s="212"/>
      <c r="G319" s="212"/>
      <c r="H319" s="212"/>
      <c r="I319" s="214"/>
      <c r="J319" s="212"/>
      <c r="K319" s="212"/>
      <c r="L319" s="212"/>
      <c r="M319" s="212"/>
      <c r="N319" s="214"/>
      <c r="O319" s="212"/>
      <c r="P319" s="212"/>
      <c r="Q319" s="212"/>
      <c r="R319" s="214"/>
      <c r="S319" s="212"/>
      <c r="T319" s="212"/>
      <c r="U319" s="212"/>
      <c r="V319" s="212"/>
      <c r="W319" s="213"/>
    </row>
    <row r="320">
      <c r="A320" s="212"/>
      <c r="B320" s="215"/>
      <c r="C320" s="215"/>
      <c r="D320" s="213"/>
      <c r="E320" s="212"/>
      <c r="F320" s="212"/>
      <c r="G320" s="212"/>
      <c r="H320" s="212"/>
      <c r="I320" s="214"/>
      <c r="J320" s="212"/>
      <c r="K320" s="212"/>
      <c r="L320" s="212"/>
      <c r="M320" s="212"/>
      <c r="N320" s="214"/>
      <c r="O320" s="212"/>
      <c r="P320" s="212"/>
      <c r="Q320" s="212"/>
      <c r="R320" s="214"/>
      <c r="S320" s="212"/>
      <c r="T320" s="212"/>
      <c r="U320" s="212"/>
      <c r="V320" s="212"/>
      <c r="W320" s="213"/>
    </row>
    <row r="321">
      <c r="A321" s="212"/>
      <c r="B321" s="215"/>
      <c r="C321" s="215"/>
      <c r="D321" s="213"/>
      <c r="E321" s="212"/>
      <c r="F321" s="212"/>
      <c r="G321" s="212"/>
      <c r="H321" s="212"/>
      <c r="I321" s="214"/>
      <c r="J321" s="212"/>
      <c r="K321" s="212"/>
      <c r="L321" s="212"/>
      <c r="M321" s="212"/>
      <c r="N321" s="214"/>
      <c r="O321" s="212"/>
      <c r="P321" s="214"/>
      <c r="Q321" s="212"/>
      <c r="R321" s="214"/>
      <c r="S321" s="212"/>
      <c r="T321" s="212"/>
      <c r="U321" s="212"/>
      <c r="V321" s="212"/>
      <c r="W321" s="213"/>
    </row>
    <row r="322">
      <c r="A322" s="212"/>
      <c r="B322" s="215"/>
      <c r="C322" s="215"/>
      <c r="D322" s="213"/>
      <c r="E322" s="212"/>
      <c r="F322" s="212"/>
      <c r="G322" s="212"/>
      <c r="H322" s="212"/>
      <c r="I322" s="214"/>
      <c r="J322" s="212"/>
      <c r="K322" s="212"/>
      <c r="L322" s="212"/>
      <c r="M322" s="212"/>
      <c r="N322" s="214"/>
      <c r="O322" s="212"/>
      <c r="P322" s="214"/>
      <c r="Q322" s="212"/>
      <c r="R322" s="214"/>
      <c r="S322" s="212"/>
      <c r="T322" s="212"/>
      <c r="U322" s="212"/>
      <c r="V322" s="212"/>
      <c r="W322" s="213"/>
    </row>
    <row r="323">
      <c r="A323" s="212"/>
      <c r="B323" s="215"/>
      <c r="C323" s="215"/>
      <c r="D323" s="213"/>
      <c r="E323" s="212"/>
      <c r="F323" s="212"/>
      <c r="G323" s="212"/>
      <c r="H323" s="214"/>
      <c r="I323" s="214"/>
      <c r="J323" s="212"/>
      <c r="K323" s="212"/>
      <c r="L323" s="212"/>
      <c r="M323" s="212"/>
      <c r="N323" s="214"/>
      <c r="O323" s="212"/>
      <c r="P323" s="214"/>
      <c r="Q323" s="212"/>
      <c r="R323" s="214"/>
      <c r="S323" s="212"/>
      <c r="T323" s="212"/>
      <c r="U323" s="212"/>
      <c r="V323" s="212"/>
      <c r="W323" s="213"/>
    </row>
    <row r="324">
      <c r="A324" s="212"/>
      <c r="B324" s="213"/>
      <c r="C324" s="213"/>
      <c r="D324" s="213"/>
      <c r="E324" s="212"/>
      <c r="F324" s="212"/>
      <c r="G324" s="212"/>
      <c r="H324" s="214"/>
      <c r="I324" s="214"/>
      <c r="J324" s="212"/>
      <c r="K324" s="212"/>
      <c r="L324" s="212"/>
      <c r="M324" s="212"/>
      <c r="N324" s="212"/>
      <c r="O324" s="212"/>
      <c r="P324" s="214"/>
      <c r="Q324" s="212"/>
      <c r="R324" s="214"/>
      <c r="S324" s="212"/>
      <c r="T324" s="212"/>
      <c r="U324" s="212"/>
      <c r="V324" s="212"/>
      <c r="W324" s="213"/>
    </row>
    <row r="325">
      <c r="A325" s="212"/>
      <c r="B325" s="215"/>
      <c r="C325" s="215"/>
      <c r="D325" s="213"/>
      <c r="E325" s="212"/>
      <c r="F325" s="212"/>
      <c r="G325" s="212"/>
      <c r="H325" s="214"/>
      <c r="I325" s="214"/>
      <c r="J325" s="212"/>
      <c r="K325" s="212"/>
      <c r="L325" s="212"/>
      <c r="M325" s="212"/>
      <c r="N325" s="212"/>
      <c r="O325" s="212"/>
      <c r="P325" s="214"/>
      <c r="Q325" s="212"/>
      <c r="R325" s="214"/>
      <c r="S325" s="212"/>
      <c r="T325" s="212"/>
      <c r="U325" s="212"/>
      <c r="V325" s="212"/>
      <c r="W325" s="213"/>
    </row>
    <row r="326">
      <c r="A326" s="212"/>
      <c r="B326" s="215"/>
      <c r="C326" s="215"/>
      <c r="D326" s="213"/>
      <c r="E326" s="212"/>
      <c r="F326" s="212"/>
      <c r="G326" s="212"/>
      <c r="H326" s="212"/>
      <c r="I326" s="214"/>
      <c r="J326" s="212"/>
      <c r="K326" s="212"/>
      <c r="L326" s="212"/>
      <c r="M326" s="214"/>
      <c r="N326" s="214"/>
      <c r="O326" s="212"/>
      <c r="P326" s="212"/>
      <c r="Q326" s="214"/>
      <c r="R326" s="214"/>
      <c r="S326" s="212"/>
      <c r="T326" s="212"/>
      <c r="U326" s="212"/>
      <c r="V326" s="212"/>
      <c r="W326" s="213"/>
    </row>
    <row r="327">
      <c r="A327" s="212"/>
      <c r="B327" s="215"/>
      <c r="C327" s="215"/>
      <c r="D327" s="213"/>
      <c r="E327" s="212"/>
      <c r="F327" s="212"/>
      <c r="G327" s="212"/>
      <c r="H327" s="214"/>
      <c r="I327" s="214"/>
      <c r="J327" s="212"/>
      <c r="K327" s="212"/>
      <c r="L327" s="212"/>
      <c r="M327" s="212"/>
      <c r="N327" s="214"/>
      <c r="O327" s="212"/>
      <c r="P327" s="214"/>
      <c r="Q327" s="212"/>
      <c r="R327" s="214"/>
      <c r="S327" s="212"/>
      <c r="T327" s="212"/>
      <c r="U327" s="212"/>
      <c r="V327" s="212"/>
      <c r="W327" s="213"/>
    </row>
    <row r="328">
      <c r="A328" s="212"/>
      <c r="B328" s="215"/>
      <c r="C328" s="215"/>
      <c r="D328" s="213"/>
      <c r="E328" s="212"/>
      <c r="F328" s="212"/>
      <c r="G328" s="212"/>
      <c r="H328" s="212"/>
      <c r="I328" s="214"/>
      <c r="J328" s="212"/>
      <c r="K328" s="212"/>
      <c r="L328" s="212"/>
      <c r="M328" s="212"/>
      <c r="N328" s="214"/>
      <c r="O328" s="212"/>
      <c r="P328" s="212"/>
      <c r="Q328" s="212"/>
      <c r="R328" s="214"/>
      <c r="S328" s="212"/>
      <c r="T328" s="212"/>
      <c r="U328" s="212"/>
      <c r="V328" s="212"/>
      <c r="W328" s="213"/>
    </row>
    <row r="329">
      <c r="A329" s="212"/>
      <c r="B329" s="215"/>
      <c r="C329" s="215"/>
      <c r="D329" s="213"/>
      <c r="E329" s="212"/>
      <c r="F329" s="212"/>
      <c r="G329" s="212"/>
      <c r="H329" s="214"/>
      <c r="I329" s="214"/>
      <c r="J329" s="212"/>
      <c r="K329" s="212"/>
      <c r="L329" s="212"/>
      <c r="M329" s="212"/>
      <c r="N329" s="214"/>
      <c r="O329" s="212"/>
      <c r="P329" s="214"/>
      <c r="Q329" s="212"/>
      <c r="R329" s="214"/>
      <c r="S329" s="212"/>
      <c r="T329" s="212"/>
      <c r="U329" s="212"/>
      <c r="V329" s="212"/>
      <c r="W329" s="213"/>
    </row>
    <row r="330">
      <c r="A330" s="212"/>
      <c r="B330" s="215"/>
      <c r="C330" s="215"/>
      <c r="D330" s="213"/>
      <c r="E330" s="212"/>
      <c r="F330" s="212"/>
      <c r="G330" s="212"/>
      <c r="H330" s="212"/>
      <c r="I330" s="214"/>
      <c r="J330" s="212"/>
      <c r="K330" s="212"/>
      <c r="L330" s="212"/>
      <c r="M330" s="212"/>
      <c r="N330" s="214"/>
      <c r="O330" s="212"/>
      <c r="P330" s="214"/>
      <c r="Q330" s="212"/>
      <c r="R330" s="214"/>
      <c r="S330" s="212"/>
      <c r="T330" s="212"/>
      <c r="U330" s="212"/>
      <c r="V330" s="212"/>
      <c r="W330" s="213"/>
    </row>
    <row r="331">
      <c r="A331" s="212"/>
      <c r="B331" s="215"/>
      <c r="C331" s="215"/>
      <c r="D331" s="213"/>
      <c r="E331" s="212"/>
      <c r="F331" s="212"/>
      <c r="G331" s="212"/>
      <c r="H331" s="212"/>
      <c r="I331" s="214"/>
      <c r="J331" s="212"/>
      <c r="K331" s="212"/>
      <c r="L331" s="212"/>
      <c r="M331" s="212"/>
      <c r="N331" s="214"/>
      <c r="O331" s="212"/>
      <c r="P331" s="214"/>
      <c r="Q331" s="212"/>
      <c r="R331" s="214"/>
      <c r="S331" s="212"/>
      <c r="T331" s="212"/>
      <c r="U331" s="212"/>
      <c r="V331" s="212"/>
      <c r="W331" s="213"/>
    </row>
    <row r="332">
      <c r="A332" s="212"/>
      <c r="B332" s="215"/>
      <c r="C332" s="215"/>
      <c r="D332" s="213"/>
      <c r="E332" s="212"/>
      <c r="F332" s="212"/>
      <c r="G332" s="212"/>
      <c r="H332" s="212"/>
      <c r="I332" s="214"/>
      <c r="J332" s="212"/>
      <c r="K332" s="212"/>
      <c r="L332" s="212"/>
      <c r="M332" s="212"/>
      <c r="N332" s="214"/>
      <c r="O332" s="212"/>
      <c r="P332" s="214"/>
      <c r="Q332" s="212"/>
      <c r="R332" s="214"/>
      <c r="S332" s="212"/>
      <c r="T332" s="212"/>
      <c r="U332" s="212"/>
      <c r="V332" s="212"/>
      <c r="W332" s="213"/>
    </row>
    <row r="333">
      <c r="A333" s="212"/>
      <c r="B333" s="215"/>
      <c r="C333" s="215"/>
      <c r="D333" s="213"/>
      <c r="E333" s="212"/>
      <c r="F333" s="212"/>
      <c r="G333" s="212"/>
      <c r="H333" s="214"/>
      <c r="I333" s="214"/>
      <c r="J333" s="212"/>
      <c r="K333" s="212"/>
      <c r="L333" s="212"/>
      <c r="M333" s="212"/>
      <c r="N333" s="214"/>
      <c r="O333" s="212"/>
      <c r="P333" s="214"/>
      <c r="Q333" s="212"/>
      <c r="R333" s="214"/>
      <c r="S333" s="212"/>
      <c r="T333" s="212"/>
      <c r="U333" s="212"/>
      <c r="V333" s="212"/>
      <c r="W333" s="213"/>
    </row>
    <row r="334">
      <c r="A334" s="212"/>
      <c r="B334" s="215"/>
      <c r="C334" s="215"/>
      <c r="D334" s="213"/>
      <c r="E334" s="212"/>
      <c r="F334" s="212"/>
      <c r="G334" s="212"/>
      <c r="H334" s="214"/>
      <c r="I334" s="214"/>
      <c r="J334" s="212"/>
      <c r="K334" s="212"/>
      <c r="L334" s="212"/>
      <c r="M334" s="212"/>
      <c r="N334" s="214"/>
      <c r="O334" s="212"/>
      <c r="P334" s="214"/>
      <c r="Q334" s="212"/>
      <c r="R334" s="214"/>
      <c r="S334" s="212"/>
      <c r="T334" s="212"/>
      <c r="U334" s="212"/>
      <c r="V334" s="212"/>
      <c r="W334" s="213"/>
    </row>
    <row r="335">
      <c r="A335" s="212"/>
      <c r="B335" s="215"/>
      <c r="C335" s="215"/>
      <c r="D335" s="213"/>
      <c r="E335" s="212"/>
      <c r="F335" s="212"/>
      <c r="G335" s="212"/>
      <c r="H335" s="212"/>
      <c r="I335" s="214"/>
      <c r="J335" s="212"/>
      <c r="K335" s="212"/>
      <c r="L335" s="212"/>
      <c r="M335" s="212"/>
      <c r="N335" s="214"/>
      <c r="O335" s="212"/>
      <c r="P335" s="212"/>
      <c r="Q335" s="212"/>
      <c r="R335" s="214"/>
      <c r="S335" s="212"/>
      <c r="T335" s="212"/>
      <c r="U335" s="212"/>
      <c r="V335" s="212"/>
      <c r="W335" s="213"/>
    </row>
    <row r="336">
      <c r="A336" s="212"/>
      <c r="B336" s="215"/>
      <c r="C336" s="215"/>
      <c r="D336" s="213"/>
      <c r="E336" s="212"/>
      <c r="F336" s="212"/>
      <c r="G336" s="212"/>
      <c r="H336" s="212"/>
      <c r="I336" s="214"/>
      <c r="J336" s="212"/>
      <c r="K336" s="212"/>
      <c r="L336" s="212"/>
      <c r="M336" s="212"/>
      <c r="N336" s="214"/>
      <c r="O336" s="212"/>
      <c r="P336" s="212"/>
      <c r="Q336" s="212"/>
      <c r="R336" s="214"/>
      <c r="S336" s="212"/>
      <c r="T336" s="212"/>
      <c r="U336" s="212"/>
      <c r="V336" s="212"/>
      <c r="W336" s="213"/>
    </row>
    <row r="337">
      <c r="A337" s="212"/>
      <c r="B337" s="215"/>
      <c r="C337" s="215"/>
      <c r="D337" s="213"/>
      <c r="E337" s="212"/>
      <c r="F337" s="212"/>
      <c r="G337" s="212"/>
      <c r="H337" s="212"/>
      <c r="I337" s="214"/>
      <c r="J337" s="212"/>
      <c r="K337" s="212"/>
      <c r="L337" s="212"/>
      <c r="M337" s="212"/>
      <c r="N337" s="214"/>
      <c r="O337" s="212"/>
      <c r="P337" s="214"/>
      <c r="Q337" s="212"/>
      <c r="R337" s="214"/>
      <c r="S337" s="212"/>
      <c r="T337" s="212"/>
      <c r="U337" s="212"/>
      <c r="V337" s="212"/>
      <c r="W337" s="213"/>
    </row>
    <row r="338">
      <c r="A338" s="212"/>
      <c r="B338" s="215"/>
      <c r="C338" s="215"/>
      <c r="D338" s="213"/>
      <c r="E338" s="212"/>
      <c r="F338" s="212"/>
      <c r="G338" s="212"/>
      <c r="H338" s="212"/>
      <c r="I338" s="214"/>
      <c r="J338" s="212"/>
      <c r="K338" s="212"/>
      <c r="L338" s="212"/>
      <c r="M338" s="212"/>
      <c r="N338" s="214"/>
      <c r="O338" s="212"/>
      <c r="P338" s="212"/>
      <c r="Q338" s="212"/>
      <c r="R338" s="214"/>
      <c r="S338" s="212"/>
      <c r="T338" s="212"/>
      <c r="U338" s="212"/>
      <c r="V338" s="212"/>
      <c r="W338" s="213"/>
    </row>
    <row r="339">
      <c r="A339" s="212"/>
      <c r="B339" s="215"/>
      <c r="C339" s="215"/>
      <c r="D339" s="213"/>
      <c r="E339" s="212"/>
      <c r="F339" s="212"/>
      <c r="G339" s="212"/>
      <c r="H339" s="212"/>
      <c r="I339" s="214"/>
      <c r="J339" s="212"/>
      <c r="K339" s="212"/>
      <c r="L339" s="212"/>
      <c r="M339" s="212"/>
      <c r="N339" s="214"/>
      <c r="O339" s="212"/>
      <c r="P339" s="212"/>
      <c r="Q339" s="212"/>
      <c r="R339" s="214"/>
      <c r="S339" s="212"/>
      <c r="T339" s="212"/>
      <c r="U339" s="212"/>
      <c r="V339" s="212"/>
      <c r="W339" s="213"/>
    </row>
    <row r="340">
      <c r="A340" s="212"/>
      <c r="B340" s="215"/>
      <c r="C340" s="215"/>
      <c r="D340" s="213"/>
      <c r="E340" s="212"/>
      <c r="F340" s="212"/>
      <c r="G340" s="212"/>
      <c r="H340" s="214"/>
      <c r="I340" s="214"/>
      <c r="J340" s="212"/>
      <c r="K340" s="212"/>
      <c r="L340" s="212"/>
      <c r="M340" s="212"/>
      <c r="N340" s="214"/>
      <c r="O340" s="212"/>
      <c r="P340" s="214"/>
      <c r="Q340" s="212"/>
      <c r="R340" s="214"/>
      <c r="S340" s="212"/>
      <c r="T340" s="212"/>
      <c r="U340" s="212"/>
      <c r="V340" s="212"/>
      <c r="W340" s="213"/>
    </row>
    <row r="341">
      <c r="A341" s="212"/>
      <c r="B341" s="215"/>
      <c r="C341" s="215"/>
      <c r="D341" s="213"/>
      <c r="E341" s="212"/>
      <c r="F341" s="212"/>
      <c r="G341" s="212"/>
      <c r="H341" s="212"/>
      <c r="I341" s="214"/>
      <c r="J341" s="212"/>
      <c r="K341" s="212"/>
      <c r="L341" s="212"/>
      <c r="M341" s="212"/>
      <c r="N341" s="212"/>
      <c r="O341" s="212"/>
      <c r="P341" s="212"/>
      <c r="Q341" s="212"/>
      <c r="R341" s="214"/>
      <c r="S341" s="212"/>
      <c r="T341" s="212"/>
      <c r="U341" s="212"/>
      <c r="V341" s="212"/>
      <c r="W341" s="213"/>
    </row>
    <row r="342">
      <c r="A342" s="212"/>
      <c r="B342" s="215"/>
      <c r="C342" s="215"/>
      <c r="D342" s="213"/>
      <c r="E342" s="212"/>
      <c r="F342" s="212"/>
      <c r="G342" s="212"/>
      <c r="H342" s="212"/>
      <c r="I342" s="214"/>
      <c r="J342" s="212"/>
      <c r="K342" s="212"/>
      <c r="L342" s="212"/>
      <c r="M342" s="212"/>
      <c r="N342" s="214"/>
      <c r="O342" s="212"/>
      <c r="P342" s="214"/>
      <c r="Q342" s="212"/>
      <c r="R342" s="214"/>
      <c r="S342" s="212"/>
      <c r="T342" s="212"/>
      <c r="U342" s="212"/>
      <c r="V342" s="212"/>
      <c r="W342" s="213"/>
    </row>
    <row r="343">
      <c r="A343" s="212"/>
      <c r="B343" s="215"/>
      <c r="C343" s="215"/>
      <c r="D343" s="213"/>
      <c r="E343" s="212"/>
      <c r="F343" s="212"/>
      <c r="G343" s="212"/>
      <c r="H343" s="212"/>
      <c r="I343" s="214"/>
      <c r="J343" s="212"/>
      <c r="K343" s="212"/>
      <c r="L343" s="212"/>
      <c r="M343" s="212"/>
      <c r="N343" s="212"/>
      <c r="O343" s="212"/>
      <c r="P343" s="214"/>
      <c r="Q343" s="212"/>
      <c r="R343" s="214"/>
      <c r="S343" s="212"/>
      <c r="T343" s="212"/>
      <c r="U343" s="212"/>
      <c r="V343" s="212"/>
      <c r="W343" s="213"/>
    </row>
    <row r="344">
      <c r="A344" s="212"/>
      <c r="B344" s="213"/>
      <c r="C344" s="213"/>
      <c r="D344" s="213"/>
      <c r="E344" s="212"/>
      <c r="F344" s="212"/>
      <c r="G344" s="212"/>
      <c r="H344" s="214"/>
      <c r="I344" s="214"/>
      <c r="J344" s="212"/>
      <c r="K344" s="212"/>
      <c r="L344" s="212"/>
      <c r="M344" s="212"/>
      <c r="N344" s="214"/>
      <c r="O344" s="212"/>
      <c r="P344" s="214"/>
      <c r="Q344" s="212"/>
      <c r="R344" s="214"/>
      <c r="S344" s="212"/>
      <c r="T344" s="212"/>
      <c r="U344" s="212"/>
      <c r="V344" s="212"/>
      <c r="W344" s="213"/>
    </row>
    <row r="345">
      <c r="A345" s="212"/>
      <c r="B345" s="215"/>
      <c r="C345" s="215"/>
      <c r="D345" s="213"/>
      <c r="E345" s="212"/>
      <c r="F345" s="212"/>
      <c r="G345" s="212"/>
      <c r="H345" s="212"/>
      <c r="I345" s="214"/>
      <c r="J345" s="212"/>
      <c r="K345" s="212"/>
      <c r="L345" s="212"/>
      <c r="M345" s="212"/>
      <c r="N345" s="214"/>
      <c r="O345" s="212"/>
      <c r="P345" s="214"/>
      <c r="Q345" s="212"/>
      <c r="R345" s="214"/>
      <c r="S345" s="212"/>
      <c r="T345" s="212"/>
      <c r="U345" s="212"/>
      <c r="V345" s="212"/>
      <c r="W345" s="213"/>
    </row>
    <row r="346">
      <c r="A346" s="212"/>
      <c r="B346" s="215"/>
      <c r="C346" s="215"/>
      <c r="D346" s="213"/>
      <c r="E346" s="212"/>
      <c r="F346" s="212"/>
      <c r="G346" s="212"/>
      <c r="H346" s="212"/>
      <c r="I346" s="214"/>
      <c r="J346" s="212"/>
      <c r="K346" s="212"/>
      <c r="L346" s="212"/>
      <c r="M346" s="212"/>
      <c r="N346" s="214"/>
      <c r="O346" s="212"/>
      <c r="P346" s="212"/>
      <c r="Q346" s="212"/>
      <c r="R346" s="214"/>
      <c r="S346" s="212"/>
      <c r="T346" s="212"/>
      <c r="U346" s="212"/>
      <c r="V346" s="212"/>
      <c r="W346" s="213"/>
    </row>
    <row r="347">
      <c r="A347" s="212"/>
      <c r="B347" s="215"/>
      <c r="C347" s="215"/>
      <c r="D347" s="213"/>
      <c r="E347" s="212"/>
      <c r="F347" s="212"/>
      <c r="G347" s="212"/>
      <c r="H347" s="212"/>
      <c r="I347" s="214"/>
      <c r="J347" s="212"/>
      <c r="K347" s="212"/>
      <c r="L347" s="212"/>
      <c r="M347" s="212"/>
      <c r="N347" s="214"/>
      <c r="O347" s="212"/>
      <c r="P347" s="212"/>
      <c r="Q347" s="212"/>
      <c r="R347" s="214"/>
      <c r="S347" s="212"/>
      <c r="T347" s="212"/>
      <c r="U347" s="212"/>
      <c r="V347" s="212"/>
      <c r="W347" s="213"/>
    </row>
    <row r="348">
      <c r="A348" s="212"/>
      <c r="B348" s="215"/>
      <c r="C348" s="215"/>
      <c r="D348" s="213"/>
      <c r="E348" s="212"/>
      <c r="F348" s="212"/>
      <c r="G348" s="212"/>
      <c r="H348" s="212"/>
      <c r="I348" s="214"/>
      <c r="J348" s="212"/>
      <c r="K348" s="212"/>
      <c r="L348" s="212"/>
      <c r="M348" s="212"/>
      <c r="N348" s="214"/>
      <c r="O348" s="212"/>
      <c r="P348" s="214"/>
      <c r="Q348" s="212"/>
      <c r="R348" s="214"/>
      <c r="S348" s="212"/>
      <c r="T348" s="212"/>
      <c r="U348" s="212"/>
      <c r="V348" s="212"/>
      <c r="W348" s="213"/>
    </row>
    <row r="349">
      <c r="A349" s="212"/>
      <c r="B349" s="215"/>
      <c r="C349" s="215"/>
      <c r="D349" s="213"/>
      <c r="E349" s="212"/>
      <c r="F349" s="212"/>
      <c r="G349" s="212"/>
      <c r="H349" s="212"/>
      <c r="I349" s="214"/>
      <c r="J349" s="212"/>
      <c r="K349" s="212"/>
      <c r="L349" s="212"/>
      <c r="M349" s="212"/>
      <c r="N349" s="214"/>
      <c r="O349" s="212"/>
      <c r="P349" s="214"/>
      <c r="Q349" s="212"/>
      <c r="R349" s="214"/>
      <c r="S349" s="212"/>
      <c r="T349" s="212"/>
      <c r="U349" s="212"/>
      <c r="V349" s="212"/>
      <c r="W349" s="213"/>
    </row>
    <row r="350">
      <c r="A350" s="212"/>
      <c r="B350" s="215"/>
      <c r="C350" s="215"/>
      <c r="D350" s="213"/>
      <c r="E350" s="212"/>
      <c r="F350" s="212"/>
      <c r="G350" s="212"/>
      <c r="H350" s="214"/>
      <c r="I350" s="214"/>
      <c r="J350" s="212"/>
      <c r="K350" s="212"/>
      <c r="L350" s="212"/>
      <c r="M350" s="212"/>
      <c r="N350" s="214"/>
      <c r="O350" s="212"/>
      <c r="P350" s="214"/>
      <c r="Q350" s="212"/>
      <c r="R350" s="214"/>
      <c r="S350" s="212"/>
      <c r="T350" s="212"/>
      <c r="U350" s="212"/>
      <c r="V350" s="212"/>
      <c r="W350" s="213"/>
    </row>
    <row r="351">
      <c r="A351" s="212"/>
      <c r="B351" s="215"/>
      <c r="C351" s="215"/>
      <c r="D351" s="213"/>
      <c r="E351" s="212"/>
      <c r="F351" s="212"/>
      <c r="G351" s="212"/>
      <c r="H351" s="212"/>
      <c r="I351" s="214"/>
      <c r="J351" s="212"/>
      <c r="K351" s="212"/>
      <c r="L351" s="212"/>
      <c r="M351" s="212"/>
      <c r="N351" s="214"/>
      <c r="O351" s="212"/>
      <c r="P351" s="214"/>
      <c r="Q351" s="212"/>
      <c r="R351" s="214"/>
      <c r="S351" s="212"/>
      <c r="T351" s="212"/>
      <c r="U351" s="212"/>
      <c r="V351" s="212"/>
      <c r="W351" s="213"/>
    </row>
    <row r="352">
      <c r="A352" s="212"/>
      <c r="B352" s="215"/>
      <c r="C352" s="215"/>
      <c r="D352" s="213"/>
      <c r="E352" s="212"/>
      <c r="F352" s="212"/>
      <c r="G352" s="212"/>
      <c r="H352" s="212"/>
      <c r="I352" s="214"/>
      <c r="J352" s="212"/>
      <c r="K352" s="212"/>
      <c r="L352" s="212"/>
      <c r="M352" s="212"/>
      <c r="N352" s="214"/>
      <c r="O352" s="212"/>
      <c r="P352" s="212"/>
      <c r="Q352" s="212"/>
      <c r="R352" s="214"/>
      <c r="S352" s="212"/>
      <c r="T352" s="212"/>
      <c r="U352" s="212"/>
      <c r="V352" s="212"/>
      <c r="W352" s="213"/>
    </row>
    <row r="353">
      <c r="A353" s="212"/>
      <c r="B353" s="215"/>
      <c r="C353" s="215"/>
      <c r="D353" s="213"/>
      <c r="E353" s="212"/>
      <c r="F353" s="212"/>
      <c r="G353" s="212"/>
      <c r="H353" s="212"/>
      <c r="I353" s="214"/>
      <c r="J353" s="212"/>
      <c r="K353" s="212"/>
      <c r="L353" s="212"/>
      <c r="M353" s="212"/>
      <c r="N353" s="214"/>
      <c r="O353" s="212"/>
      <c r="P353" s="212"/>
      <c r="Q353" s="212"/>
      <c r="R353" s="214"/>
      <c r="S353" s="212"/>
      <c r="T353" s="212"/>
      <c r="U353" s="212"/>
      <c r="V353" s="212"/>
      <c r="W353" s="213"/>
    </row>
    <row r="354">
      <c r="A354" s="212"/>
      <c r="B354" s="215"/>
      <c r="C354" s="215"/>
      <c r="D354" s="213"/>
      <c r="E354" s="212"/>
      <c r="F354" s="212"/>
      <c r="G354" s="212"/>
      <c r="H354" s="212"/>
      <c r="I354" s="214"/>
      <c r="J354" s="212"/>
      <c r="K354" s="212"/>
      <c r="L354" s="212"/>
      <c r="M354" s="212"/>
      <c r="N354" s="214"/>
      <c r="O354" s="212"/>
      <c r="P354" s="212"/>
      <c r="Q354" s="212"/>
      <c r="R354" s="214"/>
      <c r="S354" s="212"/>
      <c r="T354" s="212"/>
      <c r="U354" s="212"/>
      <c r="V354" s="212"/>
      <c r="W354" s="213"/>
    </row>
    <row r="355">
      <c r="A355" s="212"/>
      <c r="B355" s="215"/>
      <c r="C355" s="215"/>
      <c r="D355" s="213"/>
      <c r="E355" s="212"/>
      <c r="F355" s="212"/>
      <c r="G355" s="212"/>
      <c r="H355" s="212"/>
      <c r="I355" s="214"/>
      <c r="J355" s="212"/>
      <c r="K355" s="212"/>
      <c r="L355" s="212"/>
      <c r="M355" s="212"/>
      <c r="N355" s="214"/>
      <c r="O355" s="212"/>
      <c r="P355" s="214"/>
      <c r="Q355" s="212"/>
      <c r="R355" s="214"/>
      <c r="S355" s="212"/>
      <c r="T355" s="212"/>
      <c r="U355" s="212"/>
      <c r="V355" s="212"/>
      <c r="W355" s="213"/>
    </row>
    <row r="356">
      <c r="A356" s="212"/>
      <c r="B356" s="215"/>
      <c r="C356" s="215"/>
      <c r="D356" s="213"/>
      <c r="E356" s="212"/>
      <c r="F356" s="212"/>
      <c r="G356" s="212"/>
      <c r="H356" s="214"/>
      <c r="I356" s="214"/>
      <c r="J356" s="212"/>
      <c r="K356" s="212"/>
      <c r="L356" s="212"/>
      <c r="M356" s="212"/>
      <c r="N356" s="214"/>
      <c r="O356" s="212"/>
      <c r="P356" s="212"/>
      <c r="Q356" s="212"/>
      <c r="R356" s="214"/>
      <c r="S356" s="212"/>
      <c r="T356" s="212"/>
      <c r="U356" s="212"/>
      <c r="V356" s="212"/>
      <c r="W356" s="213"/>
    </row>
    <row r="357">
      <c r="A357" s="212"/>
      <c r="B357" s="215"/>
      <c r="C357" s="215"/>
      <c r="D357" s="213"/>
      <c r="E357" s="212"/>
      <c r="F357" s="212"/>
      <c r="G357" s="212"/>
      <c r="H357" s="212"/>
      <c r="I357" s="214"/>
      <c r="J357" s="212"/>
      <c r="K357" s="212"/>
      <c r="L357" s="212"/>
      <c r="M357" s="212"/>
      <c r="N357" s="214"/>
      <c r="O357" s="212"/>
      <c r="P357" s="212"/>
      <c r="Q357" s="212"/>
      <c r="R357" s="214"/>
      <c r="S357" s="212"/>
      <c r="T357" s="212"/>
      <c r="U357" s="212"/>
      <c r="V357" s="212"/>
      <c r="W357" s="213"/>
    </row>
    <row r="358">
      <c r="A358" s="212"/>
      <c r="B358" s="215"/>
      <c r="C358" s="215"/>
      <c r="D358" s="213"/>
      <c r="E358" s="212"/>
      <c r="F358" s="212"/>
      <c r="G358" s="212"/>
      <c r="H358" s="214"/>
      <c r="I358" s="214"/>
      <c r="J358" s="212"/>
      <c r="K358" s="212"/>
      <c r="L358" s="212"/>
      <c r="M358" s="212"/>
      <c r="N358" s="214"/>
      <c r="O358" s="212"/>
      <c r="P358" s="214"/>
      <c r="Q358" s="212"/>
      <c r="R358" s="214"/>
      <c r="S358" s="212"/>
      <c r="T358" s="212"/>
      <c r="U358" s="212"/>
      <c r="V358" s="212"/>
      <c r="W358" s="213"/>
    </row>
    <row r="359">
      <c r="A359" s="212"/>
      <c r="B359" s="215"/>
      <c r="C359" s="215"/>
      <c r="D359" s="213"/>
      <c r="E359" s="212"/>
      <c r="F359" s="212"/>
      <c r="G359" s="212"/>
      <c r="H359" s="212"/>
      <c r="I359" s="214"/>
      <c r="J359" s="212"/>
      <c r="K359" s="212"/>
      <c r="L359" s="212"/>
      <c r="M359" s="212"/>
      <c r="N359" s="214"/>
      <c r="O359" s="212"/>
      <c r="P359" s="212"/>
      <c r="Q359" s="212"/>
      <c r="R359" s="214"/>
      <c r="S359" s="212"/>
      <c r="T359" s="212"/>
      <c r="U359" s="212"/>
      <c r="V359" s="212"/>
      <c r="W359" s="213"/>
    </row>
    <row r="360">
      <c r="A360" s="212"/>
      <c r="B360" s="215"/>
      <c r="C360" s="215"/>
      <c r="D360" s="213"/>
      <c r="E360" s="212"/>
      <c r="F360" s="212"/>
      <c r="G360" s="212"/>
      <c r="H360" s="212"/>
      <c r="I360" s="214"/>
      <c r="J360" s="212"/>
      <c r="K360" s="212"/>
      <c r="L360" s="212"/>
      <c r="M360" s="212"/>
      <c r="N360" s="214"/>
      <c r="O360" s="212"/>
      <c r="P360" s="212"/>
      <c r="Q360" s="212"/>
      <c r="R360" s="214"/>
      <c r="S360" s="212"/>
      <c r="T360" s="212"/>
      <c r="U360" s="212"/>
      <c r="V360" s="212"/>
      <c r="W360" s="213"/>
    </row>
    <row r="361">
      <c r="A361" s="212"/>
      <c r="B361" s="215"/>
      <c r="C361" s="215"/>
      <c r="D361" s="213"/>
      <c r="E361" s="212"/>
      <c r="F361" s="212"/>
      <c r="G361" s="212"/>
      <c r="H361" s="212"/>
      <c r="I361" s="214"/>
      <c r="J361" s="212"/>
      <c r="K361" s="212"/>
      <c r="L361" s="212"/>
      <c r="M361" s="212"/>
      <c r="N361" s="214"/>
      <c r="O361" s="212"/>
      <c r="P361" s="214"/>
      <c r="Q361" s="212"/>
      <c r="R361" s="214"/>
      <c r="S361" s="212"/>
      <c r="T361" s="212"/>
      <c r="U361" s="212"/>
      <c r="V361" s="212"/>
      <c r="W361" s="213"/>
    </row>
    <row r="362">
      <c r="A362" s="212"/>
      <c r="B362" s="215"/>
      <c r="C362" s="215"/>
      <c r="D362" s="213"/>
      <c r="E362" s="212"/>
      <c r="F362" s="212"/>
      <c r="G362" s="212"/>
      <c r="H362" s="212"/>
      <c r="I362" s="214"/>
      <c r="J362" s="212"/>
      <c r="K362" s="212"/>
      <c r="L362" s="212"/>
      <c r="M362" s="212"/>
      <c r="N362" s="214"/>
      <c r="O362" s="212"/>
      <c r="P362" s="212"/>
      <c r="Q362" s="212"/>
      <c r="R362" s="214"/>
      <c r="S362" s="212"/>
      <c r="T362" s="212"/>
      <c r="U362" s="212"/>
      <c r="V362" s="212"/>
      <c r="W362" s="213"/>
    </row>
    <row r="363">
      <c r="A363" s="212"/>
      <c r="B363" s="215"/>
      <c r="C363" s="215"/>
      <c r="D363" s="213"/>
      <c r="E363" s="212"/>
      <c r="F363" s="212"/>
      <c r="G363" s="212"/>
      <c r="H363" s="212"/>
      <c r="I363" s="214"/>
      <c r="J363" s="212"/>
      <c r="K363" s="212"/>
      <c r="L363" s="212"/>
      <c r="M363" s="212"/>
      <c r="N363" s="214"/>
      <c r="O363" s="212"/>
      <c r="P363" s="214"/>
      <c r="Q363" s="212"/>
      <c r="R363" s="214"/>
      <c r="S363" s="212"/>
      <c r="T363" s="212"/>
      <c r="U363" s="212"/>
      <c r="V363" s="212"/>
      <c r="W363" s="213"/>
    </row>
    <row r="364">
      <c r="A364" s="212"/>
      <c r="B364" s="215"/>
      <c r="C364" s="215"/>
      <c r="D364" s="213"/>
      <c r="E364" s="212"/>
      <c r="F364" s="212"/>
      <c r="G364" s="212"/>
      <c r="H364" s="212"/>
      <c r="I364" s="214"/>
      <c r="J364" s="212"/>
      <c r="K364" s="212"/>
      <c r="L364" s="212"/>
      <c r="M364" s="212"/>
      <c r="N364" s="214"/>
      <c r="O364" s="212"/>
      <c r="P364" s="214"/>
      <c r="Q364" s="212"/>
      <c r="R364" s="214"/>
      <c r="S364" s="212"/>
      <c r="T364" s="212"/>
      <c r="U364" s="212"/>
      <c r="V364" s="212"/>
      <c r="W364" s="213"/>
    </row>
    <row r="365">
      <c r="A365" s="212"/>
      <c r="B365" s="215"/>
      <c r="C365" s="215"/>
      <c r="D365" s="213"/>
      <c r="E365" s="212"/>
      <c r="F365" s="212"/>
      <c r="G365" s="212"/>
      <c r="H365" s="212"/>
      <c r="I365" s="214"/>
      <c r="J365" s="212"/>
      <c r="K365" s="212"/>
      <c r="L365" s="212"/>
      <c r="M365" s="212"/>
      <c r="N365" s="212"/>
      <c r="O365" s="212"/>
      <c r="P365" s="214"/>
      <c r="Q365" s="212"/>
      <c r="R365" s="214"/>
      <c r="S365" s="212"/>
      <c r="T365" s="212"/>
      <c r="U365" s="212"/>
      <c r="V365" s="212"/>
      <c r="W365" s="213"/>
    </row>
    <row r="366">
      <c r="A366" s="212"/>
      <c r="B366" s="215"/>
      <c r="C366" s="215"/>
      <c r="D366" s="213"/>
      <c r="E366" s="212"/>
      <c r="F366" s="212"/>
      <c r="G366" s="212"/>
      <c r="H366" s="212"/>
      <c r="I366" s="214"/>
      <c r="J366" s="212"/>
      <c r="K366" s="212"/>
      <c r="L366" s="212"/>
      <c r="M366" s="212"/>
      <c r="N366" s="214"/>
      <c r="O366" s="212"/>
      <c r="P366" s="212"/>
      <c r="Q366" s="212"/>
      <c r="R366" s="214"/>
      <c r="S366" s="212"/>
      <c r="T366" s="212"/>
      <c r="U366" s="212"/>
      <c r="V366" s="212"/>
      <c r="W366" s="213"/>
    </row>
    <row r="367">
      <c r="A367" s="212"/>
      <c r="B367" s="215"/>
      <c r="C367" s="215"/>
      <c r="D367" s="213"/>
      <c r="E367" s="212"/>
      <c r="F367" s="212"/>
      <c r="G367" s="212"/>
      <c r="H367" s="212"/>
      <c r="I367" s="214"/>
      <c r="J367" s="212"/>
      <c r="K367" s="212"/>
      <c r="L367" s="212"/>
      <c r="M367" s="212"/>
      <c r="N367" s="214"/>
      <c r="O367" s="212"/>
      <c r="P367" s="214"/>
      <c r="Q367" s="212"/>
      <c r="R367" s="214"/>
      <c r="S367" s="212"/>
      <c r="T367" s="212"/>
      <c r="U367" s="212"/>
      <c r="V367" s="212"/>
      <c r="W367" s="213"/>
    </row>
    <row r="368">
      <c r="A368" s="212"/>
      <c r="B368" s="215"/>
      <c r="C368" s="215"/>
      <c r="D368" s="213"/>
      <c r="E368" s="212"/>
      <c r="F368" s="212"/>
      <c r="G368" s="212"/>
      <c r="H368" s="212"/>
      <c r="I368" s="214"/>
      <c r="J368" s="212"/>
      <c r="K368" s="212"/>
      <c r="L368" s="212"/>
      <c r="M368" s="212"/>
      <c r="N368" s="214"/>
      <c r="O368" s="212"/>
      <c r="P368" s="212"/>
      <c r="Q368" s="212"/>
      <c r="R368" s="214"/>
      <c r="S368" s="212"/>
      <c r="T368" s="212"/>
      <c r="U368" s="212"/>
      <c r="V368" s="212"/>
      <c r="W368" s="213"/>
    </row>
    <row r="369">
      <c r="A369" s="212"/>
      <c r="B369" s="215"/>
      <c r="C369" s="215"/>
      <c r="D369" s="213"/>
      <c r="E369" s="212"/>
      <c r="F369" s="212"/>
      <c r="G369" s="212"/>
      <c r="H369" s="212"/>
      <c r="I369" s="214"/>
      <c r="J369" s="212"/>
      <c r="K369" s="212"/>
      <c r="L369" s="212"/>
      <c r="M369" s="212"/>
      <c r="N369" s="214"/>
      <c r="O369" s="212"/>
      <c r="P369" s="214"/>
      <c r="Q369" s="212"/>
      <c r="R369" s="214"/>
      <c r="S369" s="212"/>
      <c r="T369" s="212"/>
      <c r="U369" s="212"/>
      <c r="V369" s="212"/>
      <c r="W369" s="213"/>
    </row>
    <row r="370">
      <c r="A370" s="212"/>
      <c r="B370" s="215"/>
      <c r="C370" s="215"/>
      <c r="D370" s="213"/>
      <c r="E370" s="212"/>
      <c r="F370" s="212"/>
      <c r="G370" s="212"/>
      <c r="H370" s="212"/>
      <c r="I370" s="214"/>
      <c r="J370" s="212"/>
      <c r="K370" s="212"/>
      <c r="L370" s="212"/>
      <c r="M370" s="212"/>
      <c r="N370" s="214"/>
      <c r="O370" s="212"/>
      <c r="P370" s="212"/>
      <c r="Q370" s="212"/>
      <c r="R370" s="214"/>
      <c r="S370" s="212"/>
      <c r="T370" s="212"/>
      <c r="U370" s="212"/>
      <c r="V370" s="212"/>
      <c r="W370" s="213"/>
    </row>
    <row r="371">
      <c r="A371" s="212"/>
      <c r="B371" s="215"/>
      <c r="C371" s="215"/>
      <c r="D371" s="213"/>
      <c r="E371" s="212"/>
      <c r="F371" s="212"/>
      <c r="G371" s="212"/>
      <c r="H371" s="212"/>
      <c r="I371" s="214"/>
      <c r="J371" s="212"/>
      <c r="K371" s="212"/>
      <c r="L371" s="212"/>
      <c r="M371" s="212"/>
      <c r="N371" s="214"/>
      <c r="O371" s="212"/>
      <c r="P371" s="212"/>
      <c r="Q371" s="212"/>
      <c r="R371" s="214"/>
      <c r="S371" s="212"/>
      <c r="T371" s="212"/>
      <c r="U371" s="212"/>
      <c r="V371" s="212"/>
      <c r="W371" s="213"/>
    </row>
    <row r="372">
      <c r="A372" s="212"/>
      <c r="B372" s="215"/>
      <c r="C372" s="215"/>
      <c r="D372" s="213"/>
      <c r="E372" s="212"/>
      <c r="F372" s="212"/>
      <c r="G372" s="212"/>
      <c r="H372" s="212"/>
      <c r="I372" s="214"/>
      <c r="J372" s="212"/>
      <c r="K372" s="212"/>
      <c r="L372" s="212"/>
      <c r="M372" s="212"/>
      <c r="N372" s="214"/>
      <c r="O372" s="212"/>
      <c r="P372" s="212"/>
      <c r="Q372" s="212"/>
      <c r="R372" s="214"/>
      <c r="S372" s="212"/>
      <c r="T372" s="212"/>
      <c r="U372" s="212"/>
      <c r="V372" s="212"/>
      <c r="W372" s="213"/>
    </row>
    <row r="373">
      <c r="A373" s="212"/>
      <c r="B373" s="215"/>
      <c r="C373" s="215"/>
      <c r="D373" s="213"/>
      <c r="E373" s="212"/>
      <c r="F373" s="212"/>
      <c r="G373" s="212"/>
      <c r="H373" s="212"/>
      <c r="I373" s="214"/>
      <c r="J373" s="212"/>
      <c r="K373" s="212"/>
      <c r="L373" s="212"/>
      <c r="M373" s="212"/>
      <c r="N373" s="214"/>
      <c r="O373" s="212"/>
      <c r="P373" s="212"/>
      <c r="Q373" s="212"/>
      <c r="R373" s="214"/>
      <c r="S373" s="212"/>
      <c r="T373" s="212"/>
      <c r="U373" s="212"/>
      <c r="V373" s="212"/>
      <c r="W373" s="213"/>
    </row>
    <row r="374">
      <c r="A374" s="212"/>
      <c r="B374" s="213"/>
      <c r="C374" s="213"/>
      <c r="D374" s="213"/>
      <c r="E374" s="212"/>
      <c r="F374" s="212"/>
      <c r="G374" s="212"/>
      <c r="H374" s="212"/>
      <c r="I374" s="214"/>
      <c r="J374" s="212"/>
      <c r="K374" s="212"/>
      <c r="L374" s="212"/>
      <c r="M374" s="212"/>
      <c r="N374" s="214"/>
      <c r="O374" s="212"/>
      <c r="P374" s="212"/>
      <c r="Q374" s="212"/>
      <c r="R374" s="214"/>
      <c r="S374" s="212"/>
      <c r="T374" s="212"/>
      <c r="U374" s="212"/>
      <c r="V374" s="212"/>
      <c r="W374" s="213"/>
    </row>
    <row r="375">
      <c r="A375" s="212"/>
      <c r="B375" s="215"/>
      <c r="C375" s="215"/>
      <c r="D375" s="213"/>
      <c r="E375" s="212"/>
      <c r="F375" s="212"/>
      <c r="G375" s="212"/>
      <c r="H375" s="212"/>
      <c r="I375" s="214"/>
      <c r="J375" s="212"/>
      <c r="K375" s="212"/>
      <c r="L375" s="212"/>
      <c r="M375" s="212"/>
      <c r="N375" s="214"/>
      <c r="O375" s="212"/>
      <c r="P375" s="214"/>
      <c r="Q375" s="212"/>
      <c r="R375" s="214"/>
      <c r="S375" s="212"/>
      <c r="T375" s="212"/>
      <c r="U375" s="212"/>
      <c r="V375" s="212"/>
      <c r="W375" s="213"/>
    </row>
    <row r="376">
      <c r="A376" s="212"/>
      <c r="B376" s="215"/>
      <c r="C376" s="215"/>
      <c r="D376" s="213"/>
      <c r="E376" s="212"/>
      <c r="F376" s="212"/>
      <c r="G376" s="212"/>
      <c r="H376" s="212"/>
      <c r="I376" s="214"/>
      <c r="J376" s="212"/>
      <c r="K376" s="212"/>
      <c r="L376" s="212"/>
      <c r="M376" s="212"/>
      <c r="N376" s="214"/>
      <c r="O376" s="212"/>
      <c r="P376" s="212"/>
      <c r="Q376" s="212"/>
      <c r="R376" s="214"/>
      <c r="S376" s="212"/>
      <c r="T376" s="212"/>
      <c r="U376" s="212"/>
      <c r="V376" s="212"/>
      <c r="W376" s="213"/>
    </row>
    <row r="377">
      <c r="A377" s="212"/>
      <c r="B377" s="215"/>
      <c r="C377" s="215"/>
      <c r="D377" s="213"/>
      <c r="E377" s="212"/>
      <c r="F377" s="212"/>
      <c r="G377" s="212"/>
      <c r="H377" s="212"/>
      <c r="I377" s="214"/>
      <c r="J377" s="212"/>
      <c r="K377" s="212"/>
      <c r="L377" s="212"/>
      <c r="M377" s="212"/>
      <c r="N377" s="214"/>
      <c r="O377" s="212"/>
      <c r="P377" s="212"/>
      <c r="Q377" s="212"/>
      <c r="R377" s="214"/>
      <c r="S377" s="212"/>
      <c r="T377" s="212"/>
      <c r="U377" s="212"/>
      <c r="V377" s="212"/>
      <c r="W377" s="213"/>
    </row>
    <row r="378">
      <c r="A378" s="212"/>
      <c r="B378" s="215"/>
      <c r="C378" s="215"/>
      <c r="D378" s="213"/>
      <c r="E378" s="212"/>
      <c r="F378" s="212"/>
      <c r="G378" s="212"/>
      <c r="H378" s="212"/>
      <c r="I378" s="214"/>
      <c r="J378" s="212"/>
      <c r="K378" s="212"/>
      <c r="L378" s="212"/>
      <c r="M378" s="212"/>
      <c r="N378" s="212"/>
      <c r="O378" s="212"/>
      <c r="P378" s="214"/>
      <c r="Q378" s="212"/>
      <c r="R378" s="214"/>
      <c r="S378" s="212"/>
      <c r="T378" s="212"/>
      <c r="U378" s="212"/>
      <c r="V378" s="212"/>
      <c r="W378" s="213"/>
    </row>
    <row r="379">
      <c r="A379" s="212"/>
      <c r="B379" s="215"/>
      <c r="C379" s="215"/>
      <c r="D379" s="213"/>
      <c r="E379" s="212"/>
      <c r="F379" s="212"/>
      <c r="G379" s="212"/>
      <c r="H379" s="212"/>
      <c r="I379" s="214"/>
      <c r="J379" s="212"/>
      <c r="K379" s="212"/>
      <c r="L379" s="212"/>
      <c r="M379" s="212"/>
      <c r="N379" s="212"/>
      <c r="O379" s="212"/>
      <c r="P379" s="212"/>
      <c r="Q379" s="212"/>
      <c r="R379" s="214"/>
      <c r="S379" s="212"/>
      <c r="T379" s="212"/>
      <c r="U379" s="212"/>
      <c r="V379" s="212"/>
      <c r="W379" s="213"/>
    </row>
    <row r="380">
      <c r="A380" s="212"/>
      <c r="B380" s="215"/>
      <c r="C380" s="215"/>
      <c r="D380" s="213"/>
      <c r="E380" s="212"/>
      <c r="F380" s="212"/>
      <c r="G380" s="212"/>
      <c r="H380" s="212"/>
      <c r="I380" s="214"/>
      <c r="J380" s="212"/>
      <c r="K380" s="212"/>
      <c r="L380" s="212"/>
      <c r="M380" s="212"/>
      <c r="N380" s="214"/>
      <c r="O380" s="212"/>
      <c r="P380" s="214"/>
      <c r="Q380" s="212"/>
      <c r="R380" s="214"/>
      <c r="S380" s="212"/>
      <c r="T380" s="212"/>
      <c r="U380" s="212"/>
      <c r="V380" s="212"/>
      <c r="W380" s="213"/>
    </row>
    <row r="381">
      <c r="A381" s="212"/>
      <c r="B381" s="215"/>
      <c r="C381" s="215"/>
      <c r="D381" s="213"/>
      <c r="E381" s="212"/>
      <c r="F381" s="212"/>
      <c r="G381" s="212"/>
      <c r="H381" s="212"/>
      <c r="I381" s="214"/>
      <c r="J381" s="212"/>
      <c r="K381" s="212"/>
      <c r="L381" s="212"/>
      <c r="M381" s="212"/>
      <c r="N381" s="214"/>
      <c r="O381" s="212"/>
      <c r="P381" s="214"/>
      <c r="Q381" s="212"/>
      <c r="R381" s="214"/>
      <c r="S381" s="212"/>
      <c r="T381" s="212"/>
      <c r="U381" s="212"/>
      <c r="V381" s="212"/>
      <c r="W381" s="213"/>
    </row>
    <row r="382">
      <c r="A382" s="212"/>
      <c r="B382" s="215"/>
      <c r="C382" s="215"/>
      <c r="D382" s="213"/>
      <c r="E382" s="212"/>
      <c r="F382" s="212"/>
      <c r="G382" s="212"/>
      <c r="H382" s="214"/>
      <c r="I382" s="214"/>
      <c r="J382" s="212"/>
      <c r="K382" s="212"/>
      <c r="L382" s="212"/>
      <c r="M382" s="212"/>
      <c r="N382" s="214"/>
      <c r="O382" s="212"/>
      <c r="P382" s="212"/>
      <c r="Q382" s="212"/>
      <c r="R382" s="214"/>
      <c r="S382" s="212"/>
      <c r="T382" s="212"/>
      <c r="U382" s="212"/>
      <c r="V382" s="212"/>
      <c r="W382" s="213"/>
    </row>
    <row r="383">
      <c r="A383" s="212"/>
      <c r="B383" s="215"/>
      <c r="C383" s="215"/>
      <c r="D383" s="213"/>
      <c r="E383" s="212"/>
      <c r="F383" s="212"/>
      <c r="G383" s="212"/>
      <c r="H383" s="212"/>
      <c r="I383" s="214"/>
      <c r="J383" s="212"/>
      <c r="K383" s="212"/>
      <c r="L383" s="212"/>
      <c r="M383" s="212"/>
      <c r="N383" s="214"/>
      <c r="O383" s="212"/>
      <c r="P383" s="214"/>
      <c r="Q383" s="212"/>
      <c r="R383" s="214"/>
      <c r="S383" s="212"/>
      <c r="T383" s="212"/>
      <c r="U383" s="212"/>
      <c r="V383" s="212"/>
      <c r="W383" s="213"/>
    </row>
    <row r="384">
      <c r="A384" s="212"/>
      <c r="B384" s="215"/>
      <c r="C384" s="215"/>
      <c r="D384" s="213"/>
      <c r="E384" s="212"/>
      <c r="F384" s="212"/>
      <c r="G384" s="212"/>
      <c r="H384" s="214"/>
      <c r="I384" s="214"/>
      <c r="J384" s="212"/>
      <c r="K384" s="212"/>
      <c r="L384" s="212"/>
      <c r="M384" s="212"/>
      <c r="N384" s="214"/>
      <c r="O384" s="212"/>
      <c r="P384" s="212"/>
      <c r="Q384" s="212"/>
      <c r="R384" s="214"/>
      <c r="S384" s="212"/>
      <c r="T384" s="212"/>
      <c r="U384" s="212"/>
      <c r="V384" s="212"/>
      <c r="W384" s="213"/>
    </row>
    <row r="385">
      <c r="A385" s="212"/>
      <c r="B385" s="215"/>
      <c r="C385" s="215"/>
      <c r="D385" s="213"/>
      <c r="E385" s="212"/>
      <c r="F385" s="212"/>
      <c r="G385" s="212"/>
      <c r="H385" s="214"/>
      <c r="I385" s="214"/>
      <c r="J385" s="212"/>
      <c r="K385" s="212"/>
      <c r="L385" s="212"/>
      <c r="M385" s="212"/>
      <c r="N385" s="214"/>
      <c r="O385" s="212"/>
      <c r="P385" s="214"/>
      <c r="Q385" s="212"/>
      <c r="R385" s="214"/>
      <c r="S385" s="212"/>
      <c r="T385" s="212"/>
      <c r="U385" s="212"/>
      <c r="V385" s="212"/>
      <c r="W385" s="213"/>
    </row>
    <row r="386">
      <c r="A386" s="212"/>
      <c r="B386" s="215"/>
      <c r="C386" s="215"/>
      <c r="D386" s="213"/>
      <c r="E386" s="212"/>
      <c r="F386" s="212"/>
      <c r="G386" s="212"/>
      <c r="H386" s="214"/>
      <c r="I386" s="214"/>
      <c r="J386" s="212"/>
      <c r="K386" s="212"/>
      <c r="L386" s="212"/>
      <c r="M386" s="212"/>
      <c r="N386" s="214"/>
      <c r="O386" s="212"/>
      <c r="P386" s="214"/>
      <c r="Q386" s="212"/>
      <c r="R386" s="214"/>
      <c r="S386" s="212"/>
      <c r="T386" s="212"/>
      <c r="U386" s="212"/>
      <c r="V386" s="212"/>
      <c r="W386" s="213"/>
    </row>
    <row r="387">
      <c r="A387" s="212"/>
      <c r="B387" s="215"/>
      <c r="C387" s="215"/>
      <c r="D387" s="213"/>
      <c r="E387" s="212"/>
      <c r="F387" s="212"/>
      <c r="G387" s="212"/>
      <c r="H387" s="212"/>
      <c r="I387" s="214"/>
      <c r="J387" s="212"/>
      <c r="K387" s="212"/>
      <c r="L387" s="212"/>
      <c r="M387" s="212"/>
      <c r="N387" s="214"/>
      <c r="O387" s="212"/>
      <c r="P387" s="212"/>
      <c r="Q387" s="212"/>
      <c r="R387" s="214"/>
      <c r="S387" s="212"/>
      <c r="T387" s="212"/>
      <c r="U387" s="212"/>
      <c r="V387" s="212"/>
      <c r="W387" s="213"/>
    </row>
    <row r="388">
      <c r="A388" s="212"/>
      <c r="B388" s="213"/>
      <c r="C388" s="213"/>
      <c r="D388" s="213"/>
      <c r="E388" s="212"/>
      <c r="F388" s="212"/>
      <c r="G388" s="212"/>
      <c r="H388" s="214"/>
      <c r="I388" s="214"/>
      <c r="J388" s="212"/>
      <c r="K388" s="212"/>
      <c r="L388" s="212"/>
      <c r="M388" s="212"/>
      <c r="N388" s="214"/>
      <c r="O388" s="212"/>
      <c r="P388" s="214"/>
      <c r="Q388" s="212"/>
      <c r="R388" s="214"/>
      <c r="S388" s="212"/>
      <c r="T388" s="212"/>
      <c r="U388" s="212"/>
      <c r="V388" s="212"/>
      <c r="W388" s="213"/>
    </row>
    <row r="389">
      <c r="A389" s="212"/>
      <c r="B389" s="215"/>
      <c r="C389" s="215"/>
      <c r="D389" s="213"/>
      <c r="E389" s="212"/>
      <c r="F389" s="212"/>
      <c r="G389" s="212"/>
      <c r="H389" s="212"/>
      <c r="I389" s="214"/>
      <c r="J389" s="212"/>
      <c r="K389" s="212"/>
      <c r="L389" s="212"/>
      <c r="M389" s="212"/>
      <c r="N389" s="214"/>
      <c r="O389" s="212"/>
      <c r="P389" s="212"/>
      <c r="Q389" s="212"/>
      <c r="R389" s="214"/>
      <c r="S389" s="212"/>
      <c r="T389" s="212"/>
      <c r="U389" s="212"/>
      <c r="V389" s="212"/>
      <c r="W389" s="213"/>
    </row>
    <row r="390">
      <c r="A390" s="212"/>
      <c r="B390" s="213"/>
      <c r="C390" s="213"/>
      <c r="D390" s="213"/>
      <c r="E390" s="212"/>
      <c r="F390" s="212"/>
      <c r="G390" s="212"/>
      <c r="H390" s="212"/>
      <c r="I390" s="214"/>
      <c r="J390" s="212"/>
      <c r="K390" s="212"/>
      <c r="L390" s="212"/>
      <c r="M390" s="212"/>
      <c r="N390" s="214"/>
      <c r="O390" s="212"/>
      <c r="P390" s="212"/>
      <c r="Q390" s="212"/>
      <c r="R390" s="214"/>
      <c r="S390" s="212"/>
      <c r="T390" s="212"/>
      <c r="U390" s="212"/>
      <c r="V390" s="212"/>
      <c r="W390" s="213"/>
    </row>
    <row r="391">
      <c r="A391" s="212"/>
      <c r="B391" s="215"/>
      <c r="C391" s="215"/>
      <c r="D391" s="213"/>
      <c r="E391" s="212"/>
      <c r="F391" s="212"/>
      <c r="G391" s="212"/>
      <c r="H391" s="212"/>
      <c r="I391" s="214"/>
      <c r="J391" s="212"/>
      <c r="K391" s="212"/>
      <c r="L391" s="212"/>
      <c r="M391" s="212"/>
      <c r="N391" s="214"/>
      <c r="O391" s="212"/>
      <c r="P391" s="212"/>
      <c r="Q391" s="212"/>
      <c r="R391" s="214"/>
      <c r="S391" s="212"/>
      <c r="T391" s="212"/>
      <c r="U391" s="212"/>
      <c r="V391" s="212"/>
      <c r="W391" s="213"/>
    </row>
    <row r="392">
      <c r="A392" s="212"/>
      <c r="B392" s="215"/>
      <c r="C392" s="215"/>
      <c r="D392" s="213"/>
      <c r="E392" s="212"/>
      <c r="F392" s="212"/>
      <c r="G392" s="212"/>
      <c r="H392" s="212"/>
      <c r="I392" s="214"/>
      <c r="J392" s="212"/>
      <c r="K392" s="212"/>
      <c r="L392" s="212"/>
      <c r="M392" s="212"/>
      <c r="N392" s="212"/>
      <c r="O392" s="212"/>
      <c r="P392" s="212"/>
      <c r="Q392" s="212"/>
      <c r="R392" s="214"/>
      <c r="S392" s="212"/>
      <c r="T392" s="212"/>
      <c r="U392" s="212"/>
      <c r="V392" s="212"/>
      <c r="W392" s="213"/>
    </row>
    <row r="393">
      <c r="A393" s="212"/>
      <c r="B393" s="215"/>
      <c r="C393" s="215"/>
      <c r="D393" s="213"/>
      <c r="E393" s="212"/>
      <c r="F393" s="212"/>
      <c r="G393" s="212"/>
      <c r="H393" s="212"/>
      <c r="I393" s="214"/>
      <c r="J393" s="212"/>
      <c r="K393" s="212"/>
      <c r="L393" s="212"/>
      <c r="M393" s="212"/>
      <c r="N393" s="214"/>
      <c r="O393" s="212"/>
      <c r="P393" s="212"/>
      <c r="Q393" s="212"/>
      <c r="R393" s="214"/>
      <c r="S393" s="212"/>
      <c r="T393" s="212"/>
      <c r="U393" s="212"/>
      <c r="V393" s="212"/>
      <c r="W393" s="213"/>
    </row>
    <row r="394">
      <c r="A394" s="212"/>
      <c r="B394" s="215"/>
      <c r="C394" s="215"/>
      <c r="D394" s="213"/>
      <c r="E394" s="212"/>
      <c r="F394" s="212"/>
      <c r="G394" s="212"/>
      <c r="H394" s="212"/>
      <c r="I394" s="214"/>
      <c r="J394" s="212"/>
      <c r="K394" s="212"/>
      <c r="L394" s="212"/>
      <c r="M394" s="214"/>
      <c r="N394" s="212"/>
      <c r="O394" s="212"/>
      <c r="P394" s="212"/>
      <c r="Q394" s="212"/>
      <c r="R394" s="214"/>
      <c r="S394" s="212"/>
      <c r="T394" s="212"/>
      <c r="U394" s="212"/>
      <c r="V394" s="212"/>
      <c r="W394" s="213"/>
    </row>
    <row r="395">
      <c r="A395" s="212"/>
      <c r="B395" s="215"/>
      <c r="C395" s="215"/>
      <c r="D395" s="213"/>
      <c r="E395" s="212"/>
      <c r="F395" s="212"/>
      <c r="G395" s="212"/>
      <c r="H395" s="212"/>
      <c r="I395" s="214"/>
      <c r="J395" s="212"/>
      <c r="K395" s="212"/>
      <c r="L395" s="212"/>
      <c r="M395" s="212"/>
      <c r="N395" s="214"/>
      <c r="O395" s="212"/>
      <c r="P395" s="212"/>
      <c r="Q395" s="212"/>
      <c r="R395" s="214"/>
      <c r="S395" s="212"/>
      <c r="T395" s="212"/>
      <c r="U395" s="212"/>
      <c r="V395" s="212"/>
      <c r="W395" s="213"/>
    </row>
    <row r="396">
      <c r="A396" s="212"/>
      <c r="B396" s="215"/>
      <c r="C396" s="215"/>
      <c r="D396" s="213"/>
      <c r="E396" s="212"/>
      <c r="F396" s="212"/>
      <c r="G396" s="212"/>
      <c r="H396" s="212"/>
      <c r="I396" s="214"/>
      <c r="J396" s="212"/>
      <c r="K396" s="212"/>
      <c r="L396" s="212"/>
      <c r="M396" s="212"/>
      <c r="N396" s="214"/>
      <c r="O396" s="212"/>
      <c r="P396" s="212"/>
      <c r="Q396" s="212"/>
      <c r="R396" s="214"/>
      <c r="S396" s="212"/>
      <c r="T396" s="212"/>
      <c r="U396" s="212"/>
      <c r="V396" s="212"/>
      <c r="W396" s="213"/>
    </row>
    <row r="397">
      <c r="A397" s="212"/>
      <c r="B397" s="215"/>
      <c r="C397" s="215"/>
      <c r="D397" s="213"/>
      <c r="E397" s="212"/>
      <c r="F397" s="212"/>
      <c r="G397" s="212"/>
      <c r="H397" s="212"/>
      <c r="I397" s="214"/>
      <c r="J397" s="212"/>
      <c r="K397" s="212"/>
      <c r="L397" s="212"/>
      <c r="M397" s="212"/>
      <c r="N397" s="214"/>
      <c r="O397" s="212"/>
      <c r="P397" s="212"/>
      <c r="Q397" s="212"/>
      <c r="R397" s="214"/>
      <c r="S397" s="212"/>
      <c r="T397" s="212"/>
      <c r="U397" s="212"/>
      <c r="V397" s="212"/>
      <c r="W397" s="213"/>
    </row>
    <row r="398">
      <c r="A398" s="212"/>
      <c r="B398" s="215"/>
      <c r="C398" s="215"/>
      <c r="D398" s="213"/>
      <c r="E398" s="212"/>
      <c r="F398" s="212"/>
      <c r="G398" s="212"/>
      <c r="H398" s="212"/>
      <c r="I398" s="214"/>
      <c r="J398" s="212"/>
      <c r="K398" s="212"/>
      <c r="L398" s="212"/>
      <c r="M398" s="212"/>
      <c r="N398" s="212"/>
      <c r="O398" s="212"/>
      <c r="P398" s="214"/>
      <c r="Q398" s="212"/>
      <c r="R398" s="214"/>
      <c r="S398" s="212"/>
      <c r="T398" s="212"/>
      <c r="U398" s="212"/>
      <c r="V398" s="212"/>
      <c r="W398" s="213"/>
    </row>
    <row r="399">
      <c r="A399" s="212"/>
      <c r="B399" s="215"/>
      <c r="C399" s="215"/>
      <c r="D399" s="213"/>
      <c r="E399" s="212"/>
      <c r="F399" s="212"/>
      <c r="G399" s="212"/>
      <c r="H399" s="212"/>
      <c r="I399" s="214"/>
      <c r="J399" s="212"/>
      <c r="K399" s="212"/>
      <c r="L399" s="212"/>
      <c r="M399" s="212"/>
      <c r="N399" s="214"/>
      <c r="O399" s="212"/>
      <c r="P399" s="214"/>
      <c r="Q399" s="212"/>
      <c r="R399" s="214"/>
      <c r="S399" s="212"/>
      <c r="T399" s="212"/>
      <c r="U399" s="212"/>
      <c r="V399" s="212"/>
      <c r="W399" s="213"/>
    </row>
    <row r="400">
      <c r="A400" s="212"/>
      <c r="B400" s="213"/>
      <c r="C400" s="213"/>
      <c r="D400" s="213"/>
      <c r="E400" s="212"/>
      <c r="F400" s="212"/>
      <c r="G400" s="212"/>
      <c r="H400" s="214"/>
      <c r="I400" s="214"/>
      <c r="J400" s="212"/>
      <c r="K400" s="212"/>
      <c r="L400" s="212"/>
      <c r="M400" s="212"/>
      <c r="N400" s="212"/>
      <c r="O400" s="212"/>
      <c r="P400" s="214"/>
      <c r="Q400" s="212"/>
      <c r="R400" s="214"/>
      <c r="S400" s="212"/>
      <c r="T400" s="212"/>
      <c r="U400" s="212"/>
      <c r="V400" s="212"/>
      <c r="W400" s="213"/>
    </row>
    <row r="401">
      <c r="A401" s="212"/>
      <c r="B401" s="215"/>
      <c r="C401" s="215"/>
      <c r="D401" s="213"/>
      <c r="E401" s="212"/>
      <c r="F401" s="212"/>
      <c r="G401" s="212"/>
      <c r="H401" s="212"/>
      <c r="I401" s="214"/>
      <c r="J401" s="212"/>
      <c r="K401" s="212"/>
      <c r="L401" s="212"/>
      <c r="M401" s="212"/>
      <c r="N401" s="214"/>
      <c r="O401" s="212"/>
      <c r="P401" s="212"/>
      <c r="Q401" s="212"/>
      <c r="R401" s="214"/>
      <c r="S401" s="212"/>
      <c r="T401" s="212"/>
      <c r="U401" s="212"/>
      <c r="V401" s="212"/>
      <c r="W401" s="213"/>
    </row>
    <row r="402">
      <c r="A402" s="212"/>
      <c r="B402" s="215"/>
      <c r="C402" s="215"/>
      <c r="D402" s="213"/>
      <c r="E402" s="212"/>
      <c r="F402" s="212"/>
      <c r="G402" s="212"/>
      <c r="H402" s="214"/>
      <c r="I402" s="214"/>
      <c r="J402" s="212"/>
      <c r="K402" s="212"/>
      <c r="L402" s="212"/>
      <c r="M402" s="212"/>
      <c r="N402" s="212"/>
      <c r="O402" s="212"/>
      <c r="P402" s="214"/>
      <c r="Q402" s="212"/>
      <c r="R402" s="214"/>
      <c r="S402" s="212"/>
      <c r="T402" s="212"/>
      <c r="U402" s="212"/>
      <c r="V402" s="212"/>
      <c r="W402" s="213"/>
    </row>
    <row r="403">
      <c r="A403" s="212"/>
      <c r="B403" s="215"/>
      <c r="C403" s="215"/>
      <c r="D403" s="213"/>
      <c r="E403" s="212"/>
      <c r="F403" s="212"/>
      <c r="G403" s="212"/>
      <c r="H403" s="212"/>
      <c r="I403" s="214"/>
      <c r="J403" s="212"/>
      <c r="K403" s="212"/>
      <c r="L403" s="212"/>
      <c r="M403" s="212"/>
      <c r="N403" s="214"/>
      <c r="O403" s="212"/>
      <c r="P403" s="214"/>
      <c r="Q403" s="212"/>
      <c r="R403" s="214"/>
      <c r="S403" s="212"/>
      <c r="T403" s="212"/>
      <c r="U403" s="212"/>
      <c r="V403" s="212"/>
      <c r="W403" s="213"/>
    </row>
    <row r="404">
      <c r="A404" s="212"/>
      <c r="B404" s="215"/>
      <c r="C404" s="215"/>
      <c r="D404" s="213"/>
      <c r="E404" s="212"/>
      <c r="F404" s="212"/>
      <c r="G404" s="212"/>
      <c r="H404" s="212"/>
      <c r="I404" s="214"/>
      <c r="J404" s="212"/>
      <c r="K404" s="212"/>
      <c r="L404" s="212"/>
      <c r="M404" s="212"/>
      <c r="N404" s="214"/>
      <c r="O404" s="212"/>
      <c r="P404" s="212"/>
      <c r="Q404" s="212"/>
      <c r="R404" s="214"/>
      <c r="S404" s="212"/>
      <c r="T404" s="212"/>
      <c r="U404" s="212"/>
      <c r="V404" s="212"/>
      <c r="W404" s="213"/>
    </row>
    <row r="405">
      <c r="A405" s="212"/>
      <c r="B405" s="215"/>
      <c r="C405" s="215"/>
      <c r="D405" s="213"/>
      <c r="E405" s="212"/>
      <c r="F405" s="212"/>
      <c r="G405" s="212"/>
      <c r="H405" s="212"/>
      <c r="I405" s="214"/>
      <c r="J405" s="212"/>
      <c r="K405" s="212"/>
      <c r="L405" s="212"/>
      <c r="M405" s="212"/>
      <c r="N405" s="212"/>
      <c r="O405" s="212"/>
      <c r="P405" s="214"/>
      <c r="Q405" s="212"/>
      <c r="R405" s="214"/>
      <c r="S405" s="212"/>
      <c r="T405" s="212"/>
      <c r="U405" s="212"/>
      <c r="V405" s="212"/>
      <c r="W405" s="213"/>
    </row>
    <row r="406">
      <c r="A406" s="212"/>
      <c r="B406" s="215"/>
      <c r="C406" s="215"/>
      <c r="D406" s="213"/>
      <c r="E406" s="212"/>
      <c r="F406" s="212"/>
      <c r="G406" s="212"/>
      <c r="H406" s="214"/>
      <c r="I406" s="214"/>
      <c r="J406" s="212"/>
      <c r="K406" s="212"/>
      <c r="L406" s="212"/>
      <c r="M406" s="212"/>
      <c r="N406" s="214"/>
      <c r="O406" s="212"/>
      <c r="P406" s="212"/>
      <c r="Q406" s="212"/>
      <c r="R406" s="214"/>
      <c r="S406" s="212"/>
      <c r="T406" s="212"/>
      <c r="U406" s="212"/>
      <c r="V406" s="212"/>
      <c r="W406" s="213"/>
    </row>
    <row r="407">
      <c r="A407" s="212"/>
      <c r="B407" s="215"/>
      <c r="C407" s="215"/>
      <c r="D407" s="213"/>
      <c r="E407" s="212"/>
      <c r="F407" s="212"/>
      <c r="G407" s="212"/>
      <c r="H407" s="214"/>
      <c r="I407" s="214"/>
      <c r="J407" s="212"/>
      <c r="K407" s="212"/>
      <c r="L407" s="212"/>
      <c r="M407" s="212"/>
      <c r="N407" s="214"/>
      <c r="O407" s="212"/>
      <c r="P407" s="212"/>
      <c r="Q407" s="212"/>
      <c r="R407" s="214"/>
      <c r="S407" s="212"/>
      <c r="T407" s="212"/>
      <c r="U407" s="212"/>
      <c r="V407" s="212"/>
      <c r="W407" s="213"/>
    </row>
    <row r="408">
      <c r="A408" s="212"/>
      <c r="B408" s="215"/>
      <c r="C408" s="215"/>
      <c r="D408" s="213"/>
      <c r="E408" s="212"/>
      <c r="F408" s="212"/>
      <c r="G408" s="212"/>
      <c r="H408" s="212"/>
      <c r="I408" s="214"/>
      <c r="J408" s="212"/>
      <c r="K408" s="212"/>
      <c r="L408" s="212"/>
      <c r="M408" s="212"/>
      <c r="N408" s="214"/>
      <c r="O408" s="212"/>
      <c r="P408" s="214"/>
      <c r="Q408" s="212"/>
      <c r="R408" s="214"/>
      <c r="S408" s="212"/>
      <c r="T408" s="212"/>
      <c r="U408" s="212"/>
      <c r="V408" s="212"/>
      <c r="W408" s="213"/>
    </row>
    <row r="409">
      <c r="A409" s="212"/>
      <c r="B409" s="215"/>
      <c r="C409" s="215"/>
      <c r="D409" s="213"/>
      <c r="E409" s="212"/>
      <c r="F409" s="212"/>
      <c r="G409" s="212"/>
      <c r="H409" s="214"/>
      <c r="I409" s="214"/>
      <c r="J409" s="212"/>
      <c r="K409" s="212"/>
      <c r="L409" s="212"/>
      <c r="M409" s="214"/>
      <c r="N409" s="214"/>
      <c r="O409" s="212"/>
      <c r="P409" s="212"/>
      <c r="Q409" s="212"/>
      <c r="R409" s="214"/>
      <c r="S409" s="212"/>
      <c r="T409" s="212"/>
      <c r="U409" s="212"/>
      <c r="V409" s="212"/>
      <c r="W409" s="213"/>
    </row>
    <row r="410">
      <c r="A410" s="212"/>
      <c r="B410" s="215"/>
      <c r="C410" s="215"/>
      <c r="D410" s="213"/>
      <c r="E410" s="212"/>
      <c r="F410" s="212"/>
      <c r="G410" s="212"/>
      <c r="H410" s="214"/>
      <c r="I410" s="214"/>
      <c r="J410" s="212"/>
      <c r="K410" s="212"/>
      <c r="L410" s="212"/>
      <c r="M410" s="212"/>
      <c r="N410" s="212"/>
      <c r="O410" s="212"/>
      <c r="P410" s="214"/>
      <c r="Q410" s="212"/>
      <c r="R410" s="214"/>
      <c r="S410" s="212"/>
      <c r="T410" s="212"/>
      <c r="U410" s="212"/>
      <c r="V410" s="212"/>
      <c r="W410" s="213"/>
    </row>
    <row r="411">
      <c r="A411" s="212"/>
      <c r="B411" s="215"/>
      <c r="C411" s="215"/>
      <c r="D411" s="213"/>
      <c r="E411" s="212"/>
      <c r="F411" s="212"/>
      <c r="G411" s="212"/>
      <c r="H411" s="212"/>
      <c r="I411" s="214"/>
      <c r="J411" s="212"/>
      <c r="K411" s="212"/>
      <c r="L411" s="212"/>
      <c r="M411" s="212"/>
      <c r="N411" s="214"/>
      <c r="O411" s="212"/>
      <c r="P411" s="212"/>
      <c r="Q411" s="212"/>
      <c r="R411" s="214"/>
      <c r="S411" s="212"/>
      <c r="T411" s="212"/>
      <c r="U411" s="212"/>
      <c r="V411" s="212"/>
      <c r="W411" s="213"/>
    </row>
    <row r="412">
      <c r="A412" s="212"/>
      <c r="B412" s="215"/>
      <c r="C412" s="215"/>
      <c r="D412" s="213"/>
      <c r="E412" s="212"/>
      <c r="F412" s="212"/>
      <c r="G412" s="212"/>
      <c r="H412" s="214"/>
      <c r="I412" s="214"/>
      <c r="J412" s="212"/>
      <c r="K412" s="212"/>
      <c r="L412" s="212"/>
      <c r="M412" s="212"/>
      <c r="N412" s="214"/>
      <c r="O412" s="212"/>
      <c r="P412" s="214"/>
      <c r="Q412" s="212"/>
      <c r="R412" s="214"/>
      <c r="S412" s="212"/>
      <c r="T412" s="212"/>
      <c r="U412" s="212"/>
      <c r="V412" s="212"/>
      <c r="W412" s="213"/>
    </row>
    <row r="413">
      <c r="A413" s="212"/>
      <c r="B413" s="215"/>
      <c r="C413" s="215"/>
      <c r="D413" s="213"/>
      <c r="E413" s="212"/>
      <c r="F413" s="212"/>
      <c r="G413" s="212"/>
      <c r="H413" s="212"/>
      <c r="I413" s="214"/>
      <c r="J413" s="212"/>
      <c r="K413" s="212"/>
      <c r="L413" s="212"/>
      <c r="M413" s="212"/>
      <c r="N413" s="212"/>
      <c r="O413" s="212"/>
      <c r="P413" s="212"/>
      <c r="Q413" s="212"/>
      <c r="R413" s="214"/>
      <c r="S413" s="212"/>
      <c r="T413" s="212"/>
      <c r="U413" s="212"/>
      <c r="V413" s="212"/>
      <c r="W413" s="213"/>
    </row>
    <row r="414">
      <c r="A414" s="212"/>
      <c r="B414" s="215"/>
      <c r="C414" s="215"/>
      <c r="D414" s="213"/>
      <c r="E414" s="212"/>
      <c r="F414" s="212"/>
      <c r="G414" s="212"/>
      <c r="H414" s="212"/>
      <c r="I414" s="214"/>
      <c r="J414" s="212"/>
      <c r="K414" s="212"/>
      <c r="L414" s="212"/>
      <c r="M414" s="212"/>
      <c r="N414" s="212"/>
      <c r="O414" s="212"/>
      <c r="P414" s="212"/>
      <c r="Q414" s="212"/>
      <c r="R414" s="214"/>
      <c r="S414" s="212"/>
      <c r="T414" s="212"/>
      <c r="U414" s="212"/>
      <c r="V414" s="212"/>
      <c r="W414" s="213"/>
    </row>
    <row r="415">
      <c r="A415" s="212"/>
      <c r="B415" s="215"/>
      <c r="C415" s="215"/>
      <c r="D415" s="213"/>
      <c r="E415" s="212"/>
      <c r="F415" s="212"/>
      <c r="G415" s="212"/>
      <c r="H415" s="212"/>
      <c r="I415" s="214"/>
      <c r="J415" s="212"/>
      <c r="K415" s="212"/>
      <c r="L415" s="212"/>
      <c r="M415" s="212"/>
      <c r="N415" s="214"/>
      <c r="O415" s="212"/>
      <c r="P415" s="214"/>
      <c r="Q415" s="212"/>
      <c r="R415" s="214"/>
      <c r="S415" s="212"/>
      <c r="T415" s="212"/>
      <c r="U415" s="212"/>
      <c r="V415" s="212"/>
      <c r="W415" s="213"/>
    </row>
    <row r="416">
      <c r="A416" s="212"/>
      <c r="B416" s="215"/>
      <c r="C416" s="215"/>
      <c r="D416" s="213"/>
      <c r="E416" s="212"/>
      <c r="F416" s="212"/>
      <c r="G416" s="212"/>
      <c r="H416" s="214"/>
      <c r="I416" s="214"/>
      <c r="J416" s="212"/>
      <c r="K416" s="212"/>
      <c r="L416" s="212"/>
      <c r="M416" s="212"/>
      <c r="N416" s="212"/>
      <c r="O416" s="212"/>
      <c r="P416" s="212"/>
      <c r="Q416" s="212"/>
      <c r="R416" s="214"/>
      <c r="S416" s="212"/>
      <c r="T416" s="212"/>
      <c r="U416" s="212"/>
      <c r="V416" s="212"/>
      <c r="W416" s="213"/>
    </row>
    <row r="417">
      <c r="A417" s="212"/>
      <c r="B417" s="215"/>
      <c r="C417" s="215"/>
      <c r="D417" s="213"/>
      <c r="E417" s="212"/>
      <c r="F417" s="212"/>
      <c r="G417" s="212"/>
      <c r="H417" s="212"/>
      <c r="I417" s="214"/>
      <c r="J417" s="212"/>
      <c r="K417" s="212"/>
      <c r="L417" s="212"/>
      <c r="M417" s="212"/>
      <c r="N417" s="214"/>
      <c r="O417" s="212"/>
      <c r="P417" s="214"/>
      <c r="Q417" s="212"/>
      <c r="R417" s="214"/>
      <c r="S417" s="212"/>
      <c r="T417" s="212"/>
      <c r="U417" s="212"/>
      <c r="V417" s="212"/>
      <c r="W417" s="213"/>
    </row>
    <row r="418">
      <c r="A418" s="212"/>
      <c r="B418" s="215"/>
      <c r="C418" s="215"/>
      <c r="D418" s="213"/>
      <c r="E418" s="212"/>
      <c r="F418" s="212"/>
      <c r="G418" s="212"/>
      <c r="H418" s="214"/>
      <c r="I418" s="214"/>
      <c r="J418" s="212"/>
      <c r="K418" s="212"/>
      <c r="L418" s="212"/>
      <c r="M418" s="214"/>
      <c r="N418" s="214"/>
      <c r="O418" s="212"/>
      <c r="P418" s="212"/>
      <c r="Q418" s="214"/>
      <c r="R418" s="214"/>
      <c r="S418" s="212"/>
      <c r="T418" s="212"/>
      <c r="U418" s="212"/>
      <c r="V418" s="212"/>
      <c r="W418" s="213"/>
    </row>
    <row r="419">
      <c r="A419" s="212"/>
      <c r="B419" s="213"/>
      <c r="C419" s="213"/>
      <c r="D419" s="213"/>
      <c r="E419" s="212"/>
      <c r="F419" s="212"/>
      <c r="G419" s="212"/>
      <c r="H419" s="214"/>
      <c r="I419" s="214"/>
      <c r="J419" s="212"/>
      <c r="K419" s="212"/>
      <c r="L419" s="212"/>
      <c r="M419" s="214"/>
      <c r="N419" s="214"/>
      <c r="O419" s="212"/>
      <c r="P419" s="212"/>
      <c r="Q419" s="214"/>
      <c r="R419" s="214"/>
      <c r="S419" s="212"/>
      <c r="T419" s="212"/>
      <c r="U419" s="212"/>
      <c r="V419" s="212"/>
      <c r="W419" s="213"/>
    </row>
    <row r="420">
      <c r="A420" s="212"/>
      <c r="B420" s="215"/>
      <c r="C420" s="215"/>
      <c r="D420" s="213"/>
      <c r="E420" s="212"/>
      <c r="F420" s="212"/>
      <c r="G420" s="212"/>
      <c r="H420" s="212"/>
      <c r="I420" s="214"/>
      <c r="J420" s="212"/>
      <c r="K420" s="212"/>
      <c r="L420" s="212"/>
      <c r="M420" s="212"/>
      <c r="N420" s="214"/>
      <c r="O420" s="212"/>
      <c r="P420" s="212"/>
      <c r="Q420" s="212"/>
      <c r="R420" s="214"/>
      <c r="S420" s="212"/>
      <c r="T420" s="212"/>
      <c r="U420" s="212"/>
      <c r="V420" s="212"/>
      <c r="W420" s="213"/>
    </row>
    <row r="421">
      <c r="A421" s="212"/>
      <c r="B421" s="215"/>
      <c r="C421" s="215"/>
      <c r="D421" s="213"/>
      <c r="E421" s="212"/>
      <c r="F421" s="212"/>
      <c r="G421" s="212"/>
      <c r="H421" s="212"/>
      <c r="I421" s="214"/>
      <c r="J421" s="212"/>
      <c r="K421" s="212"/>
      <c r="L421" s="212"/>
      <c r="M421" s="212"/>
      <c r="N421" s="214"/>
      <c r="O421" s="212"/>
      <c r="P421" s="212"/>
      <c r="Q421" s="212"/>
      <c r="R421" s="214"/>
      <c r="S421" s="212"/>
      <c r="T421" s="212"/>
      <c r="U421" s="212"/>
      <c r="V421" s="212"/>
      <c r="W421" s="213"/>
    </row>
    <row r="422">
      <c r="A422" s="212"/>
      <c r="B422" s="215"/>
      <c r="C422" s="215"/>
      <c r="D422" s="213"/>
      <c r="E422" s="212"/>
      <c r="F422" s="212"/>
      <c r="G422" s="212"/>
      <c r="H422" s="214"/>
      <c r="I422" s="214"/>
      <c r="J422" s="212"/>
      <c r="K422" s="212"/>
      <c r="L422" s="212"/>
      <c r="M422" s="212"/>
      <c r="N422" s="214"/>
      <c r="O422" s="212"/>
      <c r="P422" s="214"/>
      <c r="Q422" s="212"/>
      <c r="R422" s="214"/>
      <c r="S422" s="212"/>
      <c r="T422" s="212"/>
      <c r="U422" s="212"/>
      <c r="V422" s="212"/>
      <c r="W422" s="213"/>
    </row>
    <row r="423">
      <c r="A423" s="212"/>
      <c r="B423" s="215"/>
      <c r="C423" s="215"/>
      <c r="D423" s="213"/>
      <c r="E423" s="212"/>
      <c r="F423" s="212"/>
      <c r="G423" s="212"/>
      <c r="H423" s="212"/>
      <c r="I423" s="214"/>
      <c r="J423" s="212"/>
      <c r="K423" s="212"/>
      <c r="L423" s="212"/>
      <c r="M423" s="214"/>
      <c r="N423" s="212"/>
      <c r="O423" s="212"/>
      <c r="P423" s="214"/>
      <c r="Q423" s="214"/>
      <c r="R423" s="214"/>
      <c r="S423" s="212"/>
      <c r="T423" s="212"/>
      <c r="U423" s="212"/>
      <c r="V423" s="212"/>
      <c r="W423" s="213"/>
    </row>
    <row r="424">
      <c r="A424" s="212"/>
      <c r="B424" s="215"/>
      <c r="C424" s="215"/>
      <c r="D424" s="213"/>
      <c r="E424" s="212"/>
      <c r="F424" s="212"/>
      <c r="G424" s="212"/>
      <c r="H424" s="214"/>
      <c r="I424" s="214"/>
      <c r="J424" s="212"/>
      <c r="K424" s="212"/>
      <c r="L424" s="212"/>
      <c r="M424" s="212"/>
      <c r="N424" s="214"/>
      <c r="O424" s="212"/>
      <c r="P424" s="214"/>
      <c r="Q424" s="212"/>
      <c r="R424" s="214"/>
      <c r="S424" s="212"/>
      <c r="T424" s="212"/>
      <c r="U424" s="212"/>
      <c r="V424" s="212"/>
      <c r="W424" s="213"/>
    </row>
    <row r="425">
      <c r="A425" s="212"/>
      <c r="B425" s="215"/>
      <c r="C425" s="215"/>
      <c r="D425" s="213"/>
      <c r="E425" s="212"/>
      <c r="F425" s="212"/>
      <c r="G425" s="212"/>
      <c r="H425" s="212"/>
      <c r="I425" s="214"/>
      <c r="J425" s="212"/>
      <c r="K425" s="212"/>
      <c r="L425" s="212"/>
      <c r="M425" s="214"/>
      <c r="N425" s="214"/>
      <c r="O425" s="212"/>
      <c r="P425" s="212"/>
      <c r="Q425" s="214"/>
      <c r="R425" s="214"/>
      <c r="S425" s="212"/>
      <c r="T425" s="212"/>
      <c r="U425" s="212"/>
      <c r="V425" s="212"/>
      <c r="W425" s="213"/>
    </row>
    <row r="426">
      <c r="A426" s="212"/>
      <c r="B426" s="215"/>
      <c r="C426" s="215"/>
      <c r="D426" s="213"/>
      <c r="E426" s="212"/>
      <c r="F426" s="212"/>
      <c r="G426" s="212"/>
      <c r="H426" s="212"/>
      <c r="I426" s="214"/>
      <c r="J426" s="212"/>
      <c r="K426" s="212"/>
      <c r="L426" s="212"/>
      <c r="M426" s="214"/>
      <c r="N426" s="214"/>
      <c r="O426" s="212"/>
      <c r="P426" s="214"/>
      <c r="Q426" s="212"/>
      <c r="R426" s="214"/>
      <c r="S426" s="212"/>
      <c r="T426" s="212"/>
      <c r="U426" s="212"/>
      <c r="V426" s="212"/>
      <c r="W426" s="213"/>
    </row>
    <row r="427">
      <c r="A427" s="212"/>
      <c r="B427" s="215"/>
      <c r="C427" s="215"/>
      <c r="D427" s="213"/>
      <c r="E427" s="212"/>
      <c r="F427" s="212"/>
      <c r="G427" s="212"/>
      <c r="H427" s="212"/>
      <c r="I427" s="214"/>
      <c r="J427" s="212"/>
      <c r="K427" s="212"/>
      <c r="L427" s="212"/>
      <c r="M427" s="212"/>
      <c r="N427" s="214"/>
      <c r="O427" s="212"/>
      <c r="P427" s="212"/>
      <c r="Q427" s="212"/>
      <c r="R427" s="214"/>
      <c r="S427" s="212"/>
      <c r="T427" s="212"/>
      <c r="U427" s="212"/>
      <c r="V427" s="212"/>
      <c r="W427" s="213"/>
    </row>
    <row r="428">
      <c r="A428" s="212"/>
      <c r="B428" s="215"/>
      <c r="C428" s="215"/>
      <c r="D428" s="213"/>
      <c r="E428" s="212"/>
      <c r="F428" s="212"/>
      <c r="G428" s="212"/>
      <c r="H428" s="212"/>
      <c r="I428" s="214"/>
      <c r="J428" s="212"/>
      <c r="K428" s="212"/>
      <c r="L428" s="212"/>
      <c r="M428" s="212"/>
      <c r="N428" s="214"/>
      <c r="O428" s="212"/>
      <c r="P428" s="212"/>
      <c r="Q428" s="212"/>
      <c r="R428" s="214"/>
      <c r="S428" s="212"/>
      <c r="T428" s="212"/>
      <c r="U428" s="212"/>
      <c r="V428" s="212"/>
      <c r="W428" s="213"/>
    </row>
    <row r="429">
      <c r="A429" s="212"/>
      <c r="B429" s="215"/>
      <c r="C429" s="215"/>
      <c r="D429" s="213"/>
      <c r="E429" s="212"/>
      <c r="F429" s="212"/>
      <c r="G429" s="212"/>
      <c r="H429" s="214"/>
      <c r="I429" s="214"/>
      <c r="J429" s="212"/>
      <c r="K429" s="212"/>
      <c r="L429" s="212"/>
      <c r="M429" s="214"/>
      <c r="N429" s="214"/>
      <c r="O429" s="212"/>
      <c r="P429" s="212"/>
      <c r="Q429" s="214"/>
      <c r="R429" s="214"/>
      <c r="S429" s="212"/>
      <c r="T429" s="212"/>
      <c r="U429" s="212"/>
      <c r="V429" s="212"/>
      <c r="W429" s="213"/>
    </row>
    <row r="430">
      <c r="A430" s="212"/>
      <c r="B430" s="215"/>
      <c r="C430" s="215"/>
      <c r="D430" s="213"/>
      <c r="E430" s="212"/>
      <c r="F430" s="212"/>
      <c r="G430" s="212"/>
      <c r="H430" s="212"/>
      <c r="I430" s="214"/>
      <c r="J430" s="212"/>
      <c r="K430" s="212"/>
      <c r="L430" s="212"/>
      <c r="M430" s="212"/>
      <c r="N430" s="214"/>
      <c r="O430" s="212"/>
      <c r="P430" s="214"/>
      <c r="Q430" s="212"/>
      <c r="R430" s="214"/>
      <c r="S430" s="212"/>
      <c r="T430" s="212"/>
      <c r="U430" s="212"/>
      <c r="V430" s="212"/>
      <c r="W430" s="213"/>
    </row>
    <row r="431">
      <c r="A431" s="212"/>
      <c r="B431" s="215"/>
      <c r="C431" s="215"/>
      <c r="D431" s="213"/>
      <c r="E431" s="212"/>
      <c r="F431" s="212"/>
      <c r="G431" s="212"/>
      <c r="H431" s="212"/>
      <c r="I431" s="214"/>
      <c r="J431" s="212"/>
      <c r="K431" s="212"/>
      <c r="L431" s="212"/>
      <c r="M431" s="212"/>
      <c r="N431" s="214"/>
      <c r="O431" s="212"/>
      <c r="P431" s="212"/>
      <c r="Q431" s="212"/>
      <c r="R431" s="214"/>
      <c r="S431" s="212"/>
      <c r="T431" s="212"/>
      <c r="U431" s="212"/>
      <c r="V431" s="212"/>
      <c r="W431" s="213"/>
    </row>
    <row r="432">
      <c r="A432" s="212"/>
      <c r="B432" s="215"/>
      <c r="C432" s="215"/>
      <c r="D432" s="213"/>
      <c r="E432" s="212"/>
      <c r="F432" s="212"/>
      <c r="G432" s="212"/>
      <c r="H432" s="212"/>
      <c r="I432" s="214"/>
      <c r="J432" s="212"/>
      <c r="K432" s="212"/>
      <c r="L432" s="212"/>
      <c r="M432" s="212"/>
      <c r="N432" s="214"/>
      <c r="O432" s="212"/>
      <c r="P432" s="212"/>
      <c r="Q432" s="212"/>
      <c r="R432" s="214"/>
      <c r="S432" s="212"/>
      <c r="T432" s="212"/>
      <c r="U432" s="212"/>
      <c r="V432" s="212"/>
      <c r="W432" s="213"/>
    </row>
    <row r="433">
      <c r="A433" s="212"/>
      <c r="B433" s="215"/>
      <c r="C433" s="215"/>
      <c r="D433" s="213"/>
      <c r="E433" s="212"/>
      <c r="F433" s="212"/>
      <c r="G433" s="212"/>
      <c r="H433" s="214"/>
      <c r="I433" s="214"/>
      <c r="J433" s="212"/>
      <c r="K433" s="212"/>
      <c r="L433" s="212"/>
      <c r="M433" s="212"/>
      <c r="N433" s="214"/>
      <c r="O433" s="212"/>
      <c r="P433" s="212"/>
      <c r="Q433" s="212"/>
      <c r="R433" s="214"/>
      <c r="S433" s="212"/>
      <c r="T433" s="212"/>
      <c r="U433" s="212"/>
      <c r="V433" s="212"/>
      <c r="W433" s="213"/>
    </row>
    <row r="434">
      <c r="A434" s="212"/>
      <c r="B434" s="215"/>
      <c r="C434" s="215"/>
      <c r="D434" s="213"/>
      <c r="E434" s="212"/>
      <c r="F434" s="212"/>
      <c r="G434" s="212"/>
      <c r="H434" s="212"/>
      <c r="I434" s="214"/>
      <c r="J434" s="212"/>
      <c r="K434" s="212"/>
      <c r="L434" s="212"/>
      <c r="M434" s="212"/>
      <c r="N434" s="214"/>
      <c r="O434" s="212"/>
      <c r="P434" s="214"/>
      <c r="Q434" s="212"/>
      <c r="R434" s="214"/>
      <c r="S434" s="212"/>
      <c r="T434" s="212"/>
      <c r="U434" s="212"/>
      <c r="V434" s="212"/>
      <c r="W434" s="213"/>
    </row>
    <row r="435">
      <c r="A435" s="212"/>
      <c r="B435" s="215"/>
      <c r="C435" s="215"/>
      <c r="D435" s="213"/>
      <c r="E435" s="212"/>
      <c r="F435" s="212"/>
      <c r="G435" s="212"/>
      <c r="H435" s="212"/>
      <c r="I435" s="214"/>
      <c r="J435" s="212"/>
      <c r="K435" s="212"/>
      <c r="L435" s="212"/>
      <c r="M435" s="214"/>
      <c r="N435" s="214"/>
      <c r="O435" s="212"/>
      <c r="P435" s="212"/>
      <c r="Q435" s="214"/>
      <c r="R435" s="214"/>
      <c r="S435" s="212"/>
      <c r="T435" s="212"/>
      <c r="U435" s="212"/>
      <c r="V435" s="212"/>
      <c r="W435" s="213"/>
    </row>
    <row r="436">
      <c r="A436" s="212"/>
      <c r="B436" s="215"/>
      <c r="C436" s="215"/>
      <c r="D436" s="213"/>
      <c r="E436" s="212"/>
      <c r="F436" s="212"/>
      <c r="G436" s="212"/>
      <c r="H436" s="212"/>
      <c r="I436" s="214"/>
      <c r="J436" s="212"/>
      <c r="K436" s="212"/>
      <c r="L436" s="212"/>
      <c r="M436" s="212"/>
      <c r="N436" s="214"/>
      <c r="O436" s="212"/>
      <c r="P436" s="214"/>
      <c r="Q436" s="212"/>
      <c r="R436" s="214"/>
      <c r="S436" s="212"/>
      <c r="T436" s="212"/>
      <c r="U436" s="212"/>
      <c r="V436" s="212"/>
      <c r="W436" s="213"/>
    </row>
    <row r="437">
      <c r="A437" s="212"/>
      <c r="B437" s="215"/>
      <c r="C437" s="215"/>
      <c r="D437" s="213"/>
      <c r="E437" s="212"/>
      <c r="F437" s="212"/>
      <c r="G437" s="212"/>
      <c r="H437" s="212"/>
      <c r="I437" s="214"/>
      <c r="J437" s="212"/>
      <c r="K437" s="212"/>
      <c r="L437" s="212"/>
      <c r="M437" s="212"/>
      <c r="N437" s="214"/>
      <c r="O437" s="212"/>
      <c r="P437" s="212"/>
      <c r="Q437" s="212"/>
      <c r="R437" s="214"/>
      <c r="S437" s="212"/>
      <c r="T437" s="212"/>
      <c r="U437" s="212"/>
      <c r="V437" s="212"/>
      <c r="W437" s="213"/>
    </row>
    <row r="438">
      <c r="A438" s="212"/>
      <c r="B438" s="215"/>
      <c r="C438" s="215"/>
      <c r="D438" s="213"/>
      <c r="E438" s="212"/>
      <c r="F438" s="212"/>
      <c r="G438" s="212"/>
      <c r="H438" s="212"/>
      <c r="I438" s="214"/>
      <c r="J438" s="212"/>
      <c r="K438" s="212"/>
      <c r="L438" s="212"/>
      <c r="M438" s="212"/>
      <c r="N438" s="214"/>
      <c r="O438" s="212"/>
      <c r="P438" s="214"/>
      <c r="Q438" s="212"/>
      <c r="R438" s="214"/>
      <c r="S438" s="212"/>
      <c r="T438" s="212"/>
      <c r="U438" s="212"/>
      <c r="V438" s="212"/>
      <c r="W438" s="213"/>
    </row>
    <row r="439">
      <c r="A439" s="212"/>
      <c r="B439" s="215"/>
      <c r="C439" s="215"/>
      <c r="D439" s="213"/>
      <c r="E439" s="212"/>
      <c r="F439" s="212"/>
      <c r="G439" s="212"/>
      <c r="H439" s="212"/>
      <c r="I439" s="214"/>
      <c r="J439" s="212"/>
      <c r="K439" s="212"/>
      <c r="L439" s="212"/>
      <c r="M439" s="212"/>
      <c r="N439" s="214"/>
      <c r="O439" s="212"/>
      <c r="P439" s="214"/>
      <c r="Q439" s="212"/>
      <c r="R439" s="214"/>
      <c r="S439" s="212"/>
      <c r="T439" s="212"/>
      <c r="U439" s="212"/>
      <c r="V439" s="212"/>
      <c r="W439" s="213"/>
    </row>
    <row r="440">
      <c r="A440" s="212"/>
      <c r="B440" s="215"/>
      <c r="C440" s="215"/>
      <c r="D440" s="213"/>
      <c r="E440" s="212"/>
      <c r="F440" s="212"/>
      <c r="G440" s="212"/>
      <c r="H440" s="214"/>
      <c r="I440" s="214"/>
      <c r="J440" s="212"/>
      <c r="K440" s="212"/>
      <c r="L440" s="212"/>
      <c r="M440" s="212"/>
      <c r="N440" s="214"/>
      <c r="O440" s="212"/>
      <c r="P440" s="214"/>
      <c r="Q440" s="212"/>
      <c r="R440" s="214"/>
      <c r="S440" s="212"/>
      <c r="T440" s="212"/>
      <c r="U440" s="212"/>
      <c r="V440" s="212"/>
      <c r="W440" s="213"/>
    </row>
    <row r="441">
      <c r="A441" s="212"/>
      <c r="B441" s="215"/>
      <c r="C441" s="215"/>
      <c r="D441" s="213"/>
      <c r="E441" s="212"/>
      <c r="F441" s="212"/>
      <c r="G441" s="212"/>
      <c r="H441" s="214"/>
      <c r="I441" s="214"/>
      <c r="J441" s="212"/>
      <c r="K441" s="212"/>
      <c r="L441" s="212"/>
      <c r="M441" s="214"/>
      <c r="N441" s="214"/>
      <c r="O441" s="212"/>
      <c r="P441" s="212"/>
      <c r="Q441" s="214"/>
      <c r="R441" s="214"/>
      <c r="S441" s="212"/>
      <c r="T441" s="212"/>
      <c r="U441" s="212"/>
      <c r="V441" s="212"/>
      <c r="W441" s="213"/>
    </row>
    <row r="442">
      <c r="A442" s="212"/>
      <c r="B442" s="215"/>
      <c r="C442" s="215"/>
      <c r="D442" s="213"/>
      <c r="E442" s="212"/>
      <c r="F442" s="212"/>
      <c r="G442" s="212"/>
      <c r="H442" s="214"/>
      <c r="I442" s="214"/>
      <c r="J442" s="212"/>
      <c r="K442" s="212"/>
      <c r="L442" s="212"/>
      <c r="M442" s="214"/>
      <c r="N442" s="214"/>
      <c r="O442" s="212"/>
      <c r="P442" s="214"/>
      <c r="Q442" s="214"/>
      <c r="R442" s="214"/>
      <c r="S442" s="212"/>
      <c r="T442" s="212"/>
      <c r="U442" s="212"/>
      <c r="V442" s="212"/>
      <c r="W442" s="213"/>
    </row>
    <row r="443">
      <c r="A443" s="212"/>
      <c r="B443" s="215"/>
      <c r="C443" s="215"/>
      <c r="D443" s="213"/>
      <c r="E443" s="212"/>
      <c r="F443" s="212"/>
      <c r="G443" s="212"/>
      <c r="H443" s="212"/>
      <c r="I443" s="214"/>
      <c r="J443" s="212"/>
      <c r="K443" s="212"/>
      <c r="L443" s="212"/>
      <c r="M443" s="212"/>
      <c r="N443" s="214"/>
      <c r="O443" s="212"/>
      <c r="P443" s="212"/>
      <c r="Q443" s="212"/>
      <c r="R443" s="214"/>
      <c r="S443" s="212"/>
      <c r="T443" s="212"/>
      <c r="U443" s="212"/>
      <c r="V443" s="212"/>
      <c r="W443" s="213"/>
    </row>
    <row r="444">
      <c r="A444" s="212"/>
      <c r="B444" s="215"/>
      <c r="C444" s="215"/>
      <c r="D444" s="213"/>
      <c r="E444" s="212"/>
      <c r="F444" s="212"/>
      <c r="G444" s="212"/>
      <c r="H444" s="214"/>
      <c r="I444" s="214"/>
      <c r="J444" s="212"/>
      <c r="K444" s="212"/>
      <c r="L444" s="212"/>
      <c r="M444" s="214"/>
      <c r="N444" s="214"/>
      <c r="O444" s="212"/>
      <c r="P444" s="212"/>
      <c r="Q444" s="214"/>
      <c r="R444" s="214"/>
      <c r="S444" s="212"/>
      <c r="T444" s="212"/>
      <c r="U444" s="212"/>
      <c r="V444" s="212"/>
      <c r="W444" s="213"/>
    </row>
    <row r="445">
      <c r="A445" s="212"/>
      <c r="B445" s="215"/>
      <c r="C445" s="215"/>
      <c r="D445" s="213"/>
      <c r="E445" s="212"/>
      <c r="F445" s="212"/>
      <c r="G445" s="212"/>
      <c r="H445" s="212"/>
      <c r="I445" s="214"/>
      <c r="J445" s="212"/>
      <c r="K445" s="212"/>
      <c r="L445" s="212"/>
      <c r="M445" s="212"/>
      <c r="N445" s="214"/>
      <c r="O445" s="212"/>
      <c r="P445" s="212"/>
      <c r="Q445" s="212"/>
      <c r="R445" s="214"/>
      <c r="S445" s="212"/>
      <c r="T445" s="212"/>
      <c r="U445" s="212"/>
      <c r="V445" s="212"/>
      <c r="W445" s="213"/>
    </row>
    <row r="446">
      <c r="A446" s="212"/>
      <c r="B446" s="215"/>
      <c r="C446" s="215"/>
      <c r="D446" s="213"/>
      <c r="E446" s="212"/>
      <c r="F446" s="212"/>
      <c r="G446" s="212"/>
      <c r="H446" s="214"/>
      <c r="I446" s="214"/>
      <c r="J446" s="212"/>
      <c r="K446" s="212"/>
      <c r="L446" s="212"/>
      <c r="M446" s="212"/>
      <c r="N446" s="214"/>
      <c r="O446" s="212"/>
      <c r="P446" s="212"/>
      <c r="Q446" s="212"/>
      <c r="R446" s="214"/>
      <c r="S446" s="212"/>
      <c r="T446" s="212"/>
      <c r="U446" s="212"/>
      <c r="V446" s="212"/>
      <c r="W446" s="213"/>
    </row>
    <row r="447">
      <c r="A447" s="212"/>
      <c r="B447" s="215"/>
      <c r="C447" s="215"/>
      <c r="D447" s="213"/>
      <c r="E447" s="212"/>
      <c r="F447" s="212"/>
      <c r="G447" s="212"/>
      <c r="H447" s="214"/>
      <c r="I447" s="214"/>
      <c r="J447" s="212"/>
      <c r="K447" s="212"/>
      <c r="L447" s="212"/>
      <c r="M447" s="212"/>
      <c r="N447" s="214"/>
      <c r="O447" s="212"/>
      <c r="P447" s="212"/>
      <c r="Q447" s="212"/>
      <c r="R447" s="214"/>
      <c r="S447" s="212"/>
      <c r="T447" s="212"/>
      <c r="U447" s="212"/>
      <c r="V447" s="212"/>
      <c r="W447" s="213"/>
    </row>
    <row r="448">
      <c r="A448" s="212"/>
      <c r="B448" s="215"/>
      <c r="C448" s="215"/>
      <c r="D448" s="213"/>
      <c r="E448" s="212"/>
      <c r="F448" s="212"/>
      <c r="G448" s="212"/>
      <c r="H448" s="212"/>
      <c r="I448" s="214"/>
      <c r="J448" s="212"/>
      <c r="K448" s="212"/>
      <c r="L448" s="212"/>
      <c r="M448" s="212"/>
      <c r="N448" s="214"/>
      <c r="O448" s="212"/>
      <c r="P448" s="214"/>
      <c r="Q448" s="212"/>
      <c r="R448" s="214"/>
      <c r="S448" s="212"/>
      <c r="T448" s="212"/>
      <c r="U448" s="212"/>
      <c r="V448" s="212"/>
      <c r="W448" s="213"/>
    </row>
    <row r="449">
      <c r="A449" s="212"/>
      <c r="B449" s="215"/>
      <c r="C449" s="215"/>
      <c r="D449" s="213"/>
      <c r="E449" s="212"/>
      <c r="F449" s="212"/>
      <c r="G449" s="212"/>
      <c r="H449" s="212"/>
      <c r="I449" s="214"/>
      <c r="J449" s="212"/>
      <c r="K449" s="212"/>
      <c r="L449" s="212"/>
      <c r="M449" s="212"/>
      <c r="N449" s="214"/>
      <c r="O449" s="212"/>
      <c r="P449" s="212"/>
      <c r="Q449" s="212"/>
      <c r="R449" s="214"/>
      <c r="S449" s="212"/>
      <c r="T449" s="212"/>
      <c r="U449" s="212"/>
      <c r="V449" s="212"/>
      <c r="W449" s="213"/>
    </row>
    <row r="450">
      <c r="A450" s="212"/>
      <c r="B450" s="215"/>
      <c r="C450" s="215"/>
      <c r="D450" s="213"/>
      <c r="E450" s="212"/>
      <c r="F450" s="212"/>
      <c r="G450" s="212"/>
      <c r="H450" s="214"/>
      <c r="I450" s="214"/>
      <c r="J450" s="212"/>
      <c r="K450" s="212"/>
      <c r="L450" s="212"/>
      <c r="M450" s="212"/>
      <c r="N450" s="214"/>
      <c r="O450" s="212"/>
      <c r="P450" s="212"/>
      <c r="Q450" s="212"/>
      <c r="R450" s="214"/>
      <c r="S450" s="212"/>
      <c r="T450" s="212"/>
      <c r="U450" s="212"/>
      <c r="V450" s="212"/>
      <c r="W450" s="213"/>
    </row>
    <row r="451">
      <c r="A451" s="212"/>
      <c r="B451" s="215"/>
      <c r="C451" s="215"/>
      <c r="D451" s="213"/>
      <c r="E451" s="212"/>
      <c r="F451" s="212"/>
      <c r="G451" s="212"/>
      <c r="H451" s="212"/>
      <c r="I451" s="214"/>
      <c r="J451" s="212"/>
      <c r="K451" s="212"/>
      <c r="L451" s="212"/>
      <c r="M451" s="212"/>
      <c r="N451" s="214"/>
      <c r="O451" s="212"/>
      <c r="P451" s="214"/>
      <c r="Q451" s="212"/>
      <c r="R451" s="214"/>
      <c r="S451" s="212"/>
      <c r="T451" s="212"/>
      <c r="U451" s="212"/>
      <c r="V451" s="212"/>
      <c r="W451" s="213"/>
    </row>
    <row r="452">
      <c r="A452" s="212"/>
      <c r="B452" s="215"/>
      <c r="C452" s="215"/>
      <c r="D452" s="213"/>
      <c r="E452" s="212"/>
      <c r="F452" s="212"/>
      <c r="G452" s="212"/>
      <c r="H452" s="212"/>
      <c r="I452" s="214"/>
      <c r="J452" s="212"/>
      <c r="K452" s="212"/>
      <c r="L452" s="212"/>
      <c r="M452" s="214"/>
      <c r="N452" s="214"/>
      <c r="O452" s="212"/>
      <c r="P452" s="212"/>
      <c r="Q452" s="212"/>
      <c r="R452" s="214"/>
      <c r="S452" s="212"/>
      <c r="T452" s="212"/>
      <c r="U452" s="212"/>
      <c r="V452" s="212"/>
      <c r="W452" s="213"/>
    </row>
    <row r="453">
      <c r="A453" s="212"/>
      <c r="B453" s="213"/>
      <c r="C453" s="213"/>
      <c r="D453" s="213"/>
      <c r="E453" s="212"/>
      <c r="F453" s="212"/>
      <c r="G453" s="212"/>
      <c r="H453" s="214"/>
      <c r="I453" s="214"/>
      <c r="J453" s="212"/>
      <c r="K453" s="212"/>
      <c r="L453" s="212"/>
      <c r="M453" s="214"/>
      <c r="N453" s="214"/>
      <c r="O453" s="212"/>
      <c r="P453" s="212"/>
      <c r="Q453" s="214"/>
      <c r="R453" s="214"/>
      <c r="S453" s="212"/>
      <c r="T453" s="212"/>
      <c r="U453" s="212"/>
      <c r="V453" s="212"/>
      <c r="W453" s="213"/>
    </row>
    <row r="454">
      <c r="A454" s="212"/>
      <c r="B454" s="215"/>
      <c r="C454" s="215"/>
      <c r="D454" s="213"/>
      <c r="E454" s="212"/>
      <c r="F454" s="212"/>
      <c r="G454" s="212"/>
      <c r="H454" s="212"/>
      <c r="I454" s="214"/>
      <c r="J454" s="212"/>
      <c r="K454" s="212"/>
      <c r="L454" s="212"/>
      <c r="M454" s="212"/>
      <c r="N454" s="214"/>
      <c r="O454" s="212"/>
      <c r="P454" s="212"/>
      <c r="Q454" s="212"/>
      <c r="R454" s="214"/>
      <c r="S454" s="212"/>
      <c r="T454" s="212"/>
      <c r="U454" s="212"/>
      <c r="V454" s="212"/>
      <c r="W454" s="213"/>
    </row>
    <row r="455">
      <c r="A455" s="212"/>
      <c r="B455" s="215"/>
      <c r="C455" s="215"/>
      <c r="D455" s="213"/>
      <c r="E455" s="212"/>
      <c r="F455" s="212"/>
      <c r="G455" s="212"/>
      <c r="H455" s="212"/>
      <c r="I455" s="214"/>
      <c r="J455" s="212"/>
      <c r="K455" s="212"/>
      <c r="L455" s="212"/>
      <c r="M455" s="212"/>
      <c r="N455" s="214"/>
      <c r="O455" s="212"/>
      <c r="P455" s="212"/>
      <c r="Q455" s="212"/>
      <c r="R455" s="214"/>
      <c r="S455" s="212"/>
      <c r="T455" s="212"/>
      <c r="U455" s="212"/>
      <c r="V455" s="212"/>
      <c r="W455" s="213"/>
    </row>
    <row r="456">
      <c r="A456" s="212"/>
      <c r="B456" s="215"/>
      <c r="C456" s="215"/>
      <c r="D456" s="213"/>
      <c r="E456" s="212"/>
      <c r="F456" s="212"/>
      <c r="G456" s="212"/>
      <c r="H456" s="212"/>
      <c r="I456" s="214"/>
      <c r="J456" s="212"/>
      <c r="K456" s="212"/>
      <c r="L456" s="212"/>
      <c r="M456" s="214"/>
      <c r="N456" s="214"/>
      <c r="O456" s="212"/>
      <c r="P456" s="214"/>
      <c r="Q456" s="214"/>
      <c r="R456" s="214"/>
      <c r="S456" s="212"/>
      <c r="T456" s="212"/>
      <c r="U456" s="212"/>
      <c r="V456" s="212"/>
      <c r="W456" s="213"/>
    </row>
    <row r="457">
      <c r="A457" s="212"/>
      <c r="B457" s="215"/>
      <c r="C457" s="215"/>
      <c r="D457" s="213"/>
      <c r="E457" s="212"/>
      <c r="F457" s="212"/>
      <c r="G457" s="212"/>
      <c r="H457" s="212"/>
      <c r="I457" s="214"/>
      <c r="J457" s="212"/>
      <c r="K457" s="212"/>
      <c r="L457" s="212"/>
      <c r="M457" s="212"/>
      <c r="N457" s="214"/>
      <c r="O457" s="212"/>
      <c r="P457" s="214"/>
      <c r="Q457" s="212"/>
      <c r="R457" s="214"/>
      <c r="S457" s="212"/>
      <c r="T457" s="212"/>
      <c r="U457" s="212"/>
      <c r="V457" s="212"/>
      <c r="W457" s="213"/>
    </row>
    <row r="458">
      <c r="A458" s="212"/>
      <c r="B458" s="215"/>
      <c r="C458" s="215"/>
      <c r="D458" s="213"/>
      <c r="E458" s="212"/>
      <c r="F458" s="212"/>
      <c r="G458" s="212"/>
      <c r="H458" s="212"/>
      <c r="I458" s="214"/>
      <c r="J458" s="212"/>
      <c r="K458" s="212"/>
      <c r="L458" s="212"/>
      <c r="M458" s="212"/>
      <c r="N458" s="214"/>
      <c r="O458" s="212"/>
      <c r="P458" s="212"/>
      <c r="Q458" s="212"/>
      <c r="R458" s="214"/>
      <c r="S458" s="212"/>
      <c r="T458" s="212"/>
      <c r="U458" s="212"/>
      <c r="V458" s="212"/>
      <c r="W458" s="213"/>
    </row>
    <row r="459">
      <c r="A459" s="212"/>
      <c r="B459" s="215"/>
      <c r="C459" s="215"/>
      <c r="D459" s="213"/>
      <c r="E459" s="212"/>
      <c r="F459" s="212"/>
      <c r="G459" s="212"/>
      <c r="H459" s="214"/>
      <c r="I459" s="214"/>
      <c r="J459" s="212"/>
      <c r="K459" s="212"/>
      <c r="L459" s="212"/>
      <c r="M459" s="214"/>
      <c r="N459" s="214"/>
      <c r="O459" s="212"/>
      <c r="P459" s="212"/>
      <c r="Q459" s="214"/>
      <c r="R459" s="214"/>
      <c r="S459" s="212"/>
      <c r="T459" s="212"/>
      <c r="U459" s="212"/>
      <c r="V459" s="212"/>
      <c r="W459" s="213"/>
    </row>
    <row r="460">
      <c r="A460" s="212"/>
      <c r="B460" s="215"/>
      <c r="C460" s="215"/>
      <c r="D460" s="213"/>
      <c r="E460" s="212"/>
      <c r="F460" s="212"/>
      <c r="G460" s="212"/>
      <c r="H460" s="214"/>
      <c r="I460" s="214"/>
      <c r="J460" s="212"/>
      <c r="K460" s="212"/>
      <c r="L460" s="212"/>
      <c r="M460" s="212"/>
      <c r="N460" s="214"/>
      <c r="O460" s="212"/>
      <c r="P460" s="212"/>
      <c r="Q460" s="212"/>
      <c r="R460" s="214"/>
      <c r="S460" s="212"/>
      <c r="T460" s="212"/>
      <c r="U460" s="212"/>
      <c r="V460" s="212"/>
      <c r="W460" s="213"/>
    </row>
    <row r="461">
      <c r="A461" s="212"/>
      <c r="B461" s="215"/>
      <c r="C461" s="215"/>
      <c r="D461" s="213"/>
      <c r="E461" s="212"/>
      <c r="F461" s="212"/>
      <c r="G461" s="212"/>
      <c r="H461" s="214"/>
      <c r="I461" s="214"/>
      <c r="J461" s="212"/>
      <c r="K461" s="212"/>
      <c r="L461" s="212"/>
      <c r="M461" s="214"/>
      <c r="N461" s="214"/>
      <c r="O461" s="212"/>
      <c r="P461" s="212"/>
      <c r="Q461" s="214"/>
      <c r="R461" s="214"/>
      <c r="S461" s="212"/>
      <c r="T461" s="212"/>
      <c r="U461" s="212"/>
      <c r="V461" s="212"/>
      <c r="W461" s="213"/>
    </row>
    <row r="462">
      <c r="A462" s="212"/>
      <c r="B462" s="215"/>
      <c r="C462" s="215"/>
      <c r="D462" s="213"/>
      <c r="E462" s="212"/>
      <c r="F462" s="212"/>
      <c r="G462" s="212"/>
      <c r="H462" s="212"/>
      <c r="I462" s="214"/>
      <c r="J462" s="212"/>
      <c r="K462" s="212"/>
      <c r="L462" s="212"/>
      <c r="M462" s="214"/>
      <c r="N462" s="214"/>
      <c r="O462" s="212"/>
      <c r="P462" s="212"/>
      <c r="Q462" s="214"/>
      <c r="R462" s="214"/>
      <c r="S462" s="212"/>
      <c r="T462" s="212"/>
      <c r="U462" s="212"/>
      <c r="V462" s="212"/>
      <c r="W462" s="213"/>
    </row>
    <row r="463">
      <c r="A463" s="212"/>
      <c r="B463" s="215"/>
      <c r="C463" s="215"/>
      <c r="D463" s="213"/>
      <c r="E463" s="212"/>
      <c r="F463" s="212"/>
      <c r="G463" s="212"/>
      <c r="H463" s="212"/>
      <c r="I463" s="214"/>
      <c r="J463" s="212"/>
      <c r="K463" s="212"/>
      <c r="L463" s="212"/>
      <c r="M463" s="212"/>
      <c r="N463" s="214"/>
      <c r="O463" s="212"/>
      <c r="P463" s="214"/>
      <c r="Q463" s="212"/>
      <c r="R463" s="214"/>
      <c r="S463" s="212"/>
      <c r="T463" s="212"/>
      <c r="U463" s="212"/>
      <c r="V463" s="212"/>
      <c r="W463" s="213"/>
    </row>
    <row r="464">
      <c r="A464" s="212"/>
      <c r="B464" s="215"/>
      <c r="C464" s="215"/>
      <c r="D464" s="213"/>
      <c r="E464" s="212"/>
      <c r="F464" s="212"/>
      <c r="G464" s="212"/>
      <c r="H464" s="212"/>
      <c r="I464" s="214"/>
      <c r="J464" s="212"/>
      <c r="K464" s="212"/>
      <c r="L464" s="212"/>
      <c r="M464" s="212"/>
      <c r="N464" s="214"/>
      <c r="O464" s="212"/>
      <c r="P464" s="212"/>
      <c r="Q464" s="212"/>
      <c r="R464" s="214"/>
      <c r="S464" s="212"/>
      <c r="T464" s="212"/>
      <c r="U464" s="212"/>
      <c r="V464" s="212"/>
      <c r="W464" s="213"/>
    </row>
    <row r="465">
      <c r="A465" s="212"/>
      <c r="B465" s="215"/>
      <c r="C465" s="215"/>
      <c r="D465" s="213"/>
      <c r="E465" s="212"/>
      <c r="F465" s="212"/>
      <c r="G465" s="212"/>
      <c r="H465" s="212"/>
      <c r="I465" s="214"/>
      <c r="J465" s="212"/>
      <c r="K465" s="212"/>
      <c r="L465" s="212"/>
      <c r="M465" s="212"/>
      <c r="N465" s="214"/>
      <c r="O465" s="212"/>
      <c r="P465" s="212"/>
      <c r="Q465" s="212"/>
      <c r="R465" s="214"/>
      <c r="S465" s="212"/>
      <c r="T465" s="212"/>
      <c r="U465" s="212"/>
      <c r="V465" s="212"/>
      <c r="W465" s="213"/>
    </row>
    <row r="466">
      <c r="A466" s="212"/>
      <c r="B466" s="215"/>
      <c r="C466" s="215"/>
      <c r="D466" s="213"/>
      <c r="E466" s="212"/>
      <c r="F466" s="212"/>
      <c r="G466" s="212"/>
      <c r="H466" s="214"/>
      <c r="I466" s="214"/>
      <c r="J466" s="212"/>
      <c r="K466" s="212"/>
      <c r="L466" s="212"/>
      <c r="M466" s="212"/>
      <c r="N466" s="214"/>
      <c r="O466" s="212"/>
      <c r="P466" s="212"/>
      <c r="Q466" s="212"/>
      <c r="R466" s="214"/>
      <c r="S466" s="212"/>
      <c r="T466" s="212"/>
      <c r="U466" s="212"/>
      <c r="V466" s="212"/>
      <c r="W466" s="213"/>
    </row>
    <row r="467">
      <c r="A467" s="212"/>
      <c r="B467" s="215"/>
      <c r="C467" s="215"/>
      <c r="D467" s="213"/>
      <c r="E467" s="212"/>
      <c r="F467" s="212"/>
      <c r="G467" s="212"/>
      <c r="H467" s="212"/>
      <c r="I467" s="214"/>
      <c r="J467" s="212"/>
      <c r="K467" s="212"/>
      <c r="L467" s="212"/>
      <c r="M467" s="212"/>
      <c r="N467" s="214"/>
      <c r="O467" s="212"/>
      <c r="P467" s="212"/>
      <c r="Q467" s="212"/>
      <c r="R467" s="214"/>
      <c r="S467" s="212"/>
      <c r="T467" s="212"/>
      <c r="U467" s="212"/>
      <c r="V467" s="212"/>
      <c r="W467" s="213"/>
    </row>
    <row r="468">
      <c r="A468" s="212"/>
      <c r="B468" s="215"/>
      <c r="C468" s="215"/>
      <c r="D468" s="213"/>
      <c r="E468" s="212"/>
      <c r="F468" s="212"/>
      <c r="G468" s="212"/>
      <c r="H468" s="214"/>
      <c r="I468" s="214"/>
      <c r="J468" s="212"/>
      <c r="K468" s="212"/>
      <c r="L468" s="212"/>
      <c r="M468" s="212"/>
      <c r="N468" s="214"/>
      <c r="O468" s="212"/>
      <c r="P468" s="212"/>
      <c r="Q468" s="212"/>
      <c r="R468" s="214"/>
      <c r="S468" s="212"/>
      <c r="T468" s="212"/>
      <c r="U468" s="212"/>
      <c r="V468" s="212"/>
      <c r="W468" s="213"/>
    </row>
    <row r="469">
      <c r="A469" s="212"/>
      <c r="B469" s="215"/>
      <c r="C469" s="215"/>
      <c r="D469" s="213"/>
      <c r="E469" s="212"/>
      <c r="F469" s="212"/>
      <c r="G469" s="212"/>
      <c r="H469" s="212"/>
      <c r="I469" s="214"/>
      <c r="J469" s="212"/>
      <c r="K469" s="212"/>
      <c r="L469" s="212"/>
      <c r="M469" s="212"/>
      <c r="N469" s="214"/>
      <c r="O469" s="212"/>
      <c r="P469" s="212"/>
      <c r="Q469" s="212"/>
      <c r="R469" s="214"/>
      <c r="S469" s="212"/>
      <c r="T469" s="212"/>
      <c r="U469" s="212"/>
      <c r="V469" s="212"/>
      <c r="W469" s="213"/>
    </row>
    <row r="470">
      <c r="A470" s="212"/>
      <c r="B470" s="215"/>
      <c r="C470" s="215"/>
      <c r="D470" s="213"/>
      <c r="E470" s="212"/>
      <c r="F470" s="212"/>
      <c r="G470" s="212"/>
      <c r="H470" s="212"/>
      <c r="I470" s="214"/>
      <c r="J470" s="212"/>
      <c r="K470" s="212"/>
      <c r="L470" s="212"/>
      <c r="M470" s="212"/>
      <c r="N470" s="214"/>
      <c r="O470" s="212"/>
      <c r="P470" s="212"/>
      <c r="Q470" s="212"/>
      <c r="R470" s="214"/>
      <c r="S470" s="212"/>
      <c r="T470" s="212"/>
      <c r="U470" s="212"/>
      <c r="V470" s="212"/>
      <c r="W470" s="213"/>
    </row>
    <row r="471">
      <c r="A471" s="212"/>
      <c r="B471" s="215"/>
      <c r="C471" s="215"/>
      <c r="D471" s="213"/>
      <c r="E471" s="212"/>
      <c r="F471" s="212"/>
      <c r="G471" s="212"/>
      <c r="H471" s="214"/>
      <c r="I471" s="214"/>
      <c r="J471" s="212"/>
      <c r="K471" s="212"/>
      <c r="L471" s="212"/>
      <c r="M471" s="212"/>
      <c r="N471" s="214"/>
      <c r="O471" s="212"/>
      <c r="P471" s="212"/>
      <c r="Q471" s="212"/>
      <c r="R471" s="214"/>
      <c r="S471" s="212"/>
      <c r="T471" s="212"/>
      <c r="U471" s="212"/>
      <c r="V471" s="212"/>
      <c r="W471" s="213"/>
    </row>
    <row r="472">
      <c r="A472" s="212"/>
      <c r="B472" s="215"/>
      <c r="C472" s="215"/>
      <c r="D472" s="213"/>
      <c r="E472" s="212"/>
      <c r="F472" s="212"/>
      <c r="G472" s="212"/>
      <c r="H472" s="212"/>
      <c r="I472" s="214"/>
      <c r="J472" s="212"/>
      <c r="K472" s="212"/>
      <c r="L472" s="212"/>
      <c r="M472" s="212"/>
      <c r="N472" s="214"/>
      <c r="O472" s="212"/>
      <c r="P472" s="212"/>
      <c r="Q472" s="212"/>
      <c r="R472" s="214"/>
      <c r="S472" s="212"/>
      <c r="T472" s="212"/>
      <c r="U472" s="212"/>
      <c r="V472" s="212"/>
      <c r="W472" s="213"/>
    </row>
    <row r="473">
      <c r="A473" s="212"/>
      <c r="B473" s="215"/>
      <c r="C473" s="215"/>
      <c r="D473" s="213"/>
      <c r="E473" s="212"/>
      <c r="F473" s="212"/>
      <c r="G473" s="212"/>
      <c r="H473" s="214"/>
      <c r="I473" s="214"/>
      <c r="J473" s="212"/>
      <c r="K473" s="212"/>
      <c r="L473" s="212"/>
      <c r="M473" s="212"/>
      <c r="N473" s="214"/>
      <c r="O473" s="212"/>
      <c r="P473" s="214"/>
      <c r="Q473" s="212"/>
      <c r="R473" s="214"/>
      <c r="S473" s="212"/>
      <c r="T473" s="212"/>
      <c r="U473" s="212"/>
      <c r="V473" s="212"/>
      <c r="W473" s="213"/>
    </row>
    <row r="474">
      <c r="A474" s="212"/>
      <c r="B474" s="215"/>
      <c r="C474" s="215"/>
      <c r="D474" s="213"/>
      <c r="E474" s="212"/>
      <c r="F474" s="212"/>
      <c r="G474" s="212"/>
      <c r="H474" s="212"/>
      <c r="I474" s="214"/>
      <c r="J474" s="212"/>
      <c r="K474" s="212"/>
      <c r="L474" s="212"/>
      <c r="M474" s="214"/>
      <c r="N474" s="214"/>
      <c r="O474" s="212"/>
      <c r="P474" s="212"/>
      <c r="Q474" s="214"/>
      <c r="R474" s="214"/>
      <c r="S474" s="212"/>
      <c r="T474" s="212"/>
      <c r="U474" s="212"/>
      <c r="V474" s="212"/>
      <c r="W474" s="213"/>
    </row>
    <row r="475">
      <c r="A475" s="212"/>
      <c r="B475" s="215"/>
      <c r="C475" s="215"/>
      <c r="D475" s="213"/>
      <c r="E475" s="212"/>
      <c r="F475" s="212"/>
      <c r="G475" s="212"/>
      <c r="H475" s="212"/>
      <c r="I475" s="214"/>
      <c r="J475" s="212"/>
      <c r="K475" s="212"/>
      <c r="L475" s="212"/>
      <c r="M475" s="212"/>
      <c r="N475" s="214"/>
      <c r="O475" s="212"/>
      <c r="P475" s="212"/>
      <c r="Q475" s="212"/>
      <c r="R475" s="214"/>
      <c r="S475" s="212"/>
      <c r="T475" s="212"/>
      <c r="U475" s="212"/>
      <c r="V475" s="212"/>
      <c r="W475" s="213"/>
    </row>
    <row r="476">
      <c r="A476" s="212"/>
      <c r="B476" s="215"/>
      <c r="C476" s="215"/>
      <c r="D476" s="213"/>
      <c r="E476" s="212"/>
      <c r="F476" s="212"/>
      <c r="G476" s="212"/>
      <c r="H476" s="212"/>
      <c r="I476" s="214"/>
      <c r="J476" s="212"/>
      <c r="K476" s="212"/>
      <c r="L476" s="212"/>
      <c r="M476" s="212"/>
      <c r="N476" s="214"/>
      <c r="O476" s="212"/>
      <c r="P476" s="212"/>
      <c r="Q476" s="212"/>
      <c r="R476" s="214"/>
      <c r="S476" s="212"/>
      <c r="T476" s="212"/>
      <c r="U476" s="212"/>
      <c r="V476" s="212"/>
      <c r="W476" s="213"/>
    </row>
    <row r="477">
      <c r="A477" s="212"/>
      <c r="B477" s="215"/>
      <c r="C477" s="215"/>
      <c r="D477" s="213"/>
      <c r="E477" s="212"/>
      <c r="F477" s="212"/>
      <c r="G477" s="212"/>
      <c r="H477" s="212"/>
      <c r="I477" s="214"/>
      <c r="J477" s="212"/>
      <c r="K477" s="212"/>
      <c r="L477" s="212"/>
      <c r="M477" s="212"/>
      <c r="N477" s="214"/>
      <c r="O477" s="212"/>
      <c r="P477" s="212"/>
      <c r="Q477" s="212"/>
      <c r="R477" s="214"/>
      <c r="S477" s="212"/>
      <c r="T477" s="212"/>
      <c r="U477" s="212"/>
      <c r="V477" s="212"/>
      <c r="W477" s="213"/>
    </row>
    <row r="478">
      <c r="A478" s="212"/>
      <c r="B478" s="215"/>
      <c r="C478" s="215"/>
      <c r="D478" s="213"/>
      <c r="E478" s="212"/>
      <c r="F478" s="212"/>
      <c r="G478" s="212"/>
      <c r="H478" s="212"/>
      <c r="I478" s="214"/>
      <c r="J478" s="212"/>
      <c r="K478" s="212"/>
      <c r="L478" s="212"/>
      <c r="M478" s="212"/>
      <c r="N478" s="214"/>
      <c r="O478" s="212"/>
      <c r="P478" s="212"/>
      <c r="Q478" s="212"/>
      <c r="R478" s="214"/>
      <c r="S478" s="212"/>
      <c r="T478" s="212"/>
      <c r="U478" s="212"/>
      <c r="V478" s="212"/>
      <c r="W478" s="213"/>
    </row>
    <row r="479">
      <c r="A479" s="212"/>
      <c r="B479" s="215"/>
      <c r="C479" s="215"/>
      <c r="D479" s="213"/>
      <c r="E479" s="212"/>
      <c r="F479" s="212"/>
      <c r="G479" s="212"/>
      <c r="H479" s="214"/>
      <c r="I479" s="214"/>
      <c r="J479" s="212"/>
      <c r="K479" s="212"/>
      <c r="L479" s="212"/>
      <c r="M479" s="212"/>
      <c r="N479" s="214"/>
      <c r="O479" s="212"/>
      <c r="P479" s="212"/>
      <c r="Q479" s="212"/>
      <c r="R479" s="214"/>
      <c r="S479" s="212"/>
      <c r="T479" s="212"/>
      <c r="U479" s="212"/>
      <c r="V479" s="212"/>
      <c r="W479" s="213"/>
    </row>
    <row r="480">
      <c r="A480" s="212"/>
      <c r="B480" s="215"/>
      <c r="C480" s="215"/>
      <c r="D480" s="213"/>
      <c r="E480" s="212"/>
      <c r="F480" s="212"/>
      <c r="G480" s="212"/>
      <c r="H480" s="212"/>
      <c r="I480" s="214"/>
      <c r="J480" s="212"/>
      <c r="K480" s="212"/>
      <c r="L480" s="212"/>
      <c r="M480" s="212"/>
      <c r="N480" s="214"/>
      <c r="O480" s="212"/>
      <c r="P480" s="212"/>
      <c r="Q480" s="212"/>
      <c r="R480" s="214"/>
      <c r="S480" s="212"/>
      <c r="T480" s="212"/>
      <c r="U480" s="212"/>
      <c r="V480" s="212"/>
      <c r="W480" s="213"/>
    </row>
    <row r="481">
      <c r="A481" s="212"/>
      <c r="B481" s="215"/>
      <c r="C481" s="215"/>
      <c r="D481" s="213"/>
      <c r="E481" s="212"/>
      <c r="F481" s="212"/>
      <c r="G481" s="212"/>
      <c r="H481" s="212"/>
      <c r="I481" s="214"/>
      <c r="J481" s="212"/>
      <c r="K481" s="212"/>
      <c r="L481" s="212"/>
      <c r="M481" s="212"/>
      <c r="N481" s="214"/>
      <c r="O481" s="212"/>
      <c r="P481" s="212"/>
      <c r="Q481" s="212"/>
      <c r="R481" s="214"/>
      <c r="S481" s="212"/>
      <c r="T481" s="212"/>
      <c r="U481" s="212"/>
      <c r="V481" s="212"/>
      <c r="W481" s="213"/>
    </row>
    <row r="482">
      <c r="A482" s="212"/>
      <c r="B482" s="215"/>
      <c r="C482" s="215"/>
      <c r="D482" s="213"/>
      <c r="E482" s="212"/>
      <c r="F482" s="212"/>
      <c r="G482" s="212"/>
      <c r="H482" s="214"/>
      <c r="I482" s="214"/>
      <c r="J482" s="212"/>
      <c r="K482" s="212"/>
      <c r="L482" s="212"/>
      <c r="M482" s="212"/>
      <c r="N482" s="214"/>
      <c r="O482" s="212"/>
      <c r="P482" s="212"/>
      <c r="Q482" s="212"/>
      <c r="R482" s="214"/>
      <c r="S482" s="212"/>
      <c r="T482" s="212"/>
      <c r="U482" s="212"/>
      <c r="V482" s="212"/>
      <c r="W482" s="213"/>
    </row>
    <row r="483">
      <c r="A483" s="212"/>
      <c r="B483" s="215"/>
      <c r="C483" s="215"/>
      <c r="D483" s="213"/>
      <c r="E483" s="212"/>
      <c r="F483" s="212"/>
      <c r="G483" s="212"/>
      <c r="H483" s="214"/>
      <c r="I483" s="214"/>
      <c r="J483" s="212"/>
      <c r="K483" s="212"/>
      <c r="L483" s="212"/>
      <c r="M483" s="212"/>
      <c r="N483" s="214"/>
      <c r="O483" s="212"/>
      <c r="P483" s="212"/>
      <c r="Q483" s="212"/>
      <c r="R483" s="214"/>
      <c r="S483" s="212"/>
      <c r="T483" s="212"/>
      <c r="U483" s="212"/>
      <c r="V483" s="212"/>
      <c r="W483" s="213"/>
    </row>
    <row r="484">
      <c r="A484" s="212"/>
      <c r="B484" s="215"/>
      <c r="C484" s="215"/>
      <c r="D484" s="213"/>
      <c r="E484" s="212"/>
      <c r="F484" s="212"/>
      <c r="G484" s="212"/>
      <c r="H484" s="212"/>
      <c r="I484" s="214"/>
      <c r="J484" s="212"/>
      <c r="K484" s="212"/>
      <c r="L484" s="212"/>
      <c r="M484" s="214"/>
      <c r="N484" s="214"/>
      <c r="O484" s="212"/>
      <c r="P484" s="212"/>
      <c r="Q484" s="214"/>
      <c r="R484" s="214"/>
      <c r="S484" s="212"/>
      <c r="T484" s="212"/>
      <c r="U484" s="212"/>
      <c r="V484" s="212"/>
      <c r="W484" s="213"/>
    </row>
    <row r="485">
      <c r="A485" s="212"/>
      <c r="B485" s="215"/>
      <c r="C485" s="215"/>
      <c r="D485" s="213"/>
      <c r="E485" s="212"/>
      <c r="F485" s="212"/>
      <c r="G485" s="212"/>
      <c r="H485" s="214"/>
      <c r="I485" s="214"/>
      <c r="J485" s="212"/>
      <c r="K485" s="212"/>
      <c r="L485" s="212"/>
      <c r="M485" s="212"/>
      <c r="N485" s="214"/>
      <c r="O485" s="212"/>
      <c r="P485" s="214"/>
      <c r="Q485" s="212"/>
      <c r="R485" s="214"/>
      <c r="S485" s="212"/>
      <c r="T485" s="212"/>
      <c r="U485" s="212"/>
      <c r="V485" s="212"/>
      <c r="W485" s="213"/>
    </row>
    <row r="486">
      <c r="A486" s="212"/>
      <c r="B486" s="215"/>
      <c r="C486" s="215"/>
      <c r="D486" s="213"/>
      <c r="E486" s="212"/>
      <c r="F486" s="212"/>
      <c r="G486" s="212"/>
      <c r="H486" s="214"/>
      <c r="I486" s="214"/>
      <c r="J486" s="212"/>
      <c r="K486" s="212"/>
      <c r="L486" s="212"/>
      <c r="M486" s="212"/>
      <c r="N486" s="214"/>
      <c r="O486" s="212"/>
      <c r="P486" s="212"/>
      <c r="Q486" s="212"/>
      <c r="R486" s="214"/>
      <c r="S486" s="212"/>
      <c r="T486" s="212"/>
      <c r="U486" s="212"/>
      <c r="V486" s="212"/>
      <c r="W486" s="213"/>
    </row>
    <row r="487">
      <c r="A487" s="212"/>
      <c r="B487" s="213"/>
      <c r="C487" s="213"/>
      <c r="D487" s="213"/>
      <c r="E487" s="212"/>
      <c r="F487" s="212"/>
      <c r="G487" s="212"/>
      <c r="H487" s="212"/>
      <c r="I487" s="214"/>
      <c r="J487" s="212"/>
      <c r="K487" s="212"/>
      <c r="L487" s="212"/>
      <c r="M487" s="212"/>
      <c r="N487" s="214"/>
      <c r="O487" s="212"/>
      <c r="P487" s="212"/>
      <c r="Q487" s="212"/>
      <c r="R487" s="214"/>
      <c r="S487" s="212"/>
      <c r="T487" s="212"/>
      <c r="U487" s="212"/>
      <c r="V487" s="212"/>
      <c r="W487" s="213"/>
    </row>
    <row r="488">
      <c r="A488" s="212"/>
      <c r="B488" s="215"/>
      <c r="C488" s="215"/>
      <c r="D488" s="213"/>
      <c r="E488" s="212"/>
      <c r="F488" s="212"/>
      <c r="G488" s="212"/>
      <c r="H488" s="214"/>
      <c r="I488" s="214"/>
      <c r="J488" s="212"/>
      <c r="K488" s="212"/>
      <c r="L488" s="212"/>
      <c r="M488" s="212"/>
      <c r="N488" s="214"/>
      <c r="O488" s="212"/>
      <c r="P488" s="212"/>
      <c r="Q488" s="212"/>
      <c r="R488" s="214"/>
      <c r="S488" s="212"/>
      <c r="T488" s="212"/>
      <c r="U488" s="212"/>
      <c r="V488" s="212"/>
      <c r="W488" s="213"/>
    </row>
    <row r="489">
      <c r="A489" s="212"/>
      <c r="B489" s="215"/>
      <c r="C489" s="215"/>
      <c r="D489" s="213"/>
      <c r="E489" s="212"/>
      <c r="F489" s="212"/>
      <c r="G489" s="212"/>
      <c r="H489" s="212"/>
      <c r="I489" s="214"/>
      <c r="J489" s="212"/>
      <c r="K489" s="212"/>
      <c r="L489" s="212"/>
      <c r="M489" s="212"/>
      <c r="N489" s="214"/>
      <c r="O489" s="212"/>
      <c r="P489" s="212"/>
      <c r="Q489" s="212"/>
      <c r="R489" s="214"/>
      <c r="S489" s="212"/>
      <c r="T489" s="212"/>
      <c r="U489" s="212"/>
      <c r="V489" s="212"/>
      <c r="W489" s="213"/>
    </row>
    <row r="490">
      <c r="A490" s="212"/>
      <c r="B490" s="215"/>
      <c r="C490" s="215"/>
      <c r="D490" s="213"/>
      <c r="E490" s="212"/>
      <c r="F490" s="212"/>
      <c r="G490" s="212"/>
      <c r="H490" s="212"/>
      <c r="I490" s="214"/>
      <c r="J490" s="212"/>
      <c r="K490" s="212"/>
      <c r="L490" s="212"/>
      <c r="M490" s="212"/>
      <c r="N490" s="214"/>
      <c r="O490" s="212"/>
      <c r="P490" s="212"/>
      <c r="Q490" s="212"/>
      <c r="R490" s="214"/>
      <c r="S490" s="212"/>
      <c r="T490" s="212"/>
      <c r="U490" s="212"/>
      <c r="V490" s="212"/>
      <c r="W490" s="213"/>
    </row>
    <row r="491">
      <c r="A491" s="212"/>
      <c r="B491" s="215"/>
      <c r="C491" s="215"/>
      <c r="D491" s="213"/>
      <c r="E491" s="212"/>
      <c r="F491" s="212"/>
      <c r="G491" s="212"/>
      <c r="H491" s="212"/>
      <c r="I491" s="214"/>
      <c r="J491" s="212"/>
      <c r="K491" s="212"/>
      <c r="L491" s="212"/>
      <c r="M491" s="212"/>
      <c r="N491" s="214"/>
      <c r="O491" s="212"/>
      <c r="P491" s="212"/>
      <c r="Q491" s="212"/>
      <c r="R491" s="214"/>
      <c r="S491" s="212"/>
      <c r="T491" s="212"/>
      <c r="U491" s="212"/>
      <c r="V491" s="212"/>
      <c r="W491" s="213"/>
    </row>
    <row r="492">
      <c r="A492" s="212"/>
      <c r="B492" s="213"/>
      <c r="C492" s="213"/>
      <c r="D492" s="213"/>
      <c r="E492" s="212"/>
      <c r="F492" s="212"/>
      <c r="G492" s="212"/>
      <c r="H492" s="214"/>
      <c r="I492" s="214"/>
      <c r="J492" s="212"/>
      <c r="K492" s="212"/>
      <c r="L492" s="212"/>
      <c r="M492" s="212"/>
      <c r="N492" s="214"/>
      <c r="O492" s="212"/>
      <c r="P492" s="214"/>
      <c r="Q492" s="212"/>
      <c r="R492" s="214"/>
      <c r="S492" s="212"/>
      <c r="T492" s="212"/>
      <c r="U492" s="212"/>
      <c r="V492" s="212"/>
      <c r="W492" s="213"/>
    </row>
    <row r="493">
      <c r="A493" s="212"/>
      <c r="B493" s="215"/>
      <c r="C493" s="215"/>
      <c r="D493" s="213"/>
      <c r="E493" s="212"/>
      <c r="F493" s="212"/>
      <c r="G493" s="212"/>
      <c r="H493" s="214"/>
      <c r="I493" s="214"/>
      <c r="J493" s="212"/>
      <c r="K493" s="212"/>
      <c r="L493" s="212"/>
      <c r="M493" s="212"/>
      <c r="N493" s="214"/>
      <c r="O493" s="212"/>
      <c r="P493" s="214"/>
      <c r="Q493" s="212"/>
      <c r="R493" s="214"/>
      <c r="S493" s="212"/>
      <c r="T493" s="212"/>
      <c r="U493" s="212"/>
      <c r="V493" s="212"/>
      <c r="W493" s="213"/>
    </row>
    <row r="494">
      <c r="A494" s="212"/>
      <c r="B494" s="215"/>
      <c r="C494" s="215"/>
      <c r="D494" s="213"/>
      <c r="E494" s="212"/>
      <c r="F494" s="212"/>
      <c r="G494" s="212"/>
      <c r="H494" s="212"/>
      <c r="I494" s="214"/>
      <c r="J494" s="212"/>
      <c r="K494" s="212"/>
      <c r="L494" s="212"/>
      <c r="M494" s="212"/>
      <c r="N494" s="214"/>
      <c r="O494" s="212"/>
      <c r="P494" s="212"/>
      <c r="Q494" s="212"/>
      <c r="R494" s="214"/>
      <c r="S494" s="212"/>
      <c r="T494" s="212"/>
      <c r="U494" s="212"/>
      <c r="V494" s="212"/>
      <c r="W494" s="213"/>
    </row>
    <row r="495">
      <c r="A495" s="212"/>
      <c r="B495" s="215"/>
      <c r="C495" s="215"/>
      <c r="D495" s="213"/>
      <c r="E495" s="212"/>
      <c r="F495" s="212"/>
      <c r="G495" s="212"/>
      <c r="H495" s="214"/>
      <c r="I495" s="214"/>
      <c r="J495" s="212"/>
      <c r="K495" s="212"/>
      <c r="L495" s="212"/>
      <c r="M495" s="212"/>
      <c r="N495" s="214"/>
      <c r="O495" s="212"/>
      <c r="P495" s="212"/>
      <c r="Q495" s="212"/>
      <c r="R495" s="214"/>
      <c r="S495" s="212"/>
      <c r="T495" s="212"/>
      <c r="U495" s="212"/>
      <c r="V495" s="212"/>
      <c r="W495" s="213"/>
    </row>
    <row r="496">
      <c r="A496" s="212"/>
      <c r="B496" s="215"/>
      <c r="C496" s="215"/>
      <c r="D496" s="213"/>
      <c r="E496" s="212"/>
      <c r="F496" s="212"/>
      <c r="G496" s="212"/>
      <c r="H496" s="214"/>
      <c r="I496" s="214"/>
      <c r="J496" s="212"/>
      <c r="K496" s="212"/>
      <c r="L496" s="212"/>
      <c r="M496" s="212"/>
      <c r="N496" s="214"/>
      <c r="O496" s="212"/>
      <c r="P496" s="212"/>
      <c r="Q496" s="212"/>
      <c r="R496" s="214"/>
      <c r="S496" s="212"/>
      <c r="T496" s="212"/>
      <c r="U496" s="212"/>
      <c r="V496" s="212"/>
      <c r="W496" s="213"/>
    </row>
    <row r="497">
      <c r="A497" s="212"/>
      <c r="B497" s="215"/>
      <c r="C497" s="215"/>
      <c r="D497" s="213"/>
      <c r="E497" s="212"/>
      <c r="F497" s="212"/>
      <c r="G497" s="212"/>
      <c r="H497" s="212"/>
      <c r="I497" s="214"/>
      <c r="J497" s="212"/>
      <c r="K497" s="212"/>
      <c r="L497" s="212"/>
      <c r="M497" s="212"/>
      <c r="N497" s="212"/>
      <c r="O497" s="212"/>
      <c r="P497" s="212"/>
      <c r="Q497" s="212"/>
      <c r="R497" s="214"/>
      <c r="S497" s="212"/>
      <c r="T497" s="212"/>
      <c r="U497" s="212"/>
      <c r="V497" s="212"/>
      <c r="W497" s="213"/>
    </row>
    <row r="498">
      <c r="A498" s="212"/>
      <c r="B498" s="215"/>
      <c r="C498" s="215"/>
      <c r="D498" s="213"/>
      <c r="E498" s="212"/>
      <c r="F498" s="212"/>
      <c r="G498" s="212"/>
      <c r="H498" s="214"/>
      <c r="I498" s="214"/>
      <c r="J498" s="212"/>
      <c r="K498" s="212"/>
      <c r="L498" s="212"/>
      <c r="M498" s="212"/>
      <c r="N498" s="214"/>
      <c r="O498" s="212"/>
      <c r="P498" s="212"/>
      <c r="Q498" s="212"/>
      <c r="R498" s="214"/>
      <c r="S498" s="212"/>
      <c r="T498" s="212"/>
      <c r="U498" s="212"/>
      <c r="V498" s="212"/>
      <c r="W498" s="213"/>
    </row>
    <row r="499">
      <c r="A499" s="212"/>
      <c r="B499" s="215"/>
      <c r="C499" s="215"/>
      <c r="D499" s="213"/>
      <c r="E499" s="212"/>
      <c r="F499" s="212"/>
      <c r="G499" s="212"/>
      <c r="H499" s="212"/>
      <c r="I499" s="214"/>
      <c r="J499" s="212"/>
      <c r="K499" s="212"/>
      <c r="L499" s="212"/>
      <c r="M499" s="212"/>
      <c r="N499" s="214"/>
      <c r="O499" s="212"/>
      <c r="P499" s="212"/>
      <c r="Q499" s="212"/>
      <c r="R499" s="214"/>
      <c r="S499" s="212"/>
      <c r="T499" s="212"/>
      <c r="U499" s="212"/>
      <c r="V499" s="212"/>
      <c r="W499" s="213"/>
    </row>
    <row r="500">
      <c r="A500" s="212"/>
      <c r="B500" s="215"/>
      <c r="C500" s="215"/>
      <c r="D500" s="213"/>
      <c r="E500" s="212"/>
      <c r="F500" s="212"/>
      <c r="G500" s="212"/>
      <c r="H500" s="212"/>
      <c r="I500" s="214"/>
      <c r="J500" s="212"/>
      <c r="K500" s="212"/>
      <c r="L500" s="212"/>
      <c r="M500" s="212"/>
      <c r="N500" s="214"/>
      <c r="O500" s="212"/>
      <c r="P500" s="214"/>
      <c r="Q500" s="212"/>
      <c r="R500" s="214"/>
      <c r="S500" s="212"/>
      <c r="T500" s="212"/>
      <c r="U500" s="212"/>
      <c r="V500" s="212"/>
      <c r="W500" s="213"/>
    </row>
    <row r="501">
      <c r="A501" s="212"/>
      <c r="B501" s="215"/>
      <c r="C501" s="215"/>
      <c r="D501" s="213"/>
      <c r="E501" s="212"/>
      <c r="F501" s="212"/>
      <c r="G501" s="212"/>
      <c r="H501" s="212"/>
      <c r="I501" s="214"/>
      <c r="J501" s="212"/>
      <c r="K501" s="212"/>
      <c r="L501" s="212"/>
      <c r="M501" s="212"/>
      <c r="N501" s="214"/>
      <c r="O501" s="212"/>
      <c r="P501" s="212"/>
      <c r="Q501" s="212"/>
      <c r="R501" s="214"/>
      <c r="S501" s="212"/>
      <c r="T501" s="212"/>
      <c r="U501" s="212"/>
      <c r="V501" s="212"/>
      <c r="W501" s="213"/>
    </row>
    <row r="502">
      <c r="A502" s="212"/>
      <c r="B502" s="215"/>
      <c r="C502" s="215"/>
      <c r="D502" s="213"/>
      <c r="E502" s="212"/>
      <c r="F502" s="212"/>
      <c r="G502" s="212"/>
      <c r="H502" s="212"/>
      <c r="I502" s="214"/>
      <c r="J502" s="212"/>
      <c r="K502" s="212"/>
      <c r="L502" s="212"/>
      <c r="M502" s="212"/>
      <c r="N502" s="214"/>
      <c r="O502" s="212"/>
      <c r="P502" s="212"/>
      <c r="Q502" s="212"/>
      <c r="R502" s="214"/>
      <c r="S502" s="212"/>
      <c r="T502" s="212"/>
      <c r="U502" s="212"/>
      <c r="V502" s="212"/>
      <c r="W502" s="213"/>
    </row>
    <row r="503">
      <c r="A503" s="212"/>
      <c r="B503" s="215"/>
      <c r="C503" s="215"/>
      <c r="D503" s="213"/>
      <c r="E503" s="212"/>
      <c r="F503" s="212"/>
      <c r="G503" s="212"/>
      <c r="H503" s="214"/>
      <c r="I503" s="214"/>
      <c r="J503" s="212"/>
      <c r="K503" s="212"/>
      <c r="L503" s="212"/>
      <c r="M503" s="214"/>
      <c r="N503" s="214"/>
      <c r="O503" s="212"/>
      <c r="P503" s="212"/>
      <c r="Q503" s="214"/>
      <c r="R503" s="214"/>
      <c r="S503" s="212"/>
      <c r="T503" s="212"/>
      <c r="U503" s="212"/>
      <c r="V503" s="212"/>
      <c r="W503" s="213"/>
    </row>
    <row r="504">
      <c r="A504" s="212"/>
      <c r="B504" s="215"/>
      <c r="C504" s="215"/>
      <c r="D504" s="213"/>
      <c r="E504" s="212"/>
      <c r="F504" s="212"/>
      <c r="G504" s="212"/>
      <c r="H504" s="214"/>
      <c r="I504" s="214"/>
      <c r="J504" s="212"/>
      <c r="K504" s="212"/>
      <c r="L504" s="212"/>
      <c r="M504" s="212"/>
      <c r="N504" s="214"/>
      <c r="O504" s="212"/>
      <c r="P504" s="212"/>
      <c r="Q504" s="212"/>
      <c r="R504" s="214"/>
      <c r="S504" s="212"/>
      <c r="T504" s="212"/>
      <c r="U504" s="212"/>
      <c r="V504" s="212"/>
      <c r="W504" s="213"/>
    </row>
    <row r="505">
      <c r="A505" s="212"/>
      <c r="B505" s="215"/>
      <c r="C505" s="215"/>
      <c r="D505" s="213"/>
      <c r="E505" s="212"/>
      <c r="F505" s="212"/>
      <c r="G505" s="212"/>
      <c r="H505" s="212"/>
      <c r="I505" s="214"/>
      <c r="J505" s="212"/>
      <c r="K505" s="212"/>
      <c r="L505" s="212"/>
      <c r="M505" s="214"/>
      <c r="N505" s="214"/>
      <c r="O505" s="212"/>
      <c r="P505" s="214"/>
      <c r="Q505" s="214"/>
      <c r="R505" s="214"/>
      <c r="S505" s="212"/>
      <c r="T505" s="212"/>
      <c r="U505" s="212"/>
      <c r="V505" s="212"/>
      <c r="W505" s="213"/>
    </row>
    <row r="506">
      <c r="A506" s="212"/>
      <c r="B506" s="215"/>
      <c r="C506" s="215"/>
      <c r="D506" s="213"/>
      <c r="E506" s="212"/>
      <c r="F506" s="212"/>
      <c r="G506" s="212"/>
      <c r="H506" s="212"/>
      <c r="I506" s="214"/>
      <c r="J506" s="212"/>
      <c r="K506" s="212"/>
      <c r="L506" s="212"/>
      <c r="M506" s="212"/>
      <c r="N506" s="214"/>
      <c r="O506" s="212"/>
      <c r="P506" s="212"/>
      <c r="Q506" s="212"/>
      <c r="R506" s="214"/>
      <c r="S506" s="212"/>
      <c r="T506" s="212"/>
      <c r="U506" s="212"/>
      <c r="V506" s="212"/>
      <c r="W506" s="213"/>
    </row>
    <row r="507">
      <c r="A507" s="212"/>
      <c r="B507" s="215"/>
      <c r="C507" s="215"/>
      <c r="D507" s="213"/>
      <c r="E507" s="212"/>
      <c r="F507" s="212"/>
      <c r="G507" s="212"/>
      <c r="H507" s="214"/>
      <c r="I507" s="214"/>
      <c r="J507" s="212"/>
      <c r="K507" s="212"/>
      <c r="L507" s="212"/>
      <c r="M507" s="214"/>
      <c r="N507" s="214"/>
      <c r="O507" s="212"/>
      <c r="P507" s="212"/>
      <c r="Q507" s="214"/>
      <c r="R507" s="214"/>
      <c r="S507" s="212"/>
      <c r="T507" s="212"/>
      <c r="U507" s="212"/>
      <c r="V507" s="212"/>
      <c r="W507" s="213"/>
    </row>
    <row r="508">
      <c r="A508" s="212"/>
      <c r="B508" s="215"/>
      <c r="C508" s="215"/>
      <c r="D508" s="213"/>
      <c r="E508" s="212"/>
      <c r="F508" s="212"/>
      <c r="G508" s="212"/>
      <c r="H508" s="214"/>
      <c r="I508" s="214"/>
      <c r="J508" s="212"/>
      <c r="K508" s="212"/>
      <c r="L508" s="212"/>
      <c r="M508" s="212"/>
      <c r="N508" s="214"/>
      <c r="O508" s="212"/>
      <c r="P508" s="212"/>
      <c r="Q508" s="212"/>
      <c r="R508" s="214"/>
      <c r="S508" s="212"/>
      <c r="T508" s="212"/>
      <c r="U508" s="212"/>
      <c r="V508" s="212"/>
      <c r="W508" s="213"/>
    </row>
    <row r="509">
      <c r="A509" s="212"/>
      <c r="B509" s="215"/>
      <c r="C509" s="215"/>
      <c r="D509" s="213"/>
      <c r="E509" s="212"/>
      <c r="F509" s="212"/>
      <c r="G509" s="212"/>
      <c r="H509" s="212"/>
      <c r="I509" s="214"/>
      <c r="J509" s="212"/>
      <c r="K509" s="212"/>
      <c r="L509" s="212"/>
      <c r="M509" s="214"/>
      <c r="N509" s="214"/>
      <c r="O509" s="212"/>
      <c r="P509" s="214"/>
      <c r="Q509" s="214"/>
      <c r="R509" s="214"/>
      <c r="S509" s="212"/>
      <c r="T509" s="212"/>
      <c r="U509" s="212"/>
      <c r="V509" s="212"/>
      <c r="W509" s="213"/>
    </row>
    <row r="510">
      <c r="A510" s="212"/>
      <c r="B510" s="215"/>
      <c r="C510" s="215"/>
      <c r="D510" s="213"/>
      <c r="E510" s="212"/>
      <c r="F510" s="212"/>
      <c r="G510" s="212"/>
      <c r="H510" s="214"/>
      <c r="I510" s="214"/>
      <c r="J510" s="212"/>
      <c r="K510" s="212"/>
      <c r="L510" s="212"/>
      <c r="M510" s="212"/>
      <c r="N510" s="214"/>
      <c r="O510" s="212"/>
      <c r="P510" s="212"/>
      <c r="Q510" s="212"/>
      <c r="R510" s="214"/>
      <c r="S510" s="212"/>
      <c r="T510" s="212"/>
      <c r="U510" s="212"/>
      <c r="V510" s="212"/>
      <c r="W510" s="213"/>
    </row>
    <row r="511">
      <c r="A511" s="212"/>
      <c r="B511" s="215"/>
      <c r="C511" s="215"/>
      <c r="D511" s="213"/>
      <c r="E511" s="212"/>
      <c r="F511" s="212"/>
      <c r="G511" s="212"/>
      <c r="H511" s="214"/>
      <c r="I511" s="214"/>
      <c r="J511" s="212"/>
      <c r="K511" s="212"/>
      <c r="L511" s="212"/>
      <c r="M511" s="212"/>
      <c r="N511" s="214"/>
      <c r="O511" s="212"/>
      <c r="P511" s="212"/>
      <c r="Q511" s="212"/>
      <c r="R511" s="214"/>
      <c r="S511" s="212"/>
      <c r="T511" s="212"/>
      <c r="U511" s="212"/>
      <c r="V511" s="212"/>
      <c r="W511" s="213"/>
    </row>
    <row r="512">
      <c r="A512" s="212"/>
      <c r="B512" s="215"/>
      <c r="C512" s="215"/>
      <c r="D512" s="213"/>
      <c r="E512" s="212"/>
      <c r="F512" s="212"/>
      <c r="G512" s="212"/>
      <c r="H512" s="212"/>
      <c r="I512" s="214"/>
      <c r="J512" s="212"/>
      <c r="K512" s="212"/>
      <c r="L512" s="212"/>
      <c r="M512" s="214"/>
      <c r="N512" s="212"/>
      <c r="O512" s="212"/>
      <c r="P512" s="212"/>
      <c r="Q512" s="212"/>
      <c r="R512" s="214"/>
      <c r="S512" s="212"/>
      <c r="T512" s="212"/>
      <c r="U512" s="212"/>
      <c r="V512" s="212"/>
      <c r="W512" s="213"/>
    </row>
    <row r="513">
      <c r="A513" s="212"/>
      <c r="B513" s="215"/>
      <c r="C513" s="215"/>
      <c r="D513" s="213"/>
      <c r="E513" s="212"/>
      <c r="F513" s="212"/>
      <c r="G513" s="212"/>
      <c r="H513" s="214"/>
      <c r="I513" s="214"/>
      <c r="J513" s="212"/>
      <c r="K513" s="212"/>
      <c r="L513" s="212"/>
      <c r="M513" s="212"/>
      <c r="N513" s="214"/>
      <c r="O513" s="212"/>
      <c r="P513" s="212"/>
      <c r="Q513" s="212"/>
      <c r="R513" s="214"/>
      <c r="S513" s="212"/>
      <c r="T513" s="212"/>
      <c r="U513" s="212"/>
      <c r="V513" s="212"/>
      <c r="W513" s="213"/>
    </row>
    <row r="514">
      <c r="A514" s="212"/>
      <c r="B514" s="215"/>
      <c r="C514" s="215"/>
      <c r="D514" s="213"/>
      <c r="E514" s="212"/>
      <c r="F514" s="212"/>
      <c r="G514" s="212"/>
      <c r="H514" s="212"/>
      <c r="I514" s="214"/>
      <c r="J514" s="212"/>
      <c r="K514" s="212"/>
      <c r="L514" s="212"/>
      <c r="M514" s="212"/>
      <c r="N514" s="214"/>
      <c r="O514" s="212"/>
      <c r="P514" s="212"/>
      <c r="Q514" s="212"/>
      <c r="R514" s="214"/>
      <c r="S514" s="212"/>
      <c r="T514" s="212"/>
      <c r="U514" s="212"/>
      <c r="V514" s="212"/>
      <c r="W514" s="213"/>
    </row>
    <row r="515">
      <c r="A515" s="212"/>
      <c r="B515" s="215"/>
      <c r="C515" s="215"/>
      <c r="D515" s="213"/>
      <c r="E515" s="212"/>
      <c r="F515" s="212"/>
      <c r="G515" s="212"/>
      <c r="H515" s="214"/>
      <c r="I515" s="214"/>
      <c r="J515" s="212"/>
      <c r="K515" s="212"/>
      <c r="L515" s="212"/>
      <c r="M515" s="212"/>
      <c r="N515" s="214"/>
      <c r="O515" s="212"/>
      <c r="P515" s="212"/>
      <c r="Q515" s="212"/>
      <c r="R515" s="214"/>
      <c r="S515" s="212"/>
      <c r="T515" s="212"/>
      <c r="U515" s="212"/>
      <c r="V515" s="212"/>
      <c r="W515" s="213"/>
    </row>
    <row r="516">
      <c r="A516" s="212"/>
      <c r="B516" s="215"/>
      <c r="C516" s="215"/>
      <c r="D516" s="213"/>
      <c r="E516" s="212"/>
      <c r="F516" s="212"/>
      <c r="G516" s="212"/>
      <c r="H516" s="212"/>
      <c r="I516" s="214"/>
      <c r="J516" s="212"/>
      <c r="K516" s="212"/>
      <c r="L516" s="212"/>
      <c r="M516" s="212"/>
      <c r="N516" s="212"/>
      <c r="O516" s="212"/>
      <c r="P516" s="212"/>
      <c r="Q516" s="214"/>
      <c r="R516" s="214"/>
      <c r="S516" s="212"/>
      <c r="T516" s="212"/>
      <c r="U516" s="212"/>
      <c r="V516" s="212"/>
      <c r="W516" s="213"/>
    </row>
    <row r="517">
      <c r="A517" s="212"/>
      <c r="B517" s="215"/>
      <c r="C517" s="215"/>
      <c r="D517" s="213"/>
      <c r="E517" s="212"/>
      <c r="F517" s="212"/>
      <c r="G517" s="212"/>
      <c r="H517" s="214"/>
      <c r="I517" s="214"/>
      <c r="J517" s="212"/>
      <c r="K517" s="212"/>
      <c r="L517" s="212"/>
      <c r="M517" s="212"/>
      <c r="N517" s="214"/>
      <c r="O517" s="212"/>
      <c r="P517" s="214"/>
      <c r="Q517" s="212"/>
      <c r="R517" s="214"/>
      <c r="S517" s="212"/>
      <c r="T517" s="212"/>
      <c r="U517" s="212"/>
      <c r="V517" s="212"/>
      <c r="W517" s="213"/>
    </row>
    <row r="518">
      <c r="A518" s="212"/>
      <c r="B518" s="215"/>
      <c r="C518" s="215"/>
      <c r="D518" s="213"/>
      <c r="E518" s="212"/>
      <c r="F518" s="212"/>
      <c r="G518" s="212"/>
      <c r="H518" s="214"/>
      <c r="I518" s="214"/>
      <c r="J518" s="212"/>
      <c r="K518" s="212"/>
      <c r="L518" s="212"/>
      <c r="M518" s="214"/>
      <c r="N518" s="214"/>
      <c r="O518" s="212"/>
      <c r="P518" s="214"/>
      <c r="Q518" s="214"/>
      <c r="R518" s="214"/>
      <c r="S518" s="212"/>
      <c r="T518" s="212"/>
      <c r="U518" s="212"/>
      <c r="V518" s="212"/>
      <c r="W518" s="213"/>
    </row>
    <row r="519">
      <c r="A519" s="212"/>
      <c r="B519" s="215"/>
      <c r="C519" s="215"/>
      <c r="D519" s="213"/>
      <c r="E519" s="212"/>
      <c r="F519" s="212"/>
      <c r="G519" s="212"/>
      <c r="H519" s="212"/>
      <c r="I519" s="214"/>
      <c r="J519" s="212"/>
      <c r="K519" s="212"/>
      <c r="L519" s="212"/>
      <c r="M519" s="212"/>
      <c r="N519" s="214"/>
      <c r="O519" s="212"/>
      <c r="P519" s="212"/>
      <c r="Q519" s="212"/>
      <c r="R519" s="214"/>
      <c r="S519" s="212"/>
      <c r="T519" s="212"/>
      <c r="U519" s="212"/>
      <c r="V519" s="212"/>
      <c r="W519" s="213"/>
    </row>
    <row r="520">
      <c r="A520" s="212"/>
      <c r="B520" s="215"/>
      <c r="C520" s="215"/>
      <c r="D520" s="213"/>
      <c r="E520" s="212"/>
      <c r="F520" s="212"/>
      <c r="G520" s="212"/>
      <c r="H520" s="214"/>
      <c r="I520" s="214"/>
      <c r="J520" s="212"/>
      <c r="K520" s="212"/>
      <c r="L520" s="212"/>
      <c r="M520" s="212"/>
      <c r="N520" s="212"/>
      <c r="O520" s="212"/>
      <c r="P520" s="212"/>
      <c r="Q520" s="212"/>
      <c r="R520" s="214"/>
      <c r="S520" s="212"/>
      <c r="T520" s="212"/>
      <c r="U520" s="212"/>
      <c r="V520" s="212"/>
      <c r="W520" s="213"/>
    </row>
    <row r="521">
      <c r="A521" s="212"/>
      <c r="B521" s="215"/>
      <c r="C521" s="215"/>
      <c r="D521" s="213"/>
      <c r="E521" s="212"/>
      <c r="F521" s="212"/>
      <c r="G521" s="212"/>
      <c r="H521" s="212"/>
      <c r="I521" s="214"/>
      <c r="J521" s="212"/>
      <c r="K521" s="212"/>
      <c r="L521" s="212"/>
      <c r="M521" s="214"/>
      <c r="N521" s="214"/>
      <c r="O521" s="212"/>
      <c r="P521" s="214"/>
      <c r="Q521" s="214"/>
      <c r="R521" s="214"/>
      <c r="S521" s="212"/>
      <c r="T521" s="212"/>
      <c r="U521" s="212"/>
      <c r="V521" s="212"/>
      <c r="W521" s="213"/>
    </row>
    <row r="522">
      <c r="A522" s="212"/>
      <c r="B522" s="215"/>
      <c r="C522" s="215"/>
      <c r="D522" s="213"/>
      <c r="E522" s="212"/>
      <c r="F522" s="212"/>
      <c r="G522" s="212"/>
      <c r="H522" s="212"/>
      <c r="I522" s="214"/>
      <c r="J522" s="212"/>
      <c r="K522" s="212"/>
      <c r="L522" s="212"/>
      <c r="M522" s="212"/>
      <c r="N522" s="214"/>
      <c r="O522" s="212"/>
      <c r="P522" s="212"/>
      <c r="Q522" s="212"/>
      <c r="R522" s="214"/>
      <c r="S522" s="212"/>
      <c r="T522" s="212"/>
      <c r="U522" s="212"/>
      <c r="V522" s="212"/>
      <c r="W522" s="213"/>
    </row>
    <row r="523">
      <c r="A523" s="212"/>
      <c r="B523" s="215"/>
      <c r="C523" s="215"/>
      <c r="D523" s="213"/>
      <c r="E523" s="212"/>
      <c r="F523" s="212"/>
      <c r="G523" s="212"/>
      <c r="H523" s="212"/>
      <c r="I523" s="214"/>
      <c r="J523" s="212"/>
      <c r="K523" s="212"/>
      <c r="L523" s="212"/>
      <c r="M523" s="212"/>
      <c r="N523" s="214"/>
      <c r="O523" s="212"/>
      <c r="P523" s="212"/>
      <c r="Q523" s="212"/>
      <c r="R523" s="214"/>
      <c r="S523" s="212"/>
      <c r="T523" s="212"/>
      <c r="U523" s="212"/>
      <c r="V523" s="212"/>
      <c r="W523" s="213"/>
    </row>
    <row r="524">
      <c r="A524" s="212"/>
      <c r="B524" s="215"/>
      <c r="C524" s="215"/>
      <c r="D524" s="213"/>
      <c r="E524" s="212"/>
      <c r="F524" s="212"/>
      <c r="G524" s="212"/>
      <c r="H524" s="212"/>
      <c r="I524" s="214"/>
      <c r="J524" s="212"/>
      <c r="K524" s="212"/>
      <c r="L524" s="212"/>
      <c r="M524" s="214"/>
      <c r="N524" s="214"/>
      <c r="O524" s="212"/>
      <c r="P524" s="212"/>
      <c r="Q524" s="214"/>
      <c r="R524" s="214"/>
      <c r="S524" s="212"/>
      <c r="T524" s="212"/>
      <c r="U524" s="212"/>
      <c r="V524" s="212"/>
      <c r="W524" s="213"/>
    </row>
    <row r="525">
      <c r="A525" s="212"/>
      <c r="B525" s="215"/>
      <c r="C525" s="215"/>
      <c r="D525" s="213"/>
      <c r="E525" s="212"/>
      <c r="F525" s="212"/>
      <c r="G525" s="212"/>
      <c r="H525" s="212"/>
      <c r="I525" s="214"/>
      <c r="J525" s="212"/>
      <c r="K525" s="212"/>
      <c r="L525" s="212"/>
      <c r="M525" s="214"/>
      <c r="N525" s="214"/>
      <c r="O525" s="212"/>
      <c r="P525" s="214"/>
      <c r="Q525" s="214"/>
      <c r="R525" s="214"/>
      <c r="S525" s="212"/>
      <c r="T525" s="212"/>
      <c r="U525" s="212"/>
      <c r="V525" s="212"/>
      <c r="W525" s="213"/>
    </row>
    <row r="526">
      <c r="A526" s="212"/>
      <c r="B526" s="215"/>
      <c r="C526" s="215"/>
      <c r="D526" s="213"/>
      <c r="E526" s="212"/>
      <c r="F526" s="212"/>
      <c r="G526" s="212"/>
      <c r="H526" s="214"/>
      <c r="I526" s="214"/>
      <c r="J526" s="212"/>
      <c r="K526" s="212"/>
      <c r="L526" s="212"/>
      <c r="M526" s="214"/>
      <c r="N526" s="212"/>
      <c r="O526" s="212"/>
      <c r="P526" s="214"/>
      <c r="Q526" s="214"/>
      <c r="R526" s="214"/>
      <c r="S526" s="212"/>
      <c r="T526" s="212"/>
      <c r="U526" s="212"/>
      <c r="V526" s="212"/>
      <c r="W526" s="213"/>
    </row>
    <row r="527">
      <c r="A527" s="212"/>
      <c r="B527" s="215"/>
      <c r="C527" s="215"/>
      <c r="D527" s="213"/>
      <c r="E527" s="212"/>
      <c r="F527" s="212"/>
      <c r="G527" s="212"/>
      <c r="H527" s="214"/>
      <c r="I527" s="214"/>
      <c r="J527" s="212"/>
      <c r="K527" s="212"/>
      <c r="L527" s="212"/>
      <c r="M527" s="214"/>
      <c r="N527" s="214"/>
      <c r="O527" s="212"/>
      <c r="P527" s="214"/>
      <c r="Q527" s="214"/>
      <c r="R527" s="214"/>
      <c r="S527" s="212"/>
      <c r="T527" s="212"/>
      <c r="U527" s="212"/>
      <c r="V527" s="212"/>
      <c r="W527" s="213"/>
    </row>
    <row r="528">
      <c r="A528" s="212"/>
      <c r="B528" s="215"/>
      <c r="C528" s="215"/>
      <c r="D528" s="213"/>
      <c r="E528" s="212"/>
      <c r="F528" s="212"/>
      <c r="G528" s="212"/>
      <c r="H528" s="212"/>
      <c r="I528" s="214"/>
      <c r="J528" s="212"/>
      <c r="K528" s="212"/>
      <c r="L528" s="212"/>
      <c r="M528" s="212"/>
      <c r="N528" s="214"/>
      <c r="O528" s="212"/>
      <c r="P528" s="212"/>
      <c r="Q528" s="212"/>
      <c r="R528" s="214"/>
      <c r="S528" s="212"/>
      <c r="T528" s="212"/>
      <c r="U528" s="212"/>
      <c r="V528" s="212"/>
      <c r="W528" s="213"/>
    </row>
    <row r="529">
      <c r="A529" s="212"/>
      <c r="B529" s="215"/>
      <c r="C529" s="215"/>
      <c r="D529" s="213"/>
      <c r="E529" s="212"/>
      <c r="F529" s="212"/>
      <c r="G529" s="212"/>
      <c r="H529" s="212"/>
      <c r="I529" s="214"/>
      <c r="J529" s="212"/>
      <c r="K529" s="212"/>
      <c r="L529" s="212"/>
      <c r="M529" s="214"/>
      <c r="N529" s="214"/>
      <c r="O529" s="212"/>
      <c r="P529" s="212"/>
      <c r="Q529" s="212"/>
      <c r="R529" s="214"/>
      <c r="S529" s="212"/>
      <c r="T529" s="212"/>
      <c r="U529" s="212"/>
      <c r="V529" s="212"/>
      <c r="W529" s="213"/>
    </row>
    <row r="530">
      <c r="A530" s="212"/>
      <c r="B530" s="215"/>
      <c r="C530" s="215"/>
      <c r="D530" s="213"/>
      <c r="E530" s="212"/>
      <c r="F530" s="212"/>
      <c r="G530" s="212"/>
      <c r="H530" s="212"/>
      <c r="I530" s="214"/>
      <c r="J530" s="212"/>
      <c r="K530" s="212"/>
      <c r="L530" s="212"/>
      <c r="M530" s="214"/>
      <c r="N530" s="214"/>
      <c r="O530" s="212"/>
      <c r="P530" s="214"/>
      <c r="Q530" s="212"/>
      <c r="R530" s="214"/>
      <c r="S530" s="212"/>
      <c r="T530" s="212"/>
      <c r="U530" s="212"/>
      <c r="V530" s="212"/>
      <c r="W530" s="213"/>
    </row>
    <row r="531">
      <c r="A531" s="212"/>
      <c r="B531" s="215"/>
      <c r="C531" s="215"/>
      <c r="D531" s="213"/>
      <c r="E531" s="212"/>
      <c r="F531" s="212"/>
      <c r="G531" s="212"/>
      <c r="H531" s="212"/>
      <c r="I531" s="214"/>
      <c r="J531" s="212"/>
      <c r="K531" s="212"/>
      <c r="L531" s="212"/>
      <c r="M531" s="212"/>
      <c r="N531" s="214"/>
      <c r="O531" s="212"/>
      <c r="P531" s="212"/>
      <c r="Q531" s="212"/>
      <c r="R531" s="214"/>
      <c r="S531" s="212"/>
      <c r="T531" s="212"/>
      <c r="U531" s="212"/>
      <c r="V531" s="212"/>
      <c r="W531" s="213"/>
    </row>
    <row r="532">
      <c r="A532" s="212"/>
      <c r="B532" s="215"/>
      <c r="C532" s="215"/>
      <c r="D532" s="213"/>
      <c r="E532" s="212"/>
      <c r="F532" s="212"/>
      <c r="G532" s="212"/>
      <c r="H532" s="212"/>
      <c r="I532" s="214"/>
      <c r="J532" s="212"/>
      <c r="K532" s="212"/>
      <c r="L532" s="212"/>
      <c r="M532" s="214"/>
      <c r="N532" s="212"/>
      <c r="O532" s="212"/>
      <c r="P532" s="212"/>
      <c r="Q532" s="214"/>
      <c r="R532" s="214"/>
      <c r="S532" s="212"/>
      <c r="T532" s="212"/>
      <c r="U532" s="212"/>
      <c r="V532" s="212"/>
      <c r="W532" s="213"/>
    </row>
    <row r="533">
      <c r="A533" s="212"/>
      <c r="B533" s="215"/>
      <c r="C533" s="215"/>
      <c r="D533" s="213"/>
      <c r="E533" s="212"/>
      <c r="F533" s="212"/>
      <c r="G533" s="212"/>
      <c r="H533" s="214"/>
      <c r="I533" s="214"/>
      <c r="J533" s="212"/>
      <c r="K533" s="212"/>
      <c r="L533" s="212"/>
      <c r="M533" s="214"/>
      <c r="N533" s="214"/>
      <c r="O533" s="212"/>
      <c r="P533" s="214"/>
      <c r="Q533" s="214"/>
      <c r="R533" s="214"/>
      <c r="S533" s="212"/>
      <c r="T533" s="212"/>
      <c r="U533" s="212"/>
      <c r="V533" s="212"/>
      <c r="W533" s="213"/>
    </row>
    <row r="534">
      <c r="A534" s="212"/>
      <c r="B534" s="215"/>
      <c r="C534" s="215"/>
      <c r="D534" s="213"/>
      <c r="E534" s="212"/>
      <c r="F534" s="212"/>
      <c r="G534" s="212"/>
      <c r="H534" s="214"/>
      <c r="I534" s="214"/>
      <c r="J534" s="212"/>
      <c r="K534" s="212"/>
      <c r="L534" s="212"/>
      <c r="M534" s="214"/>
      <c r="N534" s="214"/>
      <c r="O534" s="212"/>
      <c r="P534" s="212"/>
      <c r="Q534" s="214"/>
      <c r="R534" s="214"/>
      <c r="S534" s="212"/>
      <c r="T534" s="212"/>
      <c r="U534" s="212"/>
      <c r="V534" s="212"/>
      <c r="W534" s="213"/>
    </row>
    <row r="535">
      <c r="A535" s="212"/>
      <c r="B535" s="215"/>
      <c r="C535" s="215"/>
      <c r="D535" s="213"/>
      <c r="E535" s="212"/>
      <c r="F535" s="212"/>
      <c r="G535" s="212"/>
      <c r="H535" s="214"/>
      <c r="I535" s="214"/>
      <c r="J535" s="212"/>
      <c r="K535" s="212"/>
      <c r="L535" s="212"/>
      <c r="M535" s="212"/>
      <c r="N535" s="214"/>
      <c r="O535" s="212"/>
      <c r="P535" s="212"/>
      <c r="Q535" s="212"/>
      <c r="R535" s="214"/>
      <c r="S535" s="212"/>
      <c r="T535" s="212"/>
      <c r="U535" s="212"/>
      <c r="V535" s="212"/>
      <c r="W535" s="213"/>
    </row>
    <row r="536">
      <c r="A536" s="212"/>
      <c r="B536" s="215"/>
      <c r="C536" s="215"/>
      <c r="D536" s="213"/>
      <c r="E536" s="212"/>
      <c r="F536" s="212"/>
      <c r="G536" s="212"/>
      <c r="H536" s="212"/>
      <c r="I536" s="214"/>
      <c r="J536" s="212"/>
      <c r="K536" s="212"/>
      <c r="L536" s="212"/>
      <c r="M536" s="214"/>
      <c r="N536" s="214"/>
      <c r="O536" s="212"/>
      <c r="P536" s="212"/>
      <c r="Q536" s="214"/>
      <c r="R536" s="214"/>
      <c r="S536" s="212"/>
      <c r="T536" s="212"/>
      <c r="U536" s="212"/>
      <c r="V536" s="212"/>
      <c r="W536" s="213"/>
    </row>
    <row r="537">
      <c r="A537" s="212"/>
      <c r="B537" s="215"/>
      <c r="C537" s="215"/>
      <c r="D537" s="213"/>
      <c r="E537" s="212"/>
      <c r="F537" s="212"/>
      <c r="G537" s="212"/>
      <c r="H537" s="212"/>
      <c r="I537" s="214"/>
      <c r="J537" s="212"/>
      <c r="K537" s="212"/>
      <c r="L537" s="212"/>
      <c r="M537" s="214"/>
      <c r="N537" s="214"/>
      <c r="O537" s="212"/>
      <c r="P537" s="214"/>
      <c r="Q537" s="214"/>
      <c r="R537" s="214"/>
      <c r="S537" s="212"/>
      <c r="T537" s="212"/>
      <c r="U537" s="212"/>
      <c r="V537" s="212"/>
      <c r="W537" s="213"/>
    </row>
    <row r="538">
      <c r="A538" s="212"/>
      <c r="B538" s="215"/>
      <c r="C538" s="215"/>
      <c r="D538" s="213"/>
      <c r="E538" s="212"/>
      <c r="F538" s="212"/>
      <c r="G538" s="212"/>
      <c r="H538" s="212"/>
      <c r="I538" s="214"/>
      <c r="J538" s="212"/>
      <c r="K538" s="212"/>
      <c r="L538" s="212"/>
      <c r="M538" s="214"/>
      <c r="N538" s="212"/>
      <c r="O538" s="212"/>
      <c r="P538" s="214"/>
      <c r="Q538" s="214"/>
      <c r="R538" s="214"/>
      <c r="S538" s="212"/>
      <c r="T538" s="212"/>
      <c r="U538" s="212"/>
      <c r="V538" s="212"/>
      <c r="W538" s="213"/>
    </row>
    <row r="539">
      <c r="A539" s="212"/>
      <c r="B539" s="215"/>
      <c r="C539" s="215"/>
      <c r="D539" s="213"/>
      <c r="E539" s="212"/>
      <c r="F539" s="212"/>
      <c r="G539" s="212"/>
      <c r="H539" s="214"/>
      <c r="I539" s="214"/>
      <c r="J539" s="212"/>
      <c r="K539" s="212"/>
      <c r="L539" s="214"/>
      <c r="M539" s="214"/>
      <c r="N539" s="214"/>
      <c r="O539" s="212"/>
      <c r="P539" s="214"/>
      <c r="Q539" s="214"/>
      <c r="R539" s="214"/>
      <c r="S539" s="212"/>
      <c r="T539" s="212"/>
      <c r="U539" s="212"/>
      <c r="V539" s="212"/>
      <c r="W539" s="213"/>
    </row>
    <row r="540">
      <c r="A540" s="212"/>
      <c r="B540" s="215"/>
      <c r="C540" s="215"/>
      <c r="D540" s="213"/>
      <c r="E540" s="212"/>
      <c r="F540" s="212"/>
      <c r="G540" s="212"/>
      <c r="H540" s="212"/>
      <c r="I540" s="214"/>
      <c r="J540" s="212"/>
      <c r="K540" s="212"/>
      <c r="L540" s="212"/>
      <c r="M540" s="214"/>
      <c r="N540" s="214"/>
      <c r="O540" s="212"/>
      <c r="P540" s="212"/>
      <c r="Q540" s="214"/>
      <c r="R540" s="214"/>
      <c r="S540" s="212"/>
      <c r="T540" s="212"/>
      <c r="U540" s="212"/>
      <c r="V540" s="212"/>
      <c r="W540" s="213"/>
    </row>
    <row r="541">
      <c r="A541" s="212"/>
      <c r="B541" s="213"/>
      <c r="C541" s="213"/>
      <c r="D541" s="213"/>
      <c r="E541" s="212"/>
      <c r="F541" s="212"/>
      <c r="G541" s="212"/>
      <c r="H541" s="212"/>
      <c r="I541" s="214"/>
      <c r="J541" s="212"/>
      <c r="K541" s="212"/>
      <c r="L541" s="212"/>
      <c r="M541" s="212"/>
      <c r="N541" s="212"/>
      <c r="O541" s="212"/>
      <c r="P541" s="212"/>
      <c r="Q541" s="212"/>
      <c r="R541" s="214"/>
      <c r="S541" s="212"/>
      <c r="T541" s="212"/>
      <c r="U541" s="212"/>
      <c r="V541" s="212"/>
      <c r="W541" s="213"/>
    </row>
    <row r="542">
      <c r="A542" s="212"/>
      <c r="B542" s="215"/>
      <c r="C542" s="215"/>
      <c r="D542" s="213"/>
      <c r="E542" s="212"/>
      <c r="F542" s="212"/>
      <c r="G542" s="212"/>
      <c r="H542" s="212"/>
      <c r="I542" s="214"/>
      <c r="J542" s="212"/>
      <c r="K542" s="212"/>
      <c r="L542" s="212"/>
      <c r="M542" s="214"/>
      <c r="N542" s="212"/>
      <c r="O542" s="212"/>
      <c r="P542" s="212"/>
      <c r="Q542" s="214"/>
      <c r="R542" s="214"/>
      <c r="S542" s="212"/>
      <c r="T542" s="212"/>
      <c r="U542" s="212"/>
      <c r="V542" s="212"/>
      <c r="W542" s="213"/>
    </row>
    <row r="543">
      <c r="A543" s="212"/>
      <c r="B543" s="215"/>
      <c r="C543" s="215"/>
      <c r="D543" s="213"/>
      <c r="E543" s="212"/>
      <c r="F543" s="212"/>
      <c r="G543" s="212"/>
      <c r="H543" s="212"/>
      <c r="I543" s="214"/>
      <c r="J543" s="212"/>
      <c r="K543" s="212"/>
      <c r="L543" s="212"/>
      <c r="M543" s="214"/>
      <c r="N543" s="212"/>
      <c r="O543" s="212"/>
      <c r="P543" s="212"/>
      <c r="Q543" s="214"/>
      <c r="R543" s="214"/>
      <c r="S543" s="212"/>
      <c r="T543" s="212"/>
      <c r="U543" s="212"/>
      <c r="V543" s="212"/>
      <c r="W543" s="213"/>
    </row>
    <row r="544">
      <c r="A544" s="212"/>
      <c r="B544" s="215"/>
      <c r="C544" s="215"/>
      <c r="D544" s="213"/>
      <c r="E544" s="212"/>
      <c r="F544" s="212"/>
      <c r="G544" s="212"/>
      <c r="H544" s="212"/>
      <c r="I544" s="214"/>
      <c r="J544" s="212"/>
      <c r="K544" s="212"/>
      <c r="L544" s="212"/>
      <c r="M544" s="212"/>
      <c r="N544" s="212"/>
      <c r="O544" s="212"/>
      <c r="P544" s="212"/>
      <c r="Q544" s="214"/>
      <c r="R544" s="214"/>
      <c r="S544" s="212"/>
      <c r="T544" s="212"/>
      <c r="U544" s="212"/>
      <c r="V544" s="212"/>
      <c r="W544" s="213"/>
    </row>
    <row r="545">
      <c r="A545" s="212"/>
      <c r="B545" s="213"/>
      <c r="C545" s="213"/>
      <c r="D545" s="213"/>
      <c r="E545" s="212"/>
      <c r="F545" s="212"/>
      <c r="G545" s="212"/>
      <c r="H545" s="212"/>
      <c r="I545" s="214"/>
      <c r="J545" s="212"/>
      <c r="K545" s="212"/>
      <c r="L545" s="212"/>
      <c r="M545" s="214"/>
      <c r="N545" s="212"/>
      <c r="O545" s="212"/>
      <c r="P545" s="212"/>
      <c r="Q545" s="214"/>
      <c r="R545" s="214"/>
      <c r="S545" s="212"/>
      <c r="T545" s="212"/>
      <c r="U545" s="212"/>
      <c r="V545" s="212"/>
      <c r="W545" s="213"/>
    </row>
    <row r="546">
      <c r="A546" s="212"/>
      <c r="B546" s="213"/>
      <c r="C546" s="213"/>
      <c r="D546" s="213"/>
      <c r="E546" s="212"/>
      <c r="F546" s="212"/>
      <c r="G546" s="212"/>
      <c r="H546" s="214"/>
      <c r="I546" s="214"/>
      <c r="J546" s="212"/>
      <c r="K546" s="212"/>
      <c r="L546" s="212"/>
      <c r="M546" s="214"/>
      <c r="N546" s="212"/>
      <c r="O546" s="212"/>
      <c r="P546" s="214"/>
      <c r="Q546" s="214"/>
      <c r="R546" s="214"/>
      <c r="S546" s="212"/>
      <c r="T546" s="212"/>
      <c r="U546" s="212"/>
      <c r="V546" s="212"/>
      <c r="W546" s="213"/>
    </row>
    <row r="547">
      <c r="A547" s="212"/>
      <c r="B547" s="215"/>
      <c r="C547" s="215"/>
      <c r="D547" s="213"/>
      <c r="E547" s="212"/>
      <c r="F547" s="212"/>
      <c r="G547" s="212"/>
      <c r="H547" s="212"/>
      <c r="I547" s="214"/>
      <c r="J547" s="212"/>
      <c r="K547" s="212"/>
      <c r="L547" s="212"/>
      <c r="M547" s="212"/>
      <c r="N547" s="214"/>
      <c r="O547" s="212"/>
      <c r="P547" s="214"/>
      <c r="Q547" s="212"/>
      <c r="R547" s="214"/>
      <c r="S547" s="212"/>
      <c r="T547" s="212"/>
      <c r="U547" s="212"/>
      <c r="V547" s="212"/>
      <c r="W547" s="213"/>
    </row>
    <row r="548">
      <c r="A548" s="212"/>
      <c r="B548" s="215"/>
      <c r="C548" s="215"/>
      <c r="D548" s="213"/>
      <c r="E548" s="212"/>
      <c r="F548" s="212"/>
      <c r="G548" s="212"/>
      <c r="H548" s="212"/>
      <c r="I548" s="214"/>
      <c r="J548" s="212"/>
      <c r="K548" s="212"/>
      <c r="L548" s="212"/>
      <c r="M548" s="212"/>
      <c r="N548" s="214"/>
      <c r="O548" s="212"/>
      <c r="P548" s="212"/>
      <c r="Q548" s="212"/>
      <c r="R548" s="214"/>
      <c r="S548" s="212"/>
      <c r="T548" s="212"/>
      <c r="U548" s="212"/>
      <c r="V548" s="212"/>
      <c r="W548" s="213"/>
    </row>
    <row r="549">
      <c r="A549" s="214"/>
      <c r="B549" s="215"/>
      <c r="C549" s="215"/>
      <c r="D549" s="215"/>
      <c r="E549" s="214"/>
      <c r="F549" s="214"/>
      <c r="G549" s="214"/>
      <c r="H549" s="214"/>
      <c r="I549" s="214"/>
      <c r="J549" s="214"/>
      <c r="K549" s="214"/>
      <c r="L549" s="214"/>
      <c r="M549" s="214"/>
      <c r="N549" s="214"/>
      <c r="O549" s="214"/>
      <c r="P549" s="214"/>
      <c r="Q549" s="214"/>
      <c r="R549" s="214"/>
      <c r="S549" s="214"/>
      <c r="T549" s="214"/>
      <c r="U549" s="214"/>
      <c r="V549" s="214"/>
      <c r="W549" s="215"/>
    </row>
    <row r="550">
      <c r="A550" s="214"/>
      <c r="B550" s="215"/>
      <c r="C550" s="215"/>
      <c r="D550" s="215"/>
      <c r="E550" s="214"/>
      <c r="F550" s="214"/>
      <c r="G550" s="214"/>
      <c r="H550" s="214"/>
      <c r="I550" s="214"/>
      <c r="J550" s="214"/>
      <c r="K550" s="214"/>
      <c r="L550" s="214"/>
      <c r="M550" s="214"/>
      <c r="N550" s="214"/>
      <c r="O550" s="214"/>
      <c r="P550" s="214"/>
      <c r="Q550" s="214"/>
      <c r="R550" s="214"/>
      <c r="S550" s="214"/>
      <c r="T550" s="214"/>
      <c r="U550" s="214"/>
      <c r="V550" s="214"/>
      <c r="W550" s="215"/>
    </row>
    <row r="551">
      <c r="A551" s="214"/>
      <c r="B551" s="215"/>
      <c r="C551" s="215"/>
      <c r="D551" s="215"/>
      <c r="E551" s="214"/>
      <c r="F551" s="214"/>
      <c r="G551" s="214"/>
      <c r="H551" s="214"/>
      <c r="I551" s="214"/>
      <c r="J551" s="214"/>
      <c r="K551" s="214"/>
      <c r="L551" s="214"/>
      <c r="M551" s="214"/>
      <c r="N551" s="214"/>
      <c r="O551" s="214"/>
      <c r="P551" s="214"/>
      <c r="Q551" s="214"/>
      <c r="R551" s="214"/>
      <c r="S551" s="214"/>
      <c r="T551" s="214"/>
      <c r="U551" s="214"/>
      <c r="V551" s="214"/>
      <c r="W551" s="215"/>
    </row>
    <row r="552">
      <c r="A552" s="214"/>
      <c r="B552" s="215"/>
      <c r="C552" s="215"/>
      <c r="D552" s="215"/>
      <c r="E552" s="214"/>
      <c r="F552" s="214"/>
      <c r="G552" s="214"/>
      <c r="H552" s="214"/>
      <c r="I552" s="214"/>
      <c r="J552" s="214"/>
      <c r="K552" s="214"/>
      <c r="L552" s="214"/>
      <c r="M552" s="214"/>
      <c r="N552" s="214"/>
      <c r="O552" s="214"/>
      <c r="P552" s="214"/>
      <c r="Q552" s="214"/>
      <c r="R552" s="214"/>
      <c r="S552" s="214"/>
      <c r="T552" s="214"/>
      <c r="U552" s="214"/>
      <c r="V552" s="214"/>
      <c r="W552" s="215"/>
    </row>
    <row r="553">
      <c r="A553" s="214"/>
      <c r="B553" s="215"/>
      <c r="C553" s="215"/>
      <c r="D553" s="215"/>
      <c r="E553" s="214"/>
      <c r="F553" s="214"/>
      <c r="G553" s="214"/>
      <c r="H553" s="214"/>
      <c r="I553" s="214"/>
      <c r="J553" s="214"/>
      <c r="K553" s="214"/>
      <c r="L553" s="214"/>
      <c r="M553" s="214"/>
      <c r="N553" s="214"/>
      <c r="O553" s="214"/>
      <c r="P553" s="214"/>
      <c r="Q553" s="214"/>
      <c r="R553" s="214"/>
      <c r="S553" s="214"/>
      <c r="T553" s="214"/>
      <c r="U553" s="214"/>
      <c r="V553" s="214"/>
      <c r="W553" s="215"/>
    </row>
    <row r="554">
      <c r="A554" s="214"/>
      <c r="B554" s="215"/>
      <c r="C554" s="215"/>
      <c r="D554" s="215"/>
      <c r="E554" s="214"/>
      <c r="F554" s="214"/>
      <c r="G554" s="214"/>
      <c r="H554" s="214"/>
      <c r="I554" s="214"/>
      <c r="J554" s="214"/>
      <c r="K554" s="214"/>
      <c r="L554" s="214"/>
      <c r="M554" s="214"/>
      <c r="N554" s="214"/>
      <c r="O554" s="214"/>
      <c r="P554" s="214"/>
      <c r="Q554" s="214"/>
      <c r="R554" s="214"/>
      <c r="S554" s="214"/>
      <c r="T554" s="214"/>
      <c r="U554" s="214"/>
      <c r="V554" s="214"/>
      <c r="W554" s="215"/>
    </row>
    <row r="555">
      <c r="A555" s="214"/>
      <c r="B555" s="215"/>
      <c r="C555" s="215"/>
      <c r="D555" s="215"/>
      <c r="E555" s="214"/>
      <c r="F555" s="214"/>
      <c r="G555" s="214"/>
      <c r="H555" s="214"/>
      <c r="I555" s="214"/>
      <c r="J555" s="214"/>
      <c r="K555" s="214"/>
      <c r="L555" s="214"/>
      <c r="M555" s="214"/>
      <c r="N555" s="214"/>
      <c r="O555" s="214"/>
      <c r="P555" s="214"/>
      <c r="Q555" s="214"/>
      <c r="R555" s="214"/>
      <c r="S555" s="214"/>
      <c r="T555" s="214"/>
      <c r="U555" s="214"/>
      <c r="V555" s="214"/>
      <c r="W555" s="215"/>
    </row>
    <row r="556">
      <c r="A556" s="214"/>
      <c r="B556" s="215"/>
      <c r="C556" s="215"/>
      <c r="D556" s="215"/>
      <c r="E556" s="214"/>
      <c r="F556" s="214"/>
      <c r="G556" s="214"/>
      <c r="H556" s="214"/>
      <c r="I556" s="214"/>
      <c r="J556" s="214"/>
      <c r="K556" s="214"/>
      <c r="L556" s="214"/>
      <c r="M556" s="214"/>
      <c r="N556" s="214"/>
      <c r="O556" s="214"/>
      <c r="P556" s="214"/>
      <c r="Q556" s="214"/>
      <c r="R556" s="214"/>
      <c r="S556" s="214"/>
      <c r="T556" s="214"/>
      <c r="U556" s="214"/>
      <c r="V556" s="214"/>
      <c r="W556" s="215"/>
    </row>
    <row r="557">
      <c r="A557" s="214"/>
      <c r="B557" s="215"/>
      <c r="C557" s="215"/>
      <c r="D557" s="215"/>
      <c r="E557" s="214"/>
      <c r="F557" s="214"/>
      <c r="G557" s="214"/>
      <c r="H557" s="214"/>
      <c r="I557" s="214"/>
      <c r="J557" s="214"/>
      <c r="K557" s="214"/>
      <c r="L557" s="214"/>
      <c r="M557" s="214"/>
      <c r="N557" s="214"/>
      <c r="O557" s="214"/>
      <c r="P557" s="214"/>
      <c r="Q557" s="214"/>
      <c r="R557" s="214"/>
      <c r="S557" s="214"/>
      <c r="T557" s="214"/>
      <c r="U557" s="214"/>
      <c r="V557" s="214"/>
      <c r="W557" s="215"/>
    </row>
    <row r="558">
      <c r="A558" s="214"/>
      <c r="B558" s="215"/>
      <c r="C558" s="215"/>
      <c r="D558" s="215"/>
      <c r="E558" s="214"/>
      <c r="F558" s="214"/>
      <c r="G558" s="214"/>
      <c r="H558" s="214"/>
      <c r="I558" s="214"/>
      <c r="J558" s="214"/>
      <c r="K558" s="214"/>
      <c r="L558" s="214"/>
      <c r="M558" s="214"/>
      <c r="N558" s="214"/>
      <c r="O558" s="214"/>
      <c r="P558" s="214"/>
      <c r="Q558" s="214"/>
      <c r="R558" s="214"/>
      <c r="S558" s="214"/>
      <c r="T558" s="214"/>
      <c r="U558" s="214"/>
      <c r="V558" s="214"/>
      <c r="W558" s="215"/>
    </row>
    <row r="559">
      <c r="A559" s="214"/>
      <c r="B559" s="215"/>
      <c r="C559" s="215"/>
      <c r="D559" s="215"/>
      <c r="E559" s="214"/>
      <c r="F559" s="214"/>
      <c r="G559" s="214"/>
      <c r="H559" s="214"/>
      <c r="I559" s="214"/>
      <c r="J559" s="214"/>
      <c r="K559" s="214"/>
      <c r="L559" s="214"/>
      <c r="M559" s="214"/>
      <c r="N559" s="214"/>
      <c r="O559" s="214"/>
      <c r="P559" s="214"/>
      <c r="Q559" s="214"/>
      <c r="R559" s="214"/>
      <c r="S559" s="214"/>
      <c r="T559" s="214"/>
      <c r="U559" s="214"/>
      <c r="V559" s="214"/>
      <c r="W559" s="215"/>
    </row>
    <row r="560">
      <c r="A560" s="214"/>
      <c r="B560" s="215"/>
      <c r="C560" s="215"/>
      <c r="D560" s="215"/>
      <c r="E560" s="214"/>
      <c r="F560" s="214"/>
      <c r="G560" s="214"/>
      <c r="H560" s="214"/>
      <c r="I560" s="214"/>
      <c r="J560" s="214"/>
      <c r="K560" s="214"/>
      <c r="L560" s="214"/>
      <c r="M560" s="214"/>
      <c r="N560" s="214"/>
      <c r="O560" s="214"/>
      <c r="P560" s="214"/>
      <c r="Q560" s="214"/>
      <c r="R560" s="214"/>
      <c r="S560" s="214"/>
      <c r="T560" s="214"/>
      <c r="U560" s="214"/>
      <c r="V560" s="214"/>
      <c r="W560" s="215"/>
    </row>
    <row r="561">
      <c r="A561" s="214"/>
      <c r="B561" s="215"/>
      <c r="C561" s="215"/>
      <c r="D561" s="215"/>
      <c r="E561" s="214"/>
      <c r="F561" s="214"/>
      <c r="G561" s="214"/>
      <c r="H561" s="214"/>
      <c r="I561" s="214"/>
      <c r="J561" s="214"/>
      <c r="K561" s="214"/>
      <c r="L561" s="214"/>
      <c r="M561" s="214"/>
      <c r="N561" s="214"/>
      <c r="O561" s="214"/>
      <c r="P561" s="214"/>
      <c r="Q561" s="214"/>
      <c r="R561" s="214"/>
      <c r="S561" s="214"/>
      <c r="T561" s="214"/>
      <c r="U561" s="214"/>
      <c r="V561" s="214"/>
      <c r="W561" s="215"/>
    </row>
    <row r="562">
      <c r="A562" s="214"/>
      <c r="B562" s="215"/>
      <c r="C562" s="215"/>
      <c r="D562" s="215"/>
      <c r="E562" s="214"/>
      <c r="F562" s="214"/>
      <c r="G562" s="214"/>
      <c r="H562" s="214"/>
      <c r="I562" s="214"/>
      <c r="J562" s="214"/>
      <c r="K562" s="214"/>
      <c r="L562" s="214"/>
      <c r="M562" s="214"/>
      <c r="N562" s="214"/>
      <c r="O562" s="214"/>
      <c r="P562" s="214"/>
      <c r="Q562" s="214"/>
      <c r="R562" s="214"/>
      <c r="S562" s="214"/>
      <c r="T562" s="214"/>
      <c r="U562" s="214"/>
      <c r="V562" s="214"/>
      <c r="W562" s="215"/>
    </row>
    <row r="563">
      <c r="A563" s="214"/>
      <c r="B563" s="215"/>
      <c r="C563" s="215"/>
      <c r="D563" s="215"/>
      <c r="E563" s="214"/>
      <c r="F563" s="214"/>
      <c r="G563" s="214"/>
      <c r="H563" s="214"/>
      <c r="I563" s="214"/>
      <c r="J563" s="214"/>
      <c r="K563" s="214"/>
      <c r="L563" s="214"/>
      <c r="M563" s="214"/>
      <c r="N563" s="214"/>
      <c r="O563" s="214"/>
      <c r="P563" s="214"/>
      <c r="Q563" s="214"/>
      <c r="R563" s="214"/>
      <c r="S563" s="214"/>
      <c r="T563" s="214"/>
      <c r="U563" s="214"/>
      <c r="V563" s="214"/>
      <c r="W563" s="215"/>
    </row>
    <row r="564">
      <c r="A564" s="214"/>
      <c r="B564" s="215"/>
      <c r="C564" s="215"/>
      <c r="D564" s="215"/>
      <c r="E564" s="214"/>
      <c r="F564" s="214"/>
      <c r="G564" s="214"/>
      <c r="H564" s="214"/>
      <c r="I564" s="214"/>
      <c r="J564" s="214"/>
      <c r="K564" s="214"/>
      <c r="L564" s="214"/>
      <c r="M564" s="214"/>
      <c r="N564" s="214"/>
      <c r="O564" s="214"/>
      <c r="P564" s="214"/>
      <c r="Q564" s="214"/>
      <c r="R564" s="214"/>
      <c r="S564" s="214"/>
      <c r="T564" s="214"/>
      <c r="U564" s="214"/>
      <c r="V564" s="214"/>
      <c r="W564" s="215"/>
    </row>
    <row r="565">
      <c r="A565" s="214"/>
      <c r="B565" s="215"/>
      <c r="C565" s="215"/>
      <c r="D565" s="215"/>
      <c r="E565" s="214"/>
      <c r="F565" s="214"/>
      <c r="G565" s="214"/>
      <c r="H565" s="214"/>
      <c r="I565" s="214"/>
      <c r="J565" s="214"/>
      <c r="K565" s="214"/>
      <c r="L565" s="214"/>
      <c r="M565" s="214"/>
      <c r="N565" s="214"/>
      <c r="O565" s="214"/>
      <c r="P565" s="214"/>
      <c r="Q565" s="214"/>
      <c r="R565" s="214"/>
      <c r="S565" s="214"/>
      <c r="T565" s="214"/>
      <c r="U565" s="214"/>
      <c r="V565" s="214"/>
      <c r="W565" s="215"/>
    </row>
    <row r="566">
      <c r="A566" s="214"/>
      <c r="B566" s="215"/>
      <c r="C566" s="215"/>
      <c r="D566" s="215"/>
      <c r="E566" s="214"/>
      <c r="F566" s="214"/>
      <c r="G566" s="214"/>
      <c r="H566" s="214"/>
      <c r="I566" s="214"/>
      <c r="J566" s="214"/>
      <c r="K566" s="214"/>
      <c r="L566" s="214"/>
      <c r="M566" s="214"/>
      <c r="N566" s="214"/>
      <c r="O566" s="214"/>
      <c r="P566" s="214"/>
      <c r="Q566" s="214"/>
      <c r="R566" s="214"/>
      <c r="S566" s="214"/>
      <c r="T566" s="214"/>
      <c r="U566" s="214"/>
      <c r="V566" s="214"/>
      <c r="W566" s="215"/>
    </row>
    <row r="567">
      <c r="A567" s="214"/>
      <c r="B567" s="215"/>
      <c r="C567" s="215"/>
      <c r="D567" s="215"/>
      <c r="E567" s="214"/>
      <c r="F567" s="214"/>
      <c r="G567" s="214"/>
      <c r="H567" s="214"/>
      <c r="I567" s="214"/>
      <c r="J567" s="214"/>
      <c r="K567" s="214"/>
      <c r="L567" s="214"/>
      <c r="M567" s="214"/>
      <c r="N567" s="214"/>
      <c r="O567" s="214"/>
      <c r="P567" s="214"/>
      <c r="Q567" s="214"/>
      <c r="R567" s="214"/>
      <c r="S567" s="214"/>
      <c r="T567" s="214"/>
      <c r="U567" s="214"/>
      <c r="V567" s="214"/>
      <c r="W567" s="215"/>
    </row>
    <row r="568">
      <c r="A568" s="214"/>
      <c r="B568" s="215"/>
      <c r="C568" s="215"/>
      <c r="D568" s="215"/>
      <c r="E568" s="214"/>
      <c r="F568" s="214"/>
      <c r="G568" s="214"/>
      <c r="H568" s="214"/>
      <c r="I568" s="214"/>
      <c r="J568" s="214"/>
      <c r="K568" s="214"/>
      <c r="L568" s="214"/>
      <c r="M568" s="214"/>
      <c r="N568" s="214"/>
      <c r="O568" s="214"/>
      <c r="P568" s="214"/>
      <c r="Q568" s="214"/>
      <c r="R568" s="214"/>
      <c r="S568" s="214"/>
      <c r="T568" s="214"/>
      <c r="U568" s="214"/>
      <c r="V568" s="214"/>
      <c r="W568" s="215"/>
    </row>
    <row r="569">
      <c r="A569" s="214"/>
      <c r="B569" s="215"/>
      <c r="C569" s="215"/>
      <c r="D569" s="215"/>
      <c r="E569" s="214"/>
      <c r="F569" s="214"/>
      <c r="G569" s="214"/>
      <c r="H569" s="214"/>
      <c r="I569" s="214"/>
      <c r="J569" s="214"/>
      <c r="K569" s="214"/>
      <c r="L569" s="214"/>
      <c r="M569" s="214"/>
      <c r="N569" s="214"/>
      <c r="O569" s="214"/>
      <c r="P569" s="214"/>
      <c r="Q569" s="214"/>
      <c r="R569" s="214"/>
      <c r="S569" s="214"/>
      <c r="T569" s="214"/>
      <c r="U569" s="214"/>
      <c r="V569" s="214"/>
      <c r="W569" s="215"/>
    </row>
    <row r="570">
      <c r="A570" s="214"/>
      <c r="B570" s="215"/>
      <c r="C570" s="215"/>
      <c r="D570" s="215"/>
      <c r="E570" s="214"/>
      <c r="F570" s="214"/>
      <c r="G570" s="214"/>
      <c r="H570" s="214"/>
      <c r="I570" s="214"/>
      <c r="J570" s="214"/>
      <c r="K570" s="214"/>
      <c r="L570" s="214"/>
      <c r="M570" s="214"/>
      <c r="N570" s="214"/>
      <c r="O570" s="214"/>
      <c r="P570" s="214"/>
      <c r="Q570" s="214"/>
      <c r="R570" s="214"/>
      <c r="S570" s="214"/>
      <c r="T570" s="214"/>
      <c r="U570" s="214"/>
      <c r="V570" s="214"/>
      <c r="W570" s="215"/>
    </row>
    <row r="571">
      <c r="A571" s="214"/>
      <c r="B571" s="215"/>
      <c r="C571" s="215"/>
      <c r="D571" s="215"/>
      <c r="E571" s="214"/>
      <c r="F571" s="214"/>
      <c r="G571" s="214"/>
      <c r="H571" s="214"/>
      <c r="I571" s="214"/>
      <c r="J571" s="214"/>
      <c r="K571" s="214"/>
      <c r="L571" s="214"/>
      <c r="M571" s="214"/>
      <c r="N571" s="214"/>
      <c r="O571" s="214"/>
      <c r="P571" s="214"/>
      <c r="Q571" s="214"/>
      <c r="R571" s="214"/>
      <c r="S571" s="214"/>
      <c r="T571" s="214"/>
      <c r="U571" s="214"/>
      <c r="V571" s="214"/>
      <c r="W571" s="215"/>
    </row>
    <row r="572">
      <c r="A572" s="214"/>
      <c r="B572" s="215"/>
      <c r="C572" s="215"/>
      <c r="D572" s="215"/>
      <c r="E572" s="214"/>
      <c r="F572" s="214"/>
      <c r="G572" s="214"/>
      <c r="H572" s="214"/>
      <c r="I572" s="214"/>
      <c r="J572" s="214"/>
      <c r="K572" s="214"/>
      <c r="L572" s="214"/>
      <c r="M572" s="214"/>
      <c r="N572" s="214"/>
      <c r="O572" s="214"/>
      <c r="P572" s="214"/>
      <c r="Q572" s="214"/>
      <c r="R572" s="214"/>
      <c r="S572" s="214"/>
      <c r="T572" s="214"/>
      <c r="U572" s="214"/>
      <c r="V572" s="214"/>
      <c r="W572" s="215"/>
    </row>
    <row r="573">
      <c r="A573" s="214"/>
      <c r="B573" s="215"/>
      <c r="C573" s="215"/>
      <c r="D573" s="215"/>
      <c r="E573" s="214"/>
      <c r="F573" s="214"/>
      <c r="G573" s="214"/>
      <c r="H573" s="214"/>
      <c r="I573" s="214"/>
      <c r="J573" s="214"/>
      <c r="K573" s="214"/>
      <c r="L573" s="214"/>
      <c r="M573" s="214"/>
      <c r="N573" s="214"/>
      <c r="O573" s="214"/>
      <c r="P573" s="214"/>
      <c r="Q573" s="214"/>
      <c r="R573" s="214"/>
      <c r="S573" s="214"/>
      <c r="T573" s="214"/>
      <c r="U573" s="214"/>
      <c r="V573" s="214"/>
      <c r="W573" s="215"/>
    </row>
    <row r="574">
      <c r="A574" s="214"/>
      <c r="B574" s="215"/>
      <c r="C574" s="215"/>
      <c r="D574" s="215"/>
      <c r="E574" s="214"/>
      <c r="F574" s="214"/>
      <c r="G574" s="214"/>
      <c r="H574" s="214"/>
      <c r="I574" s="214"/>
      <c r="J574" s="214"/>
      <c r="K574" s="214"/>
      <c r="L574" s="214"/>
      <c r="M574" s="214"/>
      <c r="N574" s="214"/>
      <c r="O574" s="214"/>
      <c r="P574" s="214"/>
      <c r="Q574" s="214"/>
      <c r="R574" s="214"/>
      <c r="S574" s="214"/>
      <c r="T574" s="214"/>
      <c r="U574" s="214"/>
      <c r="V574" s="214"/>
      <c r="W574" s="215"/>
    </row>
    <row r="575">
      <c r="A575" s="214"/>
      <c r="B575" s="215"/>
      <c r="C575" s="215"/>
      <c r="D575" s="215"/>
      <c r="E575" s="214"/>
      <c r="F575" s="214"/>
      <c r="G575" s="214"/>
      <c r="H575" s="214"/>
      <c r="I575" s="214"/>
      <c r="J575" s="214"/>
      <c r="K575" s="214"/>
      <c r="L575" s="214"/>
      <c r="M575" s="214"/>
      <c r="N575" s="214"/>
      <c r="O575" s="214"/>
      <c r="P575" s="214"/>
      <c r="Q575" s="214"/>
      <c r="R575" s="214"/>
      <c r="S575" s="214"/>
      <c r="T575" s="214"/>
      <c r="U575" s="214"/>
      <c r="V575" s="214"/>
      <c r="W575" s="215"/>
    </row>
    <row r="576">
      <c r="A576" s="214"/>
      <c r="B576" s="215"/>
      <c r="C576" s="215"/>
      <c r="D576" s="215"/>
      <c r="E576" s="214"/>
      <c r="F576" s="214"/>
      <c r="G576" s="214"/>
      <c r="H576" s="214"/>
      <c r="I576" s="214"/>
      <c r="J576" s="214"/>
      <c r="K576" s="214"/>
      <c r="L576" s="214"/>
      <c r="M576" s="214"/>
      <c r="N576" s="214"/>
      <c r="O576" s="214"/>
      <c r="P576" s="214"/>
      <c r="Q576" s="214"/>
      <c r="R576" s="214"/>
      <c r="S576" s="214"/>
      <c r="T576" s="214"/>
      <c r="U576" s="214"/>
      <c r="V576" s="214"/>
      <c r="W576" s="215"/>
    </row>
    <row r="577">
      <c r="A577" s="214"/>
      <c r="B577" s="215"/>
      <c r="C577" s="215"/>
      <c r="D577" s="215"/>
      <c r="E577" s="214"/>
      <c r="F577" s="214"/>
      <c r="G577" s="214"/>
      <c r="H577" s="214"/>
      <c r="I577" s="214"/>
      <c r="J577" s="214"/>
      <c r="K577" s="214"/>
      <c r="L577" s="214"/>
      <c r="M577" s="214"/>
      <c r="N577" s="214"/>
      <c r="O577" s="214"/>
      <c r="P577" s="214"/>
      <c r="Q577" s="214"/>
      <c r="R577" s="214"/>
      <c r="S577" s="214"/>
      <c r="T577" s="214"/>
      <c r="U577" s="214"/>
      <c r="V577" s="214"/>
      <c r="W577" s="215"/>
    </row>
    <row r="578">
      <c r="A578" s="214"/>
      <c r="B578" s="215"/>
      <c r="C578" s="215"/>
      <c r="D578" s="215"/>
      <c r="E578" s="214"/>
      <c r="F578" s="214"/>
      <c r="G578" s="214"/>
      <c r="H578" s="214"/>
      <c r="I578" s="214"/>
      <c r="J578" s="214"/>
      <c r="K578" s="214"/>
      <c r="L578" s="214"/>
      <c r="M578" s="214"/>
      <c r="N578" s="214"/>
      <c r="O578" s="214"/>
      <c r="P578" s="214"/>
      <c r="Q578" s="214"/>
      <c r="R578" s="214"/>
      <c r="S578" s="214"/>
      <c r="T578" s="214"/>
      <c r="U578" s="214"/>
      <c r="V578" s="214"/>
      <c r="W578" s="215"/>
    </row>
    <row r="579">
      <c r="A579" s="214"/>
      <c r="B579" s="215"/>
      <c r="C579" s="215"/>
      <c r="D579" s="215"/>
      <c r="E579" s="214"/>
      <c r="F579" s="214"/>
      <c r="G579" s="214"/>
      <c r="H579" s="214"/>
      <c r="I579" s="214"/>
      <c r="J579" s="214"/>
      <c r="K579" s="214"/>
      <c r="L579" s="214"/>
      <c r="M579" s="214"/>
      <c r="N579" s="214"/>
      <c r="O579" s="214"/>
      <c r="P579" s="214"/>
      <c r="Q579" s="214"/>
      <c r="R579" s="214"/>
      <c r="S579" s="214"/>
      <c r="T579" s="214"/>
      <c r="U579" s="214"/>
      <c r="V579" s="214"/>
      <c r="W579" s="215"/>
    </row>
    <row r="580">
      <c r="A580" s="214"/>
      <c r="B580" s="215"/>
      <c r="C580" s="215"/>
      <c r="D580" s="215"/>
      <c r="E580" s="214"/>
      <c r="F580" s="214"/>
      <c r="G580" s="214"/>
      <c r="H580" s="214"/>
      <c r="I580" s="214"/>
      <c r="J580" s="214"/>
      <c r="K580" s="214"/>
      <c r="L580" s="214"/>
      <c r="M580" s="214"/>
      <c r="N580" s="214"/>
      <c r="O580" s="214"/>
      <c r="P580" s="214"/>
      <c r="Q580" s="214"/>
      <c r="R580" s="214"/>
      <c r="S580" s="214"/>
      <c r="T580" s="214"/>
      <c r="U580" s="214"/>
      <c r="V580" s="214"/>
      <c r="W580" s="215"/>
    </row>
    <row r="581">
      <c r="A581" s="214"/>
      <c r="B581" s="215"/>
      <c r="C581" s="215"/>
      <c r="D581" s="215"/>
      <c r="E581" s="214"/>
      <c r="F581" s="214"/>
      <c r="G581" s="214"/>
      <c r="H581" s="214"/>
      <c r="I581" s="214"/>
      <c r="J581" s="214"/>
      <c r="K581" s="214"/>
      <c r="L581" s="214"/>
      <c r="M581" s="214"/>
      <c r="N581" s="214"/>
      <c r="O581" s="214"/>
      <c r="P581" s="214"/>
      <c r="Q581" s="214"/>
      <c r="R581" s="214"/>
      <c r="S581" s="214"/>
      <c r="T581" s="214"/>
      <c r="U581" s="214"/>
      <c r="V581" s="214"/>
      <c r="W581" s="215"/>
    </row>
    <row r="582">
      <c r="A582" s="214"/>
      <c r="B582" s="215"/>
      <c r="C582" s="215"/>
      <c r="D582" s="215"/>
      <c r="E582" s="214"/>
      <c r="F582" s="214"/>
      <c r="G582" s="214"/>
      <c r="H582" s="214"/>
      <c r="I582" s="214"/>
      <c r="J582" s="214"/>
      <c r="K582" s="214"/>
      <c r="L582" s="214"/>
      <c r="M582" s="214"/>
      <c r="N582" s="214"/>
      <c r="O582" s="214"/>
      <c r="P582" s="214"/>
      <c r="Q582" s="214"/>
      <c r="R582" s="214"/>
      <c r="S582" s="214"/>
      <c r="T582" s="214"/>
      <c r="U582" s="214"/>
      <c r="V582" s="214"/>
      <c r="W582" s="215"/>
    </row>
    <row r="583">
      <c r="A583" s="214"/>
      <c r="B583" s="215"/>
      <c r="C583" s="215"/>
      <c r="D583" s="215"/>
      <c r="E583" s="214"/>
      <c r="F583" s="214"/>
      <c r="G583" s="214"/>
      <c r="H583" s="214"/>
      <c r="I583" s="214"/>
      <c r="J583" s="214"/>
      <c r="K583" s="214"/>
      <c r="L583" s="214"/>
      <c r="M583" s="214"/>
      <c r="N583" s="214"/>
      <c r="O583" s="214"/>
      <c r="P583" s="214"/>
      <c r="Q583" s="214"/>
      <c r="R583" s="214"/>
      <c r="S583" s="214"/>
      <c r="T583" s="214"/>
      <c r="U583" s="214"/>
      <c r="V583" s="214"/>
      <c r="W583" s="215"/>
    </row>
    <row r="584">
      <c r="A584" s="214"/>
      <c r="B584" s="215"/>
      <c r="C584" s="215"/>
      <c r="D584" s="215"/>
      <c r="E584" s="214"/>
      <c r="F584" s="214"/>
      <c r="G584" s="214"/>
      <c r="H584" s="214"/>
      <c r="I584" s="214"/>
      <c r="J584" s="214"/>
      <c r="K584" s="214"/>
      <c r="L584" s="214"/>
      <c r="M584" s="214"/>
      <c r="N584" s="214"/>
      <c r="O584" s="214"/>
      <c r="P584" s="214"/>
      <c r="Q584" s="214"/>
      <c r="R584" s="214"/>
      <c r="S584" s="214"/>
      <c r="T584" s="214"/>
      <c r="U584" s="214"/>
      <c r="V584" s="214"/>
      <c r="W584" s="215"/>
    </row>
    <row r="585">
      <c r="A585" s="214"/>
      <c r="B585" s="215"/>
      <c r="C585" s="215"/>
      <c r="D585" s="215"/>
      <c r="E585" s="214"/>
      <c r="F585" s="214"/>
      <c r="G585" s="214"/>
      <c r="H585" s="214"/>
      <c r="I585" s="214"/>
      <c r="J585" s="214"/>
      <c r="K585" s="214"/>
      <c r="L585" s="214"/>
      <c r="M585" s="214"/>
      <c r="N585" s="214"/>
      <c r="O585" s="214"/>
      <c r="P585" s="214"/>
      <c r="Q585" s="214"/>
      <c r="R585" s="214"/>
      <c r="S585" s="214"/>
      <c r="T585" s="214"/>
      <c r="U585" s="214"/>
      <c r="V585" s="214"/>
      <c r="W585" s="215"/>
    </row>
    <row r="586">
      <c r="A586" s="214"/>
      <c r="B586" s="215"/>
      <c r="C586" s="215"/>
      <c r="D586" s="215"/>
      <c r="E586" s="214"/>
      <c r="F586" s="214"/>
      <c r="G586" s="214"/>
      <c r="H586" s="214"/>
      <c r="I586" s="214"/>
      <c r="J586" s="214"/>
      <c r="K586" s="214"/>
      <c r="L586" s="214"/>
      <c r="M586" s="214"/>
      <c r="N586" s="214"/>
      <c r="O586" s="214"/>
      <c r="P586" s="214"/>
      <c r="Q586" s="214"/>
      <c r="R586" s="214"/>
      <c r="S586" s="214"/>
      <c r="T586" s="214"/>
      <c r="U586" s="214"/>
      <c r="V586" s="214"/>
      <c r="W586" s="215"/>
    </row>
    <row r="587">
      <c r="A587" s="214"/>
      <c r="B587" s="215"/>
      <c r="C587" s="215"/>
      <c r="D587" s="215"/>
      <c r="E587" s="214"/>
      <c r="F587" s="214"/>
      <c r="G587" s="214"/>
      <c r="H587" s="214"/>
      <c r="I587" s="214"/>
      <c r="J587" s="214"/>
      <c r="K587" s="214"/>
      <c r="L587" s="214"/>
      <c r="M587" s="214"/>
      <c r="N587" s="214"/>
      <c r="O587" s="214"/>
      <c r="P587" s="214"/>
      <c r="Q587" s="214"/>
      <c r="R587" s="214"/>
      <c r="S587" s="214"/>
      <c r="T587" s="214"/>
      <c r="U587" s="214"/>
      <c r="V587" s="214"/>
      <c r="W587" s="215"/>
    </row>
    <row r="588">
      <c r="A588" s="214"/>
      <c r="B588" s="215"/>
      <c r="C588" s="215"/>
      <c r="D588" s="215"/>
      <c r="E588" s="214"/>
      <c r="F588" s="214"/>
      <c r="G588" s="214"/>
      <c r="H588" s="214"/>
      <c r="I588" s="214"/>
      <c r="J588" s="214"/>
      <c r="K588" s="214"/>
      <c r="L588" s="214"/>
      <c r="M588" s="214"/>
      <c r="N588" s="214"/>
      <c r="O588" s="214"/>
      <c r="P588" s="214"/>
      <c r="Q588" s="214"/>
      <c r="R588" s="214"/>
      <c r="S588" s="214"/>
      <c r="T588" s="214"/>
      <c r="U588" s="214"/>
      <c r="V588" s="214"/>
      <c r="W588" s="215"/>
    </row>
    <row r="589">
      <c r="A589" s="214"/>
      <c r="B589" s="215"/>
      <c r="C589" s="215"/>
      <c r="D589" s="215"/>
      <c r="E589" s="214"/>
      <c r="F589" s="214"/>
      <c r="G589" s="214"/>
      <c r="H589" s="214"/>
      <c r="I589" s="214"/>
      <c r="J589" s="214"/>
      <c r="K589" s="214"/>
      <c r="L589" s="214"/>
      <c r="M589" s="214"/>
      <c r="N589" s="214"/>
      <c r="O589" s="214"/>
      <c r="P589" s="214"/>
      <c r="Q589" s="214"/>
      <c r="R589" s="214"/>
      <c r="S589" s="214"/>
      <c r="T589" s="214"/>
      <c r="U589" s="214"/>
      <c r="V589" s="214"/>
      <c r="W589" s="215"/>
    </row>
    <row r="590">
      <c r="A590" s="214"/>
      <c r="B590" s="215"/>
      <c r="C590" s="215"/>
      <c r="D590" s="215"/>
      <c r="E590" s="214"/>
      <c r="F590" s="214"/>
      <c r="G590" s="214"/>
      <c r="H590" s="214"/>
      <c r="I590" s="214"/>
      <c r="J590" s="214"/>
      <c r="K590" s="214"/>
      <c r="L590" s="214"/>
      <c r="M590" s="214"/>
      <c r="N590" s="214"/>
      <c r="O590" s="214"/>
      <c r="P590" s="214"/>
      <c r="Q590" s="214"/>
      <c r="R590" s="214"/>
      <c r="S590" s="214"/>
      <c r="T590" s="214"/>
      <c r="U590" s="214"/>
      <c r="V590" s="214"/>
      <c r="W590" s="215"/>
    </row>
    <row r="591">
      <c r="A591" s="214"/>
      <c r="B591" s="215"/>
      <c r="C591" s="215"/>
      <c r="D591" s="215"/>
      <c r="E591" s="214"/>
      <c r="F591" s="214"/>
      <c r="G591" s="214"/>
      <c r="H591" s="214"/>
      <c r="I591" s="214"/>
      <c r="J591" s="214"/>
      <c r="K591" s="214"/>
      <c r="L591" s="214"/>
      <c r="M591" s="214"/>
      <c r="N591" s="214"/>
      <c r="O591" s="214"/>
      <c r="P591" s="214"/>
      <c r="Q591" s="214"/>
      <c r="R591" s="214"/>
      <c r="S591" s="214"/>
      <c r="T591" s="214"/>
      <c r="U591" s="214"/>
      <c r="V591" s="214"/>
      <c r="W591" s="215"/>
    </row>
    <row r="592">
      <c r="A592" s="214"/>
      <c r="B592" s="215"/>
      <c r="C592" s="215"/>
      <c r="D592" s="215"/>
      <c r="E592" s="214"/>
      <c r="F592" s="214"/>
      <c r="G592" s="214"/>
      <c r="H592" s="214"/>
      <c r="I592" s="214"/>
      <c r="J592" s="214"/>
      <c r="K592" s="214"/>
      <c r="L592" s="214"/>
      <c r="M592" s="214"/>
      <c r="N592" s="214"/>
      <c r="O592" s="214"/>
      <c r="P592" s="214"/>
      <c r="Q592" s="214"/>
      <c r="R592" s="214"/>
      <c r="S592" s="214"/>
      <c r="T592" s="214"/>
      <c r="U592" s="214"/>
      <c r="V592" s="214"/>
      <c r="W592" s="215"/>
    </row>
    <row r="593">
      <c r="A593" s="214"/>
      <c r="B593" s="215"/>
      <c r="C593" s="215"/>
      <c r="D593" s="215"/>
      <c r="E593" s="214"/>
      <c r="F593" s="214"/>
      <c r="G593" s="214"/>
      <c r="H593" s="214"/>
      <c r="I593" s="214"/>
      <c r="J593" s="214"/>
      <c r="K593" s="214"/>
      <c r="L593" s="214"/>
      <c r="M593" s="214"/>
      <c r="N593" s="214"/>
      <c r="O593" s="214"/>
      <c r="P593" s="214"/>
      <c r="Q593" s="214"/>
      <c r="R593" s="214"/>
      <c r="S593" s="214"/>
      <c r="T593" s="214"/>
      <c r="U593" s="214"/>
      <c r="V593" s="214"/>
      <c r="W593" s="215"/>
    </row>
    <row r="594">
      <c r="A594" s="214"/>
      <c r="B594" s="215"/>
      <c r="C594" s="215"/>
      <c r="D594" s="215"/>
      <c r="E594" s="214"/>
      <c r="F594" s="214"/>
      <c r="G594" s="214"/>
      <c r="H594" s="214"/>
      <c r="I594" s="214"/>
      <c r="J594" s="214"/>
      <c r="K594" s="214"/>
      <c r="L594" s="214"/>
      <c r="M594" s="214"/>
      <c r="N594" s="214"/>
      <c r="O594" s="214"/>
      <c r="P594" s="214"/>
      <c r="Q594" s="214"/>
      <c r="R594" s="214"/>
      <c r="S594" s="214"/>
      <c r="T594" s="214"/>
      <c r="U594" s="214"/>
      <c r="V594" s="214"/>
      <c r="W594" s="215"/>
    </row>
    <row r="595">
      <c r="A595" s="214"/>
      <c r="B595" s="215"/>
      <c r="C595" s="215"/>
      <c r="D595" s="215"/>
      <c r="E595" s="214"/>
      <c r="F595" s="214"/>
      <c r="G595" s="214"/>
      <c r="H595" s="214"/>
      <c r="I595" s="214"/>
      <c r="J595" s="214"/>
      <c r="K595" s="214"/>
      <c r="L595" s="214"/>
      <c r="M595" s="214"/>
      <c r="N595" s="214"/>
      <c r="O595" s="214"/>
      <c r="P595" s="214"/>
      <c r="Q595" s="214"/>
      <c r="R595" s="214"/>
      <c r="S595" s="214"/>
      <c r="T595" s="214"/>
      <c r="U595" s="214"/>
      <c r="V595" s="214"/>
      <c r="W595" s="215"/>
    </row>
    <row r="596">
      <c r="A596" s="214"/>
      <c r="B596" s="215"/>
      <c r="C596" s="215"/>
      <c r="D596" s="215"/>
      <c r="E596" s="214"/>
      <c r="F596" s="214"/>
      <c r="G596" s="214"/>
      <c r="H596" s="214"/>
      <c r="I596" s="214"/>
      <c r="J596" s="214"/>
      <c r="K596" s="214"/>
      <c r="L596" s="214"/>
      <c r="M596" s="214"/>
      <c r="N596" s="214"/>
      <c r="O596" s="214"/>
      <c r="P596" s="214"/>
      <c r="Q596" s="214"/>
      <c r="R596" s="214"/>
      <c r="S596" s="214"/>
      <c r="T596" s="214"/>
      <c r="U596" s="214"/>
      <c r="V596" s="214"/>
      <c r="W596" s="215"/>
    </row>
    <row r="597">
      <c r="A597" s="214"/>
      <c r="B597" s="215"/>
      <c r="C597" s="215"/>
      <c r="D597" s="215"/>
      <c r="E597" s="214"/>
      <c r="F597" s="214"/>
      <c r="G597" s="214"/>
      <c r="H597" s="214"/>
      <c r="I597" s="214"/>
      <c r="J597" s="214"/>
      <c r="K597" s="214"/>
      <c r="L597" s="214"/>
      <c r="M597" s="214"/>
      <c r="N597" s="214"/>
      <c r="O597" s="214"/>
      <c r="P597" s="214"/>
      <c r="Q597" s="214"/>
      <c r="R597" s="214"/>
      <c r="S597" s="214"/>
      <c r="T597" s="214"/>
      <c r="U597" s="214"/>
      <c r="V597" s="214"/>
      <c r="W597" s="215"/>
    </row>
    <row r="598">
      <c r="A598" s="214"/>
      <c r="B598" s="215"/>
      <c r="C598" s="215"/>
      <c r="D598" s="215"/>
      <c r="E598" s="214"/>
      <c r="F598" s="214"/>
      <c r="G598" s="214"/>
      <c r="H598" s="214"/>
      <c r="I598" s="214"/>
      <c r="J598" s="214"/>
      <c r="K598" s="214"/>
      <c r="L598" s="214"/>
      <c r="M598" s="214"/>
      <c r="N598" s="214"/>
      <c r="O598" s="214"/>
      <c r="P598" s="214"/>
      <c r="Q598" s="214"/>
      <c r="R598" s="214"/>
      <c r="S598" s="214"/>
      <c r="T598" s="214"/>
      <c r="U598" s="214"/>
      <c r="V598" s="214"/>
      <c r="W598" s="215"/>
    </row>
    <row r="599">
      <c r="A599" s="214"/>
      <c r="B599" s="215"/>
      <c r="C599" s="215"/>
      <c r="D599" s="215"/>
      <c r="E599" s="214"/>
      <c r="F599" s="214"/>
      <c r="G599" s="214"/>
      <c r="H599" s="214"/>
      <c r="I599" s="214"/>
      <c r="J599" s="214"/>
      <c r="K599" s="214"/>
      <c r="L599" s="214"/>
      <c r="M599" s="214"/>
      <c r="N599" s="214"/>
      <c r="O599" s="214"/>
      <c r="P599" s="214"/>
      <c r="Q599" s="214"/>
      <c r="R599" s="214"/>
      <c r="S599" s="214"/>
      <c r="T599" s="214"/>
      <c r="U599" s="214"/>
      <c r="V599" s="214"/>
      <c r="W599" s="215"/>
    </row>
    <row r="600">
      <c r="A600" s="214"/>
      <c r="B600" s="215"/>
      <c r="C600" s="215"/>
      <c r="D600" s="215"/>
      <c r="E600" s="214"/>
      <c r="F600" s="214"/>
      <c r="G600" s="214"/>
      <c r="H600" s="214"/>
      <c r="I600" s="214"/>
      <c r="J600" s="214"/>
      <c r="K600" s="214"/>
      <c r="L600" s="214"/>
      <c r="M600" s="214"/>
      <c r="N600" s="214"/>
      <c r="O600" s="214"/>
      <c r="P600" s="214"/>
      <c r="Q600" s="214"/>
      <c r="R600" s="214"/>
      <c r="S600" s="214"/>
      <c r="T600" s="214"/>
      <c r="U600" s="214"/>
      <c r="V600" s="214"/>
      <c r="W600" s="215"/>
    </row>
    <row r="601">
      <c r="A601" s="214"/>
      <c r="B601" s="215"/>
      <c r="C601" s="215"/>
      <c r="D601" s="215"/>
      <c r="E601" s="214"/>
      <c r="F601" s="214"/>
      <c r="G601" s="214"/>
      <c r="H601" s="214"/>
      <c r="I601" s="214"/>
      <c r="J601" s="214"/>
      <c r="K601" s="214"/>
      <c r="L601" s="214"/>
      <c r="M601" s="214"/>
      <c r="N601" s="214"/>
      <c r="O601" s="214"/>
      <c r="P601" s="214"/>
      <c r="Q601" s="214"/>
      <c r="R601" s="214"/>
      <c r="S601" s="214"/>
      <c r="T601" s="214"/>
      <c r="U601" s="214"/>
      <c r="V601" s="214"/>
      <c r="W601" s="215"/>
    </row>
    <row r="602">
      <c r="A602" s="214"/>
      <c r="B602" s="215"/>
      <c r="C602" s="215"/>
      <c r="D602" s="215"/>
      <c r="E602" s="214"/>
      <c r="F602" s="214"/>
      <c r="G602" s="214"/>
      <c r="H602" s="214"/>
      <c r="I602" s="214"/>
      <c r="J602" s="214"/>
      <c r="K602" s="214"/>
      <c r="L602" s="214"/>
      <c r="M602" s="214"/>
      <c r="N602" s="214"/>
      <c r="O602" s="214"/>
      <c r="P602" s="214"/>
      <c r="Q602" s="214"/>
      <c r="R602" s="214"/>
      <c r="S602" s="214"/>
      <c r="T602" s="214"/>
      <c r="U602" s="214"/>
      <c r="V602" s="214"/>
      <c r="W602" s="215"/>
    </row>
    <row r="603">
      <c r="A603" s="214"/>
      <c r="B603" s="215"/>
      <c r="C603" s="215"/>
      <c r="D603" s="215"/>
      <c r="E603" s="214"/>
      <c r="F603" s="214"/>
      <c r="G603" s="214"/>
      <c r="H603" s="214"/>
      <c r="I603" s="214"/>
      <c r="J603" s="214"/>
      <c r="K603" s="214"/>
      <c r="L603" s="214"/>
      <c r="M603" s="214"/>
      <c r="N603" s="214"/>
      <c r="O603" s="214"/>
      <c r="P603" s="214"/>
      <c r="Q603" s="214"/>
      <c r="R603" s="214"/>
      <c r="S603" s="214"/>
      <c r="T603" s="214"/>
      <c r="U603" s="214"/>
      <c r="V603" s="214"/>
      <c r="W603" s="215"/>
    </row>
    <row r="604">
      <c r="A604" s="214"/>
      <c r="B604" s="215"/>
      <c r="C604" s="215"/>
      <c r="D604" s="215"/>
      <c r="E604" s="214"/>
      <c r="F604" s="214"/>
      <c r="G604" s="214"/>
      <c r="H604" s="214"/>
      <c r="I604" s="214"/>
      <c r="J604" s="214"/>
      <c r="K604" s="214"/>
      <c r="L604" s="214"/>
      <c r="M604" s="214"/>
      <c r="N604" s="214"/>
      <c r="O604" s="214"/>
      <c r="P604" s="214"/>
      <c r="Q604" s="214"/>
      <c r="R604" s="214"/>
      <c r="S604" s="214"/>
      <c r="T604" s="214"/>
      <c r="U604" s="214"/>
      <c r="V604" s="214"/>
      <c r="W604" s="215"/>
    </row>
    <row r="605">
      <c r="A605" s="214"/>
      <c r="B605" s="215"/>
      <c r="C605" s="215"/>
      <c r="D605" s="215"/>
      <c r="E605" s="214"/>
      <c r="F605" s="214"/>
      <c r="G605" s="214"/>
      <c r="H605" s="214"/>
      <c r="I605" s="214"/>
      <c r="J605" s="214"/>
      <c r="K605" s="214"/>
      <c r="L605" s="214"/>
      <c r="M605" s="214"/>
      <c r="N605" s="214"/>
      <c r="O605" s="214"/>
      <c r="P605" s="214"/>
      <c r="Q605" s="214"/>
      <c r="R605" s="214"/>
      <c r="S605" s="214"/>
      <c r="T605" s="214"/>
      <c r="U605" s="214"/>
      <c r="V605" s="214"/>
      <c r="W605" s="215"/>
    </row>
    <row r="606">
      <c r="A606" s="214"/>
      <c r="B606" s="215"/>
      <c r="C606" s="215"/>
      <c r="D606" s="215"/>
      <c r="E606" s="214"/>
      <c r="F606" s="214"/>
      <c r="G606" s="214"/>
      <c r="H606" s="214"/>
      <c r="I606" s="214"/>
      <c r="J606" s="214"/>
      <c r="K606" s="214"/>
      <c r="L606" s="214"/>
      <c r="M606" s="214"/>
      <c r="N606" s="214"/>
      <c r="O606" s="214"/>
      <c r="P606" s="214"/>
      <c r="Q606" s="214"/>
      <c r="R606" s="214"/>
      <c r="S606" s="214"/>
      <c r="T606" s="214"/>
      <c r="U606" s="214"/>
      <c r="V606" s="214"/>
      <c r="W606" s="215"/>
    </row>
    <row r="607">
      <c r="A607" s="214"/>
      <c r="B607" s="215"/>
      <c r="C607" s="215"/>
      <c r="D607" s="215"/>
      <c r="E607" s="214"/>
      <c r="F607" s="214"/>
      <c r="G607" s="214"/>
      <c r="H607" s="214"/>
      <c r="I607" s="214"/>
      <c r="J607" s="214"/>
      <c r="K607" s="214"/>
      <c r="L607" s="214"/>
      <c r="M607" s="214"/>
      <c r="N607" s="214"/>
      <c r="O607" s="214"/>
      <c r="P607" s="214"/>
      <c r="Q607" s="214"/>
      <c r="R607" s="214"/>
      <c r="S607" s="214"/>
      <c r="T607" s="214"/>
      <c r="U607" s="214"/>
      <c r="V607" s="214"/>
      <c r="W607" s="215"/>
    </row>
    <row r="608">
      <c r="A608" s="214"/>
      <c r="B608" s="215"/>
      <c r="C608" s="215"/>
      <c r="D608" s="215"/>
      <c r="E608" s="214"/>
      <c r="F608" s="214"/>
      <c r="G608" s="214"/>
      <c r="H608" s="214"/>
      <c r="I608" s="214"/>
      <c r="J608" s="214"/>
      <c r="K608" s="214"/>
      <c r="L608" s="214"/>
      <c r="M608" s="214"/>
      <c r="N608" s="214"/>
      <c r="O608" s="214"/>
      <c r="P608" s="214"/>
      <c r="Q608" s="214"/>
      <c r="R608" s="214"/>
      <c r="S608" s="214"/>
      <c r="T608" s="214"/>
      <c r="U608" s="214"/>
      <c r="V608" s="214"/>
      <c r="W608" s="215"/>
    </row>
    <row r="609">
      <c r="A609" s="214"/>
      <c r="B609" s="215"/>
      <c r="C609" s="215"/>
      <c r="D609" s="215"/>
      <c r="E609" s="214"/>
      <c r="F609" s="214"/>
      <c r="G609" s="214"/>
      <c r="H609" s="214"/>
      <c r="I609" s="214"/>
      <c r="J609" s="214"/>
      <c r="K609" s="214"/>
      <c r="L609" s="214"/>
      <c r="M609" s="214"/>
      <c r="N609" s="214"/>
      <c r="O609" s="214"/>
      <c r="P609" s="214"/>
      <c r="Q609" s="214"/>
      <c r="R609" s="214"/>
      <c r="S609" s="214"/>
      <c r="T609" s="214"/>
      <c r="U609" s="214"/>
      <c r="V609" s="214"/>
      <c r="W609" s="215"/>
    </row>
    <row r="610">
      <c r="A610" s="214"/>
      <c r="B610" s="215"/>
      <c r="C610" s="215"/>
      <c r="D610" s="215"/>
      <c r="E610" s="214"/>
      <c r="F610" s="214"/>
      <c r="G610" s="214"/>
      <c r="H610" s="214"/>
      <c r="I610" s="214"/>
      <c r="J610" s="214"/>
      <c r="K610" s="214"/>
      <c r="L610" s="214"/>
      <c r="M610" s="214"/>
      <c r="N610" s="214"/>
      <c r="O610" s="214"/>
      <c r="P610" s="214"/>
      <c r="Q610" s="214"/>
      <c r="R610" s="214"/>
      <c r="S610" s="214"/>
      <c r="T610" s="214"/>
      <c r="U610" s="214"/>
      <c r="V610" s="214"/>
      <c r="W610" s="215"/>
    </row>
    <row r="611">
      <c r="A611" s="214"/>
      <c r="B611" s="215"/>
      <c r="C611" s="215"/>
      <c r="D611" s="215"/>
      <c r="E611" s="214"/>
      <c r="F611" s="214"/>
      <c r="G611" s="214"/>
      <c r="H611" s="214"/>
      <c r="I611" s="214"/>
      <c r="J611" s="214"/>
      <c r="K611" s="214"/>
      <c r="L611" s="214"/>
      <c r="M611" s="214"/>
      <c r="N611" s="214"/>
      <c r="O611" s="214"/>
      <c r="P611" s="214"/>
      <c r="Q611" s="214"/>
      <c r="R611" s="214"/>
      <c r="S611" s="214"/>
      <c r="T611" s="214"/>
      <c r="U611" s="214"/>
      <c r="V611" s="214"/>
      <c r="W611" s="215"/>
    </row>
    <row r="612">
      <c r="A612" s="215"/>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row>
    <row r="613">
      <c r="A613" s="215"/>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row>
    <row r="614">
      <c r="A614" s="215"/>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row>
    <row r="615">
      <c r="A615" s="215"/>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row>
    <row r="616">
      <c r="A616" s="215"/>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row>
    <row r="617">
      <c r="A617" s="215"/>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row>
    <row r="618">
      <c r="A618" s="215"/>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row>
    <row r="619">
      <c r="A619" s="215"/>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row>
    <row r="620">
      <c r="A620" s="215"/>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row>
    <row r="621">
      <c r="A621" s="215"/>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row>
    <row r="622">
      <c r="A622" s="215"/>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row>
    <row r="623">
      <c r="A623" s="215"/>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row>
    <row r="624">
      <c r="A624" s="215"/>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row>
    <row r="625">
      <c r="A625" s="215"/>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row>
    <row r="626">
      <c r="A626" s="215"/>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row>
    <row r="627">
      <c r="A627" s="215"/>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row>
    <row r="628">
      <c r="A628" s="215"/>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row>
    <row r="629">
      <c r="A629" s="215"/>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row>
    <row r="630">
      <c r="A630" s="215"/>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row>
    <row r="631">
      <c r="A631" s="215"/>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row>
    <row r="632">
      <c r="A632" s="215"/>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row>
    <row r="633">
      <c r="A633" s="215"/>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row>
    <row r="634">
      <c r="A634" s="215"/>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row>
    <row r="635">
      <c r="A635" s="215"/>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row>
    <row r="636">
      <c r="A636" s="215"/>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row>
    <row r="637">
      <c r="A637" s="215"/>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row>
    <row r="638">
      <c r="A638" s="215"/>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row>
    <row r="639">
      <c r="A639" s="215"/>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row>
    <row r="640">
      <c r="A640" s="215"/>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row>
    <row r="641">
      <c r="A641" s="215"/>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row>
    <row r="642">
      <c r="A642" s="215"/>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row>
    <row r="643">
      <c r="A643" s="215"/>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row>
    <row r="644">
      <c r="A644" s="215"/>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row>
    <row r="645">
      <c r="A645" s="215"/>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row>
    <row r="646">
      <c r="A646" s="215"/>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row>
    <row r="647">
      <c r="A647" s="215"/>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row>
    <row r="648">
      <c r="A648" s="215"/>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row>
    <row r="649">
      <c r="A649" s="215"/>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row>
    <row r="650">
      <c r="A650" s="215"/>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row>
    <row r="651">
      <c r="A651" s="215"/>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row>
    <row r="652">
      <c r="A652" s="215"/>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row>
    <row r="653">
      <c r="A653" s="215"/>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row>
    <row r="654">
      <c r="A654" s="215"/>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row>
    <row r="655">
      <c r="A655" s="215"/>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row>
    <row r="656">
      <c r="A656" s="215"/>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row>
    <row r="657">
      <c r="A657" s="215"/>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row>
    <row r="658">
      <c r="A658" s="215"/>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row>
    <row r="659">
      <c r="A659" s="215"/>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row>
    <row r="660">
      <c r="A660" s="215"/>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row>
    <row r="661">
      <c r="A661" s="215"/>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row>
    <row r="662">
      <c r="A662" s="215"/>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row>
    <row r="663">
      <c r="A663" s="215"/>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row>
    <row r="664">
      <c r="A664" s="215"/>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row>
    <row r="665">
      <c r="A665" s="215"/>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row>
    <row r="666">
      <c r="A666" s="215"/>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row>
    <row r="667">
      <c r="A667" s="215"/>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row>
    <row r="668">
      <c r="A668" s="215"/>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row>
    <row r="669">
      <c r="A669" s="215"/>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row>
    <row r="670">
      <c r="A670" s="215"/>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row>
    <row r="671">
      <c r="A671" s="215"/>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row>
    <row r="672">
      <c r="A672" s="215"/>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row>
    <row r="673">
      <c r="A673" s="215"/>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row>
    <row r="674">
      <c r="A674" s="215"/>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row>
    <row r="675">
      <c r="A675" s="215"/>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row>
    <row r="676">
      <c r="A676" s="215"/>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row>
    <row r="677">
      <c r="A677" s="215"/>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row>
    <row r="678">
      <c r="A678" s="215"/>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row>
    <row r="679">
      <c r="A679" s="215"/>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row>
    <row r="680">
      <c r="A680" s="215"/>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row>
    <row r="681">
      <c r="A681" s="215"/>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row>
    <row r="682">
      <c r="A682" s="215"/>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row>
    <row r="683">
      <c r="A683" s="215"/>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row>
    <row r="684">
      <c r="A684" s="215"/>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row>
    <row r="685">
      <c r="A685" s="215"/>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row>
    <row r="686">
      <c r="A686" s="215"/>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row>
    <row r="687">
      <c r="A687" s="215"/>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row>
    <row r="688">
      <c r="A688" s="215"/>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row>
    <row r="689">
      <c r="A689" s="215"/>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row>
    <row r="690">
      <c r="A690" s="215"/>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row>
    <row r="691">
      <c r="A691" s="215"/>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row>
    <row r="692">
      <c r="A692" s="215"/>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row>
    <row r="693">
      <c r="A693" s="215"/>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row>
    <row r="694">
      <c r="A694" s="215"/>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row>
    <row r="695">
      <c r="A695" s="215"/>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row>
    <row r="696">
      <c r="A696" s="215"/>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row>
    <row r="697">
      <c r="A697" s="215"/>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row>
    <row r="698">
      <c r="A698" s="215"/>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row>
    <row r="699">
      <c r="A699" s="215"/>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row>
    <row r="700">
      <c r="A700" s="215"/>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row>
    <row r="701">
      <c r="A701" s="215"/>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row>
    <row r="702">
      <c r="A702" s="215"/>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row>
    <row r="703">
      <c r="A703" s="215"/>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row>
    <row r="704">
      <c r="A704" s="215"/>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row>
    <row r="705">
      <c r="A705" s="215"/>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row>
    <row r="706">
      <c r="A706" s="215"/>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row>
    <row r="707">
      <c r="A707" s="215"/>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row>
    <row r="708">
      <c r="A708" s="215"/>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row>
    <row r="709">
      <c r="A709" s="215"/>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row>
    <row r="710">
      <c r="A710" s="215"/>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row>
    <row r="711">
      <c r="A711" s="215"/>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row>
    <row r="712">
      <c r="A712" s="215"/>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row>
    <row r="713">
      <c r="A713" s="215"/>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row>
    <row r="714">
      <c r="A714" s="215"/>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row>
    <row r="715">
      <c r="A715" s="215"/>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row>
    <row r="716">
      <c r="A716" s="215"/>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row>
    <row r="717">
      <c r="A717" s="215"/>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row>
    <row r="718">
      <c r="A718" s="215"/>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row>
    <row r="719">
      <c r="A719" s="215"/>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row>
    <row r="720">
      <c r="A720" s="215"/>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row>
    <row r="721">
      <c r="A721" s="215"/>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row>
    <row r="722">
      <c r="A722" s="215"/>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row>
    <row r="723">
      <c r="A723" s="215"/>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row>
    <row r="724">
      <c r="A724" s="215"/>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row>
    <row r="725">
      <c r="A725" s="215"/>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row>
    <row r="726">
      <c r="A726" s="215"/>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row>
    <row r="727">
      <c r="A727" s="215"/>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row>
    <row r="728">
      <c r="A728" s="215"/>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row>
    <row r="729">
      <c r="A729" s="215"/>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row>
    <row r="730">
      <c r="A730" s="215"/>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row>
    <row r="731">
      <c r="A731" s="215"/>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row>
    <row r="732">
      <c r="A732" s="215"/>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row>
    <row r="733">
      <c r="A733" s="215"/>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row>
    <row r="734">
      <c r="A734" s="215"/>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row>
    <row r="735">
      <c r="A735" s="215"/>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row>
    <row r="736">
      <c r="A736" s="215"/>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row>
    <row r="737">
      <c r="A737" s="215"/>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row>
    <row r="738">
      <c r="A738" s="215"/>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row>
    <row r="739">
      <c r="A739" s="215"/>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row>
    <row r="740">
      <c r="A740" s="215"/>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row>
    <row r="741">
      <c r="A741" s="215"/>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row>
    <row r="742">
      <c r="A742" s="215"/>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row>
    <row r="743">
      <c r="A743" s="215"/>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row>
    <row r="744">
      <c r="A744" s="215"/>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row>
    <row r="745">
      <c r="A745" s="215"/>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row>
    <row r="746">
      <c r="A746" s="215"/>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row>
    <row r="747">
      <c r="A747" s="215"/>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row>
    <row r="748">
      <c r="A748" s="215"/>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row>
    <row r="749">
      <c r="A749" s="215"/>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row>
    <row r="750">
      <c r="A750" s="215"/>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row>
    <row r="751">
      <c r="A751" s="215"/>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row>
    <row r="752">
      <c r="A752" s="215"/>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row>
    <row r="753">
      <c r="A753" s="215"/>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row>
    <row r="754">
      <c r="A754" s="215"/>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row>
    <row r="755">
      <c r="A755" s="215"/>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row>
    <row r="756">
      <c r="A756" s="215"/>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row>
    <row r="757">
      <c r="A757" s="215"/>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row>
    <row r="758">
      <c r="A758" s="215"/>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row>
    <row r="759">
      <c r="A759" s="215"/>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row>
    <row r="760">
      <c r="A760" s="215"/>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row>
    <row r="761">
      <c r="A761" s="215"/>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row>
    <row r="762">
      <c r="A762" s="215"/>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row>
    <row r="763">
      <c r="A763" s="215"/>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row>
    <row r="764">
      <c r="A764" s="215"/>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row>
    <row r="765">
      <c r="A765" s="215"/>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row>
    <row r="766">
      <c r="A766" s="215"/>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row>
    <row r="767">
      <c r="A767" s="215"/>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row>
    <row r="768">
      <c r="A768" s="215"/>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row>
    <row r="769">
      <c r="A769" s="215"/>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row>
    <row r="770">
      <c r="A770" s="215"/>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row>
    <row r="771">
      <c r="A771" s="215"/>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row>
    <row r="772">
      <c r="A772" s="215"/>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row>
    <row r="773">
      <c r="A773" s="215"/>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row>
    <row r="774">
      <c r="A774" s="215"/>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row>
    <row r="775">
      <c r="A775" s="215"/>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row>
    <row r="776">
      <c r="A776" s="215"/>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row>
    <row r="777">
      <c r="A777" s="215"/>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row>
    <row r="778">
      <c r="A778" s="215"/>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row>
    <row r="779">
      <c r="A779" s="215"/>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row>
    <row r="780">
      <c r="A780" s="215"/>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row>
    <row r="781">
      <c r="A781" s="215"/>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row>
    <row r="782">
      <c r="A782" s="215"/>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row>
    <row r="783">
      <c r="A783" s="215"/>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row>
    <row r="784">
      <c r="A784" s="215"/>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row>
    <row r="785">
      <c r="A785" s="215"/>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row>
    <row r="786">
      <c r="A786" s="215"/>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row>
    <row r="787">
      <c r="A787" s="215"/>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row>
    <row r="788">
      <c r="A788" s="215"/>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row>
    <row r="789">
      <c r="A789" s="215"/>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row>
    <row r="790">
      <c r="A790" s="215"/>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row>
    <row r="791">
      <c r="A791" s="215"/>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row>
    <row r="792">
      <c r="A792" s="215"/>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row>
    <row r="793">
      <c r="A793" s="215"/>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row>
    <row r="794">
      <c r="A794" s="215"/>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row>
    <row r="795">
      <c r="A795" s="215"/>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row>
    <row r="796">
      <c r="A796" s="215"/>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row>
    <row r="797">
      <c r="A797" s="215"/>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row>
    <row r="798">
      <c r="A798" s="215"/>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row>
    <row r="799">
      <c r="A799" s="215"/>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row>
    <row r="800">
      <c r="A800" s="215"/>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row>
    <row r="801">
      <c r="A801" s="215"/>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row>
    <row r="802">
      <c r="A802" s="215"/>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row>
    <row r="803">
      <c r="A803" s="215"/>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row>
    <row r="804">
      <c r="A804" s="215"/>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row>
    <row r="805">
      <c r="A805" s="215"/>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row>
    <row r="806">
      <c r="A806" s="215"/>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row>
    <row r="807">
      <c r="A807" s="215"/>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row>
    <row r="808">
      <c r="A808" s="215"/>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row>
    <row r="809">
      <c r="A809" s="215"/>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row>
    <row r="810">
      <c r="A810" s="215"/>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row>
    <row r="811">
      <c r="A811" s="215"/>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row>
    <row r="812">
      <c r="A812" s="215"/>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row>
    <row r="813">
      <c r="A813" s="215"/>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row>
    <row r="814">
      <c r="A814" s="215"/>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row>
    <row r="815">
      <c r="A815" s="215"/>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row>
    <row r="816">
      <c r="A816" s="215"/>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row>
    <row r="817">
      <c r="A817" s="215"/>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row>
    <row r="818">
      <c r="A818" s="215"/>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row>
    <row r="819">
      <c r="A819" s="215"/>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row>
    <row r="820">
      <c r="A820" s="215"/>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row>
    <row r="821">
      <c r="A821" s="215"/>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row>
    <row r="822">
      <c r="A822" s="215"/>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row>
    <row r="823">
      <c r="A823" s="215"/>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row>
    <row r="824">
      <c r="A824" s="215"/>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row>
    <row r="825">
      <c r="A825" s="215"/>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row>
    <row r="826">
      <c r="A826" s="215"/>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row>
    <row r="827">
      <c r="A827" s="215"/>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row>
    <row r="828">
      <c r="A828" s="215"/>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row>
    <row r="829">
      <c r="A829" s="215"/>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row>
    <row r="830">
      <c r="A830" s="215"/>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row>
    <row r="831">
      <c r="A831" s="215"/>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row>
    <row r="832">
      <c r="A832" s="215"/>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row>
    <row r="833">
      <c r="A833" s="215"/>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row>
    <row r="834">
      <c r="A834" s="215"/>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row>
    <row r="835">
      <c r="A835" s="215"/>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row>
    <row r="836">
      <c r="A836" s="215"/>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row>
    <row r="837">
      <c r="A837" s="215"/>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row>
    <row r="838">
      <c r="A838" s="215"/>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row>
    <row r="839">
      <c r="A839" s="215"/>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row>
    <row r="840">
      <c r="A840" s="215"/>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row>
    <row r="841">
      <c r="A841" s="215"/>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row>
    <row r="842">
      <c r="A842" s="215"/>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row>
    <row r="843">
      <c r="A843" s="215"/>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row>
    <row r="844">
      <c r="A844" s="215"/>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row>
    <row r="845">
      <c r="A845" s="215"/>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row>
    <row r="846">
      <c r="A846" s="215"/>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row>
    <row r="847">
      <c r="A847" s="215"/>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row>
    <row r="848">
      <c r="A848" s="215"/>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row>
    <row r="849">
      <c r="A849" s="215"/>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row>
    <row r="850">
      <c r="A850" s="215"/>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row>
    <row r="851">
      <c r="A851" s="215"/>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row>
    <row r="852">
      <c r="A852" s="215"/>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row>
    <row r="853">
      <c r="A853" s="215"/>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row>
    <row r="854">
      <c r="A854" s="215"/>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row>
    <row r="855">
      <c r="A855" s="215"/>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row>
    <row r="856">
      <c r="A856" s="215"/>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row>
    <row r="857">
      <c r="A857" s="215"/>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row>
    <row r="858">
      <c r="A858" s="215"/>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row>
    <row r="859">
      <c r="A859" s="215"/>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row>
    <row r="860">
      <c r="A860" s="215"/>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row>
    <row r="861">
      <c r="A861" s="215"/>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row>
    <row r="862">
      <c r="A862" s="215"/>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row>
    <row r="863">
      <c r="A863" s="215"/>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row>
    <row r="864">
      <c r="A864" s="215"/>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row>
    <row r="865">
      <c r="A865" s="215"/>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row>
    <row r="866">
      <c r="A866" s="215"/>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row>
    <row r="867">
      <c r="A867" s="215"/>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row>
    <row r="868">
      <c r="A868" s="215"/>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row>
    <row r="869">
      <c r="A869" s="215"/>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row>
    <row r="870">
      <c r="A870" s="215"/>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row>
    <row r="871">
      <c r="A871" s="215"/>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row>
    <row r="872">
      <c r="A872" s="215"/>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row>
    <row r="873">
      <c r="A873" s="215"/>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row>
    <row r="874">
      <c r="A874" s="215"/>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row>
    <row r="875">
      <c r="A875" s="215"/>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row>
    <row r="876">
      <c r="A876" s="215"/>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row>
    <row r="877">
      <c r="A877" s="215"/>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row>
    <row r="878">
      <c r="A878" s="215"/>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row>
    <row r="879">
      <c r="A879" s="215"/>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row>
    <row r="880">
      <c r="A880" s="215"/>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row>
    <row r="881">
      <c r="A881" s="215"/>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row>
    <row r="882">
      <c r="A882" s="215"/>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row>
    <row r="883">
      <c r="A883" s="215"/>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row>
    <row r="884">
      <c r="A884" s="215"/>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row>
    <row r="885">
      <c r="A885" s="215"/>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row>
    <row r="886">
      <c r="A886" s="215"/>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row>
    <row r="887">
      <c r="A887" s="215"/>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row>
    <row r="888">
      <c r="A888" s="215"/>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row>
    <row r="889">
      <c r="A889" s="215"/>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row>
    <row r="890">
      <c r="A890" s="215"/>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row>
    <row r="891">
      <c r="A891" s="215"/>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row>
    <row r="892">
      <c r="A892" s="215"/>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row>
    <row r="893">
      <c r="A893" s="215"/>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row>
    <row r="894">
      <c r="A894" s="215"/>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row>
    <row r="895">
      <c r="A895" s="215"/>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row>
    <row r="896">
      <c r="A896" s="215"/>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row>
    <row r="897">
      <c r="A897" s="215"/>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row>
    <row r="898">
      <c r="A898" s="215"/>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row>
    <row r="899">
      <c r="A899" s="215"/>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row>
    <row r="900">
      <c r="A900" s="215"/>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row>
    <row r="901">
      <c r="A901" s="215"/>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row>
    <row r="902">
      <c r="A902" s="215"/>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row>
    <row r="903">
      <c r="A903" s="215"/>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row>
    <row r="904">
      <c r="A904" s="215"/>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row>
    <row r="905">
      <c r="A905" s="215"/>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row>
    <row r="906">
      <c r="A906" s="215"/>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row>
    <row r="907">
      <c r="A907" s="215"/>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row>
    <row r="908">
      <c r="A908" s="215"/>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row>
    <row r="909">
      <c r="A909" s="215"/>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row>
    <row r="910">
      <c r="A910" s="215"/>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row>
    <row r="911">
      <c r="A911" s="215"/>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row>
    <row r="912">
      <c r="A912" s="215"/>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row>
    <row r="913">
      <c r="A913" s="215"/>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row>
    <row r="914">
      <c r="A914" s="215"/>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row>
    <row r="915">
      <c r="A915" s="215"/>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row>
    <row r="916">
      <c r="A916" s="215"/>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row>
    <row r="917">
      <c r="A917" s="215"/>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row>
    <row r="918">
      <c r="A918" s="215"/>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row>
    <row r="919">
      <c r="A919" s="215"/>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row>
    <row r="920">
      <c r="A920" s="215"/>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row>
    <row r="921">
      <c r="A921" s="215"/>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row>
    <row r="922">
      <c r="A922" s="215"/>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row>
    <row r="923">
      <c r="A923" s="215"/>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row>
    <row r="924">
      <c r="A924" s="215"/>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row>
    <row r="925">
      <c r="A925" s="215"/>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row>
    <row r="926">
      <c r="A926" s="215"/>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row>
    <row r="927">
      <c r="A927" s="215"/>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row>
    <row r="928">
      <c r="A928" s="215"/>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row>
    <row r="929">
      <c r="A929" s="215"/>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row>
    <row r="930">
      <c r="A930" s="215"/>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row>
    <row r="931">
      <c r="A931" s="215"/>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row>
    <row r="932">
      <c r="A932" s="215"/>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row>
    <row r="933">
      <c r="A933" s="215"/>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row>
    <row r="934">
      <c r="A934" s="215"/>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row>
    <row r="935">
      <c r="A935" s="215"/>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row>
    <row r="936">
      <c r="A936" s="215"/>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row>
    <row r="937">
      <c r="A937" s="215"/>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row>
    <row r="938">
      <c r="A938" s="215"/>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row>
    <row r="939">
      <c r="A939" s="215"/>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row>
    <row r="940">
      <c r="A940" s="215"/>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row>
    <row r="941">
      <c r="A941" s="215"/>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row>
    <row r="942">
      <c r="A942" s="215"/>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row>
    <row r="943">
      <c r="A943" s="215"/>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row>
    <row r="944">
      <c r="A944" s="215"/>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row>
    <row r="945">
      <c r="A945" s="215"/>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row>
    <row r="946">
      <c r="A946" s="215"/>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row>
    <row r="947">
      <c r="A947" s="215"/>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row>
    <row r="948">
      <c r="A948" s="215"/>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row>
    <row r="949">
      <c r="A949" s="215"/>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row>
    <row r="950">
      <c r="A950" s="215"/>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row>
    <row r="951">
      <c r="A951" s="215"/>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row>
    <row r="952">
      <c r="A952" s="215"/>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row>
    <row r="953">
      <c r="A953" s="215"/>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row>
    <row r="954">
      <c r="A954" s="215"/>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row>
    <row r="955">
      <c r="A955" s="215"/>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row>
    <row r="956">
      <c r="A956" s="215"/>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row>
    <row r="957">
      <c r="A957" s="215"/>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row>
    <row r="958">
      <c r="A958" s="215"/>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row>
    <row r="959">
      <c r="A959" s="215"/>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row>
    <row r="960">
      <c r="A960" s="215"/>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row>
    <row r="961">
      <c r="A961" s="215"/>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row>
    <row r="962">
      <c r="A962" s="215"/>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row>
    <row r="963">
      <c r="A963" s="215"/>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row>
    <row r="964">
      <c r="A964" s="215"/>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row>
    <row r="965">
      <c r="A965" s="215"/>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row>
    <row r="966">
      <c r="A966" s="215"/>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row>
    <row r="967">
      <c r="A967" s="215"/>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row>
    <row r="968">
      <c r="A968" s="215"/>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row>
    <row r="969">
      <c r="A969" s="215"/>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row>
    <row r="970">
      <c r="A970" s="215"/>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row>
    <row r="971">
      <c r="A971" s="215"/>
      <c r="B971" s="215"/>
      <c r="C971" s="215"/>
      <c r="D971" s="215"/>
      <c r="E971" s="215"/>
      <c r="F971" s="215"/>
      <c r="G971" s="215"/>
      <c r="H971" s="215"/>
      <c r="I971" s="215"/>
      <c r="J971" s="215"/>
      <c r="K971" s="215"/>
      <c r="L971" s="215"/>
      <c r="M971" s="215"/>
      <c r="N971" s="215"/>
      <c r="O971" s="215"/>
      <c r="P971" s="215"/>
      <c r="Q971" s="215"/>
      <c r="R971" s="215"/>
      <c r="S971" s="215"/>
      <c r="T971" s="215"/>
      <c r="U971" s="215"/>
      <c r="V971" s="215"/>
      <c r="W971" s="215"/>
    </row>
    <row r="972">
      <c r="A972" s="215"/>
      <c r="B972" s="215"/>
      <c r="C972" s="215"/>
      <c r="D972" s="215"/>
      <c r="E972" s="215"/>
      <c r="F972" s="215"/>
      <c r="G972" s="215"/>
      <c r="H972" s="215"/>
      <c r="I972" s="215"/>
      <c r="J972" s="215"/>
      <c r="K972" s="215"/>
      <c r="L972" s="215"/>
      <c r="M972" s="215"/>
      <c r="N972" s="215"/>
      <c r="O972" s="215"/>
      <c r="P972" s="215"/>
      <c r="Q972" s="215"/>
      <c r="R972" s="215"/>
      <c r="S972" s="215"/>
      <c r="T972" s="215"/>
      <c r="U972" s="215"/>
      <c r="V972" s="215"/>
      <c r="W972" s="215"/>
    </row>
    <row r="973">
      <c r="A973" s="215"/>
      <c r="B973" s="215"/>
      <c r="C973" s="215"/>
      <c r="D973" s="215"/>
      <c r="E973" s="215"/>
      <c r="F973" s="215"/>
      <c r="G973" s="215"/>
      <c r="H973" s="215"/>
      <c r="I973" s="215"/>
      <c r="J973" s="215"/>
      <c r="K973" s="215"/>
      <c r="L973" s="215"/>
      <c r="M973" s="215"/>
      <c r="N973" s="215"/>
      <c r="O973" s="215"/>
      <c r="P973" s="215"/>
      <c r="Q973" s="215"/>
      <c r="R973" s="215"/>
      <c r="S973" s="215"/>
      <c r="T973" s="215"/>
      <c r="U973" s="215"/>
      <c r="V973" s="215"/>
      <c r="W973" s="215"/>
    </row>
    <row r="974">
      <c r="A974" s="215"/>
      <c r="B974" s="215"/>
      <c r="C974" s="215"/>
      <c r="D974" s="215"/>
      <c r="E974" s="215"/>
      <c r="F974" s="215"/>
      <c r="G974" s="215"/>
      <c r="H974" s="215"/>
      <c r="I974" s="215"/>
      <c r="J974" s="215"/>
      <c r="K974" s="215"/>
      <c r="L974" s="215"/>
      <c r="M974" s="215"/>
      <c r="N974" s="215"/>
      <c r="O974" s="215"/>
      <c r="P974" s="215"/>
      <c r="Q974" s="215"/>
      <c r="R974" s="215"/>
      <c r="S974" s="215"/>
      <c r="T974" s="215"/>
      <c r="U974" s="215"/>
      <c r="V974" s="215"/>
      <c r="W974" s="215"/>
    </row>
    <row r="975">
      <c r="A975" s="215"/>
      <c r="B975" s="215"/>
      <c r="C975" s="215"/>
      <c r="D975" s="215"/>
      <c r="E975" s="215"/>
      <c r="F975" s="215"/>
      <c r="G975" s="215"/>
      <c r="H975" s="215"/>
      <c r="I975" s="215"/>
      <c r="J975" s="215"/>
      <c r="K975" s="215"/>
      <c r="L975" s="215"/>
      <c r="M975" s="215"/>
      <c r="N975" s="215"/>
      <c r="O975" s="215"/>
      <c r="P975" s="215"/>
      <c r="Q975" s="215"/>
      <c r="R975" s="215"/>
      <c r="S975" s="215"/>
      <c r="T975" s="215"/>
      <c r="U975" s="215"/>
      <c r="V975" s="215"/>
      <c r="W975" s="215"/>
    </row>
    <row r="976">
      <c r="A976" s="215"/>
      <c r="B976" s="215"/>
      <c r="C976" s="215"/>
      <c r="D976" s="215"/>
      <c r="E976" s="215"/>
      <c r="F976" s="215"/>
      <c r="G976" s="215"/>
      <c r="H976" s="215"/>
      <c r="I976" s="215"/>
      <c r="J976" s="215"/>
      <c r="K976" s="215"/>
      <c r="L976" s="215"/>
      <c r="M976" s="215"/>
      <c r="N976" s="215"/>
      <c r="O976" s="215"/>
      <c r="P976" s="215"/>
      <c r="Q976" s="215"/>
      <c r="R976" s="215"/>
      <c r="S976" s="215"/>
      <c r="T976" s="215"/>
      <c r="U976" s="215"/>
      <c r="V976" s="215"/>
      <c r="W976" s="215"/>
    </row>
    <row r="977">
      <c r="A977" s="215"/>
      <c r="B977" s="215"/>
      <c r="C977" s="215"/>
      <c r="D977" s="215"/>
      <c r="E977" s="215"/>
      <c r="F977" s="215"/>
      <c r="G977" s="215"/>
      <c r="H977" s="215"/>
      <c r="I977" s="215"/>
      <c r="J977" s="215"/>
      <c r="K977" s="215"/>
      <c r="L977" s="215"/>
      <c r="M977" s="215"/>
      <c r="N977" s="215"/>
      <c r="O977" s="215"/>
      <c r="P977" s="215"/>
      <c r="Q977" s="215"/>
      <c r="R977" s="215"/>
      <c r="S977" s="215"/>
      <c r="T977" s="215"/>
      <c r="U977" s="215"/>
      <c r="V977" s="215"/>
      <c r="W977" s="215"/>
    </row>
    <row r="978">
      <c r="A978" s="215"/>
      <c r="B978" s="215"/>
      <c r="C978" s="215"/>
      <c r="D978" s="215"/>
      <c r="E978" s="215"/>
      <c r="F978" s="215"/>
      <c r="G978" s="215"/>
      <c r="H978" s="215"/>
      <c r="I978" s="215"/>
      <c r="J978" s="215"/>
      <c r="K978" s="215"/>
      <c r="L978" s="215"/>
      <c r="M978" s="215"/>
      <c r="N978" s="215"/>
      <c r="O978" s="215"/>
      <c r="P978" s="215"/>
      <c r="Q978" s="215"/>
      <c r="R978" s="215"/>
      <c r="S978" s="215"/>
      <c r="T978" s="215"/>
      <c r="U978" s="215"/>
      <c r="V978" s="215"/>
      <c r="W978" s="215"/>
    </row>
    <row r="979">
      <c r="A979" s="215"/>
      <c r="B979" s="215"/>
      <c r="C979" s="215"/>
      <c r="D979" s="215"/>
      <c r="E979" s="215"/>
      <c r="F979" s="215"/>
      <c r="G979" s="215"/>
      <c r="H979" s="215"/>
      <c r="I979" s="215"/>
      <c r="J979" s="215"/>
      <c r="K979" s="215"/>
      <c r="L979" s="215"/>
      <c r="M979" s="215"/>
      <c r="N979" s="215"/>
      <c r="O979" s="215"/>
      <c r="P979" s="215"/>
      <c r="Q979" s="215"/>
      <c r="R979" s="215"/>
      <c r="S979" s="215"/>
      <c r="T979" s="215"/>
      <c r="U979" s="215"/>
      <c r="V979" s="215"/>
      <c r="W979" s="215"/>
    </row>
    <row r="980">
      <c r="A980" s="215"/>
      <c r="B980" s="215"/>
      <c r="C980" s="215"/>
      <c r="D980" s="215"/>
      <c r="E980" s="215"/>
      <c r="F980" s="215"/>
      <c r="G980" s="215"/>
      <c r="H980" s="215"/>
      <c r="I980" s="215"/>
      <c r="J980" s="215"/>
      <c r="K980" s="215"/>
      <c r="L980" s="215"/>
      <c r="M980" s="215"/>
      <c r="N980" s="215"/>
      <c r="O980" s="215"/>
      <c r="P980" s="215"/>
      <c r="Q980" s="215"/>
      <c r="R980" s="215"/>
      <c r="S980" s="215"/>
      <c r="T980" s="215"/>
      <c r="U980" s="215"/>
      <c r="V980" s="215"/>
      <c r="W980" s="215"/>
    </row>
    <row r="981">
      <c r="A981" s="215"/>
      <c r="B981" s="215"/>
      <c r="C981" s="215"/>
      <c r="D981" s="215"/>
      <c r="E981" s="215"/>
      <c r="F981" s="215"/>
      <c r="G981" s="215"/>
      <c r="H981" s="215"/>
      <c r="I981" s="215"/>
      <c r="J981" s="215"/>
      <c r="K981" s="215"/>
      <c r="L981" s="215"/>
      <c r="M981" s="215"/>
      <c r="N981" s="215"/>
      <c r="O981" s="215"/>
      <c r="P981" s="215"/>
      <c r="Q981" s="215"/>
      <c r="R981" s="215"/>
      <c r="S981" s="215"/>
      <c r="T981" s="215"/>
      <c r="U981" s="215"/>
      <c r="V981" s="215"/>
      <c r="W981" s="215"/>
    </row>
    <row r="982">
      <c r="A982" s="215"/>
      <c r="B982" s="215"/>
      <c r="C982" s="215"/>
      <c r="D982" s="215"/>
      <c r="E982" s="215"/>
      <c r="F982" s="215"/>
      <c r="G982" s="215"/>
      <c r="H982" s="215"/>
      <c r="I982" s="215"/>
      <c r="J982" s="215"/>
      <c r="K982" s="215"/>
      <c r="L982" s="215"/>
      <c r="M982" s="215"/>
      <c r="N982" s="215"/>
      <c r="O982" s="215"/>
      <c r="P982" s="215"/>
      <c r="Q982" s="215"/>
      <c r="R982" s="215"/>
      <c r="S982" s="215"/>
      <c r="T982" s="215"/>
      <c r="U982" s="215"/>
      <c r="V982" s="215"/>
      <c r="W982" s="215"/>
    </row>
    <row r="983">
      <c r="A983" s="215"/>
      <c r="B983" s="215"/>
      <c r="C983" s="215"/>
      <c r="D983" s="215"/>
      <c r="E983" s="215"/>
      <c r="F983" s="215"/>
      <c r="G983" s="215"/>
      <c r="H983" s="215"/>
      <c r="I983" s="215"/>
      <c r="J983" s="215"/>
      <c r="K983" s="215"/>
      <c r="L983" s="215"/>
      <c r="M983" s="215"/>
      <c r="N983" s="215"/>
      <c r="O983" s="215"/>
      <c r="P983" s="215"/>
      <c r="Q983" s="215"/>
      <c r="R983" s="215"/>
      <c r="S983" s="215"/>
      <c r="T983" s="215"/>
      <c r="U983" s="215"/>
      <c r="V983" s="215"/>
      <c r="W983" s="215"/>
    </row>
    <row r="984">
      <c r="A984" s="215"/>
      <c r="B984" s="215"/>
      <c r="C984" s="215"/>
      <c r="D984" s="215"/>
      <c r="E984" s="215"/>
      <c r="F984" s="215"/>
      <c r="G984" s="215"/>
      <c r="H984" s="215"/>
      <c r="I984" s="215"/>
      <c r="J984" s="215"/>
      <c r="K984" s="215"/>
      <c r="L984" s="215"/>
      <c r="M984" s="215"/>
      <c r="N984" s="215"/>
      <c r="O984" s="215"/>
      <c r="P984" s="215"/>
      <c r="Q984" s="215"/>
      <c r="R984" s="215"/>
      <c r="S984" s="215"/>
      <c r="T984" s="215"/>
      <c r="U984" s="215"/>
      <c r="V984" s="215"/>
      <c r="W984" s="215"/>
    </row>
    <row r="985">
      <c r="A985" s="215"/>
      <c r="B985" s="215"/>
      <c r="C985" s="215"/>
      <c r="D985" s="215"/>
      <c r="E985" s="215"/>
      <c r="F985" s="215"/>
      <c r="G985" s="215"/>
      <c r="H985" s="215"/>
      <c r="I985" s="215"/>
      <c r="J985" s="215"/>
      <c r="K985" s="215"/>
      <c r="L985" s="215"/>
      <c r="M985" s="215"/>
      <c r="N985" s="215"/>
      <c r="O985" s="215"/>
      <c r="P985" s="215"/>
      <c r="Q985" s="215"/>
      <c r="R985" s="215"/>
      <c r="S985" s="215"/>
      <c r="T985" s="215"/>
      <c r="U985" s="215"/>
      <c r="V985" s="215"/>
      <c r="W985" s="215"/>
    </row>
    <row r="986">
      <c r="A986" s="215"/>
      <c r="B986" s="215"/>
      <c r="C986" s="215"/>
      <c r="D986" s="215"/>
      <c r="E986" s="215"/>
      <c r="F986" s="215"/>
      <c r="G986" s="215"/>
      <c r="H986" s="215"/>
      <c r="I986" s="215"/>
      <c r="J986" s="215"/>
      <c r="K986" s="215"/>
      <c r="L986" s="215"/>
      <c r="M986" s="215"/>
      <c r="N986" s="215"/>
      <c r="O986" s="215"/>
      <c r="P986" s="215"/>
      <c r="Q986" s="215"/>
      <c r="R986" s="215"/>
      <c r="S986" s="215"/>
      <c r="T986" s="215"/>
      <c r="U986" s="215"/>
      <c r="V986" s="215"/>
      <c r="W986" s="215"/>
    </row>
    <row r="987">
      <c r="A987" s="215"/>
      <c r="B987" s="215"/>
      <c r="C987" s="215"/>
      <c r="D987" s="215"/>
      <c r="E987" s="215"/>
      <c r="F987" s="215"/>
      <c r="G987" s="215"/>
      <c r="H987" s="215"/>
      <c r="I987" s="215"/>
      <c r="J987" s="215"/>
      <c r="K987" s="215"/>
      <c r="L987" s="215"/>
      <c r="M987" s="215"/>
      <c r="N987" s="215"/>
      <c r="O987" s="215"/>
      <c r="P987" s="215"/>
      <c r="Q987" s="215"/>
      <c r="R987" s="215"/>
      <c r="S987" s="215"/>
      <c r="T987" s="215"/>
      <c r="U987" s="215"/>
      <c r="V987" s="215"/>
      <c r="W987" s="215"/>
    </row>
    <row r="988">
      <c r="A988" s="215"/>
      <c r="B988" s="215"/>
      <c r="C988" s="215"/>
      <c r="D988" s="215"/>
      <c r="E988" s="215"/>
      <c r="F988" s="215"/>
      <c r="G988" s="215"/>
      <c r="H988" s="215"/>
      <c r="I988" s="215"/>
      <c r="J988" s="215"/>
      <c r="K988" s="215"/>
      <c r="L988" s="215"/>
      <c r="M988" s="215"/>
      <c r="N988" s="215"/>
      <c r="O988" s="215"/>
      <c r="P988" s="215"/>
      <c r="Q988" s="215"/>
      <c r="R988" s="215"/>
      <c r="S988" s="215"/>
      <c r="T988" s="215"/>
      <c r="U988" s="215"/>
      <c r="V988" s="215"/>
      <c r="W988" s="215"/>
    </row>
    <row r="989">
      <c r="A989" s="215"/>
      <c r="B989" s="215"/>
      <c r="C989" s="215"/>
      <c r="D989" s="215"/>
      <c r="E989" s="215"/>
      <c r="F989" s="215"/>
      <c r="G989" s="215"/>
      <c r="H989" s="215"/>
      <c r="I989" s="215"/>
      <c r="J989" s="215"/>
      <c r="K989" s="215"/>
      <c r="L989" s="215"/>
      <c r="M989" s="215"/>
      <c r="N989" s="215"/>
      <c r="O989" s="215"/>
      <c r="P989" s="215"/>
      <c r="Q989" s="215"/>
      <c r="R989" s="215"/>
      <c r="S989" s="215"/>
      <c r="T989" s="215"/>
      <c r="U989" s="215"/>
      <c r="V989" s="215"/>
      <c r="W989" s="215"/>
    </row>
    <row r="990">
      <c r="A990" s="215"/>
      <c r="B990" s="215"/>
      <c r="C990" s="215"/>
      <c r="D990" s="215"/>
      <c r="E990" s="215"/>
      <c r="F990" s="215"/>
      <c r="G990" s="215"/>
      <c r="H990" s="215"/>
      <c r="I990" s="215"/>
      <c r="J990" s="215"/>
      <c r="K990" s="215"/>
      <c r="L990" s="215"/>
      <c r="M990" s="215"/>
      <c r="N990" s="215"/>
      <c r="O990" s="215"/>
      <c r="P990" s="215"/>
      <c r="Q990" s="215"/>
      <c r="R990" s="215"/>
      <c r="S990" s="215"/>
      <c r="T990" s="215"/>
      <c r="U990" s="215"/>
      <c r="V990" s="215"/>
      <c r="W990" s="215"/>
    </row>
    <row r="991">
      <c r="A991" s="215"/>
      <c r="B991" s="215"/>
      <c r="C991" s="215"/>
      <c r="D991" s="215"/>
      <c r="E991" s="215"/>
      <c r="F991" s="215"/>
      <c r="G991" s="215"/>
      <c r="H991" s="215"/>
      <c r="I991" s="215"/>
      <c r="J991" s="215"/>
      <c r="K991" s="215"/>
      <c r="L991" s="215"/>
      <c r="M991" s="215"/>
      <c r="N991" s="215"/>
      <c r="O991" s="215"/>
      <c r="P991" s="215"/>
      <c r="Q991" s="215"/>
      <c r="R991" s="215"/>
      <c r="S991" s="215"/>
      <c r="T991" s="215"/>
      <c r="U991" s="215"/>
      <c r="V991" s="215"/>
      <c r="W991" s="215"/>
    </row>
    <row r="992">
      <c r="A992" s="215"/>
      <c r="B992" s="215"/>
      <c r="C992" s="215"/>
      <c r="D992" s="215"/>
      <c r="E992" s="215"/>
      <c r="F992" s="215"/>
      <c r="G992" s="215"/>
      <c r="H992" s="215"/>
      <c r="I992" s="215"/>
      <c r="J992" s="215"/>
      <c r="K992" s="215"/>
      <c r="L992" s="215"/>
      <c r="M992" s="215"/>
      <c r="N992" s="215"/>
      <c r="O992" s="215"/>
      <c r="P992" s="215"/>
      <c r="Q992" s="215"/>
      <c r="R992" s="215"/>
      <c r="S992" s="215"/>
      <c r="T992" s="215"/>
      <c r="U992" s="215"/>
      <c r="V992" s="215"/>
      <c r="W992" s="215"/>
    </row>
    <row r="993">
      <c r="A993" s="215"/>
      <c r="B993" s="215"/>
      <c r="C993" s="215"/>
      <c r="D993" s="215"/>
      <c r="E993" s="215"/>
      <c r="F993" s="215"/>
      <c r="G993" s="215"/>
      <c r="H993" s="215"/>
      <c r="I993" s="215"/>
      <c r="J993" s="215"/>
      <c r="K993" s="215"/>
      <c r="L993" s="215"/>
      <c r="M993" s="215"/>
      <c r="N993" s="215"/>
      <c r="O993" s="215"/>
      <c r="P993" s="215"/>
      <c r="Q993" s="215"/>
      <c r="R993" s="215"/>
      <c r="S993" s="215"/>
      <c r="T993" s="215"/>
      <c r="U993" s="215"/>
      <c r="V993" s="215"/>
      <c r="W993" s="215"/>
    </row>
    <row r="994">
      <c r="A994" s="215"/>
      <c r="B994" s="215"/>
      <c r="C994" s="215"/>
      <c r="D994" s="215"/>
      <c r="E994" s="215"/>
      <c r="F994" s="215"/>
      <c r="G994" s="215"/>
      <c r="H994" s="215"/>
      <c r="I994" s="215"/>
      <c r="J994" s="215"/>
      <c r="K994" s="215"/>
      <c r="L994" s="215"/>
      <c r="M994" s="215"/>
      <c r="N994" s="215"/>
      <c r="O994" s="215"/>
      <c r="P994" s="215"/>
      <c r="Q994" s="215"/>
      <c r="R994" s="215"/>
      <c r="S994" s="215"/>
      <c r="T994" s="215"/>
      <c r="U994" s="215"/>
      <c r="V994" s="215"/>
      <c r="W994" s="215"/>
    </row>
    <row r="995">
      <c r="A995" s="215"/>
      <c r="B995" s="215"/>
      <c r="C995" s="215"/>
      <c r="D995" s="215"/>
      <c r="E995" s="215"/>
      <c r="F995" s="215"/>
      <c r="G995" s="215"/>
      <c r="H995" s="215"/>
      <c r="I995" s="215"/>
      <c r="J995" s="215"/>
      <c r="K995" s="215"/>
      <c r="L995" s="215"/>
      <c r="M995" s="215"/>
      <c r="N995" s="215"/>
      <c r="O995" s="215"/>
      <c r="P995" s="215"/>
      <c r="Q995" s="215"/>
      <c r="R995" s="215"/>
      <c r="S995" s="215"/>
      <c r="T995" s="215"/>
      <c r="U995" s="215"/>
      <c r="V995" s="215"/>
      <c r="W995" s="215"/>
    </row>
    <row r="996">
      <c r="A996" s="215"/>
      <c r="B996" s="215"/>
      <c r="C996" s="215"/>
      <c r="D996" s="215"/>
      <c r="E996" s="215"/>
      <c r="F996" s="215"/>
      <c r="G996" s="215"/>
      <c r="H996" s="215"/>
      <c r="I996" s="215"/>
      <c r="J996" s="215"/>
      <c r="K996" s="215"/>
      <c r="L996" s="215"/>
      <c r="M996" s="215"/>
      <c r="N996" s="215"/>
      <c r="O996" s="215"/>
      <c r="P996" s="215"/>
      <c r="Q996" s="215"/>
      <c r="R996" s="215"/>
      <c r="S996" s="215"/>
      <c r="T996" s="215"/>
      <c r="U996" s="215"/>
      <c r="V996" s="215"/>
      <c r="W996" s="215"/>
    </row>
    <row r="997">
      <c r="A997" s="215"/>
      <c r="B997" s="215"/>
      <c r="C997" s="215"/>
      <c r="D997" s="215"/>
      <c r="E997" s="215"/>
      <c r="F997" s="215"/>
      <c r="G997" s="215"/>
      <c r="H997" s="215"/>
      <c r="I997" s="215"/>
      <c r="J997" s="215"/>
      <c r="K997" s="215"/>
      <c r="L997" s="215"/>
      <c r="M997" s="215"/>
      <c r="N997" s="215"/>
      <c r="O997" s="215"/>
      <c r="P997" s="215"/>
      <c r="Q997" s="215"/>
      <c r="R997" s="215"/>
      <c r="S997" s="215"/>
      <c r="T997" s="215"/>
      <c r="U997" s="215"/>
      <c r="V997" s="215"/>
      <c r="W997" s="215"/>
    </row>
    <row r="998">
      <c r="A998" s="215"/>
      <c r="B998" s="215"/>
      <c r="C998" s="215"/>
      <c r="D998" s="215"/>
      <c r="E998" s="215"/>
      <c r="F998" s="215"/>
      <c r="G998" s="215"/>
      <c r="H998" s="215"/>
      <c r="I998" s="215"/>
      <c r="J998" s="215"/>
      <c r="K998" s="215"/>
      <c r="L998" s="215"/>
      <c r="M998" s="215"/>
      <c r="N998" s="215"/>
      <c r="O998" s="215"/>
      <c r="P998" s="215"/>
      <c r="Q998" s="215"/>
      <c r="R998" s="215"/>
      <c r="S998" s="215"/>
      <c r="T998" s="215"/>
      <c r="U998" s="215"/>
      <c r="V998" s="215"/>
      <c r="W998" s="215"/>
    </row>
    <row r="999">
      <c r="A999" s="215"/>
      <c r="B999" s="215"/>
      <c r="C999" s="215"/>
      <c r="D999" s="215"/>
      <c r="E999" s="215"/>
      <c r="F999" s="215"/>
      <c r="G999" s="215"/>
      <c r="H999" s="215"/>
      <c r="I999" s="215"/>
      <c r="J999" s="215"/>
      <c r="K999" s="215"/>
      <c r="L999" s="215"/>
      <c r="M999" s="215"/>
      <c r="N999" s="215"/>
      <c r="O999" s="215"/>
      <c r="P999" s="215"/>
      <c r="Q999" s="215"/>
      <c r="R999" s="215"/>
      <c r="S999" s="215"/>
      <c r="T999" s="215"/>
      <c r="U999" s="215"/>
      <c r="V999" s="215"/>
      <c r="W999" s="215"/>
    </row>
    <row r="1000">
      <c r="A1000" s="215"/>
      <c r="B1000" s="215"/>
      <c r="C1000" s="215"/>
      <c r="D1000" s="215"/>
      <c r="E1000" s="215"/>
      <c r="F1000" s="215"/>
      <c r="G1000" s="215"/>
      <c r="H1000" s="215"/>
      <c r="I1000" s="215"/>
      <c r="J1000" s="215"/>
      <c r="K1000" s="215"/>
      <c r="L1000" s="215"/>
      <c r="M1000" s="215"/>
      <c r="N1000" s="215"/>
      <c r="O1000" s="215"/>
      <c r="P1000" s="215"/>
      <c r="Q1000" s="215"/>
      <c r="R1000" s="215"/>
      <c r="S1000" s="215"/>
      <c r="T1000" s="215"/>
      <c r="U1000" s="215"/>
      <c r="V1000" s="215"/>
      <c r="W1000" s="2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6" t="s">
        <v>5</v>
      </c>
      <c r="B1" s="163"/>
      <c r="C1" s="163"/>
      <c r="D1" s="163"/>
      <c r="E1" s="163"/>
      <c r="F1" s="163"/>
      <c r="G1" s="163"/>
      <c r="H1" s="163"/>
      <c r="I1" s="163"/>
      <c r="J1" s="163"/>
      <c r="K1" s="163"/>
      <c r="L1" s="163"/>
      <c r="M1" s="163"/>
      <c r="N1" s="163"/>
      <c r="O1" s="163"/>
      <c r="P1" s="163"/>
      <c r="Q1" s="163"/>
      <c r="R1" s="163"/>
      <c r="S1" s="163"/>
      <c r="T1" s="163"/>
      <c r="U1" s="163"/>
      <c r="V1" s="163"/>
      <c r="W1" s="163"/>
      <c r="X1" s="163"/>
      <c r="Y1" s="163"/>
      <c r="Z1" s="163"/>
    </row>
    <row r="2">
      <c r="A2" s="217">
        <v>1.0</v>
      </c>
      <c r="B2" s="218" t="s">
        <v>220</v>
      </c>
      <c r="C2" s="219" t="s">
        <v>222</v>
      </c>
      <c r="D2" s="218" t="s">
        <v>1242</v>
      </c>
      <c r="E2" s="218" t="s">
        <v>10</v>
      </c>
      <c r="F2" s="218" t="s">
        <v>109</v>
      </c>
      <c r="G2" s="218" t="s">
        <v>110</v>
      </c>
      <c r="H2" s="218" t="s">
        <v>12</v>
      </c>
      <c r="I2" s="218" t="s">
        <v>13</v>
      </c>
      <c r="J2" s="218" t="s">
        <v>14</v>
      </c>
      <c r="K2" s="218" t="s">
        <v>8</v>
      </c>
      <c r="L2" s="218" t="s">
        <v>9</v>
      </c>
      <c r="M2" s="218" t="s">
        <v>15</v>
      </c>
      <c r="N2" s="218" t="s">
        <v>4</v>
      </c>
      <c r="O2" s="218" t="s">
        <v>227</v>
      </c>
      <c r="P2" s="218" t="s">
        <v>4</v>
      </c>
      <c r="Q2" s="163"/>
      <c r="R2" s="163"/>
      <c r="S2" s="163"/>
      <c r="T2" s="163"/>
      <c r="U2" s="163"/>
      <c r="V2" s="163"/>
      <c r="W2" s="163"/>
      <c r="X2" s="163"/>
      <c r="Y2" s="163"/>
      <c r="Z2" s="163"/>
    </row>
    <row r="3">
      <c r="A3" s="163"/>
      <c r="B3" s="220">
        <f>Projections!$AJ$16</f>
        <v>100</v>
      </c>
      <c r="C3" s="221">
        <v>1.0</v>
      </c>
      <c r="D3" s="222" t="str">
        <f t="array" ref="D3">INDIRECT("Draft!D"&amp;TEXT(A2+2,"0"))</f>
        <v/>
      </c>
      <c r="E3" s="223" t="str">
        <f>IF($D3="","", VLOOKUP($D3,'Final Update'!$Q$21:$AE1000,Column(G1),False))</f>
        <v/>
      </c>
      <c r="F3" s="223" t="str">
        <f>IF($D3="","", VLOOKUP($D3,'Final Update'!$Q$21:$AE1000,Column(H1),False))</f>
        <v/>
      </c>
      <c r="G3" s="223" t="str">
        <f>IF($D3="","", VLOOKUP($D3,'Final Update'!$Q$21:$AE1000,Column(I1),False))</f>
        <v/>
      </c>
      <c r="H3" s="223" t="str">
        <f>IF($D3="","", VLOOKUP($D3,'Final Update'!$Q$21:$AE1000,Column(J1),False))</f>
        <v/>
      </c>
      <c r="I3" s="223" t="str">
        <f>IF($D3="","", VLOOKUP($D3,'Final Update'!$Q$21:$AE1000,Column(K1),False))</f>
        <v/>
      </c>
      <c r="J3" s="223" t="str">
        <f>IF($D3="","", VLOOKUP($D3,'Final Update'!$Q$21:$AE1000,Column(L1),False))</f>
        <v/>
      </c>
      <c r="K3" s="224" t="str">
        <f>IF($D3="","", VLOOKUP($D3,'Final Update'!$Q$21:$AE1000,Column(M1),False))</f>
        <v/>
      </c>
      <c r="L3" s="224" t="str">
        <f>IF($D3="","", VLOOKUP($D3,'Final Update'!$Q$21:$AE1000,Column(N1),False))</f>
        <v/>
      </c>
      <c r="M3" s="223" t="str">
        <f>IF($D3="","", VLOOKUP($D3,'Final Update'!$Q$21:$AE1000,Column(O1),False))</f>
        <v/>
      </c>
      <c r="N3" s="223" t="str">
        <f>IF($D3="","", VLOOKUP($D3,'Final Update'!$Q$21:$AE1000,Column(C1),False))</f>
        <v/>
      </c>
      <c r="O3" s="221">
        <f t="array" ref="O3">COUNTIF(FIND(P3,$N3:$N16),"&gt;0")</f>
        <v>0</v>
      </c>
      <c r="P3" s="222" t="s">
        <v>46</v>
      </c>
      <c r="Q3" s="163"/>
      <c r="R3" s="163"/>
      <c r="S3" s="163"/>
      <c r="T3" s="163"/>
      <c r="U3" s="163"/>
      <c r="V3" s="163"/>
      <c r="W3" s="163"/>
      <c r="X3" s="163"/>
      <c r="Y3" s="163"/>
      <c r="Z3" s="163"/>
    </row>
    <row r="4">
      <c r="A4" s="163"/>
      <c r="B4" s="220">
        <f>Projections!$AJ$17</f>
        <v>100</v>
      </c>
      <c r="C4" s="221">
        <v>2.0</v>
      </c>
      <c r="D4" s="225" t="str">
        <f t="array" ref="D4">INDIRECT("Draft!E"&amp;TEXT(15-A2,"0"))</f>
        <v/>
      </c>
      <c r="E4" s="223" t="str">
        <f>IF($D4="","", VLOOKUP($D4,'Final Update'!$Q$21:$AE1000,Column(G2),False))</f>
        <v/>
      </c>
      <c r="F4" s="223" t="str">
        <f>IF($D4="","", VLOOKUP($D4,'Final Update'!$Q$21:$AE1000,Column(H2),False))</f>
        <v/>
      </c>
      <c r="G4" s="223" t="str">
        <f>IF($D4="","", VLOOKUP($D4,'Final Update'!$Q$21:$AE1000,Column(I2),False))</f>
        <v/>
      </c>
      <c r="H4" s="223" t="str">
        <f>IF($D4="","", VLOOKUP($D4,'Final Update'!$Q$21:$AE1000,Column(J2),False))</f>
        <v/>
      </c>
      <c r="I4" s="223" t="str">
        <f>IF($D4="","", VLOOKUP($D4,'Final Update'!$Q$21:$AE1000,Column(K2),False))</f>
        <v/>
      </c>
      <c r="J4" s="223" t="str">
        <f>IF($D4="","", VLOOKUP($D4,'Final Update'!$Q$21:$AE1000,Column(L2),False))</f>
        <v/>
      </c>
      <c r="K4" s="224" t="str">
        <f>IF($D4="","", VLOOKUP($D4,'Final Update'!$Q$21:$AE1000,Column(M2),False))</f>
        <v/>
      </c>
      <c r="L4" s="224" t="str">
        <f>IF($D4="","", VLOOKUP($D4,'Final Update'!$Q$21:$AE1000,Column(N2),False))</f>
        <v/>
      </c>
      <c r="M4" s="223" t="str">
        <f>IF($D4="","", VLOOKUP($D4,'Final Update'!$Q$21:$AE1000,Column(O2),False))</f>
        <v/>
      </c>
      <c r="N4" s="223" t="str">
        <f>IF($D4="","", VLOOKUP($D4,'Final Update'!$Q$21:$AE1000,Column(C2),False))</f>
        <v/>
      </c>
      <c r="O4" s="221">
        <f t="array" ref="O4">COUNTIF(FIND(P4,$N3:$N16),"&gt;0")</f>
        <v>0</v>
      </c>
      <c r="P4" s="222" t="s">
        <v>47</v>
      </c>
      <c r="Q4" s="163"/>
      <c r="R4" s="163"/>
      <c r="S4" s="163"/>
      <c r="T4" s="163"/>
      <c r="U4" s="163"/>
      <c r="V4" s="163"/>
      <c r="W4" s="163"/>
      <c r="X4" s="163"/>
      <c r="Y4" s="163"/>
      <c r="Z4" s="163"/>
    </row>
    <row r="5">
      <c r="A5" s="163"/>
      <c r="B5" s="220">
        <f>Projections!$AJ$18</f>
        <v>100</v>
      </c>
      <c r="C5" s="221">
        <v>3.0</v>
      </c>
      <c r="D5" s="226" t="str">
        <f t="array" ref="D5">INDIRECT("Draft!F"&amp;TEXT(A2+2,"0"))</f>
        <v/>
      </c>
      <c r="E5" s="227" t="str">
        <f>IF($D5="","", VLOOKUP($D5,'Final Update'!$Q$21:$AE1000,Column(G3),False))</f>
        <v/>
      </c>
      <c r="F5" s="227" t="str">
        <f>IF($D5="","", VLOOKUP($D5,'Final Update'!$Q$21:$AE1000,Column(H3),False))</f>
        <v/>
      </c>
      <c r="G5" s="227" t="str">
        <f>IF($D5="","", VLOOKUP($D5,'Final Update'!$Q$21:$AE1000,Column(I3),False))</f>
        <v/>
      </c>
      <c r="H5" s="227" t="str">
        <f>IF($D5="","", VLOOKUP($D5,'Final Update'!$Q$21:$AE1000,Column(J3),False))</f>
        <v/>
      </c>
      <c r="I5" s="227" t="str">
        <f>IF($D5="","", VLOOKUP($D5,'Final Update'!$Q$21:$AE1000,Column(K3),False))</f>
        <v/>
      </c>
      <c r="J5" s="227" t="str">
        <f>IF($D5="","", VLOOKUP($D5,'Final Update'!$Q$21:$AE1000,Column(L3),False))</f>
        <v/>
      </c>
      <c r="K5" s="228" t="str">
        <f>IF($D5="","", VLOOKUP($D5,'Final Update'!$Q$21:$AE1000,Column(M3),False))</f>
        <v/>
      </c>
      <c r="L5" s="228" t="str">
        <f>IF($D5="","", VLOOKUP($D5,'Final Update'!$Q$21:$AE1000,Column(N3),False))</f>
        <v/>
      </c>
      <c r="M5" s="227" t="str">
        <f>IF($D5="","", VLOOKUP($D5,'Final Update'!$Q$21:$AE1000,Column(O3),False))</f>
        <v/>
      </c>
      <c r="N5" s="227" t="str">
        <f>IF($D5="","", VLOOKUP($D5,'Final Update'!$Q$21:$AE1000,Column(C3),False))</f>
        <v/>
      </c>
      <c r="O5" s="221">
        <f t="array" ref="O5">COUNTIF(FIND(P5,$N3:$N16),"&gt;0")</f>
        <v>0</v>
      </c>
      <c r="P5" s="222" t="s">
        <v>48</v>
      </c>
      <c r="Q5" s="163"/>
      <c r="R5" s="163"/>
      <c r="S5" s="163"/>
      <c r="T5" s="163"/>
      <c r="U5" s="163"/>
      <c r="V5" s="163"/>
      <c r="W5" s="163"/>
      <c r="X5" s="163"/>
      <c r="Y5" s="163"/>
      <c r="Z5" s="163"/>
    </row>
    <row r="6">
      <c r="A6" s="163"/>
      <c r="B6" s="220">
        <f>Projections!$AJ$19</f>
        <v>100</v>
      </c>
      <c r="C6" s="221">
        <v>4.0</v>
      </c>
      <c r="D6" s="229" t="str">
        <f t="array" ref="D6">INDIRECT("Draft!G"&amp;TEXT(15-A2,"0"))</f>
        <v/>
      </c>
      <c r="E6" s="227" t="str">
        <f>IF($D6="","", VLOOKUP($D6,'Final Update'!$Q$21:$AE1000,Column(G4),False))</f>
        <v/>
      </c>
      <c r="F6" s="227" t="str">
        <f>IF($D6="","", VLOOKUP($D6,'Final Update'!$Q$21:$AE1000,Column(H4),False))</f>
        <v/>
      </c>
      <c r="G6" s="227" t="str">
        <f>IF($D6="","", VLOOKUP($D6,'Final Update'!$Q$21:$AE1000,Column(I4),False))</f>
        <v/>
      </c>
      <c r="H6" s="227" t="str">
        <f>IF($D6="","", VLOOKUP($D6,'Final Update'!$Q$21:$AE1000,Column(J4),False))</f>
        <v/>
      </c>
      <c r="I6" s="227" t="str">
        <f>IF($D6="","", VLOOKUP($D6,'Final Update'!$Q$21:$AE1000,Column(K4),False))</f>
        <v/>
      </c>
      <c r="J6" s="227" t="str">
        <f>IF($D6="","", VLOOKUP($D6,'Final Update'!$Q$21:$AE1000,Column(L4),False))</f>
        <v/>
      </c>
      <c r="K6" s="228" t="str">
        <f>IF($D6="","", VLOOKUP($D6,'Final Update'!$Q$21:$AE1000,Column(M4),False))</f>
        <v/>
      </c>
      <c r="L6" s="228" t="str">
        <f>IF($D6="","", VLOOKUP($D6,'Final Update'!$Q$21:$AE1000,Column(N4),False))</f>
        <v/>
      </c>
      <c r="M6" s="227" t="str">
        <f>IF($D6="","", VLOOKUP($D6,'Final Update'!$Q$21:$AE1000,Column(O4),False))</f>
        <v/>
      </c>
      <c r="N6" s="227" t="str">
        <f>IF($D6="","", VLOOKUP($D6,'Final Update'!$Q$21:$AE1000,Column(C4),False))</f>
        <v/>
      </c>
      <c r="O6" s="221">
        <f t="array" ref="O6">COUNTIF(FIND(P6,$N3:$N16),"&gt;0")</f>
        <v>0</v>
      </c>
      <c r="P6" s="222" t="s">
        <v>49</v>
      </c>
      <c r="Q6" s="163"/>
      <c r="R6" s="163"/>
      <c r="S6" s="163"/>
      <c r="T6" s="163"/>
      <c r="U6" s="163"/>
      <c r="V6" s="163"/>
      <c r="W6" s="163"/>
      <c r="X6" s="163"/>
      <c r="Y6" s="163"/>
      <c r="Z6" s="163"/>
    </row>
    <row r="7">
      <c r="A7" s="163"/>
      <c r="B7" s="220">
        <f>Projections!$AJ$20</f>
        <v>100</v>
      </c>
      <c r="C7" s="221">
        <v>5.0</v>
      </c>
      <c r="D7" s="230" t="str">
        <f t="array" ref="D7">INDIRECT("Draft!H"&amp;TEXT(A2+2,"0"))</f>
        <v/>
      </c>
      <c r="E7" s="227" t="str">
        <f>IF($D7="","", VLOOKUP($D7,'Final Update'!$Q$21:$AE1000,Column(G5),False))</f>
        <v/>
      </c>
      <c r="F7" s="227" t="str">
        <f>IF($D7="","", VLOOKUP($D7,'Final Update'!$Q$21:$AE1000,Column(H5),False))</f>
        <v/>
      </c>
      <c r="G7" s="227" t="str">
        <f>IF($D7="","", VLOOKUP($D7,'Final Update'!$Q$21:$AE1000,Column(I5),False))</f>
        <v/>
      </c>
      <c r="H7" s="227" t="str">
        <f>IF($D7="","", VLOOKUP($D7,'Final Update'!$Q$21:$AE1000,Column(J5),False))</f>
        <v/>
      </c>
      <c r="I7" s="227" t="str">
        <f>IF($D7="","", VLOOKUP($D7,'Final Update'!$Q$21:$AE1000,Column(K5),False))</f>
        <v/>
      </c>
      <c r="J7" s="227" t="str">
        <f>IF($D7="","", VLOOKUP($D7,'Final Update'!$Q$21:$AE1000,Column(L5),False))</f>
        <v/>
      </c>
      <c r="K7" s="228" t="str">
        <f>IF($D7="","", VLOOKUP($D7,'Final Update'!$Q$21:$AE1000,Column(M5),False))</f>
        <v/>
      </c>
      <c r="L7" s="228" t="str">
        <f>IF($D7="","", VLOOKUP($D7,'Final Update'!$Q$21:$AE1000,Column(N5),False))</f>
        <v/>
      </c>
      <c r="M7" s="227" t="str">
        <f>IF($D7="","", VLOOKUP($D7,'Final Update'!$Q$21:$AE1000,Column(O5),False))</f>
        <v/>
      </c>
      <c r="N7" s="227" t="str">
        <f>IF($D7="","", VLOOKUP($D7,'Final Update'!$Q$21:$AE1000,Column(C5),False))</f>
        <v/>
      </c>
      <c r="O7" s="221">
        <f t="array" ref="O7">COUNTIF(FIND(P7,$N3:$N16),"&gt;0")</f>
        <v>0</v>
      </c>
      <c r="P7" s="222" t="s">
        <v>34</v>
      </c>
      <c r="Q7" s="163"/>
      <c r="R7" s="163"/>
      <c r="S7" s="163"/>
      <c r="T7" s="163"/>
      <c r="U7" s="163"/>
      <c r="V7" s="163"/>
      <c r="W7" s="163"/>
      <c r="X7" s="163"/>
      <c r="Y7" s="163"/>
      <c r="Z7" s="163"/>
    </row>
    <row r="8">
      <c r="A8" s="163"/>
      <c r="B8" s="220">
        <f>Projections!$AJ$21</f>
        <v>100</v>
      </c>
      <c r="C8" s="221">
        <v>6.0</v>
      </c>
      <c r="D8" s="231" t="str">
        <f t="array" ref="D8">INDIRECT("Draft!I"&amp;TEXT(15-A2,"0"))</f>
        <v/>
      </c>
      <c r="E8" s="227" t="str">
        <f>IF($D8="","", VLOOKUP($D8,'Final Update'!$Q$21:$AE1000,Column(G6),False))</f>
        <v/>
      </c>
      <c r="F8" s="227" t="str">
        <f>IF($D8="","", VLOOKUP($D8,'Final Update'!$Q$21:$AE1000,Column(H6),False))</f>
        <v/>
      </c>
      <c r="G8" s="227" t="str">
        <f>IF($D8="","", VLOOKUP($D8,'Final Update'!$Q$21:$AE1000,Column(I6),False))</f>
        <v/>
      </c>
      <c r="H8" s="227" t="str">
        <f>IF($D8="","", VLOOKUP($D8,'Final Update'!$Q$21:$AE1000,Column(J6),False))</f>
        <v/>
      </c>
      <c r="I8" s="227" t="str">
        <f>IF($D8="","", VLOOKUP($D8,'Final Update'!$Q$21:$AE1000,Column(K6),False))</f>
        <v/>
      </c>
      <c r="J8" s="227" t="str">
        <f>IF($D8="","", VLOOKUP($D8,'Final Update'!$Q$21:$AE1000,Column(L6),False))</f>
        <v/>
      </c>
      <c r="K8" s="228" t="str">
        <f>IF($D8="","", VLOOKUP($D8,'Final Update'!$Q$21:$AE1000,Column(M6),False))</f>
        <v/>
      </c>
      <c r="L8" s="228" t="str">
        <f>IF($D8="","", VLOOKUP($D8,'Final Update'!$Q$21:$AE1000,Column(N6),False))</f>
        <v/>
      </c>
      <c r="M8" s="227" t="str">
        <f>IF($D8="","", VLOOKUP($D8,'Final Update'!$Q$21:$AE1000,Column(O6),False))</f>
        <v/>
      </c>
      <c r="N8" s="227" t="str">
        <f>IF($D8="","", VLOOKUP($D8,'Final Update'!$Q$21:$AE1000,Column(C6),False))</f>
        <v/>
      </c>
      <c r="O8" s="163"/>
      <c r="P8" s="163"/>
      <c r="Q8" s="163"/>
      <c r="R8" s="163"/>
      <c r="S8" s="163"/>
      <c r="T8" s="163"/>
      <c r="U8" s="163"/>
      <c r="V8" s="163"/>
      <c r="W8" s="163"/>
      <c r="X8" s="163"/>
      <c r="Y8" s="163"/>
      <c r="Z8" s="163"/>
    </row>
    <row r="9">
      <c r="A9" s="163"/>
      <c r="B9" s="220">
        <f>Projections!$AJ$22</f>
        <v>100</v>
      </c>
      <c r="C9" s="221">
        <v>7.0</v>
      </c>
      <c r="D9" s="230" t="str">
        <f t="array" ref="D9">INDIRECT("Draft!J"&amp;TEXT(A2+2,"0"))</f>
        <v/>
      </c>
      <c r="E9" s="227" t="str">
        <f>IF($D9="","", VLOOKUP($D9,'Final Update'!$Q$21:$AE1000,Column(G7),False))</f>
        <v/>
      </c>
      <c r="F9" s="227" t="str">
        <f>IF($D9="","", VLOOKUP($D9,'Final Update'!$Q$21:$AE1000,Column(H7),False))</f>
        <v/>
      </c>
      <c r="G9" s="227" t="str">
        <f>IF($D9="","", VLOOKUP($D9,'Final Update'!$Q$21:$AE1000,Column(I7),False))</f>
        <v/>
      </c>
      <c r="H9" s="227" t="str">
        <f>IF($D9="","", VLOOKUP($D9,'Final Update'!$Q$21:$AE1000,Column(J7),False))</f>
        <v/>
      </c>
      <c r="I9" s="227" t="str">
        <f>IF($D9="","", VLOOKUP($D9,'Final Update'!$Q$21:$AE1000,Column(K7),False))</f>
        <v/>
      </c>
      <c r="J9" s="227" t="str">
        <f>IF($D9="","", VLOOKUP($D9,'Final Update'!$Q$21:$AE1000,Column(L7),False))</f>
        <v/>
      </c>
      <c r="K9" s="228" t="str">
        <f>IF($D9="","", VLOOKUP($D9,'Final Update'!$Q$21:$AE1000,Column(M7),False))</f>
        <v/>
      </c>
      <c r="L9" s="228" t="str">
        <f>IF($D9="","", VLOOKUP($D9,'Final Update'!$Q$21:$AE1000,Column(N7),False))</f>
        <v/>
      </c>
      <c r="M9" s="227" t="str">
        <f>IF($D9="","", VLOOKUP($D9,'Final Update'!$Q$21:$AE1000,Column(O7),False))</f>
        <v/>
      </c>
      <c r="N9" s="227" t="str">
        <f>IF($D9="","", VLOOKUP($D9,'Final Update'!$Q$21:$AE1000,Column(C7),False))</f>
        <v/>
      </c>
      <c r="O9" s="163"/>
      <c r="P9" s="163"/>
      <c r="Q9" s="163"/>
      <c r="R9" s="163"/>
      <c r="S9" s="163"/>
      <c r="T9" s="163"/>
      <c r="U9" s="163"/>
      <c r="V9" s="163"/>
      <c r="W9" s="163"/>
      <c r="X9" s="163"/>
      <c r="Y9" s="163"/>
      <c r="Z9" s="163"/>
    </row>
    <row r="10">
      <c r="A10" s="163"/>
      <c r="B10" s="220">
        <f>Projections!$AJ$23</f>
        <v>100</v>
      </c>
      <c r="C10" s="221">
        <v>8.0</v>
      </c>
      <c r="D10" s="231" t="str">
        <f t="array" ref="D10">INDIRECT("Draft!K"&amp;TEXT(15-A2,"0"))</f>
        <v/>
      </c>
      <c r="E10" s="227" t="str">
        <f>IF($D10="","", VLOOKUP($D10,'Final Update'!$Q$21:$AE1000,Column(G8),False))</f>
        <v/>
      </c>
      <c r="F10" s="227" t="str">
        <f>IF($D10="","", VLOOKUP($D10,'Final Update'!$Q$21:$AE1000,Column(H8),False))</f>
        <v/>
      </c>
      <c r="G10" s="227" t="str">
        <f>IF($D10="","", VLOOKUP($D10,'Final Update'!$Q$21:$AE1000,Column(I8),False))</f>
        <v/>
      </c>
      <c r="H10" s="227" t="str">
        <f>IF($D10="","", VLOOKUP($D10,'Final Update'!$Q$21:$AE1000,Column(J8),False))</f>
        <v/>
      </c>
      <c r="I10" s="227" t="str">
        <f>IF($D10="","", VLOOKUP($D10,'Final Update'!$Q$21:$AE1000,Column(K8),False))</f>
        <v/>
      </c>
      <c r="J10" s="227" t="str">
        <f>IF($D10="","", VLOOKUP($D10,'Final Update'!$Q$21:$AE1000,Column(L8),False))</f>
        <v/>
      </c>
      <c r="K10" s="228" t="str">
        <f>IF($D10="","", VLOOKUP($D10,'Final Update'!$Q$21:$AE1000,Column(M8),False))</f>
        <v/>
      </c>
      <c r="L10" s="228" t="str">
        <f>IF($D10="","", VLOOKUP($D10,'Final Update'!$Q$21:$AE1000,Column(N8),False))</f>
        <v/>
      </c>
      <c r="M10" s="227" t="str">
        <f>IF($D10="","", VLOOKUP($D10,'Final Update'!$Q$21:$AE1000,Column(O8),False))</f>
        <v/>
      </c>
      <c r="N10" s="227" t="str">
        <f>IF($D10="","", VLOOKUP($D10,'Final Update'!$Q$21:$AE1000,Column(C8),False))</f>
        <v/>
      </c>
      <c r="O10" s="163"/>
      <c r="P10" s="163"/>
      <c r="Q10" s="163"/>
      <c r="R10" s="163"/>
      <c r="S10" s="163"/>
      <c r="T10" s="163"/>
      <c r="U10" s="163"/>
      <c r="V10" s="163"/>
      <c r="W10" s="163"/>
      <c r="X10" s="163"/>
      <c r="Y10" s="163"/>
      <c r="Z10" s="163"/>
    </row>
    <row r="11">
      <c r="A11" s="163"/>
      <c r="B11" s="220">
        <f>Projections!$AJ$24</f>
        <v>100</v>
      </c>
      <c r="C11" s="221">
        <v>9.0</v>
      </c>
      <c r="D11" s="230" t="str">
        <f t="array" ref="D11">INDIRECT("Draft!L"&amp;TEXT(A2+2,"0"))</f>
        <v/>
      </c>
      <c r="E11" s="227" t="str">
        <f>IF($D11="","", VLOOKUP($D11,'Final Update'!$Q$21:$AE1000,Column(G9),False))</f>
        <v/>
      </c>
      <c r="F11" s="227" t="str">
        <f>IF($D11="","", VLOOKUP($D11,'Final Update'!$Q$21:$AE1000,Column(H9),False))</f>
        <v/>
      </c>
      <c r="G11" s="227" t="str">
        <f>IF($D11="","", VLOOKUP($D11,'Final Update'!$Q$21:$AE1000,Column(I9),False))</f>
        <v/>
      </c>
      <c r="H11" s="227" t="str">
        <f>IF($D11="","", VLOOKUP($D11,'Final Update'!$Q$21:$AE1000,Column(J9),False))</f>
        <v/>
      </c>
      <c r="I11" s="227" t="str">
        <f>IF($D11="","", VLOOKUP($D11,'Final Update'!$Q$21:$AE1000,Column(K9),False))</f>
        <v/>
      </c>
      <c r="J11" s="227" t="str">
        <f>IF($D11="","", VLOOKUP($D11,'Final Update'!$Q$21:$AE1000,Column(L9),False))</f>
        <v/>
      </c>
      <c r="K11" s="228" t="str">
        <f>IF($D11="","", VLOOKUP($D11,'Final Update'!$Q$21:$AE1000,Column(M9),False))</f>
        <v/>
      </c>
      <c r="L11" s="228" t="str">
        <f>IF($D11="","", VLOOKUP($D11,'Final Update'!$Q$21:$AE1000,Column(N9),False))</f>
        <v/>
      </c>
      <c r="M11" s="227" t="str">
        <f>IF($D11="","", VLOOKUP($D11,'Final Update'!$Q$21:$AE1000,Column(O9),False))</f>
        <v/>
      </c>
      <c r="N11" s="227" t="str">
        <f>IF($D11="","", VLOOKUP($D11,'Final Update'!$Q$21:$AE1000,Column(C9),False))</f>
        <v/>
      </c>
      <c r="O11" s="163"/>
      <c r="P11" s="163"/>
      <c r="Q11" s="163"/>
      <c r="R11" s="163"/>
      <c r="S11" s="163"/>
      <c r="T11" s="163"/>
      <c r="U11" s="163"/>
      <c r="V11" s="163"/>
      <c r="W11" s="163"/>
      <c r="X11" s="163"/>
      <c r="Y11" s="163"/>
      <c r="Z11" s="163"/>
    </row>
    <row r="12">
      <c r="A12" s="163"/>
      <c r="B12" s="220">
        <f>Projections!$AJ$25</f>
        <v>100</v>
      </c>
      <c r="C12" s="221">
        <v>10.0</v>
      </c>
      <c r="D12" s="231" t="str">
        <f t="array" ref="D12">INDIRECT("Draft!M"&amp;TEXT(15-A2,"0"))</f>
        <v/>
      </c>
      <c r="E12" s="227" t="str">
        <f>IF($D12="","", VLOOKUP($D12,'Final Update'!$Q$21:$AE1000,Column(G10),False))</f>
        <v/>
      </c>
      <c r="F12" s="227" t="str">
        <f>IF($D12="","", VLOOKUP($D12,'Final Update'!$Q$21:$AE1000,Column(H10),False))</f>
        <v/>
      </c>
      <c r="G12" s="227" t="str">
        <f>IF($D12="","", VLOOKUP($D12,'Final Update'!$Q$21:$AE1000,Column(I10),False))</f>
        <v/>
      </c>
      <c r="H12" s="227" t="str">
        <f>IF($D12="","", VLOOKUP($D12,'Final Update'!$Q$21:$AE1000,Column(J10),False))</f>
        <v/>
      </c>
      <c r="I12" s="227" t="str">
        <f>IF($D12="","", VLOOKUP($D12,'Final Update'!$Q$21:$AE1000,Column(K10),False))</f>
        <v/>
      </c>
      <c r="J12" s="227" t="str">
        <f>IF($D12="","", VLOOKUP($D12,'Final Update'!$Q$21:$AE1000,Column(L10),False))</f>
        <v/>
      </c>
      <c r="K12" s="228" t="str">
        <f>IF($D12="","", VLOOKUP($D12,'Final Update'!$Q$21:$AE1000,Column(M10),False))</f>
        <v/>
      </c>
      <c r="L12" s="228" t="str">
        <f>IF($D12="","", VLOOKUP($D12,'Final Update'!$Q$21:$AE1000,Column(N10),False))</f>
        <v/>
      </c>
      <c r="M12" s="227" t="str">
        <f>IF($D12="","", VLOOKUP($D12,'Final Update'!$Q$21:$AE1000,Column(O10),False))</f>
        <v/>
      </c>
      <c r="N12" s="227" t="str">
        <f>IF($D12="","", VLOOKUP($D12,'Final Update'!$Q$21:$AE1000,Column(C10),False))</f>
        <v/>
      </c>
      <c r="O12" s="163"/>
      <c r="P12" s="163"/>
      <c r="Q12" s="163"/>
      <c r="R12" s="163"/>
      <c r="S12" s="163"/>
      <c r="T12" s="163"/>
      <c r="U12" s="163"/>
      <c r="V12" s="163"/>
      <c r="W12" s="163"/>
      <c r="X12" s="163"/>
      <c r="Y12" s="163"/>
      <c r="Z12" s="163"/>
    </row>
    <row r="13">
      <c r="A13" s="163"/>
      <c r="B13" s="220">
        <f>Projections!$AJ$26</f>
        <v>100</v>
      </c>
      <c r="C13" s="221">
        <v>11.0</v>
      </c>
      <c r="D13" s="230" t="str">
        <f t="array" ref="D13">INDIRECT("Draft!N"&amp;TEXT(A2+2,"0"))</f>
        <v/>
      </c>
      <c r="E13" s="227" t="str">
        <f>IF($D13="","", VLOOKUP($D13,'Final Update'!$Q$21:$AE1000,Column(G11),False))</f>
        <v/>
      </c>
      <c r="F13" s="227" t="str">
        <f>IF($D13="","", VLOOKUP($D13,'Final Update'!$Q$21:$AE1000,Column(H11),False))</f>
        <v/>
      </c>
      <c r="G13" s="227" t="str">
        <f>IF($D13="","", VLOOKUP($D13,'Final Update'!$Q$21:$AE1000,Column(I11),False))</f>
        <v/>
      </c>
      <c r="H13" s="227" t="str">
        <f>IF($D13="","", VLOOKUP($D13,'Final Update'!$Q$21:$AE1000,Column(J11),False))</f>
        <v/>
      </c>
      <c r="I13" s="227" t="str">
        <f>IF($D13="","", VLOOKUP($D13,'Final Update'!$Q$21:$AE1000,Column(K11),False))</f>
        <v/>
      </c>
      <c r="J13" s="227" t="str">
        <f>IF($D13="","", VLOOKUP($D13,'Final Update'!$Q$21:$AE1000,Column(L11),False))</f>
        <v/>
      </c>
      <c r="K13" s="228" t="str">
        <f>IF($D13="","", VLOOKUP($D13,'Final Update'!$Q$21:$AE1000,Column(M11),False))</f>
        <v/>
      </c>
      <c r="L13" s="228" t="str">
        <f>IF($D13="","", VLOOKUP($D13,'Final Update'!$Q$21:$AE1000,Column(N11),False))</f>
        <v/>
      </c>
      <c r="M13" s="227" t="str">
        <f>IF($D13="","", VLOOKUP($D13,'Final Update'!$Q$21:$AE1000,Column(O11),False))</f>
        <v/>
      </c>
      <c r="N13" s="227" t="str">
        <f>IF($D13="","", VLOOKUP($D13,'Final Update'!$Q$21:$AE1000,Column(C11),False))</f>
        <v/>
      </c>
      <c r="O13" s="163"/>
      <c r="P13" s="163"/>
      <c r="Q13" s="163"/>
      <c r="R13" s="163"/>
      <c r="S13" s="163"/>
      <c r="T13" s="163"/>
      <c r="U13" s="163"/>
      <c r="V13" s="163"/>
      <c r="W13" s="163"/>
      <c r="X13" s="163"/>
      <c r="Y13" s="163"/>
      <c r="Z13" s="163"/>
    </row>
    <row r="14">
      <c r="A14" s="163"/>
      <c r="B14" s="220">
        <f>Projections!$AJ$27</f>
        <v>100</v>
      </c>
      <c r="C14" s="221">
        <v>12.0</v>
      </c>
      <c r="D14" s="231" t="str">
        <f t="array" ref="D14">INDIRECT("Draft!O"&amp;TEXT(15-A2,"0"))</f>
        <v/>
      </c>
      <c r="E14" s="227" t="str">
        <f>IF($D14="","", VLOOKUP($D14,'Final Update'!$Q$21:$AE1000,Column(G12),False))</f>
        <v/>
      </c>
      <c r="F14" s="227" t="str">
        <f>IF($D14="","", VLOOKUP($D14,'Final Update'!$Q$21:$AE1000,Column(H12),False))</f>
        <v/>
      </c>
      <c r="G14" s="227" t="str">
        <f>IF($D14="","", VLOOKUP($D14,'Final Update'!$Q$21:$AE1000,Column(I12),False))</f>
        <v/>
      </c>
      <c r="H14" s="227" t="str">
        <f>IF($D14="","", VLOOKUP($D14,'Final Update'!$Q$21:$AE1000,Column(J12),False))</f>
        <v/>
      </c>
      <c r="I14" s="227" t="str">
        <f>IF($D14="","", VLOOKUP($D14,'Final Update'!$Q$21:$AE1000,Column(K12),False))</f>
        <v/>
      </c>
      <c r="J14" s="227" t="str">
        <f>IF($D14="","", VLOOKUP($D14,'Final Update'!$Q$21:$AE1000,Column(L12),False))</f>
        <v/>
      </c>
      <c r="K14" s="228" t="str">
        <f>IF($D14="","", VLOOKUP($D14,'Final Update'!$Q$21:$AE1000,Column(M12),False))</f>
        <v/>
      </c>
      <c r="L14" s="228" t="str">
        <f>IF($D14="","", VLOOKUP($D14,'Final Update'!$Q$21:$AE1000,Column(N12),False))</f>
        <v/>
      </c>
      <c r="M14" s="227" t="str">
        <f>IF($D14="","", VLOOKUP($D14,'Final Update'!$Q$21:$AE1000,Column(O12),False))</f>
        <v/>
      </c>
      <c r="N14" s="227" t="str">
        <f>IF($D14="","", VLOOKUP($D14,'Final Update'!$Q$21:$AE1000,Column(C12),False))</f>
        <v/>
      </c>
      <c r="O14" s="163"/>
      <c r="P14" s="163"/>
      <c r="Q14" s="163"/>
      <c r="R14" s="163"/>
      <c r="S14" s="163"/>
      <c r="T14" s="163"/>
      <c r="U14" s="163"/>
      <c r="V14" s="163"/>
      <c r="W14" s="163"/>
      <c r="X14" s="163"/>
      <c r="Y14" s="163"/>
      <c r="Z14" s="163"/>
    </row>
    <row r="15">
      <c r="A15" s="163"/>
      <c r="B15" s="232">
        <f>Projections!$AJ$28</f>
        <v>100</v>
      </c>
      <c r="C15" s="221">
        <v>13.0</v>
      </c>
      <c r="D15" s="230" t="str">
        <f t="array" ref="D15">INDIRECT("Draft!P"&amp;TEXT(A2+2,"0"))</f>
        <v/>
      </c>
      <c r="E15" s="227" t="str">
        <f>IF($D15="","", VLOOKUP($D15,'Final Update'!$Q$21:$AE1000,Column(G13),False))</f>
        <v/>
      </c>
      <c r="F15" s="227" t="str">
        <f>IF($D15="","", VLOOKUP($D15,'Final Update'!$Q$21:$AE1000,Column(H13),False))</f>
        <v/>
      </c>
      <c r="G15" s="227" t="str">
        <f>IF($D15="","", VLOOKUP($D15,'Final Update'!$Q$21:$AE1000,Column(I13),False))</f>
        <v/>
      </c>
      <c r="H15" s="227" t="str">
        <f>IF($D15="","", VLOOKUP($D15,'Final Update'!$Q$21:$AE1000,Column(J13),False))</f>
        <v/>
      </c>
      <c r="I15" s="227" t="str">
        <f>IF($D15="","", VLOOKUP($D15,'Final Update'!$Q$21:$AE1000,Column(K13),False))</f>
        <v/>
      </c>
      <c r="J15" s="227" t="str">
        <f>IF($D15="","", VLOOKUP($D15,'Final Update'!$Q$21:$AE1000,Column(L13),False))</f>
        <v/>
      </c>
      <c r="K15" s="228" t="str">
        <f>IF($D15="","", VLOOKUP($D15,'Final Update'!$Q$21:$AE1000,Column(M13),False))</f>
        <v/>
      </c>
      <c r="L15" s="228" t="str">
        <f>IF($D15="","", VLOOKUP($D15,'Final Update'!$Q$21:$AE1000,Column(N13),False))</f>
        <v/>
      </c>
      <c r="M15" s="227" t="str">
        <f>IF($D15="","", VLOOKUP($D15,'Final Update'!$Q$21:$AE1000,Column(O13),False))</f>
        <v/>
      </c>
      <c r="N15" s="227" t="str">
        <f>IF($D15="","", VLOOKUP($D15,'Final Update'!$Q$21:$AE1000,Column(C13),False))</f>
        <v/>
      </c>
      <c r="O15" s="163"/>
      <c r="P15" s="163"/>
      <c r="Q15" s="163"/>
      <c r="R15" s="163"/>
      <c r="S15" s="163"/>
      <c r="T15" s="163"/>
      <c r="U15" s="163"/>
      <c r="V15" s="163"/>
      <c r="W15" s="163"/>
      <c r="X15" s="163"/>
      <c r="Y15" s="163"/>
      <c r="Z15" s="163"/>
    </row>
    <row r="16">
      <c r="A16" s="163"/>
      <c r="B16" s="220">
        <f>Projections!$AJ$29</f>
        <v>50</v>
      </c>
      <c r="C16" s="221">
        <v>14.0</v>
      </c>
      <c r="D16" s="231" t="str">
        <f t="array" ref="D16">INDIRECT("Draft!Q"&amp;TEXT(15-A2,"0"))</f>
        <v/>
      </c>
      <c r="E16" s="227" t="str">
        <f>IF($D16="","", VLOOKUP($D16,'Final Update'!$Q$21:$AE1000,Column(G14),False))</f>
        <v/>
      </c>
      <c r="F16" s="227" t="str">
        <f>IF($D16="","", VLOOKUP($D16,'Final Update'!$Q$21:$AE1000,Column(H14),False))</f>
        <v/>
      </c>
      <c r="G16" s="227" t="str">
        <f>IF($D16="","", VLOOKUP($D16,'Final Update'!$Q$21:$AE1000,Column(I14),False))</f>
        <v/>
      </c>
      <c r="H16" s="227" t="str">
        <f>IF($D16="","", VLOOKUP($D16,'Final Update'!$Q$21:$AE1000,Column(J14),False))</f>
        <v/>
      </c>
      <c r="I16" s="227" t="str">
        <f>IF($D16="","", VLOOKUP($D16,'Final Update'!$Q$21:$AE1000,Column(K14),False))</f>
        <v/>
      </c>
      <c r="J16" s="227" t="str">
        <f>IF($D16="","", VLOOKUP($D16,'Final Update'!$Q$21:$AE1000,Column(L14),False))</f>
        <v/>
      </c>
      <c r="K16" s="228" t="str">
        <f>IF($D16="","", VLOOKUP($D16,'Final Update'!$Q$21:$AE1000,Column(M14),False))</f>
        <v/>
      </c>
      <c r="L16" s="228" t="str">
        <f>IF($D16="","", VLOOKUP($D16,'Final Update'!$Q$21:$AE1000,Column(N14),False))</f>
        <v/>
      </c>
      <c r="M16" s="227" t="str">
        <f>IF($D16="","", VLOOKUP($D16,'Final Update'!$Q$21:$AE1000,Column(O14),False))</f>
        <v/>
      </c>
      <c r="N16" s="227" t="str">
        <f>IF($D16="","", VLOOKUP($D16,'Final Update'!$Q$21:$AE1000,Column(C14),False))</f>
        <v/>
      </c>
      <c r="O16" s="163"/>
      <c r="P16" s="163"/>
      <c r="Q16" s="163"/>
      <c r="R16" s="163"/>
      <c r="S16" s="163"/>
      <c r="T16" s="163"/>
      <c r="U16" s="163"/>
      <c r="V16" s="163"/>
      <c r="W16" s="163"/>
      <c r="X16" s="163"/>
      <c r="Y16" s="163"/>
      <c r="Z16" s="163"/>
    </row>
    <row r="17">
      <c r="A17" s="216" t="s">
        <v>5</v>
      </c>
      <c r="B17" s="163"/>
      <c r="C17" s="163"/>
      <c r="D17" s="219" t="s">
        <v>1328</v>
      </c>
      <c r="E17" s="233" t="str">
        <f t="shared" ref="E17:J17" si="1">IFERROR(AVERAGE(SUMPRODUCT(E3:E16,$B3:$B16/100))/(SUM(OFFSET($B3,0,0,COUNT(E3:E16)))/100),"")</f>
        <v/>
      </c>
      <c r="F17" s="233" t="str">
        <f t="shared" si="1"/>
        <v/>
      </c>
      <c r="G17" s="233" t="str">
        <f t="shared" si="1"/>
        <v/>
      </c>
      <c r="H17" s="233" t="str">
        <f t="shared" si="1"/>
        <v/>
      </c>
      <c r="I17" s="233" t="str">
        <f t="shared" si="1"/>
        <v/>
      </c>
      <c r="J17" s="233" t="str">
        <f t="shared" si="1"/>
        <v/>
      </c>
      <c r="K17" s="233" t="str">
        <f t="array" ref="K17">IFERROR(100*SUMPRODUCT(IFERROR(VLOOKUP($D3:$D16,UpdateHashtag!$C:$S,6,False),"")*$B3:$B16/100)/SUMPRODUCT(IFERROR(VLOOKUP($D3:$D16,UpdateHashtag!$C:$S,17,False),"")*$B3:$B16/100),"")</f>
        <v/>
      </c>
      <c r="L17" s="233" t="str">
        <f t="array" ref="L17">IFERROR(100*SUMPRODUCT(IFERROR(VLOOKUP($D3:$D16,UpdateHashtag!$C:$T,8,False),"")*$B3:$B16/100)/SUMPRODUCT(IFERROR(VLOOKUP($D3:$D16,UpdateHashtag!$C:$T,18,False),"")*$B3:$B16/100),"")</f>
        <v/>
      </c>
      <c r="M17" s="233" t="str">
        <f>IFERROR(AVERAGE(SUMPRODUCT(M3:M16,$B3:$B16/100))/(SUM(OFFSET($B3,0,0,COUNT(M3:M16)))/100),"")</f>
        <v/>
      </c>
      <c r="N17" s="163"/>
      <c r="O17" s="163"/>
      <c r="P17" s="163"/>
      <c r="Q17" s="163"/>
      <c r="R17" s="163"/>
      <c r="S17" s="163"/>
      <c r="T17" s="163"/>
      <c r="U17" s="163"/>
      <c r="V17" s="163"/>
      <c r="W17" s="163"/>
      <c r="X17" s="163"/>
      <c r="Y17" s="163"/>
      <c r="Z17" s="163"/>
    </row>
    <row r="18">
      <c r="A18" s="163"/>
      <c r="B18" s="163"/>
      <c r="C18" s="163"/>
      <c r="D18" s="219" t="s">
        <v>1329</v>
      </c>
      <c r="E18" s="234" t="str">
        <f>IFERROR((SUM(OFFSET('All Teams'!$B3,0,0,COUNT('All Teams'!E3:E16)))/100)*('All Teams'!E17-'Final Update'!$B$1)/'Final Update'!$B$2,"")</f>
        <v/>
      </c>
      <c r="F18" s="234" t="str">
        <f>IFERROR((SUM(OFFSET('All Teams'!$B3,0,0,COUNT('All Teams'!F3:F16)))/100)*('All Teams'!F17-'Final Update'!$C$1)/'Final Update'!$C$2,"")</f>
        <v/>
      </c>
      <c r="G18" s="234" t="str">
        <f>IFERROR((SUM(OFFSET('All Teams'!$B3,0,0,COUNT('All Teams'!G3:G16)))/100)*('All Teams'!G17-'Final Update'!$D$1)/'Final Update'!$D$2,"")</f>
        <v/>
      </c>
      <c r="H18" s="234" t="str">
        <f>IFERROR((SUM(OFFSET('All Teams'!$B3,0,0,COUNT('All Teams'!H3:H16)))/100)*('All Teams'!H17-'Final Update'!$E$1)/'Final Update'!$E$2,"")</f>
        <v/>
      </c>
      <c r="I18" s="234" t="str">
        <f>IFERROR((SUM(OFFSET('All Teams'!$B3,0,0,COUNT('All Teams'!I3:I16)))/100)*('All Teams'!I17-'Final Update'!$F$1)/'Final Update'!$F$2,"")</f>
        <v/>
      </c>
      <c r="J18" s="234" t="str">
        <f>IFERROR((SUM(OFFSET('All Teams'!$B3,0,0,COUNT('All Teams'!J3:J16)))/100)*('All Teams'!J17-'Final Update'!$G$1)/'Final Update'!$G$2,"")</f>
        <v/>
      </c>
      <c r="K18" s="234">
        <f t="array" ref="K18">SUMPRODUCT(IFERROR(VLOOKUP($D3:$D16,'Final Update'!$A$4:$L$403,8,False)*$B3:$B16/100,""))</f>
        <v>0</v>
      </c>
      <c r="L18" s="234">
        <f t="array" ref="L18">SUMPRODUCT(IFERROR(VLOOKUP($D3:$D16,'Final Update'!$A$4:$L$403,10,False)*$B3:$B16/100,""))</f>
        <v>0</v>
      </c>
      <c r="M18" s="234" t="str">
        <f>IFERROR(-(SUM(OFFSET('All Teams'!$B3,0,0,COUNT('All Teams'!M3:M16)))/100)*('All Teams'!M17-'Final Update'!$L$1)/'Final Update'!$L$2,"")</f>
        <v/>
      </c>
      <c r="N18" s="163"/>
      <c r="O18" s="163"/>
      <c r="P18" s="163"/>
      <c r="Q18" s="163"/>
      <c r="R18" s="163"/>
      <c r="S18" s="163"/>
      <c r="T18" s="163"/>
      <c r="U18" s="163"/>
      <c r="V18" s="163"/>
      <c r="W18" s="163"/>
      <c r="X18" s="163"/>
      <c r="Y18" s="163"/>
      <c r="Z18" s="163"/>
    </row>
    <row r="19">
      <c r="A19" s="217">
        <v>2.0</v>
      </c>
      <c r="B19" s="218" t="s">
        <v>220</v>
      </c>
      <c r="C19" s="219" t="s">
        <v>222</v>
      </c>
      <c r="D19" s="218" t="s">
        <v>1242</v>
      </c>
      <c r="E19" s="218" t="s">
        <v>10</v>
      </c>
      <c r="F19" s="218" t="s">
        <v>109</v>
      </c>
      <c r="G19" s="218" t="s">
        <v>110</v>
      </c>
      <c r="H19" s="218" t="s">
        <v>12</v>
      </c>
      <c r="I19" s="218" t="s">
        <v>13</v>
      </c>
      <c r="J19" s="218" t="s">
        <v>14</v>
      </c>
      <c r="K19" s="218" t="s">
        <v>8</v>
      </c>
      <c r="L19" s="218" t="s">
        <v>9</v>
      </c>
      <c r="M19" s="218" t="s">
        <v>15</v>
      </c>
      <c r="N19" s="218" t="s">
        <v>4</v>
      </c>
      <c r="O19" s="218" t="s">
        <v>227</v>
      </c>
      <c r="P19" s="218" t="s">
        <v>4</v>
      </c>
      <c r="Q19" s="163"/>
      <c r="R19" s="163"/>
      <c r="S19" s="163"/>
      <c r="T19" s="163"/>
      <c r="U19" s="163"/>
      <c r="V19" s="163"/>
      <c r="W19" s="163"/>
      <c r="X19" s="163"/>
      <c r="Y19" s="163"/>
      <c r="Z19" s="163"/>
    </row>
    <row r="20">
      <c r="A20" s="163"/>
      <c r="B20" s="220">
        <f>Projections!$AJ$16</f>
        <v>100</v>
      </c>
      <c r="C20" s="221">
        <v>1.0</v>
      </c>
      <c r="D20" s="222" t="str">
        <f t="array" ref="D20">INDIRECT("Draft!D"&amp;TEXT(A19+2,"0"))</f>
        <v/>
      </c>
      <c r="E20" s="223" t="str">
        <f>IF($D20="","", VLOOKUP($D20,'Final Update'!$Q$21:$AE1000,Column(G18),False))</f>
        <v/>
      </c>
      <c r="F20" s="223" t="str">
        <f>IF($D20="","", VLOOKUP($D20,'Final Update'!$Q$21:$AE1000,Column(H18),False))</f>
        <v/>
      </c>
      <c r="G20" s="223" t="str">
        <f>IF($D20="","", VLOOKUP($D20,'Final Update'!$Q$21:$AE1000,Column(I18),False))</f>
        <v/>
      </c>
      <c r="H20" s="223" t="str">
        <f>IF($D20="","", VLOOKUP($D20,'Final Update'!$Q$21:$AE1000,Column(J18),False))</f>
        <v/>
      </c>
      <c r="I20" s="223" t="str">
        <f>IF($D20="","", VLOOKUP($D20,'Final Update'!$Q$21:$AE1000,Column(K18),False))</f>
        <v/>
      </c>
      <c r="J20" s="223" t="str">
        <f>IF($D20="","", VLOOKUP($D20,'Final Update'!$Q$21:$AE1000,Column(L18),False))</f>
        <v/>
      </c>
      <c r="K20" s="224" t="str">
        <f>IF($D20="","", VLOOKUP($D20,'Final Update'!$Q$21:$AE1000,Column(M18),False))</f>
        <v/>
      </c>
      <c r="L20" s="224" t="str">
        <f>IF($D20="","", VLOOKUP($D20,'Final Update'!$Q$21:$AE1000,Column(N18),False))</f>
        <v/>
      </c>
      <c r="M20" s="223" t="str">
        <f>IF($D20="","", VLOOKUP($D20,'Final Update'!$Q$21:$AE1000,Column(O18),False))</f>
        <v/>
      </c>
      <c r="N20" s="223" t="str">
        <f>IF($D20="","", VLOOKUP($D20,'Final Update'!$Q$21:$AE1000,Column(C18),False))</f>
        <v/>
      </c>
      <c r="O20" s="221">
        <f t="array" ref="O20">COUNTIF(FIND(P20,$N20:$N33),"&gt;0")</f>
        <v>0</v>
      </c>
      <c r="P20" s="222" t="s">
        <v>46</v>
      </c>
      <c r="Q20" s="163"/>
      <c r="R20" s="163"/>
      <c r="S20" s="163"/>
      <c r="T20" s="163"/>
      <c r="U20" s="163"/>
      <c r="V20" s="163"/>
      <c r="W20" s="163"/>
      <c r="X20" s="163"/>
      <c r="Y20" s="163"/>
      <c r="Z20" s="163"/>
    </row>
    <row r="21">
      <c r="A21" s="163"/>
      <c r="B21" s="220">
        <f>Projections!$AJ$17</f>
        <v>100</v>
      </c>
      <c r="C21" s="221">
        <v>2.0</v>
      </c>
      <c r="D21" s="225" t="str">
        <f t="array" ref="D21">INDIRECT("Draft!E"&amp;TEXT(15-A19,"0"))</f>
        <v/>
      </c>
      <c r="E21" s="223" t="str">
        <f>IF($D21="","", VLOOKUP($D21,'Final Update'!$Q$21:$AE1000,Column(G19),False))</f>
        <v/>
      </c>
      <c r="F21" s="223" t="str">
        <f>IF($D21="","", VLOOKUP($D21,'Final Update'!$Q$21:$AE1000,Column(H19),False))</f>
        <v/>
      </c>
      <c r="G21" s="223" t="str">
        <f>IF($D21="","", VLOOKUP($D21,'Final Update'!$Q$21:$AE1000,Column(I19),False))</f>
        <v/>
      </c>
      <c r="H21" s="223" t="str">
        <f>IF($D21="","", VLOOKUP($D21,'Final Update'!$Q$21:$AE1000,Column(J19),False))</f>
        <v/>
      </c>
      <c r="I21" s="223" t="str">
        <f>IF($D21="","", VLOOKUP($D21,'Final Update'!$Q$21:$AE1000,Column(K19),False))</f>
        <v/>
      </c>
      <c r="J21" s="223" t="str">
        <f>IF($D21="","", VLOOKUP($D21,'Final Update'!$Q$21:$AE1000,Column(L19),False))</f>
        <v/>
      </c>
      <c r="K21" s="224" t="str">
        <f>IF($D21="","", VLOOKUP($D21,'Final Update'!$Q$21:$AE1000,Column(M19),False))</f>
        <v/>
      </c>
      <c r="L21" s="224" t="str">
        <f>IF($D21="","", VLOOKUP($D21,'Final Update'!$Q$21:$AE1000,Column(N19),False))</f>
        <v/>
      </c>
      <c r="M21" s="223" t="str">
        <f>IF($D21="","", VLOOKUP($D21,'Final Update'!$Q$21:$AE1000,Column(O19),False))</f>
        <v/>
      </c>
      <c r="N21" s="223" t="str">
        <f>IF($D21="","", VLOOKUP($D21,'Final Update'!$Q$21:$AE1000,Column(C19),False))</f>
        <v/>
      </c>
      <c r="O21" s="221">
        <f t="array" ref="O21">COUNTIF(FIND(P21,$N20:$N33),"&gt;0")</f>
        <v>0</v>
      </c>
      <c r="P21" s="222" t="s">
        <v>47</v>
      </c>
      <c r="Q21" s="163"/>
      <c r="R21" s="163"/>
      <c r="S21" s="163"/>
      <c r="T21" s="163"/>
      <c r="U21" s="163"/>
      <c r="V21" s="163"/>
      <c r="W21" s="163"/>
      <c r="X21" s="163"/>
      <c r="Y21" s="163"/>
      <c r="Z21" s="163"/>
    </row>
    <row r="22">
      <c r="A22" s="163"/>
      <c r="B22" s="220">
        <f>Projections!$AJ$18</f>
        <v>100</v>
      </c>
      <c r="C22" s="221">
        <v>3.0</v>
      </c>
      <c r="D22" s="226" t="str">
        <f t="array" ref="D22">INDIRECT("Draft!F"&amp;TEXT(A19+2,"0"))</f>
        <v/>
      </c>
      <c r="E22" s="227" t="str">
        <f>IF($D22="","", VLOOKUP($D22,'Final Update'!$Q$21:$AE1000,Column(G20),False))</f>
        <v/>
      </c>
      <c r="F22" s="227" t="str">
        <f>IF($D22="","", VLOOKUP($D22,'Final Update'!$Q$21:$AE1000,Column(H20),False))</f>
        <v/>
      </c>
      <c r="G22" s="227" t="str">
        <f>IF($D22="","", VLOOKUP($D22,'Final Update'!$Q$21:$AE1000,Column(I20),False))</f>
        <v/>
      </c>
      <c r="H22" s="227" t="str">
        <f>IF($D22="","", VLOOKUP($D22,'Final Update'!$Q$21:$AE1000,Column(J20),False))</f>
        <v/>
      </c>
      <c r="I22" s="227" t="str">
        <f>IF($D22="","", VLOOKUP($D22,'Final Update'!$Q$21:$AE1000,Column(K20),False))</f>
        <v/>
      </c>
      <c r="J22" s="227" t="str">
        <f>IF($D22="","", VLOOKUP($D22,'Final Update'!$Q$21:$AE1000,Column(L20),False))</f>
        <v/>
      </c>
      <c r="K22" s="228" t="str">
        <f>IF($D22="","", VLOOKUP($D22,'Final Update'!$Q$21:$AE1000,Column(M20),False))</f>
        <v/>
      </c>
      <c r="L22" s="228" t="str">
        <f>IF($D22="","", VLOOKUP($D22,'Final Update'!$Q$21:$AE1000,Column(N20),False))</f>
        <v/>
      </c>
      <c r="M22" s="227" t="str">
        <f>IF($D22="","", VLOOKUP($D22,'Final Update'!$Q$21:$AE1000,Column(O20),False))</f>
        <v/>
      </c>
      <c r="N22" s="227" t="str">
        <f>IF($D22="","", VLOOKUP($D22,'Final Update'!$Q$21:$AE1000,Column(C20),False))</f>
        <v/>
      </c>
      <c r="O22" s="221">
        <f t="array" ref="O22">COUNTIF(FIND(P22,$N20:$N33),"&gt;0")</f>
        <v>0</v>
      </c>
      <c r="P22" s="222" t="s">
        <v>48</v>
      </c>
      <c r="Q22" s="163"/>
      <c r="R22" s="163"/>
      <c r="S22" s="163"/>
      <c r="T22" s="163"/>
      <c r="U22" s="163"/>
      <c r="V22" s="163"/>
      <c r="W22" s="163"/>
      <c r="X22" s="163"/>
      <c r="Y22" s="163"/>
      <c r="Z22" s="163"/>
    </row>
    <row r="23">
      <c r="A23" s="163"/>
      <c r="B23" s="220">
        <f>Projections!$AJ$19</f>
        <v>100</v>
      </c>
      <c r="C23" s="221">
        <v>4.0</v>
      </c>
      <c r="D23" s="229" t="str">
        <f t="array" ref="D23">INDIRECT("Draft!G"&amp;TEXT(15-A19,"0"))</f>
        <v/>
      </c>
      <c r="E23" s="227" t="str">
        <f>IF($D23="","", VLOOKUP($D23,'Final Update'!$Q$21:$AE1000,Column(G21),False))</f>
        <v/>
      </c>
      <c r="F23" s="227" t="str">
        <f>IF($D23="","", VLOOKUP($D23,'Final Update'!$Q$21:$AE1000,Column(H21),False))</f>
        <v/>
      </c>
      <c r="G23" s="227" t="str">
        <f>IF($D23="","", VLOOKUP($D23,'Final Update'!$Q$21:$AE1000,Column(I21),False))</f>
        <v/>
      </c>
      <c r="H23" s="227" t="str">
        <f>IF($D23="","", VLOOKUP($D23,'Final Update'!$Q$21:$AE1000,Column(J21),False))</f>
        <v/>
      </c>
      <c r="I23" s="227" t="str">
        <f>IF($D23="","", VLOOKUP($D23,'Final Update'!$Q$21:$AE1000,Column(K21),False))</f>
        <v/>
      </c>
      <c r="J23" s="227" t="str">
        <f>IF($D23="","", VLOOKUP($D23,'Final Update'!$Q$21:$AE1000,Column(L21),False))</f>
        <v/>
      </c>
      <c r="K23" s="228" t="str">
        <f>IF($D23="","", VLOOKUP($D23,'Final Update'!$Q$21:$AE1000,Column(M21),False))</f>
        <v/>
      </c>
      <c r="L23" s="228" t="str">
        <f>IF($D23="","", VLOOKUP($D23,'Final Update'!$Q$21:$AE1000,Column(N21),False))</f>
        <v/>
      </c>
      <c r="M23" s="227" t="str">
        <f>IF($D23="","", VLOOKUP($D23,'Final Update'!$Q$21:$AE1000,Column(O21),False))</f>
        <v/>
      </c>
      <c r="N23" s="227" t="str">
        <f>IF($D23="","", VLOOKUP($D23,'Final Update'!$Q$21:$AE1000,Column(C21),False))</f>
        <v/>
      </c>
      <c r="O23" s="221">
        <f t="array" ref="O23">COUNTIF(FIND(P23,$N20:$N33),"&gt;0")</f>
        <v>0</v>
      </c>
      <c r="P23" s="222" t="s">
        <v>49</v>
      </c>
      <c r="Q23" s="163"/>
      <c r="R23" s="163"/>
      <c r="S23" s="163"/>
      <c r="T23" s="163"/>
      <c r="U23" s="163"/>
      <c r="V23" s="163"/>
      <c r="W23" s="163"/>
      <c r="X23" s="163"/>
      <c r="Y23" s="163"/>
      <c r="Z23" s="163"/>
    </row>
    <row r="24">
      <c r="A24" s="163"/>
      <c r="B24" s="220">
        <f>Projections!$AJ$20</f>
        <v>100</v>
      </c>
      <c r="C24" s="221">
        <v>5.0</v>
      </c>
      <c r="D24" s="230" t="str">
        <f t="array" ref="D24">INDIRECT("Draft!H"&amp;TEXT(A19+2,"0"))</f>
        <v/>
      </c>
      <c r="E24" s="235" t="str">
        <f>IF($D24="","", VLOOKUP($D24,'Final Update'!$Q$21:$AE1000,Column(G22),False))</f>
        <v/>
      </c>
      <c r="F24" s="235" t="str">
        <f>IF($D24="","", VLOOKUP($D24,'Final Update'!$Q$21:$AE1000,Column(H22),False))</f>
        <v/>
      </c>
      <c r="G24" s="235" t="str">
        <f>IF($D24="","", VLOOKUP($D24,'Final Update'!$Q$21:$AE1000,Column(I22),False))</f>
        <v/>
      </c>
      <c r="H24" s="235" t="str">
        <f>IF($D24="","", VLOOKUP($D24,'Final Update'!$Q$21:$AE1000,Column(J22),False))</f>
        <v/>
      </c>
      <c r="I24" s="235" t="str">
        <f>IF($D24="","", VLOOKUP($D24,'Final Update'!$Q$21:$AE1000,Column(K22),False))</f>
        <v/>
      </c>
      <c r="J24" s="235" t="str">
        <f>IF($D24="","", VLOOKUP($D24,'Final Update'!$Q$21:$AE1000,Column(L22),False))</f>
        <v/>
      </c>
      <c r="K24" s="236" t="str">
        <f>IF($D24="","", VLOOKUP($D24,'Final Update'!$Q$21:$AE1000,Column(M22),False))</f>
        <v/>
      </c>
      <c r="L24" s="236" t="str">
        <f>IF($D24="","", VLOOKUP($D24,'Final Update'!$Q$21:$AE1000,Column(N22),False))</f>
        <v/>
      </c>
      <c r="M24" s="235" t="str">
        <f>IF($D24="","", VLOOKUP($D24,'Final Update'!$Q$21:$AE1000,Column(O22),False))</f>
        <v/>
      </c>
      <c r="N24" s="227" t="str">
        <f>IF($D24="","", VLOOKUP($D24,'Final Update'!$Q$21:$AE1000,Column(C22),False))</f>
        <v/>
      </c>
      <c r="O24" s="221">
        <f t="array" ref="O24">COUNTIF(FIND(P24,$N20:$N33),"&gt;0")</f>
        <v>0</v>
      </c>
      <c r="P24" s="222" t="s">
        <v>34</v>
      </c>
      <c r="Q24" s="163"/>
      <c r="R24" s="163"/>
      <c r="S24" s="163"/>
      <c r="T24" s="163"/>
      <c r="U24" s="163"/>
      <c r="V24" s="163"/>
      <c r="W24" s="163"/>
      <c r="X24" s="163"/>
      <c r="Y24" s="163"/>
      <c r="Z24" s="163"/>
    </row>
    <row r="25">
      <c r="A25" s="163"/>
      <c r="B25" s="220">
        <f>Projections!$AJ$21</f>
        <v>100</v>
      </c>
      <c r="C25" s="221">
        <v>6.0</v>
      </c>
      <c r="D25" s="231" t="str">
        <f t="array" ref="D25">INDIRECT("Draft!I"&amp;TEXT(15-A19,"0"))</f>
        <v/>
      </c>
      <c r="E25" s="235" t="str">
        <f>IF($D25="","", VLOOKUP($D25,'Final Update'!$Q$21:$AE1000,Column(G23),False))</f>
        <v/>
      </c>
      <c r="F25" s="235" t="str">
        <f>IF($D25="","", VLOOKUP($D25,'Final Update'!$Q$21:$AE1000,Column(H23),False))</f>
        <v/>
      </c>
      <c r="G25" s="235" t="str">
        <f>IF($D25="","", VLOOKUP($D25,'Final Update'!$Q$21:$AE1000,Column(I23),False))</f>
        <v/>
      </c>
      <c r="H25" s="235" t="str">
        <f>IF($D25="","", VLOOKUP($D25,'Final Update'!$Q$21:$AE1000,Column(J23),False))</f>
        <v/>
      </c>
      <c r="I25" s="235" t="str">
        <f>IF($D25="","", VLOOKUP($D25,'Final Update'!$Q$21:$AE1000,Column(K23),False))</f>
        <v/>
      </c>
      <c r="J25" s="235" t="str">
        <f>IF($D25="","", VLOOKUP($D25,'Final Update'!$Q$21:$AE1000,Column(L23),False))</f>
        <v/>
      </c>
      <c r="K25" s="236" t="str">
        <f>IF($D25="","", VLOOKUP($D25,'Final Update'!$Q$21:$AE1000,Column(M23),False))</f>
        <v/>
      </c>
      <c r="L25" s="236" t="str">
        <f>IF($D25="","", VLOOKUP($D25,'Final Update'!$Q$21:$AE1000,Column(N23),False))</f>
        <v/>
      </c>
      <c r="M25" s="235" t="str">
        <f>IF($D25="","", VLOOKUP($D25,'Final Update'!$Q$21:$AE1000,Column(O23),False))</f>
        <v/>
      </c>
      <c r="N25" s="227" t="str">
        <f>IF($D25="","", VLOOKUP($D25,'Final Update'!$Q$21:$AE1000,Column(C23),False))</f>
        <v/>
      </c>
      <c r="O25" s="163"/>
      <c r="P25" s="163"/>
      <c r="Q25" s="163"/>
      <c r="R25" s="163"/>
      <c r="S25" s="163"/>
      <c r="T25" s="163"/>
      <c r="U25" s="163"/>
      <c r="V25" s="163"/>
      <c r="W25" s="163"/>
      <c r="X25" s="163"/>
      <c r="Y25" s="163"/>
      <c r="Z25" s="163"/>
    </row>
    <row r="26">
      <c r="A26" s="163"/>
      <c r="B26" s="220">
        <f>Projections!$AJ$22</f>
        <v>100</v>
      </c>
      <c r="C26" s="221">
        <v>7.0</v>
      </c>
      <c r="D26" s="230" t="str">
        <f t="array" ref="D26">INDIRECT("Draft!J"&amp;TEXT(A19+2,"0"))</f>
        <v/>
      </c>
      <c r="E26" s="235" t="str">
        <f>IF($D26="","", VLOOKUP($D26,'Final Update'!$Q$21:$AE1000,Column(G24),False))</f>
        <v/>
      </c>
      <c r="F26" s="235" t="str">
        <f>IF($D26="","", VLOOKUP($D26,'Final Update'!$Q$21:$AE1000,Column(H24),False))</f>
        <v/>
      </c>
      <c r="G26" s="235" t="str">
        <f>IF($D26="","", VLOOKUP($D26,'Final Update'!$Q$21:$AE1000,Column(I24),False))</f>
        <v/>
      </c>
      <c r="H26" s="235" t="str">
        <f>IF($D26="","", VLOOKUP($D26,'Final Update'!$Q$21:$AE1000,Column(J24),False))</f>
        <v/>
      </c>
      <c r="I26" s="235" t="str">
        <f>IF($D26="","", VLOOKUP($D26,'Final Update'!$Q$21:$AE1000,Column(K24),False))</f>
        <v/>
      </c>
      <c r="J26" s="235" t="str">
        <f>IF($D26="","", VLOOKUP($D26,'Final Update'!$Q$21:$AE1000,Column(L24),False))</f>
        <v/>
      </c>
      <c r="K26" s="236" t="str">
        <f>IF($D26="","", VLOOKUP($D26,'Final Update'!$Q$21:$AE1000,Column(M24),False))</f>
        <v/>
      </c>
      <c r="L26" s="236" t="str">
        <f>IF($D26="","", VLOOKUP($D26,'Final Update'!$Q$21:$AE1000,Column(N24),False))</f>
        <v/>
      </c>
      <c r="M26" s="235" t="str">
        <f>IF($D26="","", VLOOKUP($D26,'Final Update'!$Q$21:$AE1000,Column(O24),False))</f>
        <v/>
      </c>
      <c r="N26" s="227" t="str">
        <f>IF($D26="","", VLOOKUP($D26,'Final Update'!$Q$21:$AE1000,Column(C24),False))</f>
        <v/>
      </c>
      <c r="O26" s="163"/>
      <c r="P26" s="163"/>
      <c r="Q26" s="163"/>
      <c r="R26" s="163"/>
      <c r="S26" s="163"/>
      <c r="T26" s="163"/>
      <c r="U26" s="163"/>
      <c r="V26" s="163"/>
      <c r="W26" s="163"/>
      <c r="X26" s="163"/>
      <c r="Y26" s="163"/>
      <c r="Z26" s="163"/>
    </row>
    <row r="27">
      <c r="A27" s="163"/>
      <c r="B27" s="220">
        <f>Projections!$AJ$23</f>
        <v>100</v>
      </c>
      <c r="C27" s="221">
        <v>8.0</v>
      </c>
      <c r="D27" s="231" t="str">
        <f t="array" ref="D27">INDIRECT("Draft!K"&amp;TEXT(15-A19,"0"))</f>
        <v/>
      </c>
      <c r="E27" s="235" t="str">
        <f>IF($D27="","", VLOOKUP($D27,'Final Update'!$Q$21:$AE1000,Column(G25),False))</f>
        <v/>
      </c>
      <c r="F27" s="235" t="str">
        <f>IF($D27="","", VLOOKUP($D27,'Final Update'!$Q$21:$AE1000,Column(H25),False))</f>
        <v/>
      </c>
      <c r="G27" s="235" t="str">
        <f>IF($D27="","", VLOOKUP($D27,'Final Update'!$Q$21:$AE1000,Column(I25),False))</f>
        <v/>
      </c>
      <c r="H27" s="235" t="str">
        <f>IF($D27="","", VLOOKUP($D27,'Final Update'!$Q$21:$AE1000,Column(J25),False))</f>
        <v/>
      </c>
      <c r="I27" s="235" t="str">
        <f>IF($D27="","", VLOOKUP($D27,'Final Update'!$Q$21:$AE1000,Column(K25),False))</f>
        <v/>
      </c>
      <c r="J27" s="235" t="str">
        <f>IF($D27="","", VLOOKUP($D27,'Final Update'!$Q$21:$AE1000,Column(L25),False))</f>
        <v/>
      </c>
      <c r="K27" s="236" t="str">
        <f>IF($D27="","", VLOOKUP($D27,'Final Update'!$Q$21:$AE1000,Column(M25),False))</f>
        <v/>
      </c>
      <c r="L27" s="236" t="str">
        <f>IF($D27="","", VLOOKUP($D27,'Final Update'!$Q$21:$AE1000,Column(N25),False))</f>
        <v/>
      </c>
      <c r="M27" s="235" t="str">
        <f>IF($D27="","", VLOOKUP($D27,'Final Update'!$Q$21:$AE1000,Column(O25),False))</f>
        <v/>
      </c>
      <c r="N27" s="227" t="str">
        <f>IF($D27="","", VLOOKUP($D27,'Final Update'!$Q$21:$AE1000,Column(C25),False))</f>
        <v/>
      </c>
      <c r="O27" s="163"/>
      <c r="P27" s="163"/>
      <c r="Q27" s="163"/>
      <c r="R27" s="163"/>
      <c r="S27" s="163"/>
      <c r="T27" s="163"/>
      <c r="U27" s="163"/>
      <c r="V27" s="163"/>
      <c r="W27" s="163"/>
      <c r="X27" s="163"/>
      <c r="Y27" s="163"/>
      <c r="Z27" s="163"/>
    </row>
    <row r="28">
      <c r="A28" s="163"/>
      <c r="B28" s="220">
        <f>Projections!$AJ$24</f>
        <v>100</v>
      </c>
      <c r="C28" s="221">
        <v>9.0</v>
      </c>
      <c r="D28" s="230" t="str">
        <f t="array" ref="D28">INDIRECT("Draft!L"&amp;TEXT(A19+2,"0"))</f>
        <v/>
      </c>
      <c r="E28" s="235" t="str">
        <f>IF($D28="","", VLOOKUP($D28,'Final Update'!$Q$21:$AE1000,Column(G26),False))</f>
        <v/>
      </c>
      <c r="F28" s="235" t="str">
        <f>IF($D28="","", VLOOKUP($D28,'Final Update'!$Q$21:$AE1000,Column(H26),False))</f>
        <v/>
      </c>
      <c r="G28" s="235" t="str">
        <f>IF($D28="","", VLOOKUP($D28,'Final Update'!$Q$21:$AE1000,Column(I26),False))</f>
        <v/>
      </c>
      <c r="H28" s="235" t="str">
        <f>IF($D28="","", VLOOKUP($D28,'Final Update'!$Q$21:$AE1000,Column(J26),False))</f>
        <v/>
      </c>
      <c r="I28" s="235" t="str">
        <f>IF($D28="","", VLOOKUP($D28,'Final Update'!$Q$21:$AE1000,Column(K26),False))</f>
        <v/>
      </c>
      <c r="J28" s="235" t="str">
        <f>IF($D28="","", VLOOKUP($D28,'Final Update'!$Q$21:$AE1000,Column(L26),False))</f>
        <v/>
      </c>
      <c r="K28" s="236" t="str">
        <f>IF($D28="","", VLOOKUP($D28,'Final Update'!$Q$21:$AE1000,Column(M26),False))</f>
        <v/>
      </c>
      <c r="L28" s="236" t="str">
        <f>IF($D28="","", VLOOKUP($D28,'Final Update'!$Q$21:$AE1000,Column(N26),False))</f>
        <v/>
      </c>
      <c r="M28" s="235" t="str">
        <f>IF($D28="","", VLOOKUP($D28,'Final Update'!$Q$21:$AE1000,Column(O26),False))</f>
        <v/>
      </c>
      <c r="N28" s="227" t="str">
        <f>IF($D28="","", VLOOKUP($D28,'Final Update'!$Q$21:$AE1000,Column(C26),False))</f>
        <v/>
      </c>
      <c r="O28" s="163"/>
      <c r="P28" s="163"/>
      <c r="Q28" s="163"/>
      <c r="R28" s="163"/>
      <c r="S28" s="163"/>
      <c r="T28" s="163"/>
      <c r="U28" s="163"/>
      <c r="V28" s="163"/>
      <c r="W28" s="163"/>
      <c r="X28" s="163"/>
      <c r="Y28" s="163"/>
      <c r="Z28" s="163"/>
    </row>
    <row r="29">
      <c r="A29" s="163"/>
      <c r="B29" s="220">
        <f>Projections!$AJ$25</f>
        <v>100</v>
      </c>
      <c r="C29" s="221">
        <v>10.0</v>
      </c>
      <c r="D29" s="231" t="str">
        <f t="array" ref="D29">INDIRECT("Draft!M"&amp;TEXT(15-A19,"0"))</f>
        <v/>
      </c>
      <c r="E29" s="235" t="str">
        <f>IF($D29="","", VLOOKUP($D29,'Final Update'!$Q$21:$AE1000,Column(G27),False))</f>
        <v/>
      </c>
      <c r="F29" s="235" t="str">
        <f>IF($D29="","", VLOOKUP($D29,'Final Update'!$Q$21:$AE1000,Column(H27),False))</f>
        <v/>
      </c>
      <c r="G29" s="235" t="str">
        <f>IF($D29="","", VLOOKUP($D29,'Final Update'!$Q$21:$AE1000,Column(I27),False))</f>
        <v/>
      </c>
      <c r="H29" s="235" t="str">
        <f>IF($D29="","", VLOOKUP($D29,'Final Update'!$Q$21:$AE1000,Column(J27),False))</f>
        <v/>
      </c>
      <c r="I29" s="235" t="str">
        <f>IF($D29="","", VLOOKUP($D29,'Final Update'!$Q$21:$AE1000,Column(K27),False))</f>
        <v/>
      </c>
      <c r="J29" s="235" t="str">
        <f>IF($D29="","", VLOOKUP($D29,'Final Update'!$Q$21:$AE1000,Column(L27),False))</f>
        <v/>
      </c>
      <c r="K29" s="236" t="str">
        <f>IF($D29="","", VLOOKUP($D29,'Final Update'!$Q$21:$AE1000,Column(M27),False))</f>
        <v/>
      </c>
      <c r="L29" s="236" t="str">
        <f>IF($D29="","", VLOOKUP($D29,'Final Update'!$Q$21:$AE1000,Column(N27),False))</f>
        <v/>
      </c>
      <c r="M29" s="235" t="str">
        <f>IF($D29="","", VLOOKUP($D29,'Final Update'!$Q$21:$AE1000,Column(O27),False))</f>
        <v/>
      </c>
      <c r="N29" s="227" t="str">
        <f>IF($D29="","", VLOOKUP($D29,'Final Update'!$Q$21:$AE1000,Column(C27),False))</f>
        <v/>
      </c>
      <c r="O29" s="163"/>
      <c r="P29" s="163"/>
      <c r="Q29" s="163"/>
      <c r="R29" s="163"/>
      <c r="S29" s="163"/>
      <c r="T29" s="163"/>
      <c r="U29" s="163"/>
      <c r="V29" s="163"/>
      <c r="W29" s="163"/>
      <c r="X29" s="163"/>
      <c r="Y29" s="163"/>
      <c r="Z29" s="163"/>
    </row>
    <row r="30">
      <c r="A30" s="163"/>
      <c r="B30" s="220">
        <f>Projections!$AJ$26</f>
        <v>100</v>
      </c>
      <c r="C30" s="221">
        <v>11.0</v>
      </c>
      <c r="D30" s="230" t="str">
        <f t="array" ref="D30">INDIRECT("Draft!N"&amp;TEXT(A19+2,"0"))</f>
        <v/>
      </c>
      <c r="E30" s="235" t="str">
        <f>IF($D30="","", VLOOKUP($D30,'Final Update'!$Q$21:$AE1000,Column(G28),False))</f>
        <v/>
      </c>
      <c r="F30" s="235" t="str">
        <f>IF($D30="","", VLOOKUP($D30,'Final Update'!$Q$21:$AE1000,Column(H28),False))</f>
        <v/>
      </c>
      <c r="G30" s="235" t="str">
        <f>IF($D30="","", VLOOKUP($D30,'Final Update'!$Q$21:$AE1000,Column(I28),False))</f>
        <v/>
      </c>
      <c r="H30" s="235" t="str">
        <f>IF($D30="","", VLOOKUP($D30,'Final Update'!$Q$21:$AE1000,Column(J28),False))</f>
        <v/>
      </c>
      <c r="I30" s="235" t="str">
        <f>IF($D30="","", VLOOKUP($D30,'Final Update'!$Q$21:$AE1000,Column(K28),False))</f>
        <v/>
      </c>
      <c r="J30" s="235" t="str">
        <f>IF($D30="","", VLOOKUP($D30,'Final Update'!$Q$21:$AE1000,Column(L28),False))</f>
        <v/>
      </c>
      <c r="K30" s="236" t="str">
        <f>IF($D30="","", VLOOKUP($D30,'Final Update'!$Q$21:$AE1000,Column(M28),False))</f>
        <v/>
      </c>
      <c r="L30" s="236" t="str">
        <f>IF($D30="","", VLOOKUP($D30,'Final Update'!$Q$21:$AE1000,Column(N28),False))</f>
        <v/>
      </c>
      <c r="M30" s="235" t="str">
        <f>IF($D30="","", VLOOKUP($D30,'Final Update'!$Q$21:$AE1000,Column(O28),False))</f>
        <v/>
      </c>
      <c r="N30" s="227" t="str">
        <f>IF($D30="","", VLOOKUP($D30,'Final Update'!$Q$21:$AE1000,Column(C28),False))</f>
        <v/>
      </c>
      <c r="O30" s="163"/>
      <c r="P30" s="163"/>
      <c r="Q30" s="163"/>
      <c r="R30" s="163"/>
      <c r="S30" s="163"/>
      <c r="T30" s="163"/>
      <c r="U30" s="163"/>
      <c r="V30" s="163"/>
      <c r="W30" s="163"/>
      <c r="X30" s="163"/>
      <c r="Y30" s="163"/>
      <c r="Z30" s="163"/>
    </row>
    <row r="31">
      <c r="A31" s="163"/>
      <c r="B31" s="220">
        <f>Projections!$AJ$27</f>
        <v>100</v>
      </c>
      <c r="C31" s="221">
        <v>12.0</v>
      </c>
      <c r="D31" s="231" t="str">
        <f t="array" ref="D31">INDIRECT("Draft!O"&amp;TEXT(15-A19,"0"))</f>
        <v/>
      </c>
      <c r="E31" s="235" t="str">
        <f>IF($D31="","", VLOOKUP($D31,'Final Update'!$Q$21:$AE1000,Column(G29),False))</f>
        <v/>
      </c>
      <c r="F31" s="235" t="str">
        <f>IF($D31="","", VLOOKUP($D31,'Final Update'!$Q$21:$AE1000,Column(H29),False))</f>
        <v/>
      </c>
      <c r="G31" s="235" t="str">
        <f>IF($D31="","", VLOOKUP($D31,'Final Update'!$Q$21:$AE1000,Column(I29),False))</f>
        <v/>
      </c>
      <c r="H31" s="235" t="str">
        <f>IF($D31="","", VLOOKUP($D31,'Final Update'!$Q$21:$AE1000,Column(J29),False))</f>
        <v/>
      </c>
      <c r="I31" s="235" t="str">
        <f>IF($D31="","", VLOOKUP($D31,'Final Update'!$Q$21:$AE1000,Column(K29),False))</f>
        <v/>
      </c>
      <c r="J31" s="235" t="str">
        <f>IF($D31="","", VLOOKUP($D31,'Final Update'!$Q$21:$AE1000,Column(L29),False))</f>
        <v/>
      </c>
      <c r="K31" s="236" t="str">
        <f>IF($D31="","", VLOOKUP($D31,'Final Update'!$Q$21:$AE1000,Column(M29),False))</f>
        <v/>
      </c>
      <c r="L31" s="236" t="str">
        <f>IF($D31="","", VLOOKUP($D31,'Final Update'!$Q$21:$AE1000,Column(N29),False))</f>
        <v/>
      </c>
      <c r="M31" s="235" t="str">
        <f>IF($D31="","", VLOOKUP($D31,'Final Update'!$Q$21:$AE1000,Column(O29),False))</f>
        <v/>
      </c>
      <c r="N31" s="227" t="str">
        <f>IF($D31="","", VLOOKUP($D31,'Final Update'!$Q$21:$AE1000,Column(C29),False))</f>
        <v/>
      </c>
      <c r="O31" s="163"/>
      <c r="P31" s="163"/>
      <c r="Q31" s="163"/>
      <c r="R31" s="163"/>
      <c r="S31" s="163"/>
      <c r="T31" s="163"/>
      <c r="U31" s="163"/>
      <c r="V31" s="163"/>
      <c r="W31" s="163"/>
      <c r="X31" s="163"/>
      <c r="Y31" s="163"/>
      <c r="Z31" s="163"/>
    </row>
    <row r="32">
      <c r="A32" s="163"/>
      <c r="B32" s="232">
        <f>Projections!$AJ$28</f>
        <v>100</v>
      </c>
      <c r="C32" s="221">
        <v>13.0</v>
      </c>
      <c r="D32" s="230" t="str">
        <f t="array" ref="D32">INDIRECT("Draft!P"&amp;TEXT(A19+2,"0"))</f>
        <v/>
      </c>
      <c r="E32" s="235" t="str">
        <f>IF($D32="","", VLOOKUP($D32,'Final Update'!$Q$21:$AE1000,Column(G30),False))</f>
        <v/>
      </c>
      <c r="F32" s="235" t="str">
        <f>IF($D32="","", VLOOKUP($D32,'Final Update'!$Q$21:$AE1000,Column(H30),False))</f>
        <v/>
      </c>
      <c r="G32" s="235" t="str">
        <f>IF($D32="","", VLOOKUP($D32,'Final Update'!$Q$21:$AE1000,Column(I30),False))</f>
        <v/>
      </c>
      <c r="H32" s="235" t="str">
        <f>IF($D32="","", VLOOKUP($D32,'Final Update'!$Q$21:$AE1000,Column(J30),False))</f>
        <v/>
      </c>
      <c r="I32" s="235" t="str">
        <f>IF($D32="","", VLOOKUP($D32,'Final Update'!$Q$21:$AE1000,Column(K30),False))</f>
        <v/>
      </c>
      <c r="J32" s="235" t="str">
        <f>IF($D32="","", VLOOKUP($D32,'Final Update'!$Q$21:$AE1000,Column(L30),False))</f>
        <v/>
      </c>
      <c r="K32" s="236" t="str">
        <f>IF($D32="","", VLOOKUP($D32,'Final Update'!$Q$21:$AE1000,Column(M30),False))</f>
        <v/>
      </c>
      <c r="L32" s="236" t="str">
        <f>IF($D32="","", VLOOKUP($D32,'Final Update'!$Q$21:$AE1000,Column(N30),False))</f>
        <v/>
      </c>
      <c r="M32" s="235" t="str">
        <f>IF($D32="","", VLOOKUP($D32,'Final Update'!$Q$21:$AE1000,Column(O30),False))</f>
        <v/>
      </c>
      <c r="N32" s="227" t="str">
        <f>IF($D32="","", VLOOKUP($D32,'Final Update'!$Q$21:$AE1000,Column(C30),False))</f>
        <v/>
      </c>
      <c r="O32" s="163"/>
      <c r="P32" s="163"/>
      <c r="Q32" s="163"/>
      <c r="R32" s="163"/>
      <c r="S32" s="163"/>
      <c r="T32" s="163"/>
      <c r="U32" s="163"/>
      <c r="V32" s="163"/>
      <c r="W32" s="163"/>
      <c r="X32" s="163"/>
      <c r="Y32" s="163"/>
      <c r="Z32" s="163"/>
    </row>
    <row r="33">
      <c r="A33" s="163"/>
      <c r="B33" s="220">
        <f>Projections!$AJ$29</f>
        <v>50</v>
      </c>
      <c r="C33" s="221">
        <v>14.0</v>
      </c>
      <c r="D33" s="231" t="str">
        <f t="array" ref="D33">INDIRECT("Draft!Q"&amp;TEXT(15-A19,"0"))</f>
        <v/>
      </c>
      <c r="E33" s="235" t="str">
        <f>IF($D33="","", VLOOKUP($D33,'Final Update'!$Q$21:$AE1000,Column(G31),False))</f>
        <v/>
      </c>
      <c r="F33" s="235" t="str">
        <f>IF($D33="","", VLOOKUP($D33,'Final Update'!$Q$21:$AE1000,Column(H31),False))</f>
        <v/>
      </c>
      <c r="G33" s="235" t="str">
        <f>IF($D33="","", VLOOKUP($D33,'Final Update'!$Q$21:$AE1000,Column(I31),False))</f>
        <v/>
      </c>
      <c r="H33" s="235" t="str">
        <f>IF($D33="","", VLOOKUP($D33,'Final Update'!$Q$21:$AE1000,Column(J31),False))</f>
        <v/>
      </c>
      <c r="I33" s="235" t="str">
        <f>IF($D33="","", VLOOKUP($D33,'Final Update'!$Q$21:$AE1000,Column(K31),False))</f>
        <v/>
      </c>
      <c r="J33" s="235" t="str">
        <f>IF($D33="","", VLOOKUP($D33,'Final Update'!$Q$21:$AE1000,Column(L31),False))</f>
        <v/>
      </c>
      <c r="K33" s="236" t="str">
        <f>IF($D33="","", VLOOKUP($D33,'Final Update'!$Q$21:$AE1000,Column(M31),False))</f>
        <v/>
      </c>
      <c r="L33" s="236" t="str">
        <f>IF($D33="","", VLOOKUP($D33,'Final Update'!$Q$21:$AE1000,Column(N31),False))</f>
        <v/>
      </c>
      <c r="M33" s="235" t="str">
        <f>IF($D33="","", VLOOKUP($D33,'Final Update'!$Q$21:$AE1000,Column(O31),False))</f>
        <v/>
      </c>
      <c r="N33" s="227" t="str">
        <f>IF($D33="","", VLOOKUP($D33,'Final Update'!$Q$21:$AE1000,Column(C31),False))</f>
        <v/>
      </c>
      <c r="O33" s="163"/>
      <c r="P33" s="163"/>
      <c r="Q33" s="163"/>
      <c r="R33" s="163"/>
      <c r="S33" s="163"/>
      <c r="T33" s="163"/>
      <c r="U33" s="163"/>
      <c r="V33" s="163"/>
      <c r="W33" s="163"/>
      <c r="X33" s="163"/>
      <c r="Y33" s="163"/>
      <c r="Z33" s="163"/>
    </row>
    <row r="34">
      <c r="A34" s="216" t="s">
        <v>5</v>
      </c>
      <c r="B34" s="163"/>
      <c r="C34" s="163"/>
      <c r="D34" s="219" t="s">
        <v>1328</v>
      </c>
      <c r="E34" s="233" t="str">
        <f t="shared" ref="E34:J34" si="2">IFERROR(AVERAGE(SUMPRODUCT(E20:E33,$B20:$B33/100))/(SUM(OFFSET($B20,0,0,COUNT(E20:E33)))/100),"")</f>
        <v/>
      </c>
      <c r="F34" s="233" t="str">
        <f t="shared" si="2"/>
        <v/>
      </c>
      <c r="G34" s="233" t="str">
        <f t="shared" si="2"/>
        <v/>
      </c>
      <c r="H34" s="233" t="str">
        <f t="shared" si="2"/>
        <v/>
      </c>
      <c r="I34" s="233" t="str">
        <f t="shared" si="2"/>
        <v/>
      </c>
      <c r="J34" s="233" t="str">
        <f t="shared" si="2"/>
        <v/>
      </c>
      <c r="K34" s="233" t="str">
        <f t="array" ref="K34">IFERROR(100*SUMPRODUCT(IFERROR(VLOOKUP($D20:$D33,UpdateHashtag!$C:$S,6,False),"")*$B20:$B33/100)/SUMPRODUCT(IFERROR(VLOOKUP($D20:$D33,UpdateHashtag!$C:$S,17,False),"")*$B20:$B33/100),"")</f>
        <v/>
      </c>
      <c r="L34" s="233" t="str">
        <f t="array" ref="L34">IFERROR(100*SUMPRODUCT(IFERROR(VLOOKUP($D20:$D33,UpdateHashtag!$C:$T,8,False),"")*$B20:$B33/100)/SUMPRODUCT(IFERROR(VLOOKUP($D20:$D33,UpdateHashtag!$C:$T,18,False),"")*$B20:$B33/100),"")</f>
        <v/>
      </c>
      <c r="M34" s="233" t="str">
        <f>IFERROR(AVERAGE(SUMPRODUCT(M20:M33,$B20:$B33/100))/(SUM(OFFSET($B20,0,0,COUNT(M20:M33)))/100),"")</f>
        <v/>
      </c>
      <c r="N34" s="163"/>
      <c r="O34" s="163"/>
      <c r="P34" s="163"/>
      <c r="Q34" s="163"/>
      <c r="R34" s="163"/>
      <c r="S34" s="163"/>
      <c r="T34" s="163"/>
      <c r="U34" s="163"/>
      <c r="V34" s="163"/>
      <c r="W34" s="163"/>
      <c r="X34" s="163"/>
      <c r="Y34" s="163"/>
      <c r="Z34" s="163"/>
    </row>
    <row r="35">
      <c r="A35" s="163"/>
      <c r="B35" s="163"/>
      <c r="C35" s="163"/>
      <c r="D35" s="219" t="s">
        <v>1329</v>
      </c>
      <c r="E35" s="234" t="str">
        <f>IFERROR((SUM(OFFSET('All Teams'!$B20,0,0,COUNT('All Teams'!E20:E33)))/100)*('All Teams'!E34-'Final Update'!$B$1)/'Final Update'!$B$2,"")</f>
        <v/>
      </c>
      <c r="F35" s="234" t="str">
        <f>IFERROR((SUM(OFFSET('All Teams'!$B20,0,0,COUNT('All Teams'!F20:F33)))/100)*('All Teams'!F34-'Final Update'!$C$1)/'Final Update'!$C$2,"")</f>
        <v/>
      </c>
      <c r="G35" s="234" t="str">
        <f>IFERROR((SUM(OFFSET('All Teams'!$B20,0,0,COUNT('All Teams'!G20:G33)))/100)*('All Teams'!G34-'Final Update'!$D$1)/'Final Update'!$D$2,"")</f>
        <v/>
      </c>
      <c r="H35" s="234" t="str">
        <f>IFERROR((SUM(OFFSET('All Teams'!$B20,0,0,COUNT('All Teams'!H20:H33)))/100)*('All Teams'!H34-'Final Update'!$E$1)/'Final Update'!$E$2,"")</f>
        <v/>
      </c>
      <c r="I35" s="234" t="str">
        <f>IFERROR((SUM(OFFSET('All Teams'!$B20,0,0,COUNT('All Teams'!I20:I33)))/100)*('All Teams'!I34-'Final Update'!$F$1)/'Final Update'!$F$2,"")</f>
        <v/>
      </c>
      <c r="J35" s="234" t="str">
        <f>IFERROR((SUM(OFFSET('All Teams'!$B20,0,0,COUNT('All Teams'!J20:J33)))/100)*('All Teams'!J34-'Final Update'!$G$1)/'Final Update'!$G$2,"")</f>
        <v/>
      </c>
      <c r="K35" s="234">
        <f t="array" ref="K35">SUMPRODUCT(IFERROR(VLOOKUP($D20:$D33,'Final Update'!$A$4:$L$403,8,False)*$B20:$B33/100,""))</f>
        <v>0</v>
      </c>
      <c r="L35" s="234">
        <f t="array" ref="L35">SUMPRODUCT(IFERROR(VLOOKUP($D20:$D33,'Final Update'!$A$4:$L$403,10,False)*$B20:$B33/100,""))</f>
        <v>0</v>
      </c>
      <c r="M35" s="234" t="str">
        <f>IFERROR(-(SUM(OFFSET('All Teams'!$B20,0,0,COUNT('All Teams'!M20:M33)))/100)*('All Teams'!M34-'Final Update'!$L$1)/'Final Update'!$L$2,"")</f>
        <v/>
      </c>
      <c r="N35" s="163"/>
      <c r="O35" s="163"/>
      <c r="P35" s="163"/>
      <c r="Q35" s="163"/>
      <c r="R35" s="163"/>
      <c r="S35" s="163"/>
      <c r="T35" s="163"/>
      <c r="U35" s="163"/>
      <c r="V35" s="163"/>
      <c r="W35" s="163"/>
      <c r="X35" s="163"/>
      <c r="Y35" s="163"/>
      <c r="Z35" s="163"/>
    </row>
    <row r="36">
      <c r="A36" s="217">
        <v>3.0</v>
      </c>
      <c r="B36" s="218" t="s">
        <v>220</v>
      </c>
      <c r="C36" s="219" t="s">
        <v>222</v>
      </c>
      <c r="D36" s="218" t="s">
        <v>1242</v>
      </c>
      <c r="E36" s="218" t="s">
        <v>10</v>
      </c>
      <c r="F36" s="218" t="s">
        <v>109</v>
      </c>
      <c r="G36" s="218" t="s">
        <v>110</v>
      </c>
      <c r="H36" s="218" t="s">
        <v>12</v>
      </c>
      <c r="I36" s="218" t="s">
        <v>13</v>
      </c>
      <c r="J36" s="218" t="s">
        <v>14</v>
      </c>
      <c r="K36" s="218" t="s">
        <v>8</v>
      </c>
      <c r="L36" s="218" t="s">
        <v>9</v>
      </c>
      <c r="M36" s="218" t="s">
        <v>15</v>
      </c>
      <c r="N36" s="218" t="s">
        <v>4</v>
      </c>
      <c r="O36" s="218" t="s">
        <v>227</v>
      </c>
      <c r="P36" s="218" t="s">
        <v>4</v>
      </c>
      <c r="Q36" s="163"/>
      <c r="R36" s="163"/>
      <c r="S36" s="163"/>
      <c r="T36" s="163"/>
      <c r="U36" s="163"/>
      <c r="V36" s="163"/>
      <c r="W36" s="163"/>
      <c r="X36" s="163"/>
      <c r="Y36" s="163"/>
      <c r="Z36" s="163"/>
    </row>
    <row r="37">
      <c r="A37" s="163"/>
      <c r="B37" s="220">
        <f>Projections!$AJ$16</f>
        <v>100</v>
      </c>
      <c r="C37" s="221">
        <v>1.0</v>
      </c>
      <c r="D37" s="222" t="str">
        <f t="array" ref="D37">INDIRECT("Draft!D"&amp;TEXT(A36+2,"0"))</f>
        <v/>
      </c>
      <c r="E37" s="223" t="str">
        <f>IF($D37="","", VLOOKUP($D37,'Final Update'!$Q$21:$AE1000,Column(G35),False))</f>
        <v/>
      </c>
      <c r="F37" s="223" t="str">
        <f>IF($D37="","", VLOOKUP($D37,'Final Update'!$Q$21:$AE1000,Column(H35),False))</f>
        <v/>
      </c>
      <c r="G37" s="223" t="str">
        <f>IF($D37="","", VLOOKUP($D37,'Final Update'!$Q$21:$AE1000,Column(I35),False))</f>
        <v/>
      </c>
      <c r="H37" s="223" t="str">
        <f>IF($D37="","", VLOOKUP($D37,'Final Update'!$Q$21:$AE1000,Column(J35),False))</f>
        <v/>
      </c>
      <c r="I37" s="223" t="str">
        <f>IF($D37="","", VLOOKUP($D37,'Final Update'!$Q$21:$AE1000,Column(K35),False))</f>
        <v/>
      </c>
      <c r="J37" s="223" t="str">
        <f>IF($D37="","", VLOOKUP($D37,'Final Update'!$Q$21:$AE1000,Column(L35),False))</f>
        <v/>
      </c>
      <c r="K37" s="224" t="str">
        <f>IF($D37="","", VLOOKUP($D37,'Final Update'!$Q$21:$AE1000,Column(M35),False))</f>
        <v/>
      </c>
      <c r="L37" s="224" t="str">
        <f>IF($D37="","", VLOOKUP($D37,'Final Update'!$Q$21:$AE1000,Column(N35),False))</f>
        <v/>
      </c>
      <c r="M37" s="223" t="str">
        <f>IF($D37="","", VLOOKUP($D37,'Final Update'!$Q$21:$AE1000,Column(O35),False))</f>
        <v/>
      </c>
      <c r="N37" s="223" t="str">
        <f>IF($D37="","", VLOOKUP($D37,'Final Update'!$Q$21:$AE1000,Column(C35),False))</f>
        <v/>
      </c>
      <c r="O37" s="221">
        <f t="array" ref="O37">COUNTIF(FIND(P37,$N37:$N50),"&gt;0")</f>
        <v>0</v>
      </c>
      <c r="P37" s="222" t="s">
        <v>46</v>
      </c>
      <c r="Q37" s="163"/>
      <c r="R37" s="163"/>
      <c r="S37" s="163"/>
      <c r="T37" s="163"/>
      <c r="U37" s="163"/>
      <c r="V37" s="163"/>
      <c r="W37" s="163"/>
      <c r="X37" s="163"/>
      <c r="Y37" s="163"/>
      <c r="Z37" s="163"/>
    </row>
    <row r="38">
      <c r="A38" s="163"/>
      <c r="B38" s="220">
        <f>Projections!$AJ$17</f>
        <v>100</v>
      </c>
      <c r="C38" s="221">
        <v>2.0</v>
      </c>
      <c r="D38" s="225" t="str">
        <f t="array" ref="D38">INDIRECT("Draft!E"&amp;TEXT(15-A36,"0"))</f>
        <v/>
      </c>
      <c r="E38" s="223" t="str">
        <f>IF($D38="","", VLOOKUP($D38,'Final Update'!$Q$21:$AE1000,Column(G36),False))</f>
        <v/>
      </c>
      <c r="F38" s="223" t="str">
        <f>IF($D38="","", VLOOKUP($D38,'Final Update'!$Q$21:$AE1000,Column(H36),False))</f>
        <v/>
      </c>
      <c r="G38" s="223" t="str">
        <f>IF($D38="","", VLOOKUP($D38,'Final Update'!$Q$21:$AE1000,Column(I36),False))</f>
        <v/>
      </c>
      <c r="H38" s="223" t="str">
        <f>IF($D38="","", VLOOKUP($D38,'Final Update'!$Q$21:$AE1000,Column(J36),False))</f>
        <v/>
      </c>
      <c r="I38" s="223" t="str">
        <f>IF($D38="","", VLOOKUP($D38,'Final Update'!$Q$21:$AE1000,Column(K36),False))</f>
        <v/>
      </c>
      <c r="J38" s="223" t="str">
        <f>IF($D38="","", VLOOKUP($D38,'Final Update'!$Q$21:$AE1000,Column(L36),False))</f>
        <v/>
      </c>
      <c r="K38" s="224" t="str">
        <f>IF($D38="","", VLOOKUP($D38,'Final Update'!$Q$21:$AE1000,Column(M36),False))</f>
        <v/>
      </c>
      <c r="L38" s="224" t="str">
        <f>IF($D38="","", VLOOKUP($D38,'Final Update'!$Q$21:$AE1000,Column(N36),False))</f>
        <v/>
      </c>
      <c r="M38" s="223" t="str">
        <f>IF($D38="","", VLOOKUP($D38,'Final Update'!$Q$21:$AE1000,Column(O36),False))</f>
        <v/>
      </c>
      <c r="N38" s="223" t="str">
        <f>IF($D38="","", VLOOKUP($D38,'Final Update'!$Q$21:$AE1000,Column(C36),False))</f>
        <v/>
      </c>
      <c r="O38" s="221">
        <f t="array" ref="O38">COUNTIF(FIND(P38,$N37:$N50),"&gt;0")</f>
        <v>0</v>
      </c>
      <c r="P38" s="222" t="s">
        <v>47</v>
      </c>
      <c r="Q38" s="163"/>
      <c r="R38" s="163"/>
      <c r="S38" s="163"/>
      <c r="T38" s="163"/>
      <c r="U38" s="163"/>
      <c r="V38" s="163"/>
      <c r="W38" s="163"/>
      <c r="X38" s="163"/>
      <c r="Y38" s="163"/>
      <c r="Z38" s="163"/>
    </row>
    <row r="39">
      <c r="A39" s="163"/>
      <c r="B39" s="220">
        <f>Projections!$AJ$18</f>
        <v>100</v>
      </c>
      <c r="C39" s="221">
        <v>3.0</v>
      </c>
      <c r="D39" s="226" t="str">
        <f t="array" ref="D39">INDIRECT("Draft!F"&amp;TEXT(A36+2,"0"))</f>
        <v/>
      </c>
      <c r="E39" s="227" t="str">
        <f>IF($D39="","", VLOOKUP($D39,'Final Update'!$Q$21:$AE1000,Column(G37),False))</f>
        <v/>
      </c>
      <c r="F39" s="227" t="str">
        <f>IF($D39="","", VLOOKUP($D39,'Final Update'!$Q$21:$AE1000,Column(H37),False))</f>
        <v/>
      </c>
      <c r="G39" s="227" t="str">
        <f>IF($D39="","", VLOOKUP($D39,'Final Update'!$Q$21:$AE1000,Column(I37),False))</f>
        <v/>
      </c>
      <c r="H39" s="227" t="str">
        <f>IF($D39="","", VLOOKUP($D39,'Final Update'!$Q$21:$AE1000,Column(J37),False))</f>
        <v/>
      </c>
      <c r="I39" s="227" t="str">
        <f>IF($D39="","", VLOOKUP($D39,'Final Update'!$Q$21:$AE1000,Column(K37),False))</f>
        <v/>
      </c>
      <c r="J39" s="227" t="str">
        <f>IF($D39="","", VLOOKUP($D39,'Final Update'!$Q$21:$AE1000,Column(L37),False))</f>
        <v/>
      </c>
      <c r="K39" s="228" t="str">
        <f>IF($D39="","", VLOOKUP($D39,'Final Update'!$Q$21:$AE1000,Column(M37),False))</f>
        <v/>
      </c>
      <c r="L39" s="228" t="str">
        <f>IF($D39="","", VLOOKUP($D39,'Final Update'!$Q$21:$AE1000,Column(N37),False))</f>
        <v/>
      </c>
      <c r="M39" s="227" t="str">
        <f>IF($D39="","", VLOOKUP($D39,'Final Update'!$Q$21:$AE1000,Column(O37),False))</f>
        <v/>
      </c>
      <c r="N39" s="227" t="str">
        <f>IF($D39="","", VLOOKUP($D39,'Final Update'!$Q$21:$AE1000,Column(C37),False))</f>
        <v/>
      </c>
      <c r="O39" s="221">
        <f t="array" ref="O39">COUNTIF(FIND(P39,$N37:$N50),"&gt;0")</f>
        <v>0</v>
      </c>
      <c r="P39" s="222" t="s">
        <v>48</v>
      </c>
      <c r="Q39" s="163"/>
      <c r="R39" s="163"/>
      <c r="S39" s="163"/>
      <c r="T39" s="163"/>
      <c r="U39" s="163"/>
      <c r="V39" s="163"/>
      <c r="W39" s="163"/>
      <c r="X39" s="163"/>
      <c r="Y39" s="163"/>
      <c r="Z39" s="163"/>
    </row>
    <row r="40">
      <c r="A40" s="163"/>
      <c r="B40" s="220">
        <f>Projections!$AJ$19</f>
        <v>100</v>
      </c>
      <c r="C40" s="221">
        <v>4.0</v>
      </c>
      <c r="D40" s="229" t="str">
        <f t="array" ref="D40">INDIRECT("Draft!G"&amp;TEXT(15-A36,"0"))</f>
        <v/>
      </c>
      <c r="E40" s="227" t="str">
        <f>IF($D40="","", VLOOKUP($D40,'Final Update'!$Q$21:$AE1000,Column(G38),False))</f>
        <v/>
      </c>
      <c r="F40" s="227" t="str">
        <f>IF($D40="","", VLOOKUP($D40,'Final Update'!$Q$21:$AE1000,Column(H38),False))</f>
        <v/>
      </c>
      <c r="G40" s="227" t="str">
        <f>IF($D40="","", VLOOKUP($D40,'Final Update'!$Q$21:$AE1000,Column(I38),False))</f>
        <v/>
      </c>
      <c r="H40" s="227" t="str">
        <f>IF($D40="","", VLOOKUP($D40,'Final Update'!$Q$21:$AE1000,Column(J38),False))</f>
        <v/>
      </c>
      <c r="I40" s="227" t="str">
        <f>IF($D40="","", VLOOKUP($D40,'Final Update'!$Q$21:$AE1000,Column(K38),False))</f>
        <v/>
      </c>
      <c r="J40" s="227" t="str">
        <f>IF($D40="","", VLOOKUP($D40,'Final Update'!$Q$21:$AE1000,Column(L38),False))</f>
        <v/>
      </c>
      <c r="K40" s="228" t="str">
        <f>IF($D40="","", VLOOKUP($D40,'Final Update'!$Q$21:$AE1000,Column(M38),False))</f>
        <v/>
      </c>
      <c r="L40" s="228" t="str">
        <f>IF($D40="","", VLOOKUP($D40,'Final Update'!$Q$21:$AE1000,Column(N38),False))</f>
        <v/>
      </c>
      <c r="M40" s="227" t="str">
        <f>IF($D40="","", VLOOKUP($D40,'Final Update'!$Q$21:$AE1000,Column(O38),False))</f>
        <v/>
      </c>
      <c r="N40" s="227" t="str">
        <f>IF($D40="","", VLOOKUP($D40,'Final Update'!$Q$21:$AE1000,Column(C38),False))</f>
        <v/>
      </c>
      <c r="O40" s="221">
        <f t="array" ref="O40">COUNTIF(FIND(P40,$N37:$N50),"&gt;0")</f>
        <v>0</v>
      </c>
      <c r="P40" s="222" t="s">
        <v>49</v>
      </c>
      <c r="Q40" s="163"/>
      <c r="R40" s="163"/>
      <c r="S40" s="163"/>
      <c r="T40" s="163"/>
      <c r="U40" s="163"/>
      <c r="V40" s="163"/>
      <c r="W40" s="163"/>
      <c r="X40" s="163"/>
      <c r="Y40" s="163"/>
      <c r="Z40" s="163"/>
    </row>
    <row r="41">
      <c r="A41" s="163"/>
      <c r="B41" s="220">
        <f>Projections!$AJ$20</f>
        <v>100</v>
      </c>
      <c r="C41" s="221">
        <v>5.0</v>
      </c>
      <c r="D41" s="230" t="str">
        <f t="array" ref="D41">INDIRECT("Draft!H"&amp;TEXT(A36+2,"0"))</f>
        <v/>
      </c>
      <c r="E41" s="227" t="str">
        <f>IF($D41="","", VLOOKUP($D41,'Final Update'!$Q$21:$AE1000,Column(G39),False))</f>
        <v/>
      </c>
      <c r="F41" s="227" t="str">
        <f>IF($D41="","", VLOOKUP($D41,'Final Update'!$Q$21:$AE1000,Column(H39),False))</f>
        <v/>
      </c>
      <c r="G41" s="227" t="str">
        <f>IF($D41="","", VLOOKUP($D41,'Final Update'!$Q$21:$AE1000,Column(I39),False))</f>
        <v/>
      </c>
      <c r="H41" s="227" t="str">
        <f>IF($D41="","", VLOOKUP($D41,'Final Update'!$Q$21:$AE1000,Column(J39),False))</f>
        <v/>
      </c>
      <c r="I41" s="227" t="str">
        <f>IF($D41="","", VLOOKUP($D41,'Final Update'!$Q$21:$AE1000,Column(K39),False))</f>
        <v/>
      </c>
      <c r="J41" s="227" t="str">
        <f>IF($D41="","", VLOOKUP($D41,'Final Update'!$Q$21:$AE1000,Column(L39),False))</f>
        <v/>
      </c>
      <c r="K41" s="228" t="str">
        <f>IF($D41="","", VLOOKUP($D41,'Final Update'!$Q$21:$AE1000,Column(M39),False))</f>
        <v/>
      </c>
      <c r="L41" s="228" t="str">
        <f>IF($D41="","", VLOOKUP($D41,'Final Update'!$Q$21:$AE1000,Column(N39),False))</f>
        <v/>
      </c>
      <c r="M41" s="227" t="str">
        <f>IF($D41="","", VLOOKUP($D41,'Final Update'!$Q$21:$AE1000,Column(O39),False))</f>
        <v/>
      </c>
      <c r="N41" s="227" t="str">
        <f>IF($D41="","", VLOOKUP($D41,'Final Update'!$Q$21:$AE1000,Column(C39),False))</f>
        <v/>
      </c>
      <c r="O41" s="221">
        <f t="array" ref="O41">COUNTIF(FIND(P41,$N37:$N50),"&gt;0")</f>
        <v>0</v>
      </c>
      <c r="P41" s="222" t="s">
        <v>34</v>
      </c>
      <c r="Q41" s="163"/>
      <c r="R41" s="163"/>
      <c r="S41" s="163"/>
      <c r="T41" s="163"/>
      <c r="U41" s="163"/>
      <c r="V41" s="163"/>
      <c r="W41" s="163"/>
      <c r="X41" s="163"/>
      <c r="Y41" s="163"/>
      <c r="Z41" s="163"/>
    </row>
    <row r="42">
      <c r="A42" s="163"/>
      <c r="B42" s="220">
        <f>Projections!$AJ$21</f>
        <v>100</v>
      </c>
      <c r="C42" s="221">
        <v>6.0</v>
      </c>
      <c r="D42" s="231" t="str">
        <f t="array" ref="D42">INDIRECT("Draft!I"&amp;TEXT(15-A36,"0"))</f>
        <v/>
      </c>
      <c r="E42" s="227" t="str">
        <f>IF($D42="","", VLOOKUP($D42,'Final Update'!$Q$21:$AE1000,Column(G40),False))</f>
        <v/>
      </c>
      <c r="F42" s="227" t="str">
        <f>IF($D42="","", VLOOKUP($D42,'Final Update'!$Q$21:$AE1000,Column(H40),False))</f>
        <v/>
      </c>
      <c r="G42" s="227" t="str">
        <f>IF($D42="","", VLOOKUP($D42,'Final Update'!$Q$21:$AE1000,Column(I40),False))</f>
        <v/>
      </c>
      <c r="H42" s="227" t="str">
        <f>IF($D42="","", VLOOKUP($D42,'Final Update'!$Q$21:$AE1000,Column(J40),False))</f>
        <v/>
      </c>
      <c r="I42" s="227" t="str">
        <f>IF($D42="","", VLOOKUP($D42,'Final Update'!$Q$21:$AE1000,Column(K40),False))</f>
        <v/>
      </c>
      <c r="J42" s="227" t="str">
        <f>IF($D42="","", VLOOKUP($D42,'Final Update'!$Q$21:$AE1000,Column(L40),False))</f>
        <v/>
      </c>
      <c r="K42" s="228" t="str">
        <f>IF($D42="","", VLOOKUP($D42,'Final Update'!$Q$21:$AE1000,Column(M40),False))</f>
        <v/>
      </c>
      <c r="L42" s="228" t="str">
        <f>IF($D42="","", VLOOKUP($D42,'Final Update'!$Q$21:$AE1000,Column(N40),False))</f>
        <v/>
      </c>
      <c r="M42" s="227" t="str">
        <f>IF($D42="","", VLOOKUP($D42,'Final Update'!$Q$21:$AE1000,Column(O40),False))</f>
        <v/>
      </c>
      <c r="N42" s="227" t="str">
        <f>IF($D42="","", VLOOKUP($D42,'Final Update'!$Q$21:$AE1000,Column(C40),False))</f>
        <v/>
      </c>
      <c r="O42" s="163"/>
      <c r="P42" s="163"/>
      <c r="Q42" s="163"/>
      <c r="R42" s="163"/>
      <c r="S42" s="163"/>
      <c r="T42" s="163"/>
      <c r="U42" s="163"/>
      <c r="V42" s="163"/>
      <c r="W42" s="163"/>
      <c r="X42" s="163"/>
      <c r="Y42" s="163"/>
      <c r="Z42" s="163"/>
    </row>
    <row r="43">
      <c r="A43" s="163"/>
      <c r="B43" s="220">
        <f>Projections!$AJ$22</f>
        <v>100</v>
      </c>
      <c r="C43" s="221">
        <v>7.0</v>
      </c>
      <c r="D43" s="230" t="str">
        <f t="array" ref="D43">INDIRECT("Draft!J"&amp;TEXT(A36+2,"0"))</f>
        <v/>
      </c>
      <c r="E43" s="227" t="str">
        <f>IF($D43="","", VLOOKUP($D43,'Final Update'!$Q$21:$AE1000,Column(G41),False))</f>
        <v/>
      </c>
      <c r="F43" s="227" t="str">
        <f>IF($D43="","", VLOOKUP($D43,'Final Update'!$Q$21:$AE1000,Column(H41),False))</f>
        <v/>
      </c>
      <c r="G43" s="227" t="str">
        <f>IF($D43="","", VLOOKUP($D43,'Final Update'!$Q$21:$AE1000,Column(I41),False))</f>
        <v/>
      </c>
      <c r="H43" s="227" t="str">
        <f>IF($D43="","", VLOOKUP($D43,'Final Update'!$Q$21:$AE1000,Column(J41),False))</f>
        <v/>
      </c>
      <c r="I43" s="227" t="str">
        <f>IF($D43="","", VLOOKUP($D43,'Final Update'!$Q$21:$AE1000,Column(K41),False))</f>
        <v/>
      </c>
      <c r="J43" s="227" t="str">
        <f>IF($D43="","", VLOOKUP($D43,'Final Update'!$Q$21:$AE1000,Column(L41),False))</f>
        <v/>
      </c>
      <c r="K43" s="228" t="str">
        <f>IF($D43="","", VLOOKUP($D43,'Final Update'!$Q$21:$AE1000,Column(M41),False))</f>
        <v/>
      </c>
      <c r="L43" s="228" t="str">
        <f>IF($D43="","", VLOOKUP($D43,'Final Update'!$Q$21:$AE1000,Column(N41),False))</f>
        <v/>
      </c>
      <c r="M43" s="227" t="str">
        <f>IF($D43="","", VLOOKUP($D43,'Final Update'!$Q$21:$AE1000,Column(O41),False))</f>
        <v/>
      </c>
      <c r="N43" s="227" t="str">
        <f>IF($D43="","", VLOOKUP($D43,'Final Update'!$Q$21:$AE1000,Column(C41),False))</f>
        <v/>
      </c>
      <c r="O43" s="163"/>
      <c r="P43" s="163"/>
      <c r="Q43" s="163"/>
      <c r="R43" s="163"/>
      <c r="S43" s="163"/>
      <c r="T43" s="163"/>
      <c r="U43" s="163"/>
      <c r="V43" s="163"/>
      <c r="W43" s="163"/>
      <c r="X43" s="163"/>
      <c r="Y43" s="163"/>
      <c r="Z43" s="163"/>
    </row>
    <row r="44">
      <c r="A44" s="163"/>
      <c r="B44" s="220">
        <f>Projections!$AJ$23</f>
        <v>100</v>
      </c>
      <c r="C44" s="221">
        <v>8.0</v>
      </c>
      <c r="D44" s="231" t="str">
        <f t="array" ref="D44">INDIRECT("Draft!K"&amp;TEXT(15-A36,"0"))</f>
        <v/>
      </c>
      <c r="E44" s="227" t="str">
        <f>IF($D44="","", VLOOKUP($D44,'Final Update'!$Q$21:$AE1000,Column(G42),False))</f>
        <v/>
      </c>
      <c r="F44" s="227" t="str">
        <f>IF($D44="","", VLOOKUP($D44,'Final Update'!$Q$21:$AE1000,Column(H42),False))</f>
        <v/>
      </c>
      <c r="G44" s="227" t="str">
        <f>IF($D44="","", VLOOKUP($D44,'Final Update'!$Q$21:$AE1000,Column(I42),False))</f>
        <v/>
      </c>
      <c r="H44" s="227" t="str">
        <f>IF($D44="","", VLOOKUP($D44,'Final Update'!$Q$21:$AE1000,Column(J42),False))</f>
        <v/>
      </c>
      <c r="I44" s="227" t="str">
        <f>IF($D44="","", VLOOKUP($D44,'Final Update'!$Q$21:$AE1000,Column(K42),False))</f>
        <v/>
      </c>
      <c r="J44" s="227" t="str">
        <f>IF($D44="","", VLOOKUP($D44,'Final Update'!$Q$21:$AE1000,Column(L42),False))</f>
        <v/>
      </c>
      <c r="K44" s="228" t="str">
        <f>IF($D44="","", VLOOKUP($D44,'Final Update'!$Q$21:$AE1000,Column(M42),False))</f>
        <v/>
      </c>
      <c r="L44" s="228" t="str">
        <f>IF($D44="","", VLOOKUP($D44,'Final Update'!$Q$21:$AE1000,Column(N42),False))</f>
        <v/>
      </c>
      <c r="M44" s="227" t="str">
        <f>IF($D44="","", VLOOKUP($D44,'Final Update'!$Q$21:$AE1000,Column(O42),False))</f>
        <v/>
      </c>
      <c r="N44" s="227" t="str">
        <f>IF($D44="","", VLOOKUP($D44,'Final Update'!$Q$21:$AE1000,Column(C42),False))</f>
        <v/>
      </c>
      <c r="O44" s="163"/>
      <c r="P44" s="163"/>
      <c r="Q44" s="163"/>
      <c r="R44" s="163"/>
      <c r="S44" s="163"/>
      <c r="T44" s="163"/>
      <c r="U44" s="163"/>
      <c r="V44" s="163"/>
      <c r="W44" s="163"/>
      <c r="X44" s="163"/>
      <c r="Y44" s="163"/>
      <c r="Z44" s="163"/>
    </row>
    <row r="45">
      <c r="A45" s="163"/>
      <c r="B45" s="220">
        <f>Projections!$AJ$24</f>
        <v>100</v>
      </c>
      <c r="C45" s="221">
        <v>9.0</v>
      </c>
      <c r="D45" s="230" t="str">
        <f t="array" ref="D45">INDIRECT("Draft!L"&amp;TEXT(A36+2,"0"))</f>
        <v/>
      </c>
      <c r="E45" s="227" t="str">
        <f>IF($D45="","", VLOOKUP($D45,'Final Update'!$Q$21:$AE1000,Column(G43),False))</f>
        <v/>
      </c>
      <c r="F45" s="227" t="str">
        <f>IF($D45="","", VLOOKUP($D45,'Final Update'!$Q$21:$AE1000,Column(H43),False))</f>
        <v/>
      </c>
      <c r="G45" s="227" t="str">
        <f>IF($D45="","", VLOOKUP($D45,'Final Update'!$Q$21:$AE1000,Column(I43),False))</f>
        <v/>
      </c>
      <c r="H45" s="227" t="str">
        <f>IF($D45="","", VLOOKUP($D45,'Final Update'!$Q$21:$AE1000,Column(J43),False))</f>
        <v/>
      </c>
      <c r="I45" s="227" t="str">
        <f>IF($D45="","", VLOOKUP($D45,'Final Update'!$Q$21:$AE1000,Column(K43),False))</f>
        <v/>
      </c>
      <c r="J45" s="227" t="str">
        <f>IF($D45="","", VLOOKUP($D45,'Final Update'!$Q$21:$AE1000,Column(L43),False))</f>
        <v/>
      </c>
      <c r="K45" s="228" t="str">
        <f>IF($D45="","", VLOOKUP($D45,'Final Update'!$Q$21:$AE1000,Column(M43),False))</f>
        <v/>
      </c>
      <c r="L45" s="228" t="str">
        <f>IF($D45="","", VLOOKUP($D45,'Final Update'!$Q$21:$AE1000,Column(N43),False))</f>
        <v/>
      </c>
      <c r="M45" s="227" t="str">
        <f>IF($D45="","", VLOOKUP($D45,'Final Update'!$Q$21:$AE1000,Column(O43),False))</f>
        <v/>
      </c>
      <c r="N45" s="227" t="str">
        <f>IF($D45="","", VLOOKUP($D45,'Final Update'!$Q$21:$AE1000,Column(C43),False))</f>
        <v/>
      </c>
      <c r="O45" s="163"/>
      <c r="P45" s="163"/>
      <c r="Q45" s="163"/>
      <c r="R45" s="163"/>
      <c r="S45" s="163"/>
      <c r="T45" s="163"/>
      <c r="U45" s="163"/>
      <c r="V45" s="163"/>
      <c r="W45" s="163"/>
      <c r="X45" s="163"/>
      <c r="Y45" s="163"/>
      <c r="Z45" s="163"/>
    </row>
    <row r="46">
      <c r="A46" s="163"/>
      <c r="B46" s="220">
        <f>Projections!$AJ$25</f>
        <v>100</v>
      </c>
      <c r="C46" s="221">
        <v>10.0</v>
      </c>
      <c r="D46" s="231" t="str">
        <f t="array" ref="D46">INDIRECT("Draft!M"&amp;TEXT(15-A36,"0"))</f>
        <v/>
      </c>
      <c r="E46" s="227" t="str">
        <f>IF($D46="","", VLOOKUP($D46,'Final Update'!$Q$21:$AE1000,Column(G44),False))</f>
        <v/>
      </c>
      <c r="F46" s="227" t="str">
        <f>IF($D46="","", VLOOKUP($D46,'Final Update'!$Q$21:$AE1000,Column(H44),False))</f>
        <v/>
      </c>
      <c r="G46" s="227" t="str">
        <f>IF($D46="","", VLOOKUP($D46,'Final Update'!$Q$21:$AE1000,Column(I44),False))</f>
        <v/>
      </c>
      <c r="H46" s="227" t="str">
        <f>IF($D46="","", VLOOKUP($D46,'Final Update'!$Q$21:$AE1000,Column(J44),False))</f>
        <v/>
      </c>
      <c r="I46" s="227" t="str">
        <f>IF($D46="","", VLOOKUP($D46,'Final Update'!$Q$21:$AE1000,Column(K44),False))</f>
        <v/>
      </c>
      <c r="J46" s="227" t="str">
        <f>IF($D46="","", VLOOKUP($D46,'Final Update'!$Q$21:$AE1000,Column(L44),False))</f>
        <v/>
      </c>
      <c r="K46" s="228" t="str">
        <f>IF($D46="","", VLOOKUP($D46,'Final Update'!$Q$21:$AE1000,Column(M44),False))</f>
        <v/>
      </c>
      <c r="L46" s="228" t="str">
        <f>IF($D46="","", VLOOKUP($D46,'Final Update'!$Q$21:$AE1000,Column(N44),False))</f>
        <v/>
      </c>
      <c r="M46" s="227" t="str">
        <f>IF($D46="","", VLOOKUP($D46,'Final Update'!$Q$21:$AE1000,Column(O44),False))</f>
        <v/>
      </c>
      <c r="N46" s="227" t="str">
        <f>IF($D46="","", VLOOKUP($D46,'Final Update'!$Q$21:$AE1000,Column(C44),False))</f>
        <v/>
      </c>
      <c r="O46" s="163"/>
      <c r="P46" s="163"/>
      <c r="Q46" s="163"/>
      <c r="R46" s="163"/>
      <c r="S46" s="163"/>
      <c r="T46" s="163"/>
      <c r="U46" s="163"/>
      <c r="V46" s="163"/>
      <c r="W46" s="163"/>
      <c r="X46" s="163"/>
      <c r="Y46" s="163"/>
      <c r="Z46" s="163"/>
    </row>
    <row r="47">
      <c r="A47" s="163"/>
      <c r="B47" s="220">
        <f>Projections!$AJ$26</f>
        <v>100</v>
      </c>
      <c r="C47" s="221">
        <v>11.0</v>
      </c>
      <c r="D47" s="230" t="str">
        <f t="array" ref="D47">INDIRECT("Draft!N"&amp;TEXT(A36+2,"0"))</f>
        <v/>
      </c>
      <c r="E47" s="227" t="str">
        <f>IF($D47="","", VLOOKUP($D47,'Final Update'!$Q$21:$AE1000,Column(G45),False))</f>
        <v/>
      </c>
      <c r="F47" s="227" t="str">
        <f>IF($D47="","", VLOOKUP($D47,'Final Update'!$Q$21:$AE1000,Column(H45),False))</f>
        <v/>
      </c>
      <c r="G47" s="227" t="str">
        <f>IF($D47="","", VLOOKUP($D47,'Final Update'!$Q$21:$AE1000,Column(I45),False))</f>
        <v/>
      </c>
      <c r="H47" s="227" t="str">
        <f>IF($D47="","", VLOOKUP($D47,'Final Update'!$Q$21:$AE1000,Column(J45),False))</f>
        <v/>
      </c>
      <c r="I47" s="227" t="str">
        <f>IF($D47="","", VLOOKUP($D47,'Final Update'!$Q$21:$AE1000,Column(K45),False))</f>
        <v/>
      </c>
      <c r="J47" s="227" t="str">
        <f>IF($D47="","", VLOOKUP($D47,'Final Update'!$Q$21:$AE1000,Column(L45),False))</f>
        <v/>
      </c>
      <c r="K47" s="228" t="str">
        <f>IF($D47="","", VLOOKUP($D47,'Final Update'!$Q$21:$AE1000,Column(M45),False))</f>
        <v/>
      </c>
      <c r="L47" s="228" t="str">
        <f>IF($D47="","", VLOOKUP($D47,'Final Update'!$Q$21:$AE1000,Column(N45),False))</f>
        <v/>
      </c>
      <c r="M47" s="227" t="str">
        <f>IF($D47="","", VLOOKUP($D47,'Final Update'!$Q$21:$AE1000,Column(O45),False))</f>
        <v/>
      </c>
      <c r="N47" s="227" t="str">
        <f>IF($D47="","", VLOOKUP($D47,'Final Update'!$Q$21:$AE1000,Column(C45),False))</f>
        <v/>
      </c>
      <c r="O47" s="163"/>
      <c r="P47" s="163"/>
      <c r="Q47" s="163"/>
      <c r="R47" s="163"/>
      <c r="S47" s="163"/>
      <c r="T47" s="163"/>
      <c r="U47" s="163"/>
      <c r="V47" s="163"/>
      <c r="W47" s="163"/>
      <c r="X47" s="163"/>
      <c r="Y47" s="163"/>
      <c r="Z47" s="163"/>
    </row>
    <row r="48">
      <c r="A48" s="163"/>
      <c r="B48" s="220">
        <f>Projections!$AJ$27</f>
        <v>100</v>
      </c>
      <c r="C48" s="221">
        <v>12.0</v>
      </c>
      <c r="D48" s="231" t="str">
        <f t="array" ref="D48">INDIRECT("Draft!O"&amp;TEXT(15-A36,"0"))</f>
        <v/>
      </c>
      <c r="E48" s="227" t="str">
        <f>IF($D48="","", VLOOKUP($D48,'Final Update'!$Q$21:$AE1000,Column(G46),False))</f>
        <v/>
      </c>
      <c r="F48" s="227" t="str">
        <f>IF($D48="","", VLOOKUP($D48,'Final Update'!$Q$21:$AE1000,Column(H46),False))</f>
        <v/>
      </c>
      <c r="G48" s="227" t="str">
        <f>IF($D48="","", VLOOKUP($D48,'Final Update'!$Q$21:$AE1000,Column(I46),False))</f>
        <v/>
      </c>
      <c r="H48" s="227" t="str">
        <f>IF($D48="","", VLOOKUP($D48,'Final Update'!$Q$21:$AE1000,Column(J46),False))</f>
        <v/>
      </c>
      <c r="I48" s="227" t="str">
        <f>IF($D48="","", VLOOKUP($D48,'Final Update'!$Q$21:$AE1000,Column(K46),False))</f>
        <v/>
      </c>
      <c r="J48" s="227" t="str">
        <f>IF($D48="","", VLOOKUP($D48,'Final Update'!$Q$21:$AE1000,Column(L46),False))</f>
        <v/>
      </c>
      <c r="K48" s="228" t="str">
        <f>IF($D48="","", VLOOKUP($D48,'Final Update'!$Q$21:$AE1000,Column(M46),False))</f>
        <v/>
      </c>
      <c r="L48" s="228" t="str">
        <f>IF($D48="","", VLOOKUP($D48,'Final Update'!$Q$21:$AE1000,Column(N46),False))</f>
        <v/>
      </c>
      <c r="M48" s="227" t="str">
        <f>IF($D48="","", VLOOKUP($D48,'Final Update'!$Q$21:$AE1000,Column(O46),False))</f>
        <v/>
      </c>
      <c r="N48" s="227" t="str">
        <f>IF($D48="","", VLOOKUP($D48,'Final Update'!$Q$21:$AE1000,Column(C46),False))</f>
        <v/>
      </c>
      <c r="O48" s="163"/>
      <c r="P48" s="163"/>
      <c r="Q48" s="163"/>
      <c r="R48" s="163"/>
      <c r="S48" s="163"/>
      <c r="T48" s="163"/>
      <c r="U48" s="163"/>
      <c r="V48" s="163"/>
      <c r="W48" s="163"/>
      <c r="X48" s="163"/>
      <c r="Y48" s="163"/>
      <c r="Z48" s="163"/>
    </row>
    <row r="49">
      <c r="A49" s="163"/>
      <c r="B49" s="232">
        <f>Projections!$AJ$28</f>
        <v>100</v>
      </c>
      <c r="C49" s="221">
        <v>13.0</v>
      </c>
      <c r="D49" s="230" t="str">
        <f t="array" ref="D49">INDIRECT("Draft!P"&amp;TEXT(A36+2,"0"))</f>
        <v/>
      </c>
      <c r="E49" s="227" t="str">
        <f>IF($D49="","", VLOOKUP($D49,'Final Update'!$Q$21:$AE1000,Column(G47),False))</f>
        <v/>
      </c>
      <c r="F49" s="227" t="str">
        <f>IF($D49="","", VLOOKUP($D49,'Final Update'!$Q$21:$AE1000,Column(H47),False))</f>
        <v/>
      </c>
      <c r="G49" s="227" t="str">
        <f>IF($D49="","", VLOOKUP($D49,'Final Update'!$Q$21:$AE1000,Column(I47),False))</f>
        <v/>
      </c>
      <c r="H49" s="227" t="str">
        <f>IF($D49="","", VLOOKUP($D49,'Final Update'!$Q$21:$AE1000,Column(J47),False))</f>
        <v/>
      </c>
      <c r="I49" s="227" t="str">
        <f>IF($D49="","", VLOOKUP($D49,'Final Update'!$Q$21:$AE1000,Column(K47),False))</f>
        <v/>
      </c>
      <c r="J49" s="227" t="str">
        <f>IF($D49="","", VLOOKUP($D49,'Final Update'!$Q$21:$AE1000,Column(L47),False))</f>
        <v/>
      </c>
      <c r="K49" s="228" t="str">
        <f>IF($D49="","", VLOOKUP($D49,'Final Update'!$Q$21:$AE1000,Column(M47),False))</f>
        <v/>
      </c>
      <c r="L49" s="228" t="str">
        <f>IF($D49="","", VLOOKUP($D49,'Final Update'!$Q$21:$AE1000,Column(N47),False))</f>
        <v/>
      </c>
      <c r="M49" s="227" t="str">
        <f>IF($D49="","", VLOOKUP($D49,'Final Update'!$Q$21:$AE1000,Column(O47),False))</f>
        <v/>
      </c>
      <c r="N49" s="227" t="str">
        <f>IF($D49="","", VLOOKUP($D49,'Final Update'!$Q$21:$AE1000,Column(C47),False))</f>
        <v/>
      </c>
      <c r="O49" s="163"/>
      <c r="P49" s="163"/>
      <c r="Q49" s="163"/>
      <c r="R49" s="163"/>
      <c r="S49" s="163"/>
      <c r="T49" s="163"/>
      <c r="U49" s="163"/>
      <c r="V49" s="163"/>
      <c r="W49" s="163"/>
      <c r="X49" s="163"/>
      <c r="Y49" s="163"/>
      <c r="Z49" s="163"/>
    </row>
    <row r="50">
      <c r="A50" s="163"/>
      <c r="B50" s="220">
        <f>Projections!$AJ$29</f>
        <v>50</v>
      </c>
      <c r="C50" s="221">
        <v>14.0</v>
      </c>
      <c r="D50" s="231" t="str">
        <f t="array" ref="D50">INDIRECT("Draft!Q"&amp;TEXT(15-A36,"0"))</f>
        <v/>
      </c>
      <c r="E50" s="227" t="str">
        <f>IF($D50="","", VLOOKUP($D50,'Final Update'!$Q$21:$AE1000,Column(G48),False))</f>
        <v/>
      </c>
      <c r="F50" s="227" t="str">
        <f>IF($D50="","", VLOOKUP($D50,'Final Update'!$Q$21:$AE1000,Column(H48),False))</f>
        <v/>
      </c>
      <c r="G50" s="227" t="str">
        <f>IF($D50="","", VLOOKUP($D50,'Final Update'!$Q$21:$AE1000,Column(I48),False))</f>
        <v/>
      </c>
      <c r="H50" s="227" t="str">
        <f>IF($D50="","", VLOOKUP($D50,'Final Update'!$Q$21:$AE1000,Column(J48),False))</f>
        <v/>
      </c>
      <c r="I50" s="227" t="str">
        <f>IF($D50="","", VLOOKUP($D50,'Final Update'!$Q$21:$AE1000,Column(K48),False))</f>
        <v/>
      </c>
      <c r="J50" s="227" t="str">
        <f>IF($D50="","", VLOOKUP($D50,'Final Update'!$Q$21:$AE1000,Column(L48),False))</f>
        <v/>
      </c>
      <c r="K50" s="228" t="str">
        <f>IF($D50="","", VLOOKUP($D50,'Final Update'!$Q$21:$AE1000,Column(M48),False))</f>
        <v/>
      </c>
      <c r="L50" s="228" t="str">
        <f>IF($D50="","", VLOOKUP($D50,'Final Update'!$Q$21:$AE1000,Column(N48),False))</f>
        <v/>
      </c>
      <c r="M50" s="227" t="str">
        <f>IF($D50="","", VLOOKUP($D50,'Final Update'!$Q$21:$AE1000,Column(O48),False))</f>
        <v/>
      </c>
      <c r="N50" s="227" t="str">
        <f>IF($D50="","", VLOOKUP($D50,'Final Update'!$Q$21:$AE1000,Column(C48),False))</f>
        <v/>
      </c>
      <c r="O50" s="163"/>
      <c r="P50" s="163"/>
      <c r="Q50" s="163"/>
      <c r="R50" s="163"/>
      <c r="S50" s="163"/>
      <c r="T50" s="163"/>
      <c r="U50" s="163"/>
      <c r="V50" s="163"/>
      <c r="W50" s="163"/>
      <c r="X50" s="163"/>
      <c r="Y50" s="163"/>
      <c r="Z50" s="163"/>
    </row>
    <row r="51">
      <c r="A51" s="216" t="s">
        <v>5</v>
      </c>
      <c r="B51" s="163"/>
      <c r="C51" s="163"/>
      <c r="D51" s="219" t="s">
        <v>1328</v>
      </c>
      <c r="E51" s="233" t="str">
        <f t="shared" ref="E51:J51" si="3">IFERROR(AVERAGE(SUMPRODUCT(E37:E50,$B37:$B50/100))/(SUM(OFFSET($B37,0,0,COUNT(E37:E50)))/100),"")</f>
        <v/>
      </c>
      <c r="F51" s="233" t="str">
        <f t="shared" si="3"/>
        <v/>
      </c>
      <c r="G51" s="233" t="str">
        <f t="shared" si="3"/>
        <v/>
      </c>
      <c r="H51" s="233" t="str">
        <f t="shared" si="3"/>
        <v/>
      </c>
      <c r="I51" s="233" t="str">
        <f t="shared" si="3"/>
        <v/>
      </c>
      <c r="J51" s="233" t="str">
        <f t="shared" si="3"/>
        <v/>
      </c>
      <c r="K51" s="233" t="str">
        <f t="array" ref="K51">IFERROR(100*SUMPRODUCT(IFERROR(VLOOKUP($D37:$D50,UpdateHashtag!$C:$S,6,False),"")*$B37:$B50/100)/SUMPRODUCT(IFERROR(VLOOKUP($D37:$D50,UpdateHashtag!$C:$S,17,False),"")*$B37:$B50/100),"")</f>
        <v/>
      </c>
      <c r="L51" s="233" t="str">
        <f t="array" ref="L51">IFERROR(100*SUMPRODUCT(IFERROR(VLOOKUP($D37:$D50,UpdateHashtag!$C:$T,8,False),"")*$B37:$B50/100)/SUMPRODUCT(IFERROR(VLOOKUP($D37:$D50,UpdateHashtag!$C:$T,18,False),"")*$B37:$B50/100),"")</f>
        <v/>
      </c>
      <c r="M51" s="233" t="str">
        <f>IFERROR(AVERAGE(SUMPRODUCT(M37:M50,$B37:$B50/100))/(SUM(OFFSET($B37,0,0,COUNT(M37:M50)))/100),"")</f>
        <v/>
      </c>
      <c r="N51" s="163"/>
      <c r="O51" s="163"/>
      <c r="P51" s="163"/>
      <c r="Q51" s="163"/>
      <c r="R51" s="163"/>
      <c r="S51" s="163"/>
      <c r="T51" s="163"/>
      <c r="U51" s="163"/>
      <c r="V51" s="163"/>
      <c r="W51" s="163"/>
      <c r="X51" s="163"/>
      <c r="Y51" s="163"/>
      <c r="Z51" s="163"/>
    </row>
    <row r="52">
      <c r="A52" s="163"/>
      <c r="B52" s="163"/>
      <c r="C52" s="163"/>
      <c r="D52" s="219" t="s">
        <v>1329</v>
      </c>
      <c r="E52" s="234" t="str">
        <f>IFERROR((SUM(OFFSET('All Teams'!$B37,0,0,COUNT('All Teams'!E37:E50)))/100)*('All Teams'!E51-'Final Update'!$B$1)/'Final Update'!$B$2,"")</f>
        <v/>
      </c>
      <c r="F52" s="234" t="str">
        <f>IFERROR((SUM(OFFSET('All Teams'!$B37,0,0,COUNT('All Teams'!F37:F50)))/100)*('All Teams'!F51-'Final Update'!$C$1)/'Final Update'!$C$2,"")</f>
        <v/>
      </c>
      <c r="G52" s="234" t="str">
        <f>IFERROR((SUM(OFFSET('All Teams'!$B37,0,0,COUNT('All Teams'!G37:G50)))/100)*('All Teams'!G51-'Final Update'!$D$1)/'Final Update'!$D$2,"")</f>
        <v/>
      </c>
      <c r="H52" s="234" t="str">
        <f>IFERROR((SUM(OFFSET('All Teams'!$B37,0,0,COUNT('All Teams'!H37:H50)))/100)*('All Teams'!H51-'Final Update'!$E$1)/'Final Update'!$E$2,"")</f>
        <v/>
      </c>
      <c r="I52" s="234" t="str">
        <f>IFERROR((SUM(OFFSET('All Teams'!$B37,0,0,COUNT('All Teams'!I37:I50)))/100)*('All Teams'!I51-'Final Update'!$F$1)/'Final Update'!$F$2,"")</f>
        <v/>
      </c>
      <c r="J52" s="234" t="str">
        <f>IFERROR((SUM(OFFSET('All Teams'!$B37,0,0,COUNT('All Teams'!J37:J50)))/100)*('All Teams'!J51-'Final Update'!$G$1)/'Final Update'!$G$2,"")</f>
        <v/>
      </c>
      <c r="K52" s="234">
        <f t="array" ref="K52">SUMPRODUCT(IFERROR(VLOOKUP($D37:$D50,'Final Update'!$A$4:$L$403,8,False)*$B37:$B50/100,""))</f>
        <v>0</v>
      </c>
      <c r="L52" s="234">
        <f t="array" ref="L52">SUMPRODUCT(IFERROR(VLOOKUP($D37:$D50,'Final Update'!$A$4:$L$403,10,False)*$B37:$B50/100,""))</f>
        <v>0</v>
      </c>
      <c r="M52" s="234" t="str">
        <f>IFERROR(-(SUM(OFFSET('All Teams'!$B37,0,0,COUNT('All Teams'!M37:M50)))/100)*('All Teams'!M51-'Final Update'!$L$1)/'Final Update'!$L$2,"")</f>
        <v/>
      </c>
      <c r="N52" s="163"/>
      <c r="O52" s="163"/>
      <c r="P52" s="163"/>
      <c r="Q52" s="163"/>
      <c r="R52" s="163"/>
      <c r="S52" s="163"/>
      <c r="T52" s="163"/>
      <c r="U52" s="163"/>
      <c r="V52" s="163"/>
      <c r="W52" s="163"/>
      <c r="X52" s="163"/>
      <c r="Y52" s="163"/>
      <c r="Z52" s="163"/>
    </row>
    <row r="53">
      <c r="A53" s="217">
        <v>4.0</v>
      </c>
      <c r="B53" s="218" t="s">
        <v>220</v>
      </c>
      <c r="C53" s="219" t="s">
        <v>222</v>
      </c>
      <c r="D53" s="218" t="s">
        <v>1242</v>
      </c>
      <c r="E53" s="218" t="s">
        <v>10</v>
      </c>
      <c r="F53" s="218" t="s">
        <v>109</v>
      </c>
      <c r="G53" s="218" t="s">
        <v>110</v>
      </c>
      <c r="H53" s="218" t="s">
        <v>12</v>
      </c>
      <c r="I53" s="218" t="s">
        <v>13</v>
      </c>
      <c r="J53" s="218" t="s">
        <v>14</v>
      </c>
      <c r="K53" s="218" t="s">
        <v>8</v>
      </c>
      <c r="L53" s="218" t="s">
        <v>9</v>
      </c>
      <c r="M53" s="218" t="s">
        <v>15</v>
      </c>
      <c r="N53" s="218" t="s">
        <v>4</v>
      </c>
      <c r="O53" s="218" t="s">
        <v>227</v>
      </c>
      <c r="P53" s="218" t="s">
        <v>4</v>
      </c>
      <c r="Q53" s="163"/>
      <c r="R53" s="163"/>
      <c r="S53" s="163"/>
      <c r="T53" s="163"/>
      <c r="U53" s="163"/>
      <c r="V53" s="163"/>
      <c r="W53" s="163"/>
      <c r="X53" s="163"/>
      <c r="Y53" s="163"/>
      <c r="Z53" s="163"/>
    </row>
    <row r="54">
      <c r="A54" s="163"/>
      <c r="B54" s="220">
        <f>Projections!$AJ$16</f>
        <v>100</v>
      </c>
      <c r="C54" s="221">
        <v>1.0</v>
      </c>
      <c r="D54" s="222" t="str">
        <f t="array" ref="D54">INDIRECT("Draft!D"&amp;TEXT(A53+2,"0"))</f>
        <v/>
      </c>
      <c r="E54" s="223" t="str">
        <f>IF($D54="","", VLOOKUP($D54,'Final Update'!$Q$21:$AE1000,Column(G52),False))</f>
        <v/>
      </c>
      <c r="F54" s="223" t="str">
        <f>IF($D54="","", VLOOKUP($D54,'Final Update'!$Q$21:$AE1000,Column(H52),False))</f>
        <v/>
      </c>
      <c r="G54" s="223" t="str">
        <f>IF($D54="","", VLOOKUP($D54,'Final Update'!$Q$21:$AE1000,Column(I52),False))</f>
        <v/>
      </c>
      <c r="H54" s="223" t="str">
        <f>IF($D54="","", VLOOKUP($D54,'Final Update'!$Q$21:$AE1000,Column(J52),False))</f>
        <v/>
      </c>
      <c r="I54" s="223" t="str">
        <f>IF($D54="","", VLOOKUP($D54,'Final Update'!$Q$21:$AE1000,Column(K52),False))</f>
        <v/>
      </c>
      <c r="J54" s="223" t="str">
        <f>IF($D54="","", VLOOKUP($D54,'Final Update'!$Q$21:$AE1000,Column(L52),False))</f>
        <v/>
      </c>
      <c r="K54" s="224" t="str">
        <f>IF($D54="","", VLOOKUP($D54,'Final Update'!$Q$21:$AE1000,Column(M52),False))</f>
        <v/>
      </c>
      <c r="L54" s="224" t="str">
        <f>IF($D54="","", VLOOKUP($D54,'Final Update'!$Q$21:$AE1000,Column(N52),False))</f>
        <v/>
      </c>
      <c r="M54" s="223" t="str">
        <f>IF($D54="","", VLOOKUP($D54,'Final Update'!$Q$21:$AE1000,Column(O52),False))</f>
        <v/>
      </c>
      <c r="N54" s="223" t="str">
        <f>IF($D54="","", VLOOKUP($D54,'Final Update'!$Q$21:$AE1000,Column(C52),False))</f>
        <v/>
      </c>
      <c r="O54" s="221">
        <f t="array" ref="O54">COUNTIF(FIND(P54,$N54:$N67),"&gt;0")</f>
        <v>0</v>
      </c>
      <c r="P54" s="222" t="s">
        <v>46</v>
      </c>
      <c r="Q54" s="163"/>
      <c r="R54" s="163"/>
      <c r="S54" s="163"/>
      <c r="T54" s="163"/>
      <c r="U54" s="163"/>
      <c r="V54" s="163"/>
      <c r="W54" s="163"/>
      <c r="X54" s="163"/>
      <c r="Y54" s="163"/>
      <c r="Z54" s="163"/>
    </row>
    <row r="55">
      <c r="A55" s="163"/>
      <c r="B55" s="220">
        <f>Projections!$AJ$17</f>
        <v>100</v>
      </c>
      <c r="C55" s="221">
        <v>2.0</v>
      </c>
      <c r="D55" s="225" t="str">
        <f t="array" ref="D55">INDIRECT("Draft!E"&amp;TEXT(15-A53,"0"))</f>
        <v/>
      </c>
      <c r="E55" s="223" t="str">
        <f>IF($D55="","", VLOOKUP($D55,'Final Update'!$Q$21:$AE1000,Column(G53),False))</f>
        <v/>
      </c>
      <c r="F55" s="223" t="str">
        <f>IF($D55="","", VLOOKUP($D55,'Final Update'!$Q$21:$AE1000,Column(H53),False))</f>
        <v/>
      </c>
      <c r="G55" s="223" t="str">
        <f>IF($D55="","", VLOOKUP($D55,'Final Update'!$Q$21:$AE1000,Column(I53),False))</f>
        <v/>
      </c>
      <c r="H55" s="223" t="str">
        <f>IF($D55="","", VLOOKUP($D55,'Final Update'!$Q$21:$AE1000,Column(J53),False))</f>
        <v/>
      </c>
      <c r="I55" s="223" t="str">
        <f>IF($D55="","", VLOOKUP($D55,'Final Update'!$Q$21:$AE1000,Column(K53),False))</f>
        <v/>
      </c>
      <c r="J55" s="223" t="str">
        <f>IF($D55="","", VLOOKUP($D55,'Final Update'!$Q$21:$AE1000,Column(L53),False))</f>
        <v/>
      </c>
      <c r="K55" s="224" t="str">
        <f>IF($D55="","", VLOOKUP($D55,'Final Update'!$Q$21:$AE1000,Column(M53),False))</f>
        <v/>
      </c>
      <c r="L55" s="224" t="str">
        <f>IF($D55="","", VLOOKUP($D55,'Final Update'!$Q$21:$AE1000,Column(N53),False))</f>
        <v/>
      </c>
      <c r="M55" s="223" t="str">
        <f>IF($D55="","", VLOOKUP($D55,'Final Update'!$Q$21:$AE1000,Column(O53),False))</f>
        <v/>
      </c>
      <c r="N55" s="223" t="str">
        <f>IF($D55="","", VLOOKUP($D55,'Final Update'!$Q$21:$AE1000,Column(C53),False))</f>
        <v/>
      </c>
      <c r="O55" s="221">
        <f t="array" ref="O55">COUNTIF(FIND(P55,$N54:$N67),"&gt;0")</f>
        <v>0</v>
      </c>
      <c r="P55" s="222" t="s">
        <v>47</v>
      </c>
      <c r="Q55" s="163"/>
      <c r="R55" s="163"/>
      <c r="S55" s="163"/>
      <c r="T55" s="163"/>
      <c r="U55" s="163"/>
      <c r="V55" s="163"/>
      <c r="W55" s="163"/>
      <c r="X55" s="163"/>
      <c r="Y55" s="163"/>
      <c r="Z55" s="163"/>
    </row>
    <row r="56">
      <c r="A56" s="163"/>
      <c r="B56" s="220">
        <f>Projections!$AJ$18</f>
        <v>100</v>
      </c>
      <c r="C56" s="221">
        <v>3.0</v>
      </c>
      <c r="D56" s="226" t="str">
        <f t="array" ref="D56">INDIRECT("Draft!F"&amp;TEXT(A53+2,"0"))</f>
        <v/>
      </c>
      <c r="E56" s="227" t="str">
        <f>IF($D56="","", VLOOKUP($D56,'Final Update'!$Q$21:$AE1000,Column(G54),False))</f>
        <v/>
      </c>
      <c r="F56" s="227" t="str">
        <f>IF($D56="","", VLOOKUP($D56,'Final Update'!$Q$21:$AE1000,Column(H54),False))</f>
        <v/>
      </c>
      <c r="G56" s="227" t="str">
        <f>IF($D56="","", VLOOKUP($D56,'Final Update'!$Q$21:$AE1000,Column(I54),False))</f>
        <v/>
      </c>
      <c r="H56" s="227" t="str">
        <f>IF($D56="","", VLOOKUP($D56,'Final Update'!$Q$21:$AE1000,Column(J54),False))</f>
        <v/>
      </c>
      <c r="I56" s="227" t="str">
        <f>IF($D56="","", VLOOKUP($D56,'Final Update'!$Q$21:$AE1000,Column(K54),False))</f>
        <v/>
      </c>
      <c r="J56" s="227" t="str">
        <f>IF($D56="","", VLOOKUP($D56,'Final Update'!$Q$21:$AE1000,Column(L54),False))</f>
        <v/>
      </c>
      <c r="K56" s="228" t="str">
        <f>IF($D56="","", VLOOKUP($D56,'Final Update'!$Q$21:$AE1000,Column(M54),False))</f>
        <v/>
      </c>
      <c r="L56" s="228" t="str">
        <f>IF($D56="","", VLOOKUP($D56,'Final Update'!$Q$21:$AE1000,Column(N54),False))</f>
        <v/>
      </c>
      <c r="M56" s="227" t="str">
        <f>IF($D56="","", VLOOKUP($D56,'Final Update'!$Q$21:$AE1000,Column(O54),False))</f>
        <v/>
      </c>
      <c r="N56" s="227" t="str">
        <f>IF($D56="","", VLOOKUP($D56,'Final Update'!$Q$21:$AE1000,Column(C54),False))</f>
        <v/>
      </c>
      <c r="O56" s="221">
        <f t="array" ref="O56">COUNTIF(FIND(P56,$N54:$N67),"&gt;0")</f>
        <v>0</v>
      </c>
      <c r="P56" s="222" t="s">
        <v>48</v>
      </c>
      <c r="Q56" s="163"/>
      <c r="R56" s="163"/>
      <c r="S56" s="163"/>
      <c r="T56" s="163"/>
      <c r="U56" s="163"/>
      <c r="V56" s="163"/>
      <c r="W56" s="163"/>
      <c r="X56" s="163"/>
      <c r="Y56" s="163"/>
      <c r="Z56" s="163"/>
    </row>
    <row r="57">
      <c r="A57" s="163"/>
      <c r="B57" s="220">
        <f>Projections!$AJ$19</f>
        <v>100</v>
      </c>
      <c r="C57" s="221">
        <v>4.0</v>
      </c>
      <c r="D57" s="229" t="str">
        <f t="array" ref="D57">INDIRECT("Draft!G"&amp;TEXT(15-A53,"0"))</f>
        <v/>
      </c>
      <c r="E57" s="227" t="str">
        <f>IF($D57="","", VLOOKUP($D57,'Final Update'!$Q$21:$AE1000,Column(G55),False))</f>
        <v/>
      </c>
      <c r="F57" s="227" t="str">
        <f>IF($D57="","", VLOOKUP($D57,'Final Update'!$Q$21:$AE1000,Column(H55),False))</f>
        <v/>
      </c>
      <c r="G57" s="227" t="str">
        <f>IF($D57="","", VLOOKUP($D57,'Final Update'!$Q$21:$AE1000,Column(I55),False))</f>
        <v/>
      </c>
      <c r="H57" s="227" t="str">
        <f>IF($D57="","", VLOOKUP($D57,'Final Update'!$Q$21:$AE1000,Column(J55),False))</f>
        <v/>
      </c>
      <c r="I57" s="227" t="str">
        <f>IF($D57="","", VLOOKUP($D57,'Final Update'!$Q$21:$AE1000,Column(K55),False))</f>
        <v/>
      </c>
      <c r="J57" s="227" t="str">
        <f>IF($D57="","", VLOOKUP($D57,'Final Update'!$Q$21:$AE1000,Column(L55),False))</f>
        <v/>
      </c>
      <c r="K57" s="228" t="str">
        <f>IF($D57="","", VLOOKUP($D57,'Final Update'!$Q$21:$AE1000,Column(M55),False))</f>
        <v/>
      </c>
      <c r="L57" s="228" t="str">
        <f>IF($D57="","", VLOOKUP($D57,'Final Update'!$Q$21:$AE1000,Column(N55),False))</f>
        <v/>
      </c>
      <c r="M57" s="227" t="str">
        <f>IF($D57="","", VLOOKUP($D57,'Final Update'!$Q$21:$AE1000,Column(O55),False))</f>
        <v/>
      </c>
      <c r="N57" s="227" t="str">
        <f>IF($D57="","", VLOOKUP($D57,'Final Update'!$Q$21:$AE1000,Column(C55),False))</f>
        <v/>
      </c>
      <c r="O57" s="221">
        <f t="array" ref="O57">COUNTIF(FIND(P57,$N54:$N67),"&gt;0")</f>
        <v>0</v>
      </c>
      <c r="P57" s="222" t="s">
        <v>49</v>
      </c>
      <c r="Q57" s="163"/>
      <c r="R57" s="163"/>
      <c r="S57" s="163"/>
      <c r="T57" s="163"/>
      <c r="U57" s="163"/>
      <c r="V57" s="163"/>
      <c r="W57" s="163"/>
      <c r="X57" s="163"/>
      <c r="Y57" s="163"/>
      <c r="Z57" s="163"/>
    </row>
    <row r="58">
      <c r="A58" s="163"/>
      <c r="B58" s="220">
        <f>Projections!$AJ$20</f>
        <v>100</v>
      </c>
      <c r="C58" s="221">
        <v>5.0</v>
      </c>
      <c r="D58" s="230" t="str">
        <f t="array" ref="D58">INDIRECT("Draft!H"&amp;TEXT(A53+2,"0"))</f>
        <v/>
      </c>
      <c r="E58" s="227" t="str">
        <f>IF($D58="","", VLOOKUP($D58,'Final Update'!$Q$21:$AE1000,Column(G56),False))</f>
        <v/>
      </c>
      <c r="F58" s="227" t="str">
        <f>IF($D58="","", VLOOKUP($D58,'Final Update'!$Q$21:$AE1000,Column(H56),False))</f>
        <v/>
      </c>
      <c r="G58" s="227" t="str">
        <f>IF($D58="","", VLOOKUP($D58,'Final Update'!$Q$21:$AE1000,Column(I56),False))</f>
        <v/>
      </c>
      <c r="H58" s="227" t="str">
        <f>IF($D58="","", VLOOKUP($D58,'Final Update'!$Q$21:$AE1000,Column(J56),False))</f>
        <v/>
      </c>
      <c r="I58" s="227" t="str">
        <f>IF($D58="","", VLOOKUP($D58,'Final Update'!$Q$21:$AE1000,Column(K56),False))</f>
        <v/>
      </c>
      <c r="J58" s="227" t="str">
        <f>IF($D58="","", VLOOKUP($D58,'Final Update'!$Q$21:$AE1000,Column(L56),False))</f>
        <v/>
      </c>
      <c r="K58" s="228" t="str">
        <f>IF($D58="","", VLOOKUP($D58,'Final Update'!$Q$21:$AE1000,Column(M56),False))</f>
        <v/>
      </c>
      <c r="L58" s="228" t="str">
        <f>IF($D58="","", VLOOKUP($D58,'Final Update'!$Q$21:$AE1000,Column(N56),False))</f>
        <v/>
      </c>
      <c r="M58" s="227" t="str">
        <f>IF($D58="","", VLOOKUP($D58,'Final Update'!$Q$21:$AE1000,Column(O56),False))</f>
        <v/>
      </c>
      <c r="N58" s="227" t="str">
        <f>IF($D58="","", VLOOKUP($D58,'Final Update'!$Q$21:$AE1000,Column(C56),False))</f>
        <v/>
      </c>
      <c r="O58" s="221">
        <f t="array" ref="O58">COUNTIF(FIND(P58,$N54:$N67),"&gt;0")</f>
        <v>0</v>
      </c>
      <c r="P58" s="222" t="s">
        <v>34</v>
      </c>
      <c r="Q58" s="163"/>
      <c r="R58" s="163"/>
      <c r="S58" s="163"/>
      <c r="T58" s="163"/>
      <c r="U58" s="163"/>
      <c r="V58" s="163"/>
      <c r="W58" s="163"/>
      <c r="X58" s="163"/>
      <c r="Y58" s="163"/>
      <c r="Z58" s="163"/>
    </row>
    <row r="59">
      <c r="A59" s="163"/>
      <c r="B59" s="220">
        <f>Projections!$AJ$21</f>
        <v>100</v>
      </c>
      <c r="C59" s="221">
        <v>6.0</v>
      </c>
      <c r="D59" s="231" t="str">
        <f t="array" ref="D59">INDIRECT("Draft!I"&amp;TEXT(15-A53,"0"))</f>
        <v/>
      </c>
      <c r="E59" s="227" t="str">
        <f>IF($D59="","", VLOOKUP($D59,'Final Update'!$Q$21:$AE1000,Column(G57),False))</f>
        <v/>
      </c>
      <c r="F59" s="227" t="str">
        <f>IF($D59="","", VLOOKUP($D59,'Final Update'!$Q$21:$AE1000,Column(H57),False))</f>
        <v/>
      </c>
      <c r="G59" s="227" t="str">
        <f>IF($D59="","", VLOOKUP($D59,'Final Update'!$Q$21:$AE1000,Column(I57),False))</f>
        <v/>
      </c>
      <c r="H59" s="227" t="str">
        <f>IF($D59="","", VLOOKUP($D59,'Final Update'!$Q$21:$AE1000,Column(J57),False))</f>
        <v/>
      </c>
      <c r="I59" s="227" t="str">
        <f>IF($D59="","", VLOOKUP($D59,'Final Update'!$Q$21:$AE1000,Column(K57),False))</f>
        <v/>
      </c>
      <c r="J59" s="227" t="str">
        <f>IF($D59="","", VLOOKUP($D59,'Final Update'!$Q$21:$AE1000,Column(L57),False))</f>
        <v/>
      </c>
      <c r="K59" s="228" t="str">
        <f>IF($D59="","", VLOOKUP($D59,'Final Update'!$Q$21:$AE1000,Column(M57),False))</f>
        <v/>
      </c>
      <c r="L59" s="228" t="str">
        <f>IF($D59="","", VLOOKUP($D59,'Final Update'!$Q$21:$AE1000,Column(N57),False))</f>
        <v/>
      </c>
      <c r="M59" s="227" t="str">
        <f>IF($D59="","", VLOOKUP($D59,'Final Update'!$Q$21:$AE1000,Column(O57),False))</f>
        <v/>
      </c>
      <c r="N59" s="227" t="str">
        <f>IF($D59="","", VLOOKUP($D59,'Final Update'!$Q$21:$AE1000,Column(C57),False))</f>
        <v/>
      </c>
      <c r="O59" s="163"/>
      <c r="P59" s="163"/>
      <c r="Q59" s="163"/>
      <c r="R59" s="163"/>
      <c r="S59" s="163"/>
      <c r="T59" s="163"/>
      <c r="U59" s="163"/>
      <c r="V59" s="163"/>
      <c r="W59" s="163"/>
      <c r="X59" s="163"/>
      <c r="Y59" s="163"/>
      <c r="Z59" s="163"/>
    </row>
    <row r="60">
      <c r="A60" s="163"/>
      <c r="B60" s="220">
        <f>Projections!$AJ$22</f>
        <v>100</v>
      </c>
      <c r="C60" s="221">
        <v>7.0</v>
      </c>
      <c r="D60" s="230" t="str">
        <f t="array" ref="D60">INDIRECT("Draft!J"&amp;TEXT(A53+2,"0"))</f>
        <v/>
      </c>
      <c r="E60" s="227" t="str">
        <f>IF($D60="","", VLOOKUP($D60,'Final Update'!$Q$21:$AE1000,Column(G58),False))</f>
        <v/>
      </c>
      <c r="F60" s="227" t="str">
        <f>IF($D60="","", VLOOKUP($D60,'Final Update'!$Q$21:$AE1000,Column(H58),False))</f>
        <v/>
      </c>
      <c r="G60" s="227" t="str">
        <f>IF($D60="","", VLOOKUP($D60,'Final Update'!$Q$21:$AE1000,Column(I58),False))</f>
        <v/>
      </c>
      <c r="H60" s="227" t="str">
        <f>IF($D60="","", VLOOKUP($D60,'Final Update'!$Q$21:$AE1000,Column(J58),False))</f>
        <v/>
      </c>
      <c r="I60" s="227" t="str">
        <f>IF($D60="","", VLOOKUP($D60,'Final Update'!$Q$21:$AE1000,Column(K58),False))</f>
        <v/>
      </c>
      <c r="J60" s="227" t="str">
        <f>IF($D60="","", VLOOKUP($D60,'Final Update'!$Q$21:$AE1000,Column(L58),False))</f>
        <v/>
      </c>
      <c r="K60" s="228" t="str">
        <f>IF($D60="","", VLOOKUP($D60,'Final Update'!$Q$21:$AE1000,Column(M58),False))</f>
        <v/>
      </c>
      <c r="L60" s="228" t="str">
        <f>IF($D60="","", VLOOKUP($D60,'Final Update'!$Q$21:$AE1000,Column(N58),False))</f>
        <v/>
      </c>
      <c r="M60" s="227" t="str">
        <f>IF($D60="","", VLOOKUP($D60,'Final Update'!$Q$21:$AE1000,Column(O58),False))</f>
        <v/>
      </c>
      <c r="N60" s="227" t="str">
        <f>IF($D60="","", VLOOKUP($D60,'Final Update'!$Q$21:$AE1000,Column(C58),False))</f>
        <v/>
      </c>
      <c r="O60" s="163"/>
      <c r="P60" s="163"/>
      <c r="Q60" s="163"/>
      <c r="R60" s="163"/>
      <c r="S60" s="163"/>
      <c r="T60" s="163"/>
      <c r="U60" s="163"/>
      <c r="V60" s="163"/>
      <c r="W60" s="163"/>
      <c r="X60" s="163"/>
      <c r="Y60" s="163"/>
      <c r="Z60" s="163"/>
    </row>
    <row r="61">
      <c r="A61" s="163"/>
      <c r="B61" s="220">
        <f>Projections!$AJ$23</f>
        <v>100</v>
      </c>
      <c r="C61" s="221">
        <v>8.0</v>
      </c>
      <c r="D61" s="231" t="str">
        <f t="array" ref="D61">INDIRECT("Draft!K"&amp;TEXT(15-A53,"0"))</f>
        <v/>
      </c>
      <c r="E61" s="227" t="str">
        <f>IF($D61="","", VLOOKUP($D61,'Final Update'!$Q$21:$AE1000,Column(G59),False))</f>
        <v/>
      </c>
      <c r="F61" s="227" t="str">
        <f>IF($D61="","", VLOOKUP($D61,'Final Update'!$Q$21:$AE1000,Column(H59),False))</f>
        <v/>
      </c>
      <c r="G61" s="227" t="str">
        <f>IF($D61="","", VLOOKUP($D61,'Final Update'!$Q$21:$AE1000,Column(I59),False))</f>
        <v/>
      </c>
      <c r="H61" s="227" t="str">
        <f>IF($D61="","", VLOOKUP($D61,'Final Update'!$Q$21:$AE1000,Column(J59),False))</f>
        <v/>
      </c>
      <c r="I61" s="227" t="str">
        <f>IF($D61="","", VLOOKUP($D61,'Final Update'!$Q$21:$AE1000,Column(K59),False))</f>
        <v/>
      </c>
      <c r="J61" s="227" t="str">
        <f>IF($D61="","", VLOOKUP($D61,'Final Update'!$Q$21:$AE1000,Column(L59),False))</f>
        <v/>
      </c>
      <c r="K61" s="228" t="str">
        <f>IF($D61="","", VLOOKUP($D61,'Final Update'!$Q$21:$AE1000,Column(M59),False))</f>
        <v/>
      </c>
      <c r="L61" s="228" t="str">
        <f>IF($D61="","", VLOOKUP($D61,'Final Update'!$Q$21:$AE1000,Column(N59),False))</f>
        <v/>
      </c>
      <c r="M61" s="227" t="str">
        <f>IF($D61="","", VLOOKUP($D61,'Final Update'!$Q$21:$AE1000,Column(O59),False))</f>
        <v/>
      </c>
      <c r="N61" s="227" t="str">
        <f>IF($D61="","", VLOOKUP($D61,'Final Update'!$Q$21:$AE1000,Column(C59),False))</f>
        <v/>
      </c>
      <c r="O61" s="163"/>
      <c r="P61" s="163"/>
      <c r="Q61" s="163"/>
      <c r="R61" s="163"/>
      <c r="S61" s="163"/>
      <c r="T61" s="163"/>
      <c r="U61" s="163"/>
      <c r="V61" s="163"/>
      <c r="W61" s="163"/>
      <c r="X61" s="163"/>
      <c r="Y61" s="163"/>
      <c r="Z61" s="163"/>
    </row>
    <row r="62">
      <c r="A62" s="163"/>
      <c r="B62" s="220">
        <f>Projections!$AJ$24</f>
        <v>100</v>
      </c>
      <c r="C62" s="221">
        <v>9.0</v>
      </c>
      <c r="D62" s="230" t="str">
        <f t="array" ref="D62">INDIRECT("Draft!L"&amp;TEXT(A53+2,"0"))</f>
        <v/>
      </c>
      <c r="E62" s="227" t="str">
        <f>IF($D62="","", VLOOKUP($D62,'Final Update'!$Q$21:$AE1000,Column(G60),False))</f>
        <v/>
      </c>
      <c r="F62" s="227" t="str">
        <f>IF($D62="","", VLOOKUP($D62,'Final Update'!$Q$21:$AE1000,Column(H60),False))</f>
        <v/>
      </c>
      <c r="G62" s="227" t="str">
        <f>IF($D62="","", VLOOKUP($D62,'Final Update'!$Q$21:$AE1000,Column(I60),False))</f>
        <v/>
      </c>
      <c r="H62" s="227" t="str">
        <f>IF($D62="","", VLOOKUP($D62,'Final Update'!$Q$21:$AE1000,Column(J60),False))</f>
        <v/>
      </c>
      <c r="I62" s="227" t="str">
        <f>IF($D62="","", VLOOKUP($D62,'Final Update'!$Q$21:$AE1000,Column(K60),False))</f>
        <v/>
      </c>
      <c r="J62" s="227" t="str">
        <f>IF($D62="","", VLOOKUP($D62,'Final Update'!$Q$21:$AE1000,Column(L60),False))</f>
        <v/>
      </c>
      <c r="K62" s="228" t="str">
        <f>IF($D62="","", VLOOKUP($D62,'Final Update'!$Q$21:$AE1000,Column(M60),False))</f>
        <v/>
      </c>
      <c r="L62" s="228" t="str">
        <f>IF($D62="","", VLOOKUP($D62,'Final Update'!$Q$21:$AE1000,Column(N60),False))</f>
        <v/>
      </c>
      <c r="M62" s="227" t="str">
        <f>IF($D62="","", VLOOKUP($D62,'Final Update'!$Q$21:$AE1000,Column(O60),False))</f>
        <v/>
      </c>
      <c r="N62" s="227" t="str">
        <f>IF($D62="","", VLOOKUP($D62,'Final Update'!$Q$21:$AE1000,Column(C60),False))</f>
        <v/>
      </c>
      <c r="O62" s="163"/>
      <c r="P62" s="163"/>
      <c r="Q62" s="163"/>
      <c r="R62" s="163"/>
      <c r="S62" s="163"/>
      <c r="T62" s="163"/>
      <c r="U62" s="163"/>
      <c r="V62" s="163"/>
      <c r="W62" s="163"/>
      <c r="X62" s="163"/>
      <c r="Y62" s="163"/>
      <c r="Z62" s="163"/>
    </row>
    <row r="63">
      <c r="A63" s="163"/>
      <c r="B63" s="220">
        <f>Projections!$AJ$25</f>
        <v>100</v>
      </c>
      <c r="C63" s="221">
        <v>10.0</v>
      </c>
      <c r="D63" s="231" t="str">
        <f t="array" ref="D63">INDIRECT("Draft!M"&amp;TEXT(15-A53,"0"))</f>
        <v/>
      </c>
      <c r="E63" s="227" t="str">
        <f>IF($D63="","", VLOOKUP($D63,'Final Update'!$Q$21:$AE1000,Column(G61),False))</f>
        <v/>
      </c>
      <c r="F63" s="227" t="str">
        <f>IF($D63="","", VLOOKUP($D63,'Final Update'!$Q$21:$AE1000,Column(H61),False))</f>
        <v/>
      </c>
      <c r="G63" s="227" t="str">
        <f>IF($D63="","", VLOOKUP($D63,'Final Update'!$Q$21:$AE1000,Column(I61),False))</f>
        <v/>
      </c>
      <c r="H63" s="227" t="str">
        <f>IF($D63="","", VLOOKUP($D63,'Final Update'!$Q$21:$AE1000,Column(J61),False))</f>
        <v/>
      </c>
      <c r="I63" s="227" t="str">
        <f>IF($D63="","", VLOOKUP($D63,'Final Update'!$Q$21:$AE1000,Column(K61),False))</f>
        <v/>
      </c>
      <c r="J63" s="227" t="str">
        <f>IF($D63="","", VLOOKUP($D63,'Final Update'!$Q$21:$AE1000,Column(L61),False))</f>
        <v/>
      </c>
      <c r="K63" s="228" t="str">
        <f>IF($D63="","", VLOOKUP($D63,'Final Update'!$Q$21:$AE1000,Column(M61),False))</f>
        <v/>
      </c>
      <c r="L63" s="228" t="str">
        <f>IF($D63="","", VLOOKUP($D63,'Final Update'!$Q$21:$AE1000,Column(N61),False))</f>
        <v/>
      </c>
      <c r="M63" s="227" t="str">
        <f>IF($D63="","", VLOOKUP($D63,'Final Update'!$Q$21:$AE1000,Column(O61),False))</f>
        <v/>
      </c>
      <c r="N63" s="227" t="str">
        <f>IF($D63="","", VLOOKUP($D63,'Final Update'!$Q$21:$AE1000,Column(C61),False))</f>
        <v/>
      </c>
      <c r="O63" s="163"/>
      <c r="P63" s="163"/>
      <c r="Q63" s="163"/>
      <c r="R63" s="163"/>
      <c r="S63" s="163"/>
      <c r="T63" s="163"/>
      <c r="U63" s="163"/>
      <c r="V63" s="163"/>
      <c r="W63" s="163"/>
      <c r="X63" s="163"/>
      <c r="Y63" s="163"/>
      <c r="Z63" s="163"/>
    </row>
    <row r="64">
      <c r="A64" s="163"/>
      <c r="B64" s="220">
        <f>Projections!$AJ$26</f>
        <v>100</v>
      </c>
      <c r="C64" s="221">
        <v>11.0</v>
      </c>
      <c r="D64" s="230" t="str">
        <f t="array" ref="D64">INDIRECT("Draft!N"&amp;TEXT(A53+2,"0"))</f>
        <v/>
      </c>
      <c r="E64" s="227" t="str">
        <f>IF($D64="","", VLOOKUP($D64,'Final Update'!$Q$21:$AE1000,Column(G62),False))</f>
        <v/>
      </c>
      <c r="F64" s="227" t="str">
        <f>IF($D64="","", VLOOKUP($D64,'Final Update'!$Q$21:$AE1000,Column(H62),False))</f>
        <v/>
      </c>
      <c r="G64" s="227" t="str">
        <f>IF($D64="","", VLOOKUP($D64,'Final Update'!$Q$21:$AE1000,Column(I62),False))</f>
        <v/>
      </c>
      <c r="H64" s="227" t="str">
        <f>IF($D64="","", VLOOKUP($D64,'Final Update'!$Q$21:$AE1000,Column(J62),False))</f>
        <v/>
      </c>
      <c r="I64" s="227" t="str">
        <f>IF($D64="","", VLOOKUP($D64,'Final Update'!$Q$21:$AE1000,Column(K62),False))</f>
        <v/>
      </c>
      <c r="J64" s="227" t="str">
        <f>IF($D64="","", VLOOKUP($D64,'Final Update'!$Q$21:$AE1000,Column(L62),False))</f>
        <v/>
      </c>
      <c r="K64" s="228" t="str">
        <f>IF($D64="","", VLOOKUP($D64,'Final Update'!$Q$21:$AE1000,Column(M62),False))</f>
        <v/>
      </c>
      <c r="L64" s="228" t="str">
        <f>IF($D64="","", VLOOKUP($D64,'Final Update'!$Q$21:$AE1000,Column(N62),False))</f>
        <v/>
      </c>
      <c r="M64" s="227" t="str">
        <f>IF($D64="","", VLOOKUP($D64,'Final Update'!$Q$21:$AE1000,Column(O62),False))</f>
        <v/>
      </c>
      <c r="N64" s="227" t="str">
        <f>IF($D64="","", VLOOKUP($D64,'Final Update'!$Q$21:$AE1000,Column(C62),False))</f>
        <v/>
      </c>
      <c r="O64" s="163"/>
      <c r="P64" s="163"/>
      <c r="Q64" s="163"/>
      <c r="R64" s="163"/>
      <c r="S64" s="163"/>
      <c r="T64" s="163"/>
      <c r="U64" s="163"/>
      <c r="V64" s="163"/>
      <c r="W64" s="163"/>
      <c r="X64" s="163"/>
      <c r="Y64" s="163"/>
      <c r="Z64" s="163"/>
    </row>
    <row r="65">
      <c r="A65" s="163"/>
      <c r="B65" s="220">
        <f>Projections!$AJ$27</f>
        <v>100</v>
      </c>
      <c r="C65" s="221">
        <v>12.0</v>
      </c>
      <c r="D65" s="231" t="str">
        <f t="array" ref="D65">INDIRECT("Draft!O"&amp;TEXT(15-A53,"0"))</f>
        <v/>
      </c>
      <c r="E65" s="227" t="str">
        <f>IF($D65="","", VLOOKUP($D65,'Final Update'!$Q$21:$AE1000,Column(G63),False))</f>
        <v/>
      </c>
      <c r="F65" s="227" t="str">
        <f>IF($D65="","", VLOOKUP($D65,'Final Update'!$Q$21:$AE1000,Column(H63),False))</f>
        <v/>
      </c>
      <c r="G65" s="227" t="str">
        <f>IF($D65="","", VLOOKUP($D65,'Final Update'!$Q$21:$AE1000,Column(I63),False))</f>
        <v/>
      </c>
      <c r="H65" s="227" t="str">
        <f>IF($D65="","", VLOOKUP($D65,'Final Update'!$Q$21:$AE1000,Column(J63),False))</f>
        <v/>
      </c>
      <c r="I65" s="227" t="str">
        <f>IF($D65="","", VLOOKUP($D65,'Final Update'!$Q$21:$AE1000,Column(K63),False))</f>
        <v/>
      </c>
      <c r="J65" s="227" t="str">
        <f>IF($D65="","", VLOOKUP($D65,'Final Update'!$Q$21:$AE1000,Column(L63),False))</f>
        <v/>
      </c>
      <c r="K65" s="228" t="str">
        <f>IF($D65="","", VLOOKUP($D65,'Final Update'!$Q$21:$AE1000,Column(M63),False))</f>
        <v/>
      </c>
      <c r="L65" s="228" t="str">
        <f>IF($D65="","", VLOOKUP($D65,'Final Update'!$Q$21:$AE1000,Column(N63),False))</f>
        <v/>
      </c>
      <c r="M65" s="227" t="str">
        <f>IF($D65="","", VLOOKUP($D65,'Final Update'!$Q$21:$AE1000,Column(O63),False))</f>
        <v/>
      </c>
      <c r="N65" s="227" t="str">
        <f>IF($D65="","", VLOOKUP($D65,'Final Update'!$Q$21:$AE1000,Column(C63),False))</f>
        <v/>
      </c>
      <c r="O65" s="163"/>
      <c r="P65" s="163"/>
      <c r="Q65" s="163"/>
      <c r="R65" s="163"/>
      <c r="S65" s="163"/>
      <c r="T65" s="163"/>
      <c r="U65" s="163"/>
      <c r="V65" s="163"/>
      <c r="W65" s="163"/>
      <c r="X65" s="163"/>
      <c r="Y65" s="163"/>
      <c r="Z65" s="163"/>
    </row>
    <row r="66">
      <c r="A66" s="163"/>
      <c r="B66" s="273">
        <v>75.0</v>
      </c>
      <c r="C66" s="221">
        <v>13.0</v>
      </c>
      <c r="D66" s="230" t="str">
        <f t="array" ref="D66">INDIRECT("Draft!P"&amp;TEXT(A53+2,"0"))</f>
        <v/>
      </c>
      <c r="E66" s="227" t="str">
        <f>IF($D66="","", VLOOKUP($D66,'Final Update'!$Q$21:$AE1000,Column(G64),False))</f>
        <v/>
      </c>
      <c r="F66" s="227" t="str">
        <f>IF($D66="","", VLOOKUP($D66,'Final Update'!$Q$21:$AE1000,Column(H64),False))</f>
        <v/>
      </c>
      <c r="G66" s="227" t="str">
        <f>IF($D66="","", VLOOKUP($D66,'Final Update'!$Q$21:$AE1000,Column(I64),False))</f>
        <v/>
      </c>
      <c r="H66" s="227" t="str">
        <f>IF($D66="","", VLOOKUP($D66,'Final Update'!$Q$21:$AE1000,Column(J64),False))</f>
        <v/>
      </c>
      <c r="I66" s="227" t="str">
        <f>IF($D66="","", VLOOKUP($D66,'Final Update'!$Q$21:$AE1000,Column(K64),False))</f>
        <v/>
      </c>
      <c r="J66" s="227" t="str">
        <f>IF($D66="","", VLOOKUP($D66,'Final Update'!$Q$21:$AE1000,Column(L64),False))</f>
        <v/>
      </c>
      <c r="K66" s="228" t="str">
        <f>IF($D66="","", VLOOKUP($D66,'Final Update'!$Q$21:$AE1000,Column(M64),False))</f>
        <v/>
      </c>
      <c r="L66" s="228" t="str">
        <f>IF($D66="","", VLOOKUP($D66,'Final Update'!$Q$21:$AE1000,Column(N64),False))</f>
        <v/>
      </c>
      <c r="M66" s="227" t="str">
        <f>IF($D66="","", VLOOKUP($D66,'Final Update'!$Q$21:$AE1000,Column(O64),False))</f>
        <v/>
      </c>
      <c r="N66" s="227" t="str">
        <f>IF($D66="","", VLOOKUP($D66,'Final Update'!$Q$21:$AE1000,Column(C64),False))</f>
        <v/>
      </c>
      <c r="O66" s="163"/>
      <c r="P66" s="163"/>
      <c r="Q66" s="163"/>
      <c r="R66" s="163"/>
      <c r="S66" s="163"/>
      <c r="T66" s="163"/>
      <c r="U66" s="163"/>
      <c r="V66" s="163"/>
      <c r="W66" s="163"/>
      <c r="X66" s="163"/>
      <c r="Y66" s="163"/>
      <c r="Z66" s="163"/>
    </row>
    <row r="67">
      <c r="A67" s="163"/>
      <c r="B67" s="220">
        <f>Projections!$AJ$29</f>
        <v>50</v>
      </c>
      <c r="C67" s="221">
        <v>14.0</v>
      </c>
      <c r="D67" s="231" t="str">
        <f t="array" ref="D67">INDIRECT("Draft!Q"&amp;TEXT(15-A53,"0"))</f>
        <v/>
      </c>
      <c r="E67" s="227" t="str">
        <f>IF($D67="","", VLOOKUP($D67,'Final Update'!$Q$21:$AE1000,Column(G65),False))</f>
        <v/>
      </c>
      <c r="F67" s="227" t="str">
        <f>IF($D67="","", VLOOKUP($D67,'Final Update'!$Q$21:$AE1000,Column(H65),False))</f>
        <v/>
      </c>
      <c r="G67" s="227" t="str">
        <f>IF($D67="","", VLOOKUP($D67,'Final Update'!$Q$21:$AE1000,Column(I65),False))</f>
        <v/>
      </c>
      <c r="H67" s="227" t="str">
        <f>IF($D67="","", VLOOKUP($D67,'Final Update'!$Q$21:$AE1000,Column(J65),False))</f>
        <v/>
      </c>
      <c r="I67" s="227" t="str">
        <f>IF($D67="","", VLOOKUP($D67,'Final Update'!$Q$21:$AE1000,Column(K65),False))</f>
        <v/>
      </c>
      <c r="J67" s="227" t="str">
        <f>IF($D67="","", VLOOKUP($D67,'Final Update'!$Q$21:$AE1000,Column(L65),False))</f>
        <v/>
      </c>
      <c r="K67" s="228" t="str">
        <f>IF($D67="","", VLOOKUP($D67,'Final Update'!$Q$21:$AE1000,Column(M65),False))</f>
        <v/>
      </c>
      <c r="L67" s="228" t="str">
        <f>IF($D67="","", VLOOKUP($D67,'Final Update'!$Q$21:$AE1000,Column(N65),False))</f>
        <v/>
      </c>
      <c r="M67" s="227" t="str">
        <f>IF($D67="","", VLOOKUP($D67,'Final Update'!$Q$21:$AE1000,Column(O65),False))</f>
        <v/>
      </c>
      <c r="N67" s="227" t="str">
        <f>IF($D67="","", VLOOKUP($D67,'Final Update'!$Q$21:$AE1000,Column(C65),False))</f>
        <v/>
      </c>
      <c r="O67" s="163"/>
      <c r="P67" s="163"/>
      <c r="Q67" s="163"/>
      <c r="R67" s="163"/>
      <c r="S67" s="163"/>
      <c r="T67" s="163"/>
      <c r="U67" s="163"/>
      <c r="V67" s="163"/>
      <c r="W67" s="163"/>
      <c r="X67" s="163"/>
      <c r="Y67" s="163"/>
      <c r="Z67" s="163"/>
    </row>
    <row r="68">
      <c r="A68" s="216" t="s">
        <v>5</v>
      </c>
      <c r="B68" s="163"/>
      <c r="C68" s="163"/>
      <c r="D68" s="219" t="s">
        <v>1328</v>
      </c>
      <c r="E68" s="233" t="str">
        <f t="shared" ref="E68:J68" si="4">IFERROR(AVERAGE(SUMPRODUCT(E54:E67,$B54:$B67/100))/(SUM(OFFSET($B54,0,0,COUNT(E54:E67)))/100),"")</f>
        <v/>
      </c>
      <c r="F68" s="233" t="str">
        <f t="shared" si="4"/>
        <v/>
      </c>
      <c r="G68" s="233" t="str">
        <f t="shared" si="4"/>
        <v/>
      </c>
      <c r="H68" s="233" t="str">
        <f t="shared" si="4"/>
        <v/>
      </c>
      <c r="I68" s="234" t="str">
        <f t="shared" si="4"/>
        <v/>
      </c>
      <c r="J68" s="233" t="str">
        <f t="shared" si="4"/>
        <v/>
      </c>
      <c r="K68" s="233" t="str">
        <f t="array" ref="K68">IFERROR(100*SUMPRODUCT(IFERROR(VLOOKUP($D54:$D67,UpdateHashtag!$C:$S,6,False),"")*$B54:$B67/100)/SUMPRODUCT(IFERROR(VLOOKUP($D54:$D67,UpdateHashtag!$C:$S,17,False),"")*$B54:$B67/100),"")</f>
        <v/>
      </c>
      <c r="L68" s="233" t="str">
        <f t="array" ref="L68">IFERROR(100*SUMPRODUCT(IFERROR(VLOOKUP($D54:$D67,UpdateHashtag!$C:$T,8,False),"")*$B54:$B67/100)/SUMPRODUCT(IFERROR(VLOOKUP($D54:$D67,UpdateHashtag!$C:$T,18,False),"")*$B54:$B67/100),"")</f>
        <v/>
      </c>
      <c r="M68" s="233" t="str">
        <f>IFERROR(AVERAGE(SUMPRODUCT(M54:M67,$B54:$B67/100))/(SUM(OFFSET($B54,0,0,COUNT(M54:M67)))/100),"")</f>
        <v/>
      </c>
      <c r="N68" s="163"/>
      <c r="O68" s="163"/>
      <c r="P68" s="163"/>
      <c r="Q68" s="163"/>
      <c r="R68" s="163"/>
      <c r="S68" s="163"/>
      <c r="T68" s="163"/>
      <c r="U68" s="163"/>
      <c r="V68" s="163"/>
      <c r="W68" s="163"/>
      <c r="X68" s="163"/>
      <c r="Y68" s="163"/>
      <c r="Z68" s="163"/>
    </row>
    <row r="69">
      <c r="A69" s="163"/>
      <c r="B69" s="163"/>
      <c r="C69" s="163"/>
      <c r="D69" s="219" t="s">
        <v>1329</v>
      </c>
      <c r="E69" s="234" t="str">
        <f>IFERROR((SUM(OFFSET('All Teams'!$B54,0,0,COUNT('All Teams'!E54:E67)))/100)*('All Teams'!E68-'Final Update'!$B$1)/'Final Update'!$B$2,"")</f>
        <v/>
      </c>
      <c r="F69" s="234" t="str">
        <f>IFERROR((SUM(OFFSET('All Teams'!$B54,0,0,COUNT('All Teams'!F54:F67)))/100)*('All Teams'!F68-'Final Update'!$C$1)/'Final Update'!$C$2,"")</f>
        <v/>
      </c>
      <c r="G69" s="234" t="str">
        <f>IFERROR((SUM(OFFSET('All Teams'!$B54,0,0,COUNT('All Teams'!G54:G67)))/100)*('All Teams'!G68-'Final Update'!$D$1)/'Final Update'!$D$2,"")</f>
        <v/>
      </c>
      <c r="H69" s="234" t="str">
        <f>IFERROR((SUM(OFFSET('All Teams'!$B54,0,0,COUNT('All Teams'!H54:H67)))/100)*('All Teams'!H68-'Final Update'!$E$1)/'Final Update'!$E$2,"")</f>
        <v/>
      </c>
      <c r="I69" s="234" t="str">
        <f>IFERROR((SUM(OFFSET('All Teams'!$B54,0,0,COUNT('All Teams'!I54:I67)))/100)*('All Teams'!I68-'Final Update'!$F$1)/'Final Update'!$F$2,"")</f>
        <v/>
      </c>
      <c r="J69" s="234" t="str">
        <f>IFERROR((SUM(OFFSET('All Teams'!$B54,0,0,COUNT('All Teams'!J54:J67)))/100)*('All Teams'!J68-'Final Update'!$G$1)/'Final Update'!$G$2,"")</f>
        <v/>
      </c>
      <c r="K69" s="234">
        <f t="array" ref="K69">SUMPRODUCT(IFERROR(VLOOKUP($D54:$D67,'Final Update'!$A$4:$L$403,8,False)*$B54:$B67/100,""))</f>
        <v>0</v>
      </c>
      <c r="L69" s="234">
        <f t="array" ref="L69">SUMPRODUCT(IFERROR(VLOOKUP($D54:$D67,'Final Update'!$A$4:$L$403,10,False)*$B54:$B67/100,""))</f>
        <v>0</v>
      </c>
      <c r="M69" s="234" t="str">
        <f>IFERROR(-(SUM(OFFSET('All Teams'!$B54,0,0,COUNT('All Teams'!M54:M67)))/100)*('All Teams'!M68-'Final Update'!$L$1)/'Final Update'!$L$2,"")</f>
        <v/>
      </c>
      <c r="N69" s="163"/>
      <c r="O69" s="163"/>
      <c r="P69" s="163"/>
      <c r="Q69" s="163"/>
      <c r="R69" s="163"/>
      <c r="S69" s="163"/>
      <c r="T69" s="163"/>
      <c r="U69" s="163"/>
      <c r="V69" s="163"/>
      <c r="W69" s="163"/>
      <c r="X69" s="163"/>
      <c r="Y69" s="163"/>
      <c r="Z69" s="163"/>
    </row>
    <row r="70">
      <c r="A70" s="217">
        <v>5.0</v>
      </c>
      <c r="B70" s="218" t="s">
        <v>220</v>
      </c>
      <c r="C70" s="219" t="s">
        <v>222</v>
      </c>
      <c r="D70" s="218" t="s">
        <v>1242</v>
      </c>
      <c r="E70" s="218" t="s">
        <v>10</v>
      </c>
      <c r="F70" s="218" t="s">
        <v>109</v>
      </c>
      <c r="G70" s="218" t="s">
        <v>110</v>
      </c>
      <c r="H70" s="218" t="s">
        <v>12</v>
      </c>
      <c r="I70" s="218" t="s">
        <v>13</v>
      </c>
      <c r="J70" s="218" t="s">
        <v>14</v>
      </c>
      <c r="K70" s="218" t="s">
        <v>8</v>
      </c>
      <c r="L70" s="218" t="s">
        <v>9</v>
      </c>
      <c r="M70" s="218" t="s">
        <v>15</v>
      </c>
      <c r="N70" s="218" t="s">
        <v>4</v>
      </c>
      <c r="O70" s="218" t="s">
        <v>227</v>
      </c>
      <c r="P70" s="218" t="s">
        <v>4</v>
      </c>
      <c r="Q70" s="163"/>
      <c r="R70" s="163"/>
      <c r="S70" s="163"/>
      <c r="T70" s="163"/>
      <c r="U70" s="163"/>
      <c r="V70" s="163"/>
      <c r="W70" s="163"/>
      <c r="X70" s="163"/>
      <c r="Y70" s="163"/>
      <c r="Z70" s="163"/>
    </row>
    <row r="71">
      <c r="A71" s="163"/>
      <c r="B71" s="220">
        <f>Projections!$AJ$16</f>
        <v>100</v>
      </c>
      <c r="C71" s="221">
        <v>1.0</v>
      </c>
      <c r="D71" s="222" t="str">
        <f t="array" ref="D71">INDIRECT("Draft!D"&amp;TEXT(A70+2,"0"))</f>
        <v/>
      </c>
      <c r="E71" s="223" t="str">
        <f>IF($D71="","", VLOOKUP($D71,'Final Update'!$Q$21:$AE1000,Column(G69),False))</f>
        <v/>
      </c>
      <c r="F71" s="223" t="str">
        <f>IF($D71="","", VLOOKUP($D71,'Final Update'!$Q$21:$AE1000,Column(H69),False))</f>
        <v/>
      </c>
      <c r="G71" s="223" t="str">
        <f>IF($D71="","", VLOOKUP($D71,'Final Update'!$Q$21:$AE1000,Column(I69),False))</f>
        <v/>
      </c>
      <c r="H71" s="223" t="str">
        <f>IF($D71="","", VLOOKUP($D71,'Final Update'!$Q$21:$AE1000,Column(J69),False))</f>
        <v/>
      </c>
      <c r="I71" s="223" t="str">
        <f>IF($D71="","", VLOOKUP($D71,'Final Update'!$Q$21:$AE1000,Column(K69),False))</f>
        <v/>
      </c>
      <c r="J71" s="223" t="str">
        <f>IF($D71="","", VLOOKUP($D71,'Final Update'!$Q$21:$AE1000,Column(L69),False))</f>
        <v/>
      </c>
      <c r="K71" s="224" t="str">
        <f>IF($D71="","", VLOOKUP($D71,'Final Update'!$Q$21:$AE1000,Column(M69),False))</f>
        <v/>
      </c>
      <c r="L71" s="224" t="str">
        <f>IF($D71="","", VLOOKUP($D71,'Final Update'!$Q$21:$AE1000,Column(N69),False))</f>
        <v/>
      </c>
      <c r="M71" s="223" t="str">
        <f>IF($D71="","", VLOOKUP($D71,'Final Update'!$Q$21:$AE1000,Column(O69),False))</f>
        <v/>
      </c>
      <c r="N71" s="223" t="str">
        <f>IF($D71="","", VLOOKUP($D71,'Final Update'!$Q$21:$AE1000,Column(C69),False))</f>
        <v/>
      </c>
      <c r="O71" s="221">
        <f t="array" ref="O71">COUNTIF(FIND(P71,$N71:$N84),"&gt;0")</f>
        <v>0</v>
      </c>
      <c r="P71" s="222" t="s">
        <v>46</v>
      </c>
      <c r="Q71" s="163"/>
      <c r="R71" s="163"/>
      <c r="S71" s="163"/>
      <c r="T71" s="163"/>
      <c r="U71" s="163"/>
      <c r="V71" s="163"/>
      <c r="W71" s="163"/>
      <c r="X71" s="163"/>
      <c r="Y71" s="163"/>
      <c r="Z71" s="163"/>
    </row>
    <row r="72">
      <c r="A72" s="163"/>
      <c r="B72" s="220">
        <f>Projections!$AJ$17</f>
        <v>100</v>
      </c>
      <c r="C72" s="221">
        <v>2.0</v>
      </c>
      <c r="D72" s="225" t="str">
        <f t="array" ref="D72">INDIRECT("Draft!E"&amp;TEXT(15-A70,"0"))</f>
        <v/>
      </c>
      <c r="E72" s="223" t="str">
        <f>IF($D72="","", VLOOKUP($D72,'Final Update'!$Q$21:$AE1000,Column(G70),False))</f>
        <v/>
      </c>
      <c r="F72" s="223" t="str">
        <f>IF($D72="","", VLOOKUP($D72,'Final Update'!$Q$21:$AE1000,Column(H70),False))</f>
        <v/>
      </c>
      <c r="G72" s="223" t="str">
        <f>IF($D72="","", VLOOKUP($D72,'Final Update'!$Q$21:$AE1000,Column(I70),False))</f>
        <v/>
      </c>
      <c r="H72" s="223" t="str">
        <f>IF($D72="","", VLOOKUP($D72,'Final Update'!$Q$21:$AE1000,Column(J70),False))</f>
        <v/>
      </c>
      <c r="I72" s="223" t="str">
        <f>IF($D72="","", VLOOKUP($D72,'Final Update'!$Q$21:$AE1000,Column(K70),False))</f>
        <v/>
      </c>
      <c r="J72" s="223" t="str">
        <f>IF($D72="","", VLOOKUP($D72,'Final Update'!$Q$21:$AE1000,Column(L70),False))</f>
        <v/>
      </c>
      <c r="K72" s="224" t="str">
        <f>IF($D72="","", VLOOKUP($D72,'Final Update'!$Q$21:$AE1000,Column(M70),False))</f>
        <v/>
      </c>
      <c r="L72" s="224" t="str">
        <f>IF($D72="","", VLOOKUP($D72,'Final Update'!$Q$21:$AE1000,Column(N70),False))</f>
        <v/>
      </c>
      <c r="M72" s="223" t="str">
        <f>IF($D72="","", VLOOKUP($D72,'Final Update'!$Q$21:$AE1000,Column(O70),False))</f>
        <v/>
      </c>
      <c r="N72" s="223" t="str">
        <f>IF($D72="","", VLOOKUP($D72,'Final Update'!$Q$21:$AE1000,Column(C70),False))</f>
        <v/>
      </c>
      <c r="O72" s="221">
        <f t="array" ref="O72">COUNTIF(FIND(P72,$N71:$N84),"&gt;0")</f>
        <v>0</v>
      </c>
      <c r="P72" s="222" t="s">
        <v>47</v>
      </c>
      <c r="Q72" s="163"/>
      <c r="R72" s="163"/>
      <c r="S72" s="163"/>
      <c r="T72" s="163"/>
      <c r="U72" s="163"/>
      <c r="V72" s="163"/>
      <c r="W72" s="163"/>
      <c r="X72" s="163"/>
      <c r="Y72" s="163"/>
      <c r="Z72" s="163"/>
    </row>
    <row r="73">
      <c r="A73" s="163"/>
      <c r="B73" s="220">
        <f>Projections!$AJ$18</f>
        <v>100</v>
      </c>
      <c r="C73" s="221">
        <v>3.0</v>
      </c>
      <c r="D73" s="226" t="str">
        <f t="array" ref="D73">INDIRECT("Draft!F"&amp;TEXT(A70+2,"0"))</f>
        <v/>
      </c>
      <c r="E73" s="227" t="str">
        <f>IF($D73="","", VLOOKUP($D73,'Final Update'!$Q$21:$AE1000,Column(G71),False))</f>
        <v/>
      </c>
      <c r="F73" s="227" t="str">
        <f>IF($D73="","", VLOOKUP($D73,'Final Update'!$Q$21:$AE1000,Column(H71),False))</f>
        <v/>
      </c>
      <c r="G73" s="227" t="str">
        <f>IF($D73="","", VLOOKUP($D73,'Final Update'!$Q$21:$AE1000,Column(I71),False))</f>
        <v/>
      </c>
      <c r="H73" s="227" t="str">
        <f>IF($D73="","", VLOOKUP($D73,'Final Update'!$Q$21:$AE1000,Column(J71),False))</f>
        <v/>
      </c>
      <c r="I73" s="227" t="str">
        <f>IF($D73="","", VLOOKUP($D73,'Final Update'!$Q$21:$AE1000,Column(K71),False))</f>
        <v/>
      </c>
      <c r="J73" s="227" t="str">
        <f>IF($D73="","", VLOOKUP($D73,'Final Update'!$Q$21:$AE1000,Column(L71),False))</f>
        <v/>
      </c>
      <c r="K73" s="228" t="str">
        <f>IF($D73="","", VLOOKUP($D73,'Final Update'!$Q$21:$AE1000,Column(M71),False))</f>
        <v/>
      </c>
      <c r="L73" s="228" t="str">
        <f>IF($D73="","", VLOOKUP($D73,'Final Update'!$Q$21:$AE1000,Column(N71),False))</f>
        <v/>
      </c>
      <c r="M73" s="227" t="str">
        <f>IF($D73="","", VLOOKUP($D73,'Final Update'!$Q$21:$AE1000,Column(O71),False))</f>
        <v/>
      </c>
      <c r="N73" s="227" t="str">
        <f>IF($D73="","", VLOOKUP($D73,'Final Update'!$Q$21:$AE1000,Column(C71),False))</f>
        <v/>
      </c>
      <c r="O73" s="221">
        <f t="array" ref="O73">COUNTIF(FIND(P73,$N71:$N84),"&gt;0")</f>
        <v>0</v>
      </c>
      <c r="P73" s="222" t="s">
        <v>48</v>
      </c>
      <c r="Q73" s="163"/>
      <c r="R73" s="163"/>
      <c r="S73" s="163"/>
      <c r="T73" s="163"/>
      <c r="U73" s="163"/>
      <c r="V73" s="163"/>
      <c r="W73" s="163"/>
      <c r="X73" s="163"/>
      <c r="Y73" s="163"/>
      <c r="Z73" s="163"/>
    </row>
    <row r="74">
      <c r="A74" s="163"/>
      <c r="B74" s="220">
        <f>Projections!$AJ$19</f>
        <v>100</v>
      </c>
      <c r="C74" s="221">
        <v>4.0</v>
      </c>
      <c r="D74" s="229" t="str">
        <f t="array" ref="D74">INDIRECT("Draft!G"&amp;TEXT(15-A70,"0"))</f>
        <v/>
      </c>
      <c r="E74" s="227" t="str">
        <f>IF($D74="","", VLOOKUP($D74,'Final Update'!$Q$21:$AE1000,Column(G72),False))</f>
        <v/>
      </c>
      <c r="F74" s="227" t="str">
        <f>IF($D74="","", VLOOKUP($D74,'Final Update'!$Q$21:$AE1000,Column(H72),False))</f>
        <v/>
      </c>
      <c r="G74" s="227" t="str">
        <f>IF($D74="","", VLOOKUP($D74,'Final Update'!$Q$21:$AE1000,Column(I72),False))</f>
        <v/>
      </c>
      <c r="H74" s="227" t="str">
        <f>IF($D74="","", VLOOKUP($D74,'Final Update'!$Q$21:$AE1000,Column(J72),False))</f>
        <v/>
      </c>
      <c r="I74" s="227" t="str">
        <f>IF($D74="","", VLOOKUP($D74,'Final Update'!$Q$21:$AE1000,Column(K72),False))</f>
        <v/>
      </c>
      <c r="J74" s="227" t="str">
        <f>IF($D74="","", VLOOKUP($D74,'Final Update'!$Q$21:$AE1000,Column(L72),False))</f>
        <v/>
      </c>
      <c r="K74" s="228" t="str">
        <f>IF($D74="","", VLOOKUP($D74,'Final Update'!$Q$21:$AE1000,Column(M72),False))</f>
        <v/>
      </c>
      <c r="L74" s="228" t="str">
        <f>IF($D74="","", VLOOKUP($D74,'Final Update'!$Q$21:$AE1000,Column(N72),False))</f>
        <v/>
      </c>
      <c r="M74" s="227" t="str">
        <f>IF($D74="","", VLOOKUP($D74,'Final Update'!$Q$21:$AE1000,Column(O72),False))</f>
        <v/>
      </c>
      <c r="N74" s="227" t="str">
        <f>IF($D74="","", VLOOKUP($D74,'Final Update'!$Q$21:$AE1000,Column(C72),False))</f>
        <v/>
      </c>
      <c r="O74" s="221">
        <f t="array" ref="O74">COUNTIF(FIND(P74,$N71:$N84),"&gt;0")</f>
        <v>0</v>
      </c>
      <c r="P74" s="222" t="s">
        <v>49</v>
      </c>
      <c r="Q74" s="163"/>
      <c r="R74" s="163"/>
      <c r="S74" s="163"/>
      <c r="T74" s="163"/>
      <c r="U74" s="163"/>
      <c r="V74" s="163"/>
      <c r="W74" s="163"/>
      <c r="X74" s="163"/>
      <c r="Y74" s="163"/>
      <c r="Z74" s="163"/>
    </row>
    <row r="75">
      <c r="A75" s="163"/>
      <c r="B75" s="220">
        <f>Projections!$AJ$20</f>
        <v>100</v>
      </c>
      <c r="C75" s="221">
        <v>5.0</v>
      </c>
      <c r="D75" s="230" t="str">
        <f t="array" ref="D75">INDIRECT("Draft!H"&amp;TEXT(A70+2,"0"))</f>
        <v/>
      </c>
      <c r="E75" s="227" t="str">
        <f>IF($D75="","", VLOOKUP($D75,'Final Update'!$Q$21:$AE1000,Column(G73),False))</f>
        <v/>
      </c>
      <c r="F75" s="227" t="str">
        <f>IF($D75="","", VLOOKUP($D75,'Final Update'!$Q$21:$AE1000,Column(H73),False))</f>
        <v/>
      </c>
      <c r="G75" s="227" t="str">
        <f>IF($D75="","", VLOOKUP($D75,'Final Update'!$Q$21:$AE1000,Column(I73),False))</f>
        <v/>
      </c>
      <c r="H75" s="227" t="str">
        <f>IF($D75="","", VLOOKUP($D75,'Final Update'!$Q$21:$AE1000,Column(J73),False))</f>
        <v/>
      </c>
      <c r="I75" s="227" t="str">
        <f>IF($D75="","", VLOOKUP($D75,'Final Update'!$Q$21:$AE1000,Column(K73),False))</f>
        <v/>
      </c>
      <c r="J75" s="227" t="str">
        <f>IF($D75="","", VLOOKUP($D75,'Final Update'!$Q$21:$AE1000,Column(L73),False))</f>
        <v/>
      </c>
      <c r="K75" s="228" t="str">
        <f>IF($D75="","", VLOOKUP($D75,'Final Update'!$Q$21:$AE1000,Column(M73),False))</f>
        <v/>
      </c>
      <c r="L75" s="228" t="str">
        <f>IF($D75="","", VLOOKUP($D75,'Final Update'!$Q$21:$AE1000,Column(N73),False))</f>
        <v/>
      </c>
      <c r="M75" s="227" t="str">
        <f>IF($D75="","", VLOOKUP($D75,'Final Update'!$Q$21:$AE1000,Column(O73),False))</f>
        <v/>
      </c>
      <c r="N75" s="227" t="str">
        <f>IF($D75="","", VLOOKUP($D75,'Final Update'!$Q$21:$AE1000,Column(C73),False))</f>
        <v/>
      </c>
      <c r="O75" s="221">
        <f t="array" ref="O75">COUNTIF(FIND(P75,$N71:$N84),"&gt;0")</f>
        <v>0</v>
      </c>
      <c r="P75" s="222" t="s">
        <v>34</v>
      </c>
      <c r="Q75" s="163"/>
      <c r="R75" s="163"/>
      <c r="S75" s="163"/>
      <c r="T75" s="163"/>
      <c r="U75" s="163"/>
      <c r="V75" s="163"/>
      <c r="W75" s="163"/>
      <c r="X75" s="163"/>
      <c r="Y75" s="163"/>
      <c r="Z75" s="163"/>
    </row>
    <row r="76">
      <c r="A76" s="163"/>
      <c r="B76" s="220">
        <f>Projections!$AJ$21</f>
        <v>100</v>
      </c>
      <c r="C76" s="221">
        <v>6.0</v>
      </c>
      <c r="D76" s="231" t="str">
        <f t="array" ref="D76">INDIRECT("Draft!I"&amp;TEXT(15-A70,"0"))</f>
        <v/>
      </c>
      <c r="E76" s="227" t="str">
        <f>IF($D76="","", VLOOKUP($D76,'Final Update'!$Q$21:$AE1000,Column(G74),False))</f>
        <v/>
      </c>
      <c r="F76" s="227" t="str">
        <f>IF($D76="","", VLOOKUP($D76,'Final Update'!$Q$21:$AE1000,Column(H74),False))</f>
        <v/>
      </c>
      <c r="G76" s="227" t="str">
        <f>IF($D76="","", VLOOKUP($D76,'Final Update'!$Q$21:$AE1000,Column(I74),False))</f>
        <v/>
      </c>
      <c r="H76" s="227" t="str">
        <f>IF($D76="","", VLOOKUP($D76,'Final Update'!$Q$21:$AE1000,Column(J74),False))</f>
        <v/>
      </c>
      <c r="I76" s="227" t="str">
        <f>IF($D76="","", VLOOKUP($D76,'Final Update'!$Q$21:$AE1000,Column(K74),False))</f>
        <v/>
      </c>
      <c r="J76" s="227" t="str">
        <f>IF($D76="","", VLOOKUP($D76,'Final Update'!$Q$21:$AE1000,Column(L74),False))</f>
        <v/>
      </c>
      <c r="K76" s="228" t="str">
        <f>IF($D76="","", VLOOKUP($D76,'Final Update'!$Q$21:$AE1000,Column(M74),False))</f>
        <v/>
      </c>
      <c r="L76" s="228" t="str">
        <f>IF($D76="","", VLOOKUP($D76,'Final Update'!$Q$21:$AE1000,Column(N74),False))</f>
        <v/>
      </c>
      <c r="M76" s="227" t="str">
        <f>IF($D76="","", VLOOKUP($D76,'Final Update'!$Q$21:$AE1000,Column(O74),False))</f>
        <v/>
      </c>
      <c r="N76" s="227" t="str">
        <f>IF($D76="","", VLOOKUP($D76,'Final Update'!$Q$21:$AE1000,Column(C74),False))</f>
        <v/>
      </c>
      <c r="O76" s="163"/>
      <c r="P76" s="163"/>
      <c r="Q76" s="163"/>
      <c r="R76" s="163"/>
      <c r="S76" s="163"/>
      <c r="T76" s="163"/>
      <c r="U76" s="163"/>
      <c r="V76" s="163"/>
      <c r="W76" s="163"/>
      <c r="X76" s="163"/>
      <c r="Y76" s="163"/>
      <c r="Z76" s="163"/>
    </row>
    <row r="77">
      <c r="A77" s="163"/>
      <c r="B77" s="220">
        <f>Projections!$AJ$22</f>
        <v>100</v>
      </c>
      <c r="C77" s="221">
        <v>7.0</v>
      </c>
      <c r="D77" s="230" t="str">
        <f t="array" ref="D77">INDIRECT("Draft!J"&amp;TEXT(A70+2,"0"))</f>
        <v/>
      </c>
      <c r="E77" s="227" t="str">
        <f>IF($D77="","", VLOOKUP($D77,'Final Update'!$Q$21:$AE1000,Column(G75),False))</f>
        <v/>
      </c>
      <c r="F77" s="227" t="str">
        <f>IF($D77="","", VLOOKUP($D77,'Final Update'!$Q$21:$AE1000,Column(H75),False))</f>
        <v/>
      </c>
      <c r="G77" s="227" t="str">
        <f>IF($D77="","", VLOOKUP($D77,'Final Update'!$Q$21:$AE1000,Column(I75),False))</f>
        <v/>
      </c>
      <c r="H77" s="227" t="str">
        <f>IF($D77="","", VLOOKUP($D77,'Final Update'!$Q$21:$AE1000,Column(J75),False))</f>
        <v/>
      </c>
      <c r="I77" s="227" t="str">
        <f>IF($D77="","", VLOOKUP($D77,'Final Update'!$Q$21:$AE1000,Column(K75),False))</f>
        <v/>
      </c>
      <c r="J77" s="227" t="str">
        <f>IF($D77="","", VLOOKUP($D77,'Final Update'!$Q$21:$AE1000,Column(L75),False))</f>
        <v/>
      </c>
      <c r="K77" s="228" t="str">
        <f>IF($D77="","", VLOOKUP($D77,'Final Update'!$Q$21:$AE1000,Column(M75),False))</f>
        <v/>
      </c>
      <c r="L77" s="228" t="str">
        <f>IF($D77="","", VLOOKUP($D77,'Final Update'!$Q$21:$AE1000,Column(N75),False))</f>
        <v/>
      </c>
      <c r="M77" s="227" t="str">
        <f>IF($D77="","", VLOOKUP($D77,'Final Update'!$Q$21:$AE1000,Column(O75),False))</f>
        <v/>
      </c>
      <c r="N77" s="227" t="str">
        <f>IF($D77="","", VLOOKUP($D77,'Final Update'!$Q$21:$AE1000,Column(C75),False))</f>
        <v/>
      </c>
      <c r="O77" s="163"/>
      <c r="P77" s="163"/>
      <c r="Q77" s="163"/>
      <c r="R77" s="163"/>
      <c r="S77" s="163"/>
      <c r="T77" s="163"/>
      <c r="U77" s="163"/>
      <c r="V77" s="163"/>
      <c r="W77" s="163"/>
      <c r="X77" s="163"/>
      <c r="Y77" s="163"/>
      <c r="Z77" s="163"/>
    </row>
    <row r="78">
      <c r="A78" s="163"/>
      <c r="B78" s="220">
        <f>Projections!$AJ$23</f>
        <v>100</v>
      </c>
      <c r="C78" s="221">
        <v>8.0</v>
      </c>
      <c r="D78" s="231" t="str">
        <f t="array" ref="D78">INDIRECT("Draft!K"&amp;TEXT(15-A70,"0"))</f>
        <v/>
      </c>
      <c r="E78" s="227" t="str">
        <f>IF($D78="","", VLOOKUP($D78,'Final Update'!$Q$21:$AE1000,Column(G76),False))</f>
        <v/>
      </c>
      <c r="F78" s="227" t="str">
        <f>IF($D78="","", VLOOKUP($D78,'Final Update'!$Q$21:$AE1000,Column(H76),False))</f>
        <v/>
      </c>
      <c r="G78" s="227" t="str">
        <f>IF($D78="","", VLOOKUP($D78,'Final Update'!$Q$21:$AE1000,Column(I76),False))</f>
        <v/>
      </c>
      <c r="H78" s="227" t="str">
        <f>IF($D78="","", VLOOKUP($D78,'Final Update'!$Q$21:$AE1000,Column(J76),False))</f>
        <v/>
      </c>
      <c r="I78" s="227" t="str">
        <f>IF($D78="","", VLOOKUP($D78,'Final Update'!$Q$21:$AE1000,Column(K76),False))</f>
        <v/>
      </c>
      <c r="J78" s="227" t="str">
        <f>IF($D78="","", VLOOKUP($D78,'Final Update'!$Q$21:$AE1000,Column(L76),False))</f>
        <v/>
      </c>
      <c r="K78" s="228" t="str">
        <f>IF($D78="","", VLOOKUP($D78,'Final Update'!$Q$21:$AE1000,Column(M76),False))</f>
        <v/>
      </c>
      <c r="L78" s="228" t="str">
        <f>IF($D78="","", VLOOKUP($D78,'Final Update'!$Q$21:$AE1000,Column(N76),False))</f>
        <v/>
      </c>
      <c r="M78" s="227" t="str">
        <f>IF($D78="","", VLOOKUP($D78,'Final Update'!$Q$21:$AE1000,Column(O76),False))</f>
        <v/>
      </c>
      <c r="N78" s="227" t="str">
        <f>IF($D78="","", VLOOKUP($D78,'Final Update'!$Q$21:$AE1000,Column(C76),False))</f>
        <v/>
      </c>
      <c r="O78" s="163"/>
      <c r="P78" s="163"/>
      <c r="Q78" s="163"/>
      <c r="R78" s="163"/>
      <c r="S78" s="163"/>
      <c r="T78" s="163"/>
      <c r="U78" s="163"/>
      <c r="V78" s="163"/>
      <c r="W78" s="163"/>
      <c r="X78" s="163"/>
      <c r="Y78" s="163"/>
      <c r="Z78" s="163"/>
    </row>
    <row r="79">
      <c r="A79" s="163"/>
      <c r="B79" s="220">
        <f>Projections!$AJ$24</f>
        <v>100</v>
      </c>
      <c r="C79" s="221">
        <v>9.0</v>
      </c>
      <c r="D79" s="230" t="str">
        <f t="array" ref="D79">INDIRECT("Draft!L"&amp;TEXT(A70+2,"0"))</f>
        <v/>
      </c>
      <c r="E79" s="227" t="str">
        <f>IF($D79="","", VLOOKUP($D79,'Final Update'!$Q$21:$AE1000,Column(G77),False))</f>
        <v/>
      </c>
      <c r="F79" s="227" t="str">
        <f>IF($D79="","", VLOOKUP($D79,'Final Update'!$Q$21:$AE1000,Column(H77),False))</f>
        <v/>
      </c>
      <c r="G79" s="227" t="str">
        <f>IF($D79="","", VLOOKUP($D79,'Final Update'!$Q$21:$AE1000,Column(I77),False))</f>
        <v/>
      </c>
      <c r="H79" s="227" t="str">
        <f>IF($D79="","", VLOOKUP($D79,'Final Update'!$Q$21:$AE1000,Column(J77),False))</f>
        <v/>
      </c>
      <c r="I79" s="227" t="str">
        <f>IF($D79="","", VLOOKUP($D79,'Final Update'!$Q$21:$AE1000,Column(K77),False))</f>
        <v/>
      </c>
      <c r="J79" s="227" t="str">
        <f>IF($D79="","", VLOOKUP($D79,'Final Update'!$Q$21:$AE1000,Column(L77),False))</f>
        <v/>
      </c>
      <c r="K79" s="228" t="str">
        <f>IF($D79="","", VLOOKUP($D79,'Final Update'!$Q$21:$AE1000,Column(M77),False))</f>
        <v/>
      </c>
      <c r="L79" s="228" t="str">
        <f>IF($D79="","", VLOOKUP($D79,'Final Update'!$Q$21:$AE1000,Column(N77),False))</f>
        <v/>
      </c>
      <c r="M79" s="227" t="str">
        <f>IF($D79="","", VLOOKUP($D79,'Final Update'!$Q$21:$AE1000,Column(O77),False))</f>
        <v/>
      </c>
      <c r="N79" s="227" t="str">
        <f>IF($D79="","", VLOOKUP($D79,'Final Update'!$Q$21:$AE1000,Column(C77),False))</f>
        <v/>
      </c>
      <c r="O79" s="163"/>
      <c r="P79" s="163"/>
      <c r="Q79" s="163"/>
      <c r="R79" s="163"/>
      <c r="S79" s="163"/>
      <c r="T79" s="163"/>
      <c r="U79" s="163"/>
      <c r="V79" s="163"/>
      <c r="W79" s="163"/>
      <c r="X79" s="163"/>
      <c r="Y79" s="163"/>
      <c r="Z79" s="163"/>
    </row>
    <row r="80">
      <c r="A80" s="163"/>
      <c r="B80" s="220">
        <f>Projections!$AJ$25</f>
        <v>100</v>
      </c>
      <c r="C80" s="221">
        <v>10.0</v>
      </c>
      <c r="D80" s="231" t="str">
        <f t="array" ref="D80">INDIRECT("Draft!M"&amp;TEXT(15-A70,"0"))</f>
        <v/>
      </c>
      <c r="E80" s="227" t="str">
        <f>IF($D80="","", VLOOKUP($D80,'Final Update'!$Q$21:$AE1000,Column(G78),False))</f>
        <v/>
      </c>
      <c r="F80" s="227" t="str">
        <f>IF($D80="","", VLOOKUP($D80,'Final Update'!$Q$21:$AE1000,Column(H78),False))</f>
        <v/>
      </c>
      <c r="G80" s="227" t="str">
        <f>IF($D80="","", VLOOKUP($D80,'Final Update'!$Q$21:$AE1000,Column(I78),False))</f>
        <v/>
      </c>
      <c r="H80" s="227" t="str">
        <f>IF($D80="","", VLOOKUP($D80,'Final Update'!$Q$21:$AE1000,Column(J78),False))</f>
        <v/>
      </c>
      <c r="I80" s="227" t="str">
        <f>IF($D80="","", VLOOKUP($D80,'Final Update'!$Q$21:$AE1000,Column(K78),False))</f>
        <v/>
      </c>
      <c r="J80" s="227" t="str">
        <f>IF($D80="","", VLOOKUP($D80,'Final Update'!$Q$21:$AE1000,Column(L78),False))</f>
        <v/>
      </c>
      <c r="K80" s="228" t="str">
        <f>IF($D80="","", VLOOKUP($D80,'Final Update'!$Q$21:$AE1000,Column(M78),False))</f>
        <v/>
      </c>
      <c r="L80" s="228" t="str">
        <f>IF($D80="","", VLOOKUP($D80,'Final Update'!$Q$21:$AE1000,Column(N78),False))</f>
        <v/>
      </c>
      <c r="M80" s="227" t="str">
        <f>IF($D80="","", VLOOKUP($D80,'Final Update'!$Q$21:$AE1000,Column(O78),False))</f>
        <v/>
      </c>
      <c r="N80" s="227" t="str">
        <f>IF($D80="","", VLOOKUP($D80,'Final Update'!$Q$21:$AE1000,Column(C78),False))</f>
        <v/>
      </c>
      <c r="O80" s="163"/>
      <c r="P80" s="163"/>
      <c r="Q80" s="163"/>
      <c r="R80" s="163"/>
      <c r="S80" s="163"/>
      <c r="T80" s="163"/>
      <c r="U80" s="163"/>
      <c r="V80" s="163"/>
      <c r="W80" s="163"/>
      <c r="X80" s="163"/>
      <c r="Y80" s="163"/>
      <c r="Z80" s="163"/>
    </row>
    <row r="81">
      <c r="A81" s="163"/>
      <c r="B81" s="220">
        <f>Projections!$AJ$26</f>
        <v>100</v>
      </c>
      <c r="C81" s="221">
        <v>11.0</v>
      </c>
      <c r="D81" s="230" t="str">
        <f t="array" ref="D81">INDIRECT("Draft!N"&amp;TEXT(A70+2,"0"))</f>
        <v/>
      </c>
      <c r="E81" s="227" t="str">
        <f>IF($D81="","", VLOOKUP($D81,'Final Update'!$Q$21:$AE1000,Column(G79),False))</f>
        <v/>
      </c>
      <c r="F81" s="227" t="str">
        <f>IF($D81="","", VLOOKUP($D81,'Final Update'!$Q$21:$AE1000,Column(H79),False))</f>
        <v/>
      </c>
      <c r="G81" s="227" t="str">
        <f>IF($D81="","", VLOOKUP($D81,'Final Update'!$Q$21:$AE1000,Column(I79),False))</f>
        <v/>
      </c>
      <c r="H81" s="227" t="str">
        <f>IF($D81="","", VLOOKUP($D81,'Final Update'!$Q$21:$AE1000,Column(J79),False))</f>
        <v/>
      </c>
      <c r="I81" s="227" t="str">
        <f>IF($D81="","", VLOOKUP($D81,'Final Update'!$Q$21:$AE1000,Column(K79),False))</f>
        <v/>
      </c>
      <c r="J81" s="227" t="str">
        <f>IF($D81="","", VLOOKUP($D81,'Final Update'!$Q$21:$AE1000,Column(L79),False))</f>
        <v/>
      </c>
      <c r="K81" s="228" t="str">
        <f>IF($D81="","", VLOOKUP($D81,'Final Update'!$Q$21:$AE1000,Column(M79),False))</f>
        <v/>
      </c>
      <c r="L81" s="228" t="str">
        <f>IF($D81="","", VLOOKUP($D81,'Final Update'!$Q$21:$AE1000,Column(N79),False))</f>
        <v/>
      </c>
      <c r="M81" s="227" t="str">
        <f>IF($D81="","", VLOOKUP($D81,'Final Update'!$Q$21:$AE1000,Column(O79),False))</f>
        <v/>
      </c>
      <c r="N81" s="227" t="str">
        <f>IF($D81="","", VLOOKUP($D81,'Final Update'!$Q$21:$AE1000,Column(C79),False))</f>
        <v/>
      </c>
      <c r="O81" s="163"/>
      <c r="P81" s="163"/>
      <c r="Q81" s="163"/>
      <c r="R81" s="163"/>
      <c r="S81" s="163"/>
      <c r="T81" s="163"/>
      <c r="U81" s="163"/>
      <c r="V81" s="163"/>
      <c r="W81" s="163"/>
      <c r="X81" s="163"/>
      <c r="Y81" s="163"/>
      <c r="Z81" s="163"/>
    </row>
    <row r="82">
      <c r="A82" s="163"/>
      <c r="B82" s="220">
        <f>Projections!$AJ$27</f>
        <v>100</v>
      </c>
      <c r="C82" s="221">
        <v>12.0</v>
      </c>
      <c r="D82" s="231" t="str">
        <f t="array" ref="D82">INDIRECT("Draft!O"&amp;TEXT(15-A70,"0"))</f>
        <v/>
      </c>
      <c r="E82" s="227" t="str">
        <f>IF($D82="","", VLOOKUP($D82,'Final Update'!$Q$21:$AE1000,Column(G80),False))</f>
        <v/>
      </c>
      <c r="F82" s="227" t="str">
        <f>IF($D82="","", VLOOKUP($D82,'Final Update'!$Q$21:$AE1000,Column(H80),False))</f>
        <v/>
      </c>
      <c r="G82" s="227" t="str">
        <f>IF($D82="","", VLOOKUP($D82,'Final Update'!$Q$21:$AE1000,Column(I80),False))</f>
        <v/>
      </c>
      <c r="H82" s="227" t="str">
        <f>IF($D82="","", VLOOKUP($D82,'Final Update'!$Q$21:$AE1000,Column(J80),False))</f>
        <v/>
      </c>
      <c r="I82" s="227" t="str">
        <f>IF($D82="","", VLOOKUP($D82,'Final Update'!$Q$21:$AE1000,Column(K80),False))</f>
        <v/>
      </c>
      <c r="J82" s="227" t="str">
        <f>IF($D82="","", VLOOKUP($D82,'Final Update'!$Q$21:$AE1000,Column(L80),False))</f>
        <v/>
      </c>
      <c r="K82" s="228" t="str">
        <f>IF($D82="","", VLOOKUP($D82,'Final Update'!$Q$21:$AE1000,Column(M80),False))</f>
        <v/>
      </c>
      <c r="L82" s="228" t="str">
        <f>IF($D82="","", VLOOKUP($D82,'Final Update'!$Q$21:$AE1000,Column(N80),False))</f>
        <v/>
      </c>
      <c r="M82" s="227" t="str">
        <f>IF($D82="","", VLOOKUP($D82,'Final Update'!$Q$21:$AE1000,Column(O80),False))</f>
        <v/>
      </c>
      <c r="N82" s="227" t="str">
        <f>IF($D82="","", VLOOKUP($D82,'Final Update'!$Q$21:$AE1000,Column(C80),False))</f>
        <v/>
      </c>
      <c r="O82" s="163"/>
      <c r="P82" s="163"/>
      <c r="Q82" s="163"/>
      <c r="R82" s="163"/>
      <c r="S82" s="163"/>
      <c r="T82" s="163"/>
      <c r="U82" s="163"/>
      <c r="V82" s="163"/>
      <c r="W82" s="163"/>
      <c r="X82" s="163"/>
      <c r="Y82" s="163"/>
      <c r="Z82" s="163"/>
    </row>
    <row r="83">
      <c r="A83" s="163"/>
      <c r="B83" s="232">
        <f>Projections!$AJ$28</f>
        <v>100</v>
      </c>
      <c r="C83" s="221">
        <v>13.0</v>
      </c>
      <c r="D83" s="230" t="str">
        <f t="array" ref="D83">INDIRECT("Draft!P"&amp;TEXT(A70+2,"0"))</f>
        <v/>
      </c>
      <c r="E83" s="227" t="str">
        <f>IF($D83="","", VLOOKUP($D83,'Final Update'!$Q$21:$AE1000,Column(G81),False))</f>
        <v/>
      </c>
      <c r="F83" s="227" t="str">
        <f>IF($D83="","", VLOOKUP($D83,'Final Update'!$Q$21:$AE1000,Column(H81),False))</f>
        <v/>
      </c>
      <c r="G83" s="227" t="str">
        <f>IF($D83="","", VLOOKUP($D83,'Final Update'!$Q$21:$AE1000,Column(I81),False))</f>
        <v/>
      </c>
      <c r="H83" s="227" t="str">
        <f>IF($D83="","", VLOOKUP($D83,'Final Update'!$Q$21:$AE1000,Column(J81),False))</f>
        <v/>
      </c>
      <c r="I83" s="227" t="str">
        <f>IF($D83="","", VLOOKUP($D83,'Final Update'!$Q$21:$AE1000,Column(K81),False))</f>
        <v/>
      </c>
      <c r="J83" s="227" t="str">
        <f>IF($D83="","", VLOOKUP($D83,'Final Update'!$Q$21:$AE1000,Column(L81),False))</f>
        <v/>
      </c>
      <c r="K83" s="228" t="str">
        <f>IF($D83="","", VLOOKUP($D83,'Final Update'!$Q$21:$AE1000,Column(M81),False))</f>
        <v/>
      </c>
      <c r="L83" s="228" t="str">
        <f>IF($D83="","", VLOOKUP($D83,'Final Update'!$Q$21:$AE1000,Column(N81),False))</f>
        <v/>
      </c>
      <c r="M83" s="227" t="str">
        <f>IF($D83="","", VLOOKUP($D83,'Final Update'!$Q$21:$AE1000,Column(O81),False))</f>
        <v/>
      </c>
      <c r="N83" s="227" t="str">
        <f>IF($D83="","", VLOOKUP($D83,'Final Update'!$Q$21:$AE1000,Column(C81),False))</f>
        <v/>
      </c>
      <c r="O83" s="163"/>
      <c r="P83" s="163"/>
      <c r="Q83" s="163"/>
      <c r="R83" s="163"/>
      <c r="S83" s="163"/>
      <c r="T83" s="163"/>
      <c r="U83" s="163"/>
      <c r="V83" s="163"/>
      <c r="W83" s="163"/>
      <c r="X83" s="163"/>
      <c r="Y83" s="163"/>
      <c r="Z83" s="163"/>
    </row>
    <row r="84">
      <c r="A84" s="163"/>
      <c r="B84" s="220">
        <f>Projections!$AJ$29</f>
        <v>50</v>
      </c>
      <c r="C84" s="221">
        <v>14.0</v>
      </c>
      <c r="D84" s="231" t="str">
        <f t="array" ref="D84">INDIRECT("Draft!Q"&amp;TEXT(15-A70,"0"))</f>
        <v/>
      </c>
      <c r="E84" s="227" t="str">
        <f>IF($D84="","", VLOOKUP($D84,'Final Update'!$Q$21:$AE1000,Column(G82),False))</f>
        <v/>
      </c>
      <c r="F84" s="227" t="str">
        <f>IF($D84="","", VLOOKUP($D84,'Final Update'!$Q$21:$AE1000,Column(H82),False))</f>
        <v/>
      </c>
      <c r="G84" s="227" t="str">
        <f>IF($D84="","", VLOOKUP($D84,'Final Update'!$Q$21:$AE1000,Column(I82),False))</f>
        <v/>
      </c>
      <c r="H84" s="227" t="str">
        <f>IF($D84="","", VLOOKUP($D84,'Final Update'!$Q$21:$AE1000,Column(J82),False))</f>
        <v/>
      </c>
      <c r="I84" s="227" t="str">
        <f>IF($D84="","", VLOOKUP($D84,'Final Update'!$Q$21:$AE1000,Column(K82),False))</f>
        <v/>
      </c>
      <c r="J84" s="227" t="str">
        <f>IF($D84="","", VLOOKUP($D84,'Final Update'!$Q$21:$AE1000,Column(L82),False))</f>
        <v/>
      </c>
      <c r="K84" s="228" t="str">
        <f>IF($D84="","", VLOOKUP($D84,'Final Update'!$Q$21:$AE1000,Column(M82),False))</f>
        <v/>
      </c>
      <c r="L84" s="228" t="str">
        <f>IF($D84="","", VLOOKUP($D84,'Final Update'!$Q$21:$AE1000,Column(N82),False))</f>
        <v/>
      </c>
      <c r="M84" s="227" t="str">
        <f>IF($D84="","", VLOOKUP($D84,'Final Update'!$Q$21:$AE1000,Column(O82),False))</f>
        <v/>
      </c>
      <c r="N84" s="227" t="str">
        <f>IF($D84="","", VLOOKUP($D84,'Final Update'!$Q$21:$AE1000,Column(C82),False))</f>
        <v/>
      </c>
      <c r="O84" s="163"/>
      <c r="P84" s="163"/>
      <c r="Q84" s="163"/>
      <c r="R84" s="163"/>
      <c r="S84" s="163"/>
      <c r="T84" s="163"/>
      <c r="U84" s="163"/>
      <c r="V84" s="163"/>
      <c r="W84" s="163"/>
      <c r="X84" s="163"/>
      <c r="Y84" s="163"/>
      <c r="Z84" s="163"/>
    </row>
    <row r="85">
      <c r="A85" s="216" t="s">
        <v>5</v>
      </c>
      <c r="B85" s="163"/>
      <c r="C85" s="163"/>
      <c r="D85" s="219" t="s">
        <v>1328</v>
      </c>
      <c r="E85" s="233" t="str">
        <f t="shared" ref="E85:J85" si="5">IFERROR(AVERAGE(SUMPRODUCT(E71:E84,$B71:$B84/100))/(SUM(OFFSET($B71,0,0,COUNT(E71:E84)))/100),"")</f>
        <v/>
      </c>
      <c r="F85" s="233" t="str">
        <f t="shared" si="5"/>
        <v/>
      </c>
      <c r="G85" s="233" t="str">
        <f t="shared" si="5"/>
        <v/>
      </c>
      <c r="H85" s="233" t="str">
        <f t="shared" si="5"/>
        <v/>
      </c>
      <c r="I85" s="233" t="str">
        <f t="shared" si="5"/>
        <v/>
      </c>
      <c r="J85" s="233" t="str">
        <f t="shared" si="5"/>
        <v/>
      </c>
      <c r="K85" s="233" t="str">
        <f t="array" ref="K85">IFERROR(100*SUMPRODUCT(IFERROR(VLOOKUP($D71:$D84,UpdateHashtag!$C:$S,6,False),"")*$B71:$B84/100)/SUMPRODUCT(IFERROR(VLOOKUP($D71:$D84,UpdateHashtag!$C:$S,17,False),"")*$B71:$B84/100),"")</f>
        <v/>
      </c>
      <c r="L85" s="233" t="str">
        <f t="array" ref="L85">IFERROR(100*SUMPRODUCT(IFERROR(VLOOKUP($D71:$D84,UpdateHashtag!$C:$T,8,False),"")*$B71:$B84/100)/SUMPRODUCT(IFERROR(VLOOKUP($D71:$D84,UpdateHashtag!$C:$T,18,False),"")*$B71:$B84/100),"")</f>
        <v/>
      </c>
      <c r="M85" s="233" t="str">
        <f>IFERROR(AVERAGE(SUMPRODUCT(M71:M84,$B71:$B84/100))/(SUM(OFFSET($B71,0,0,COUNT(M71:M84)))/100),"")</f>
        <v/>
      </c>
      <c r="N85" s="163"/>
      <c r="O85" s="163"/>
      <c r="P85" s="163"/>
      <c r="Q85" s="163"/>
      <c r="R85" s="163"/>
      <c r="S85" s="163"/>
      <c r="T85" s="163"/>
      <c r="U85" s="163"/>
      <c r="V85" s="163"/>
      <c r="W85" s="163"/>
      <c r="X85" s="163"/>
      <c r="Y85" s="163"/>
      <c r="Z85" s="163"/>
    </row>
    <row r="86">
      <c r="A86" s="163"/>
      <c r="B86" s="163"/>
      <c r="C86" s="163"/>
      <c r="D86" s="219" t="s">
        <v>1329</v>
      </c>
      <c r="E86" s="234" t="str">
        <f>IFERROR((SUM(OFFSET('All Teams'!$B71,0,0,COUNT('All Teams'!E71:E84)))/100)*('All Teams'!E85-'Final Update'!$B$1)/'Final Update'!$B$2,"")</f>
        <v/>
      </c>
      <c r="F86" s="234" t="str">
        <f>IFERROR((SUM(OFFSET('All Teams'!$B71,0,0,COUNT('All Teams'!F71:F84)))/100)*('All Teams'!F85-'Final Update'!$C$1)/'Final Update'!$C$2,"")</f>
        <v/>
      </c>
      <c r="G86" s="234" t="str">
        <f>IFERROR((SUM(OFFSET('All Teams'!$B71,0,0,COUNT('All Teams'!G71:G84)))/100)*('All Teams'!G85-'Final Update'!$D$1)/'Final Update'!$D$2,"")</f>
        <v/>
      </c>
      <c r="H86" s="234" t="str">
        <f>IFERROR((SUM(OFFSET('All Teams'!$B71,0,0,COUNT('All Teams'!H71:H84)))/100)*('All Teams'!H85-'Final Update'!$E$1)/'Final Update'!$E$2,"")</f>
        <v/>
      </c>
      <c r="I86" s="234" t="str">
        <f>IFERROR((SUM(OFFSET('All Teams'!$B71,0,0,COUNT('All Teams'!I71:I84)))/100)*('All Teams'!I85-'Final Update'!$F$1)/'Final Update'!$F$2,"")</f>
        <v/>
      </c>
      <c r="J86" s="234" t="str">
        <f>IFERROR((SUM(OFFSET('All Teams'!$B71,0,0,COUNT('All Teams'!J71:J84)))/100)*('All Teams'!J85-'Final Update'!$G$1)/'Final Update'!$G$2,"")</f>
        <v/>
      </c>
      <c r="K86" s="234">
        <f t="array" ref="K86">SUMPRODUCT(IFERROR(VLOOKUP($D71:$D84,'Final Update'!$A$4:$L$403,8,False)*$B71:$B84/100,""))</f>
        <v>0</v>
      </c>
      <c r="L86" s="234">
        <f t="array" ref="L86">SUMPRODUCT(IFERROR(VLOOKUP($D71:$D84,'Final Update'!$A$4:$L$403,10,False)*$B71:$B84/100,""))</f>
        <v>0</v>
      </c>
      <c r="M86" s="234" t="str">
        <f>IFERROR(-(SUM(OFFSET('All Teams'!$B71,0,0,COUNT('All Teams'!M71:M84)))/100)*('All Teams'!M85-'Final Update'!$L$1)/'Final Update'!$L$2,"")</f>
        <v/>
      </c>
      <c r="N86" s="163"/>
      <c r="O86" s="163"/>
      <c r="P86" s="163"/>
      <c r="Q86" s="163"/>
      <c r="R86" s="163"/>
      <c r="S86" s="163"/>
      <c r="T86" s="163"/>
      <c r="U86" s="163"/>
      <c r="V86" s="163"/>
      <c r="W86" s="163"/>
      <c r="X86" s="163"/>
      <c r="Y86" s="163"/>
      <c r="Z86" s="163"/>
    </row>
    <row r="87">
      <c r="A87" s="217">
        <v>6.0</v>
      </c>
      <c r="B87" s="218" t="s">
        <v>220</v>
      </c>
      <c r="C87" s="219" t="s">
        <v>222</v>
      </c>
      <c r="D87" s="218" t="s">
        <v>1242</v>
      </c>
      <c r="E87" s="218" t="s">
        <v>10</v>
      </c>
      <c r="F87" s="218" t="s">
        <v>109</v>
      </c>
      <c r="G87" s="218" t="s">
        <v>110</v>
      </c>
      <c r="H87" s="218" t="s">
        <v>12</v>
      </c>
      <c r="I87" s="218" t="s">
        <v>13</v>
      </c>
      <c r="J87" s="218" t="s">
        <v>14</v>
      </c>
      <c r="K87" s="218" t="s">
        <v>8</v>
      </c>
      <c r="L87" s="218" t="s">
        <v>9</v>
      </c>
      <c r="M87" s="218" t="s">
        <v>15</v>
      </c>
      <c r="N87" s="218" t="s">
        <v>4</v>
      </c>
      <c r="O87" s="218" t="s">
        <v>227</v>
      </c>
      <c r="P87" s="218" t="s">
        <v>4</v>
      </c>
      <c r="Q87" s="163"/>
      <c r="R87" s="163"/>
      <c r="S87" s="163"/>
      <c r="T87" s="163"/>
      <c r="U87" s="163"/>
      <c r="V87" s="163"/>
      <c r="W87" s="163"/>
      <c r="X87" s="163"/>
      <c r="Y87" s="163"/>
      <c r="Z87" s="163"/>
    </row>
    <row r="88">
      <c r="A88" s="163"/>
      <c r="B88" s="220">
        <f>Projections!$AJ$16</f>
        <v>100</v>
      </c>
      <c r="C88" s="221">
        <v>1.0</v>
      </c>
      <c r="D88" s="222" t="str">
        <f t="array" ref="D88">INDIRECT("Draft!D"&amp;TEXT(A87+2,"0"))</f>
        <v/>
      </c>
      <c r="E88" s="223" t="str">
        <f>IF($D88="","", VLOOKUP($D88,'Final Update'!$Q$21:$AE1000,Column(G86),False))</f>
        <v/>
      </c>
      <c r="F88" s="223" t="str">
        <f>IF($D88="","", VLOOKUP($D88,'Final Update'!$Q$21:$AE1000,Column(H86),False))</f>
        <v/>
      </c>
      <c r="G88" s="223" t="str">
        <f>IF($D88="","", VLOOKUP($D88,'Final Update'!$Q$21:$AE1000,Column(I86),False))</f>
        <v/>
      </c>
      <c r="H88" s="223" t="str">
        <f>IF($D88="","", VLOOKUP($D88,'Final Update'!$Q$21:$AE1000,Column(J86),False))</f>
        <v/>
      </c>
      <c r="I88" s="223" t="str">
        <f>IF($D88="","", VLOOKUP($D88,'Final Update'!$Q$21:$AE1000,Column(K86),False))</f>
        <v/>
      </c>
      <c r="J88" s="223" t="str">
        <f>IF($D88="","", VLOOKUP($D88,'Final Update'!$Q$21:$AE1000,Column(L86),False))</f>
        <v/>
      </c>
      <c r="K88" s="224" t="str">
        <f>IF($D88="","", VLOOKUP($D88,'Final Update'!$Q$21:$AE1000,Column(M86),False))</f>
        <v/>
      </c>
      <c r="L88" s="224" t="str">
        <f>IF($D88="","", VLOOKUP($D88,'Final Update'!$Q$21:$AE1000,Column(N86),False))</f>
        <v/>
      </c>
      <c r="M88" s="223" t="str">
        <f>IF($D88="","", VLOOKUP($D88,'Final Update'!$Q$21:$AE1000,Column(O86),False))</f>
        <v/>
      </c>
      <c r="N88" s="223" t="str">
        <f>IF($D88="","", VLOOKUP($D88,'Final Update'!$Q$21:$AE1000,Column(C86),False))</f>
        <v/>
      </c>
      <c r="O88" s="221">
        <f t="array" ref="O88">COUNTIF(FIND(P88,$N88:$N101),"&gt;0")</f>
        <v>0</v>
      </c>
      <c r="P88" s="222" t="s">
        <v>46</v>
      </c>
      <c r="Q88" s="163"/>
      <c r="R88" s="163"/>
      <c r="S88" s="163"/>
      <c r="T88" s="163"/>
      <c r="U88" s="163"/>
      <c r="V88" s="163"/>
      <c r="W88" s="163"/>
      <c r="X88" s="163"/>
      <c r="Y88" s="163"/>
      <c r="Z88" s="163"/>
    </row>
    <row r="89">
      <c r="A89" s="163"/>
      <c r="B89" s="220">
        <f>Projections!$AJ$17</f>
        <v>100</v>
      </c>
      <c r="C89" s="221">
        <v>2.0</v>
      </c>
      <c r="D89" s="225" t="str">
        <f t="array" ref="D89">INDIRECT("Draft!E"&amp;TEXT(15-A87,"0"))</f>
        <v/>
      </c>
      <c r="E89" s="223" t="str">
        <f>IF($D89="","", VLOOKUP($D89,'Final Update'!$Q$21:$AE1000,Column(G87),False))</f>
        <v/>
      </c>
      <c r="F89" s="223" t="str">
        <f>IF($D89="","", VLOOKUP($D89,'Final Update'!$Q$21:$AE1000,Column(H87),False))</f>
        <v/>
      </c>
      <c r="G89" s="223" t="str">
        <f>IF($D89="","", VLOOKUP($D89,'Final Update'!$Q$21:$AE1000,Column(I87),False))</f>
        <v/>
      </c>
      <c r="H89" s="223" t="str">
        <f>IF($D89="","", VLOOKUP($D89,'Final Update'!$Q$21:$AE1000,Column(J87),False))</f>
        <v/>
      </c>
      <c r="I89" s="223" t="str">
        <f>IF($D89="","", VLOOKUP($D89,'Final Update'!$Q$21:$AE1000,Column(K87),False))</f>
        <v/>
      </c>
      <c r="J89" s="223" t="str">
        <f>IF($D89="","", VLOOKUP($D89,'Final Update'!$Q$21:$AE1000,Column(L87),False))</f>
        <v/>
      </c>
      <c r="K89" s="224" t="str">
        <f>IF($D89="","", VLOOKUP($D89,'Final Update'!$Q$21:$AE1000,Column(M87),False))</f>
        <v/>
      </c>
      <c r="L89" s="224" t="str">
        <f>IF($D89="","", VLOOKUP($D89,'Final Update'!$Q$21:$AE1000,Column(N87),False))</f>
        <v/>
      </c>
      <c r="M89" s="223" t="str">
        <f>IF($D89="","", VLOOKUP($D89,'Final Update'!$Q$21:$AE1000,Column(O87),False))</f>
        <v/>
      </c>
      <c r="N89" s="223" t="str">
        <f>IF($D89="","", VLOOKUP($D89,'Final Update'!$Q$21:$AE1000,Column(C87),False))</f>
        <v/>
      </c>
      <c r="O89" s="221">
        <f t="array" ref="O89">COUNTIF(FIND(P89,$N88:$N101),"&gt;0")</f>
        <v>0</v>
      </c>
      <c r="P89" s="222" t="s">
        <v>47</v>
      </c>
      <c r="Q89" s="163"/>
      <c r="R89" s="163"/>
      <c r="S89" s="163"/>
      <c r="T89" s="163"/>
      <c r="U89" s="163"/>
      <c r="V89" s="163"/>
      <c r="W89" s="163"/>
      <c r="X89" s="163"/>
      <c r="Y89" s="163"/>
      <c r="Z89" s="163"/>
    </row>
    <row r="90">
      <c r="A90" s="163"/>
      <c r="B90" s="220">
        <f>Projections!$AJ$18</f>
        <v>100</v>
      </c>
      <c r="C90" s="221">
        <v>3.0</v>
      </c>
      <c r="D90" s="226" t="str">
        <f t="array" ref="D90">INDIRECT("Draft!F"&amp;TEXT(A87+2,"0"))</f>
        <v/>
      </c>
      <c r="E90" s="227" t="str">
        <f>IF($D90="","", VLOOKUP($D90,'Final Update'!$Q$21:$AE1000,Column(G88),False))</f>
        <v/>
      </c>
      <c r="F90" s="227" t="str">
        <f>IF($D90="","", VLOOKUP($D90,'Final Update'!$Q$21:$AE1000,Column(H88),False))</f>
        <v/>
      </c>
      <c r="G90" s="227" t="str">
        <f>IF($D90="","", VLOOKUP($D90,'Final Update'!$Q$21:$AE1000,Column(I88),False))</f>
        <v/>
      </c>
      <c r="H90" s="227" t="str">
        <f>IF($D90="","", VLOOKUP($D90,'Final Update'!$Q$21:$AE1000,Column(J88),False))</f>
        <v/>
      </c>
      <c r="I90" s="227" t="str">
        <f>IF($D90="","", VLOOKUP($D90,'Final Update'!$Q$21:$AE1000,Column(K88),False))</f>
        <v/>
      </c>
      <c r="J90" s="227" t="str">
        <f>IF($D90="","", VLOOKUP($D90,'Final Update'!$Q$21:$AE1000,Column(L88),False))</f>
        <v/>
      </c>
      <c r="K90" s="228" t="str">
        <f>IF($D90="","", VLOOKUP($D90,'Final Update'!$Q$21:$AE1000,Column(M88),False))</f>
        <v/>
      </c>
      <c r="L90" s="228" t="str">
        <f>IF($D90="","", VLOOKUP($D90,'Final Update'!$Q$21:$AE1000,Column(N88),False))</f>
        <v/>
      </c>
      <c r="M90" s="227" t="str">
        <f>IF($D90="","", VLOOKUP($D90,'Final Update'!$Q$21:$AE1000,Column(O88),False))</f>
        <v/>
      </c>
      <c r="N90" s="227" t="str">
        <f>IF($D90="","", VLOOKUP($D90,'Final Update'!$Q$21:$AE1000,Column(C88),False))</f>
        <v/>
      </c>
      <c r="O90" s="221">
        <f t="array" ref="O90">COUNTIF(FIND(P90,$N88:$N101),"&gt;0")</f>
        <v>0</v>
      </c>
      <c r="P90" s="222" t="s">
        <v>48</v>
      </c>
      <c r="Q90" s="163"/>
      <c r="R90" s="163"/>
      <c r="S90" s="163"/>
      <c r="T90" s="163"/>
      <c r="U90" s="163"/>
      <c r="V90" s="163"/>
      <c r="W90" s="163"/>
      <c r="X90" s="163"/>
      <c r="Y90" s="163"/>
      <c r="Z90" s="163"/>
    </row>
    <row r="91">
      <c r="A91" s="163"/>
      <c r="B91" s="220">
        <f>Projections!$AJ$19</f>
        <v>100</v>
      </c>
      <c r="C91" s="221">
        <v>4.0</v>
      </c>
      <c r="D91" s="229" t="str">
        <f t="array" ref="D91">INDIRECT("Draft!G"&amp;TEXT(15-A87,"0"))</f>
        <v/>
      </c>
      <c r="E91" s="227" t="str">
        <f>IF($D91="","", VLOOKUP($D91,'Final Update'!$Q$21:$AE1000,Column(G89),False))</f>
        <v/>
      </c>
      <c r="F91" s="227" t="str">
        <f>IF($D91="","", VLOOKUP($D91,'Final Update'!$Q$21:$AE1000,Column(H89),False))</f>
        <v/>
      </c>
      <c r="G91" s="227" t="str">
        <f>IF($D91="","", VLOOKUP($D91,'Final Update'!$Q$21:$AE1000,Column(I89),False))</f>
        <v/>
      </c>
      <c r="H91" s="227" t="str">
        <f>IF($D91="","", VLOOKUP($D91,'Final Update'!$Q$21:$AE1000,Column(J89),False))</f>
        <v/>
      </c>
      <c r="I91" s="227" t="str">
        <f>IF($D91="","", VLOOKUP($D91,'Final Update'!$Q$21:$AE1000,Column(K89),False))</f>
        <v/>
      </c>
      <c r="J91" s="227" t="str">
        <f>IF($D91="","", VLOOKUP($D91,'Final Update'!$Q$21:$AE1000,Column(L89),False))</f>
        <v/>
      </c>
      <c r="K91" s="228" t="str">
        <f>IF($D91="","", VLOOKUP($D91,'Final Update'!$Q$21:$AE1000,Column(M89),False))</f>
        <v/>
      </c>
      <c r="L91" s="228" t="str">
        <f>IF($D91="","", VLOOKUP($D91,'Final Update'!$Q$21:$AE1000,Column(N89),False))</f>
        <v/>
      </c>
      <c r="M91" s="227" t="str">
        <f>IF($D91="","", VLOOKUP($D91,'Final Update'!$Q$21:$AE1000,Column(O89),False))</f>
        <v/>
      </c>
      <c r="N91" s="227" t="str">
        <f>IF($D91="","", VLOOKUP($D91,'Final Update'!$Q$21:$AE1000,Column(C89),False))</f>
        <v/>
      </c>
      <c r="O91" s="221">
        <f t="array" ref="O91">COUNTIF(FIND(P91,$N88:$N101),"&gt;0")</f>
        <v>0</v>
      </c>
      <c r="P91" s="222" t="s">
        <v>49</v>
      </c>
      <c r="Q91" s="163"/>
      <c r="R91" s="163"/>
      <c r="S91" s="163"/>
      <c r="T91" s="163"/>
      <c r="U91" s="163"/>
      <c r="V91" s="163"/>
      <c r="W91" s="163"/>
      <c r="X91" s="163"/>
      <c r="Y91" s="163"/>
      <c r="Z91" s="163"/>
    </row>
    <row r="92">
      <c r="A92" s="163"/>
      <c r="B92" s="220">
        <f>Projections!$AJ$20</f>
        <v>100</v>
      </c>
      <c r="C92" s="221">
        <v>5.0</v>
      </c>
      <c r="D92" s="230" t="str">
        <f t="array" ref="D92">INDIRECT("Draft!H"&amp;TEXT(A87+2,"0"))</f>
        <v/>
      </c>
      <c r="E92" s="227" t="str">
        <f>IF($D92="","", VLOOKUP($D92,'Final Update'!$Q$21:$AE1000,Column(G90),False))</f>
        <v/>
      </c>
      <c r="F92" s="227" t="str">
        <f>IF($D92="","", VLOOKUP($D92,'Final Update'!$Q$21:$AE1000,Column(H90),False))</f>
        <v/>
      </c>
      <c r="G92" s="227" t="str">
        <f>IF($D92="","", VLOOKUP($D92,'Final Update'!$Q$21:$AE1000,Column(I90),False))</f>
        <v/>
      </c>
      <c r="H92" s="227" t="str">
        <f>IF($D92="","", VLOOKUP($D92,'Final Update'!$Q$21:$AE1000,Column(J90),False))</f>
        <v/>
      </c>
      <c r="I92" s="227" t="str">
        <f>IF($D92="","", VLOOKUP($D92,'Final Update'!$Q$21:$AE1000,Column(K90),False))</f>
        <v/>
      </c>
      <c r="J92" s="227" t="str">
        <f>IF($D92="","", VLOOKUP($D92,'Final Update'!$Q$21:$AE1000,Column(L90),False))</f>
        <v/>
      </c>
      <c r="K92" s="228" t="str">
        <f>IF($D92="","", VLOOKUP($D92,'Final Update'!$Q$21:$AE1000,Column(M90),False))</f>
        <v/>
      </c>
      <c r="L92" s="228" t="str">
        <f>IF($D92="","", VLOOKUP($D92,'Final Update'!$Q$21:$AE1000,Column(N90),False))</f>
        <v/>
      </c>
      <c r="M92" s="227" t="str">
        <f>IF($D92="","", VLOOKUP($D92,'Final Update'!$Q$21:$AE1000,Column(O90),False))</f>
        <v/>
      </c>
      <c r="N92" s="227" t="str">
        <f>IF($D92="","", VLOOKUP($D92,'Final Update'!$Q$21:$AE1000,Column(C90),False))</f>
        <v/>
      </c>
      <c r="O92" s="221">
        <f t="array" ref="O92">COUNTIF(FIND(P92,$N88:$N101),"&gt;0")</f>
        <v>0</v>
      </c>
      <c r="P92" s="222" t="s">
        <v>34</v>
      </c>
      <c r="Q92" s="163"/>
      <c r="R92" s="163"/>
      <c r="S92" s="163"/>
      <c r="T92" s="163"/>
      <c r="U92" s="163"/>
      <c r="V92" s="163"/>
      <c r="W92" s="163"/>
      <c r="X92" s="163"/>
      <c r="Y92" s="163"/>
      <c r="Z92" s="163"/>
    </row>
    <row r="93">
      <c r="A93" s="163"/>
      <c r="B93" s="220">
        <f>Projections!$AJ$21</f>
        <v>100</v>
      </c>
      <c r="C93" s="221">
        <v>6.0</v>
      </c>
      <c r="D93" s="231" t="str">
        <f t="array" ref="D93">INDIRECT("Draft!I"&amp;TEXT(15-A87,"0"))</f>
        <v/>
      </c>
      <c r="E93" s="227" t="str">
        <f>IF($D93="","", VLOOKUP($D93,'Final Update'!$Q$21:$AE1000,Column(G91),False))</f>
        <v/>
      </c>
      <c r="F93" s="227" t="str">
        <f>IF($D93="","", VLOOKUP($D93,'Final Update'!$Q$21:$AE1000,Column(H91),False))</f>
        <v/>
      </c>
      <c r="G93" s="227" t="str">
        <f>IF($D93="","", VLOOKUP($D93,'Final Update'!$Q$21:$AE1000,Column(I91),False))</f>
        <v/>
      </c>
      <c r="H93" s="227" t="str">
        <f>IF($D93="","", VLOOKUP($D93,'Final Update'!$Q$21:$AE1000,Column(J91),False))</f>
        <v/>
      </c>
      <c r="I93" s="227" t="str">
        <f>IF($D93="","", VLOOKUP($D93,'Final Update'!$Q$21:$AE1000,Column(K91),False))</f>
        <v/>
      </c>
      <c r="J93" s="227" t="str">
        <f>IF($D93="","", VLOOKUP($D93,'Final Update'!$Q$21:$AE1000,Column(L91),False))</f>
        <v/>
      </c>
      <c r="K93" s="228" t="str">
        <f>IF($D93="","", VLOOKUP($D93,'Final Update'!$Q$21:$AE1000,Column(M91),False))</f>
        <v/>
      </c>
      <c r="L93" s="228" t="str">
        <f>IF($D93="","", VLOOKUP($D93,'Final Update'!$Q$21:$AE1000,Column(N91),False))</f>
        <v/>
      </c>
      <c r="M93" s="227" t="str">
        <f>IF($D93="","", VLOOKUP($D93,'Final Update'!$Q$21:$AE1000,Column(O91),False))</f>
        <v/>
      </c>
      <c r="N93" s="227" t="str">
        <f>IF($D93="","", VLOOKUP($D93,'Final Update'!$Q$21:$AE1000,Column(C91),False))</f>
        <v/>
      </c>
      <c r="O93" s="163"/>
      <c r="P93" s="163"/>
      <c r="Q93" s="163"/>
      <c r="R93" s="163"/>
      <c r="S93" s="163"/>
      <c r="T93" s="163"/>
      <c r="U93" s="163"/>
      <c r="V93" s="163"/>
      <c r="W93" s="163"/>
      <c r="X93" s="163"/>
      <c r="Y93" s="163"/>
      <c r="Z93" s="163"/>
    </row>
    <row r="94">
      <c r="A94" s="163"/>
      <c r="B94" s="220">
        <f>Projections!$AJ$22</f>
        <v>100</v>
      </c>
      <c r="C94" s="221">
        <v>7.0</v>
      </c>
      <c r="D94" s="230" t="str">
        <f t="array" ref="D94">INDIRECT("Draft!J"&amp;TEXT(A87+2,"0"))</f>
        <v/>
      </c>
      <c r="E94" s="227" t="str">
        <f>IF($D94="","", VLOOKUP($D94,'Final Update'!$Q$21:$AE1000,Column(G92),False))</f>
        <v/>
      </c>
      <c r="F94" s="227" t="str">
        <f>IF($D94="","", VLOOKUP($D94,'Final Update'!$Q$21:$AE1000,Column(H92),False))</f>
        <v/>
      </c>
      <c r="G94" s="227" t="str">
        <f>IF($D94="","", VLOOKUP($D94,'Final Update'!$Q$21:$AE1000,Column(I92),False))</f>
        <v/>
      </c>
      <c r="H94" s="227" t="str">
        <f>IF($D94="","", VLOOKUP($D94,'Final Update'!$Q$21:$AE1000,Column(J92),False))</f>
        <v/>
      </c>
      <c r="I94" s="227" t="str">
        <f>IF($D94="","", VLOOKUP($D94,'Final Update'!$Q$21:$AE1000,Column(K92),False))</f>
        <v/>
      </c>
      <c r="J94" s="227" t="str">
        <f>IF($D94="","", VLOOKUP($D94,'Final Update'!$Q$21:$AE1000,Column(L92),False))</f>
        <v/>
      </c>
      <c r="K94" s="228" t="str">
        <f>IF($D94="","", VLOOKUP($D94,'Final Update'!$Q$21:$AE1000,Column(M92),False))</f>
        <v/>
      </c>
      <c r="L94" s="228" t="str">
        <f>IF($D94="","", VLOOKUP($D94,'Final Update'!$Q$21:$AE1000,Column(N92),False))</f>
        <v/>
      </c>
      <c r="M94" s="227" t="str">
        <f>IF($D94="","", VLOOKUP($D94,'Final Update'!$Q$21:$AE1000,Column(O92),False))</f>
        <v/>
      </c>
      <c r="N94" s="227" t="str">
        <f>IF($D94="","", VLOOKUP($D94,'Final Update'!$Q$21:$AE1000,Column(C92),False))</f>
        <v/>
      </c>
      <c r="O94" s="163"/>
      <c r="P94" s="163"/>
      <c r="Q94" s="163"/>
      <c r="R94" s="163"/>
      <c r="S94" s="163"/>
      <c r="T94" s="163"/>
      <c r="U94" s="163"/>
      <c r="V94" s="163"/>
      <c r="W94" s="163"/>
      <c r="X94" s="163"/>
      <c r="Y94" s="163"/>
      <c r="Z94" s="163"/>
    </row>
    <row r="95">
      <c r="A95" s="163"/>
      <c r="B95" s="220">
        <f>Projections!$AJ$23</f>
        <v>100</v>
      </c>
      <c r="C95" s="221">
        <v>8.0</v>
      </c>
      <c r="D95" s="231" t="str">
        <f t="array" ref="D95">INDIRECT("Draft!K"&amp;TEXT(15-A87,"0"))</f>
        <v/>
      </c>
      <c r="E95" s="227" t="str">
        <f>IF($D95="","", VLOOKUP($D95,'Final Update'!$Q$21:$AE1000,Column(G93),False))</f>
        <v/>
      </c>
      <c r="F95" s="227" t="str">
        <f>IF($D95="","", VLOOKUP($D95,'Final Update'!$Q$21:$AE1000,Column(H93),False))</f>
        <v/>
      </c>
      <c r="G95" s="227" t="str">
        <f>IF($D95="","", VLOOKUP($D95,'Final Update'!$Q$21:$AE1000,Column(I93),False))</f>
        <v/>
      </c>
      <c r="H95" s="227" t="str">
        <f>IF($D95="","", VLOOKUP($D95,'Final Update'!$Q$21:$AE1000,Column(J93),False))</f>
        <v/>
      </c>
      <c r="I95" s="227" t="str">
        <f>IF($D95="","", VLOOKUP($D95,'Final Update'!$Q$21:$AE1000,Column(K93),False))</f>
        <v/>
      </c>
      <c r="J95" s="227" t="str">
        <f>IF($D95="","", VLOOKUP($D95,'Final Update'!$Q$21:$AE1000,Column(L93),False))</f>
        <v/>
      </c>
      <c r="K95" s="228" t="str">
        <f>IF($D95="","", VLOOKUP($D95,'Final Update'!$Q$21:$AE1000,Column(M93),False))</f>
        <v/>
      </c>
      <c r="L95" s="228" t="str">
        <f>IF($D95="","", VLOOKUP($D95,'Final Update'!$Q$21:$AE1000,Column(N93),False))</f>
        <v/>
      </c>
      <c r="M95" s="227" t="str">
        <f>IF($D95="","", VLOOKUP($D95,'Final Update'!$Q$21:$AE1000,Column(O93),False))</f>
        <v/>
      </c>
      <c r="N95" s="227" t="str">
        <f>IF($D95="","", VLOOKUP($D95,'Final Update'!$Q$21:$AE1000,Column(C93),False))</f>
        <v/>
      </c>
      <c r="O95" s="163"/>
      <c r="P95" s="163"/>
      <c r="Q95" s="163"/>
      <c r="R95" s="163"/>
      <c r="S95" s="163"/>
      <c r="T95" s="163"/>
      <c r="U95" s="163"/>
      <c r="V95" s="163"/>
      <c r="W95" s="163"/>
      <c r="X95" s="163"/>
      <c r="Y95" s="163"/>
      <c r="Z95" s="163"/>
    </row>
    <row r="96">
      <c r="A96" s="163"/>
      <c r="B96" s="220">
        <f>Projections!$AJ$24</f>
        <v>100</v>
      </c>
      <c r="C96" s="221">
        <v>9.0</v>
      </c>
      <c r="D96" s="230" t="str">
        <f t="array" ref="D96">INDIRECT("Draft!L"&amp;TEXT(A87+2,"0"))</f>
        <v/>
      </c>
      <c r="E96" s="227" t="str">
        <f>IF($D96="","", VLOOKUP($D96,'Final Update'!$Q$21:$AE1000,Column(G94),False))</f>
        <v/>
      </c>
      <c r="F96" s="227" t="str">
        <f>IF($D96="","", VLOOKUP($D96,'Final Update'!$Q$21:$AE1000,Column(H94),False))</f>
        <v/>
      </c>
      <c r="G96" s="227" t="str">
        <f>IF($D96="","", VLOOKUP($D96,'Final Update'!$Q$21:$AE1000,Column(I94),False))</f>
        <v/>
      </c>
      <c r="H96" s="227" t="str">
        <f>IF($D96="","", VLOOKUP($D96,'Final Update'!$Q$21:$AE1000,Column(J94),False))</f>
        <v/>
      </c>
      <c r="I96" s="227" t="str">
        <f>IF($D96="","", VLOOKUP($D96,'Final Update'!$Q$21:$AE1000,Column(K94),False))</f>
        <v/>
      </c>
      <c r="J96" s="227" t="str">
        <f>IF($D96="","", VLOOKUP($D96,'Final Update'!$Q$21:$AE1000,Column(L94),False))</f>
        <v/>
      </c>
      <c r="K96" s="228" t="str">
        <f>IF($D96="","", VLOOKUP($D96,'Final Update'!$Q$21:$AE1000,Column(M94),False))</f>
        <v/>
      </c>
      <c r="L96" s="228" t="str">
        <f>IF($D96="","", VLOOKUP($D96,'Final Update'!$Q$21:$AE1000,Column(N94),False))</f>
        <v/>
      </c>
      <c r="M96" s="227" t="str">
        <f>IF($D96="","", VLOOKUP($D96,'Final Update'!$Q$21:$AE1000,Column(O94),False))</f>
        <v/>
      </c>
      <c r="N96" s="227" t="str">
        <f>IF($D96="","", VLOOKUP($D96,'Final Update'!$Q$21:$AE1000,Column(C94),False))</f>
        <v/>
      </c>
      <c r="O96" s="163"/>
      <c r="P96" s="163"/>
      <c r="Q96" s="163"/>
      <c r="R96" s="163"/>
      <c r="S96" s="163"/>
      <c r="T96" s="163"/>
      <c r="U96" s="163"/>
      <c r="V96" s="163"/>
      <c r="W96" s="163"/>
      <c r="X96" s="163"/>
      <c r="Y96" s="163"/>
      <c r="Z96" s="163"/>
    </row>
    <row r="97">
      <c r="A97" s="163"/>
      <c r="B97" s="220">
        <f>Projections!$AJ$25</f>
        <v>100</v>
      </c>
      <c r="C97" s="221">
        <v>10.0</v>
      </c>
      <c r="D97" s="231" t="str">
        <f t="array" ref="D97">INDIRECT("Draft!M"&amp;TEXT(15-A87,"0"))</f>
        <v/>
      </c>
      <c r="E97" s="227" t="str">
        <f>IF($D97="","", VLOOKUP($D97,'Final Update'!$Q$21:$AE1000,Column(G95),False))</f>
        <v/>
      </c>
      <c r="F97" s="227" t="str">
        <f>IF($D97="","", VLOOKUP($D97,'Final Update'!$Q$21:$AE1000,Column(H95),False))</f>
        <v/>
      </c>
      <c r="G97" s="227" t="str">
        <f>IF($D97="","", VLOOKUP($D97,'Final Update'!$Q$21:$AE1000,Column(I95),False))</f>
        <v/>
      </c>
      <c r="H97" s="227" t="str">
        <f>IF($D97="","", VLOOKUP($D97,'Final Update'!$Q$21:$AE1000,Column(J95),False))</f>
        <v/>
      </c>
      <c r="I97" s="227" t="str">
        <f>IF($D97="","", VLOOKUP($D97,'Final Update'!$Q$21:$AE1000,Column(K95),False))</f>
        <v/>
      </c>
      <c r="J97" s="227" t="str">
        <f>IF($D97="","", VLOOKUP($D97,'Final Update'!$Q$21:$AE1000,Column(L95),False))</f>
        <v/>
      </c>
      <c r="K97" s="228" t="str">
        <f>IF($D97="","", VLOOKUP($D97,'Final Update'!$Q$21:$AE1000,Column(M95),False))</f>
        <v/>
      </c>
      <c r="L97" s="228" t="str">
        <f>IF($D97="","", VLOOKUP($D97,'Final Update'!$Q$21:$AE1000,Column(N95),False))</f>
        <v/>
      </c>
      <c r="M97" s="227" t="str">
        <f>IF($D97="","", VLOOKUP($D97,'Final Update'!$Q$21:$AE1000,Column(O95),False))</f>
        <v/>
      </c>
      <c r="N97" s="227" t="str">
        <f>IF($D97="","", VLOOKUP($D97,'Final Update'!$Q$21:$AE1000,Column(C95),False))</f>
        <v/>
      </c>
      <c r="O97" s="163"/>
      <c r="P97" s="163"/>
      <c r="Q97" s="163"/>
      <c r="R97" s="163"/>
      <c r="S97" s="163"/>
      <c r="T97" s="163"/>
      <c r="U97" s="163"/>
      <c r="V97" s="163"/>
      <c r="W97" s="163"/>
      <c r="X97" s="163"/>
      <c r="Y97" s="163"/>
      <c r="Z97" s="163"/>
    </row>
    <row r="98">
      <c r="A98" s="163"/>
      <c r="B98" s="220">
        <f>Projections!$AJ$26</f>
        <v>100</v>
      </c>
      <c r="C98" s="221">
        <v>11.0</v>
      </c>
      <c r="D98" s="230" t="str">
        <f t="array" ref="D98">INDIRECT("Draft!N"&amp;TEXT(A87+2,"0"))</f>
        <v/>
      </c>
      <c r="E98" s="227" t="str">
        <f>IF($D98="","", VLOOKUP($D98,'Final Update'!$Q$21:$AE1000,Column(G96),False))</f>
        <v/>
      </c>
      <c r="F98" s="227" t="str">
        <f>IF($D98="","", VLOOKUP($D98,'Final Update'!$Q$21:$AE1000,Column(H96),False))</f>
        <v/>
      </c>
      <c r="G98" s="227" t="str">
        <f>IF($D98="","", VLOOKUP($D98,'Final Update'!$Q$21:$AE1000,Column(I96),False))</f>
        <v/>
      </c>
      <c r="H98" s="227" t="str">
        <f>IF($D98="","", VLOOKUP($D98,'Final Update'!$Q$21:$AE1000,Column(J96),False))</f>
        <v/>
      </c>
      <c r="I98" s="227" t="str">
        <f>IF($D98="","", VLOOKUP($D98,'Final Update'!$Q$21:$AE1000,Column(K96),False))</f>
        <v/>
      </c>
      <c r="J98" s="227" t="str">
        <f>IF($D98="","", VLOOKUP($D98,'Final Update'!$Q$21:$AE1000,Column(L96),False))</f>
        <v/>
      </c>
      <c r="K98" s="228" t="str">
        <f>IF($D98="","", VLOOKUP($D98,'Final Update'!$Q$21:$AE1000,Column(M96),False))</f>
        <v/>
      </c>
      <c r="L98" s="228" t="str">
        <f>IF($D98="","", VLOOKUP($D98,'Final Update'!$Q$21:$AE1000,Column(N96),False))</f>
        <v/>
      </c>
      <c r="M98" s="227" t="str">
        <f>IF($D98="","", VLOOKUP($D98,'Final Update'!$Q$21:$AE1000,Column(O96),False))</f>
        <v/>
      </c>
      <c r="N98" s="227" t="str">
        <f>IF($D98="","", VLOOKUP($D98,'Final Update'!$Q$21:$AE1000,Column(C96),False))</f>
        <v/>
      </c>
      <c r="O98" s="163"/>
      <c r="P98" s="163"/>
      <c r="Q98" s="163"/>
      <c r="R98" s="163"/>
      <c r="S98" s="163"/>
      <c r="T98" s="163"/>
      <c r="U98" s="163"/>
      <c r="V98" s="163"/>
      <c r="W98" s="163"/>
      <c r="X98" s="163"/>
      <c r="Y98" s="163"/>
      <c r="Z98" s="163"/>
    </row>
    <row r="99">
      <c r="A99" s="163"/>
      <c r="B99" s="220">
        <f>Projections!$AJ$27</f>
        <v>100</v>
      </c>
      <c r="C99" s="221">
        <v>12.0</v>
      </c>
      <c r="D99" s="231" t="str">
        <f t="array" ref="D99">INDIRECT("Draft!O"&amp;TEXT(15-A87,"0"))</f>
        <v/>
      </c>
      <c r="E99" s="227" t="str">
        <f>IF($D99="","", VLOOKUP($D99,'Final Update'!$Q$21:$AE1000,Column(G97),False))</f>
        <v/>
      </c>
      <c r="F99" s="227" t="str">
        <f>IF($D99="","", VLOOKUP($D99,'Final Update'!$Q$21:$AE1000,Column(H97),False))</f>
        <v/>
      </c>
      <c r="G99" s="227" t="str">
        <f>IF($D99="","", VLOOKUP($D99,'Final Update'!$Q$21:$AE1000,Column(I97),False))</f>
        <v/>
      </c>
      <c r="H99" s="227" t="str">
        <f>IF($D99="","", VLOOKUP($D99,'Final Update'!$Q$21:$AE1000,Column(J97),False))</f>
        <v/>
      </c>
      <c r="I99" s="227" t="str">
        <f>IF($D99="","", VLOOKUP($D99,'Final Update'!$Q$21:$AE1000,Column(K97),False))</f>
        <v/>
      </c>
      <c r="J99" s="227" t="str">
        <f>IF($D99="","", VLOOKUP($D99,'Final Update'!$Q$21:$AE1000,Column(L97),False))</f>
        <v/>
      </c>
      <c r="K99" s="228" t="str">
        <f>IF($D99="","", VLOOKUP($D99,'Final Update'!$Q$21:$AE1000,Column(M97),False))</f>
        <v/>
      </c>
      <c r="L99" s="228" t="str">
        <f>IF($D99="","", VLOOKUP($D99,'Final Update'!$Q$21:$AE1000,Column(N97),False))</f>
        <v/>
      </c>
      <c r="M99" s="227" t="str">
        <f>IF($D99="","", VLOOKUP($D99,'Final Update'!$Q$21:$AE1000,Column(O97),False))</f>
        <v/>
      </c>
      <c r="N99" s="227" t="str">
        <f>IF($D99="","", VLOOKUP($D99,'Final Update'!$Q$21:$AE1000,Column(C97),False))</f>
        <v/>
      </c>
      <c r="O99" s="163"/>
      <c r="P99" s="163"/>
      <c r="Q99" s="163"/>
      <c r="R99" s="163"/>
      <c r="S99" s="163"/>
      <c r="T99" s="163"/>
      <c r="U99" s="163"/>
      <c r="V99" s="163"/>
      <c r="W99" s="163"/>
      <c r="X99" s="163"/>
      <c r="Y99" s="163"/>
      <c r="Z99" s="163"/>
    </row>
    <row r="100">
      <c r="A100" s="163"/>
      <c r="B100" s="273">
        <v>75.0</v>
      </c>
      <c r="C100" s="221">
        <v>13.0</v>
      </c>
      <c r="D100" s="230" t="str">
        <f t="array" ref="D100">INDIRECT("Draft!P"&amp;TEXT(A87+2,"0"))</f>
        <v/>
      </c>
      <c r="E100" s="227" t="str">
        <f>IF($D100="","", VLOOKUP($D100,'Final Update'!$Q$21:$AE1000,Column(G98),False))</f>
        <v/>
      </c>
      <c r="F100" s="227" t="str">
        <f>IF($D100="","", VLOOKUP($D100,'Final Update'!$Q$21:$AE1000,Column(H98),False))</f>
        <v/>
      </c>
      <c r="G100" s="227" t="str">
        <f>IF($D100="","", VLOOKUP($D100,'Final Update'!$Q$21:$AE1000,Column(I98),False))</f>
        <v/>
      </c>
      <c r="H100" s="227" t="str">
        <f>IF($D100="","", VLOOKUP($D100,'Final Update'!$Q$21:$AE1000,Column(J98),False))</f>
        <v/>
      </c>
      <c r="I100" s="227" t="str">
        <f>IF($D100="","", VLOOKUP($D100,'Final Update'!$Q$21:$AE1000,Column(K98),False))</f>
        <v/>
      </c>
      <c r="J100" s="227" t="str">
        <f>IF($D100="","", VLOOKUP($D100,'Final Update'!$Q$21:$AE1000,Column(L98),False))</f>
        <v/>
      </c>
      <c r="K100" s="228" t="str">
        <f>IF($D100="","", VLOOKUP($D100,'Final Update'!$Q$21:$AE1000,Column(M98),False))</f>
        <v/>
      </c>
      <c r="L100" s="228" t="str">
        <f>IF($D100="","", VLOOKUP($D100,'Final Update'!$Q$21:$AE1000,Column(N98),False))</f>
        <v/>
      </c>
      <c r="M100" s="227" t="str">
        <f>IF($D100="","", VLOOKUP($D100,'Final Update'!$Q$21:$AE1000,Column(O98),False))</f>
        <v/>
      </c>
      <c r="N100" s="227" t="str">
        <f>IF($D100="","", VLOOKUP($D100,'Final Update'!$Q$21:$AE1000,Column(C98),False))</f>
        <v/>
      </c>
      <c r="O100" s="163"/>
      <c r="P100" s="163"/>
      <c r="Q100" s="163"/>
      <c r="R100" s="163"/>
      <c r="S100" s="163"/>
      <c r="T100" s="163"/>
      <c r="U100" s="163"/>
      <c r="V100" s="163"/>
      <c r="W100" s="163"/>
      <c r="X100" s="163"/>
      <c r="Y100" s="163"/>
      <c r="Z100" s="163"/>
    </row>
    <row r="101">
      <c r="A101" s="163"/>
      <c r="B101" s="220">
        <f>Projections!$AJ$29</f>
        <v>50</v>
      </c>
      <c r="C101" s="221">
        <v>14.0</v>
      </c>
      <c r="D101" s="231" t="str">
        <f t="array" ref="D101">INDIRECT("Draft!Q"&amp;TEXT(15-A87,"0"))</f>
        <v/>
      </c>
      <c r="E101" s="227" t="str">
        <f>IF($D101="","", VLOOKUP($D101,'Final Update'!$Q$21:$AE1000,Column(G99),False))</f>
        <v/>
      </c>
      <c r="F101" s="227" t="str">
        <f>IF($D101="","", VLOOKUP($D101,'Final Update'!$Q$21:$AE1000,Column(H99),False))</f>
        <v/>
      </c>
      <c r="G101" s="227" t="str">
        <f>IF($D101="","", VLOOKUP($D101,'Final Update'!$Q$21:$AE1000,Column(I99),False))</f>
        <v/>
      </c>
      <c r="H101" s="227" t="str">
        <f>IF($D101="","", VLOOKUP($D101,'Final Update'!$Q$21:$AE1000,Column(J99),False))</f>
        <v/>
      </c>
      <c r="I101" s="227" t="str">
        <f>IF($D101="","", VLOOKUP($D101,'Final Update'!$Q$21:$AE1000,Column(K99),False))</f>
        <v/>
      </c>
      <c r="J101" s="227" t="str">
        <f>IF($D101="","", VLOOKUP($D101,'Final Update'!$Q$21:$AE1000,Column(L99),False))</f>
        <v/>
      </c>
      <c r="K101" s="228" t="str">
        <f>IF($D101="","", VLOOKUP($D101,'Final Update'!$Q$21:$AE1000,Column(M99),False))</f>
        <v/>
      </c>
      <c r="L101" s="228" t="str">
        <f>IF($D101="","", VLOOKUP($D101,'Final Update'!$Q$21:$AE1000,Column(N99),False))</f>
        <v/>
      </c>
      <c r="M101" s="227" t="str">
        <f>IF($D101="","", VLOOKUP($D101,'Final Update'!$Q$21:$AE1000,Column(O99),False))</f>
        <v/>
      </c>
      <c r="N101" s="227" t="str">
        <f>IF($D101="","", VLOOKUP($D101,'Final Update'!$Q$21:$AE1000,Column(C99),False))</f>
        <v/>
      </c>
      <c r="O101" s="163"/>
      <c r="P101" s="163"/>
      <c r="Q101" s="163"/>
      <c r="R101" s="163"/>
      <c r="S101" s="163"/>
      <c r="T101" s="163"/>
      <c r="U101" s="163"/>
      <c r="V101" s="163"/>
      <c r="W101" s="163"/>
      <c r="X101" s="163"/>
      <c r="Y101" s="163"/>
      <c r="Z101" s="163"/>
    </row>
    <row r="102">
      <c r="A102" s="216" t="s">
        <v>5</v>
      </c>
      <c r="B102" s="163"/>
      <c r="C102" s="163"/>
      <c r="D102" s="219" t="s">
        <v>1328</v>
      </c>
      <c r="E102" s="233" t="str">
        <f t="shared" ref="E102:J102" si="6">IFERROR(AVERAGE(SUMPRODUCT(E88:E101,$B88:$B101/100))/(SUM(OFFSET($B88,0,0,COUNT(E88:E101)))/100),"")</f>
        <v/>
      </c>
      <c r="F102" s="233" t="str">
        <f t="shared" si="6"/>
        <v/>
      </c>
      <c r="G102" s="233" t="str">
        <f t="shared" si="6"/>
        <v/>
      </c>
      <c r="H102" s="233" t="str">
        <f t="shared" si="6"/>
        <v/>
      </c>
      <c r="I102" s="234" t="str">
        <f t="shared" si="6"/>
        <v/>
      </c>
      <c r="J102" s="233" t="str">
        <f t="shared" si="6"/>
        <v/>
      </c>
      <c r="K102" s="233" t="str">
        <f t="array" ref="K102">IFERROR(100*SUMPRODUCT(IFERROR(VLOOKUP($D88:$D101,UpdateHashtag!$C:$S,6,False),"")*$B88:$B101/100)/SUMPRODUCT(IFERROR(VLOOKUP($D88:$D101,UpdateHashtag!$C:$S,17,False),"")*$B88:$B101/100),"")</f>
        <v/>
      </c>
      <c r="L102" s="233" t="str">
        <f t="array" ref="L102">IFERROR(100*SUMPRODUCT(IFERROR(VLOOKUP($D88:$D101,UpdateHashtag!$C:$T,8,False),"")*$B88:$B101/100)/SUMPRODUCT(IFERROR(VLOOKUP($D88:$D101,UpdateHashtag!$C:$T,18,False),"")*$B88:$B101/100),"")</f>
        <v/>
      </c>
      <c r="M102" s="233" t="str">
        <f>IFERROR(AVERAGE(SUMPRODUCT(M88:M101,$B88:$B101/100))/(SUM(OFFSET($B88,0,0,COUNT(M88:M101)))/100),"")</f>
        <v/>
      </c>
      <c r="N102" s="163"/>
      <c r="O102" s="163"/>
      <c r="P102" s="163"/>
      <c r="Q102" s="163"/>
      <c r="R102" s="163"/>
      <c r="S102" s="163"/>
      <c r="T102" s="163"/>
      <c r="U102" s="163"/>
      <c r="V102" s="163"/>
      <c r="W102" s="163"/>
      <c r="X102" s="163"/>
      <c r="Y102" s="163"/>
      <c r="Z102" s="163"/>
    </row>
    <row r="103">
      <c r="A103" s="163"/>
      <c r="B103" s="163"/>
      <c r="C103" s="163"/>
      <c r="D103" s="219" t="s">
        <v>1329</v>
      </c>
      <c r="E103" s="234" t="str">
        <f>IFERROR((SUM(OFFSET('All Teams'!$B88,0,0,COUNT('All Teams'!E88:E101)))/100)*('All Teams'!E102-'Final Update'!$B$1)/'Final Update'!$B$2,"")</f>
        <v/>
      </c>
      <c r="F103" s="234" t="str">
        <f>IFERROR((SUM(OFFSET('All Teams'!$B88,0,0,COUNT('All Teams'!F88:F101)))/100)*('All Teams'!F102-'Final Update'!$C$1)/'Final Update'!$C$2,"")</f>
        <v/>
      </c>
      <c r="G103" s="234" t="str">
        <f>IFERROR((SUM(OFFSET('All Teams'!$B88,0,0,COUNT('All Teams'!G88:G101)))/100)*('All Teams'!G102-'Final Update'!$D$1)/'Final Update'!$D$2,"")</f>
        <v/>
      </c>
      <c r="H103" s="234" t="str">
        <f>IFERROR((SUM(OFFSET('All Teams'!$B88,0,0,COUNT('All Teams'!H88:H101)))/100)*('All Teams'!H102-'Final Update'!$E$1)/'Final Update'!$E$2,"")</f>
        <v/>
      </c>
      <c r="I103" s="234" t="str">
        <f>IFERROR((SUM(OFFSET('All Teams'!$B88,0,0,COUNT('All Teams'!I88:I101)))/100)*('All Teams'!I102-'Final Update'!$F$1)/'Final Update'!$F$2,"")</f>
        <v/>
      </c>
      <c r="J103" s="234" t="str">
        <f>IFERROR((SUM(OFFSET('All Teams'!$B88,0,0,COUNT('All Teams'!J88:J101)))/100)*('All Teams'!J102-'Final Update'!$G$1)/'Final Update'!$G$2,"")</f>
        <v/>
      </c>
      <c r="K103" s="234">
        <f t="array" ref="K103">SUMPRODUCT(IFERROR(VLOOKUP($D88:$D101,'Final Update'!$A$4:$L$403,8,False)*$B88:$B101/100,""))</f>
        <v>0</v>
      </c>
      <c r="L103" s="234">
        <f t="array" ref="L103">SUMPRODUCT(IFERROR(VLOOKUP($D88:$D101,'Final Update'!$A$4:$L$403,10,False)*$B88:$B101/100,""))</f>
        <v>0</v>
      </c>
      <c r="M103" s="234" t="str">
        <f>IFERROR(-(SUM(OFFSET('All Teams'!$B88,0,0,COUNT('All Teams'!M88:M101)))/100)*('All Teams'!M102-'Final Update'!$L$1)/'Final Update'!$L$2,"")</f>
        <v/>
      </c>
      <c r="N103" s="163"/>
      <c r="O103" s="163"/>
      <c r="P103" s="163"/>
      <c r="Q103" s="163"/>
      <c r="R103" s="163"/>
      <c r="S103" s="163"/>
      <c r="T103" s="163"/>
      <c r="U103" s="163"/>
      <c r="V103" s="163"/>
      <c r="W103" s="163"/>
      <c r="X103" s="163"/>
      <c r="Y103" s="163"/>
      <c r="Z103" s="163"/>
    </row>
    <row r="104">
      <c r="A104" s="217">
        <v>7.0</v>
      </c>
      <c r="B104" s="218" t="s">
        <v>220</v>
      </c>
      <c r="C104" s="219" t="s">
        <v>222</v>
      </c>
      <c r="D104" s="218" t="s">
        <v>1242</v>
      </c>
      <c r="E104" s="218" t="s">
        <v>10</v>
      </c>
      <c r="F104" s="218" t="s">
        <v>109</v>
      </c>
      <c r="G104" s="218" t="s">
        <v>110</v>
      </c>
      <c r="H104" s="218" t="s">
        <v>12</v>
      </c>
      <c r="I104" s="218" t="s">
        <v>13</v>
      </c>
      <c r="J104" s="218" t="s">
        <v>14</v>
      </c>
      <c r="K104" s="218" t="s">
        <v>8</v>
      </c>
      <c r="L104" s="218" t="s">
        <v>9</v>
      </c>
      <c r="M104" s="218" t="s">
        <v>15</v>
      </c>
      <c r="N104" s="218" t="s">
        <v>4</v>
      </c>
      <c r="O104" s="218" t="s">
        <v>227</v>
      </c>
      <c r="P104" s="218" t="s">
        <v>4</v>
      </c>
      <c r="Q104" s="163"/>
      <c r="R104" s="163"/>
      <c r="S104" s="163"/>
      <c r="T104" s="163"/>
      <c r="U104" s="163"/>
      <c r="V104" s="163"/>
      <c r="W104" s="163"/>
      <c r="X104" s="163"/>
      <c r="Y104" s="163"/>
      <c r="Z104" s="163"/>
    </row>
    <row r="105">
      <c r="A105" s="163"/>
      <c r="B105" s="220">
        <f>Projections!$AJ$16</f>
        <v>100</v>
      </c>
      <c r="C105" s="221">
        <v>1.0</v>
      </c>
      <c r="D105" s="222" t="str">
        <f t="array" ref="D105">INDIRECT("Draft!D"&amp;TEXT(A104+2,"0"))</f>
        <v/>
      </c>
      <c r="E105" s="223" t="str">
        <f>IF($D105="","", VLOOKUP($D105,'Final Update'!$Q$21:$AE1000,Column(G103),False))</f>
        <v/>
      </c>
      <c r="F105" s="223" t="str">
        <f>IF($D105="","", VLOOKUP($D105,'Final Update'!$Q$21:$AE1000,Column(H103),False))</f>
        <v/>
      </c>
      <c r="G105" s="223" t="str">
        <f>IF($D105="","", VLOOKUP($D105,'Final Update'!$Q$21:$AE1000,Column(I103),False))</f>
        <v/>
      </c>
      <c r="H105" s="223" t="str">
        <f>IF($D105="","", VLOOKUP($D105,'Final Update'!$Q$21:$AE1000,Column(J103),False))</f>
        <v/>
      </c>
      <c r="I105" s="223" t="str">
        <f>IF($D105="","", VLOOKUP($D105,'Final Update'!$Q$21:$AE1000,Column(K103),False))</f>
        <v/>
      </c>
      <c r="J105" s="223" t="str">
        <f>IF($D105="","", VLOOKUP($D105,'Final Update'!$Q$21:$AE1000,Column(L103),False))</f>
        <v/>
      </c>
      <c r="K105" s="224" t="str">
        <f>IF($D105="","", VLOOKUP($D105,'Final Update'!$Q$21:$AE1000,Column(M103),False))</f>
        <v/>
      </c>
      <c r="L105" s="224" t="str">
        <f>IF($D105="","", VLOOKUP($D105,'Final Update'!$Q$21:$AE1000,Column(N103),False))</f>
        <v/>
      </c>
      <c r="M105" s="223" t="str">
        <f>IF($D105="","", VLOOKUP($D105,'Final Update'!$Q$21:$AE1000,Column(O103),False))</f>
        <v/>
      </c>
      <c r="N105" s="223" t="str">
        <f>IF($D105="","", VLOOKUP($D105,'Final Update'!$Q$21:$AE1000,Column(C103),False))</f>
        <v/>
      </c>
      <c r="O105" s="221">
        <f t="array" ref="O105">COUNTIF(FIND(P105,$N105:$N118),"&gt;0")</f>
        <v>0</v>
      </c>
      <c r="P105" s="222" t="s">
        <v>46</v>
      </c>
      <c r="Q105" s="163"/>
      <c r="R105" s="163"/>
      <c r="S105" s="163"/>
      <c r="T105" s="163"/>
      <c r="U105" s="163"/>
      <c r="V105" s="163"/>
      <c r="W105" s="163"/>
      <c r="X105" s="163"/>
      <c r="Y105" s="163"/>
      <c r="Z105" s="163"/>
    </row>
    <row r="106">
      <c r="A106" s="163"/>
      <c r="B106" s="220">
        <f>Projections!$AJ$17</f>
        <v>100</v>
      </c>
      <c r="C106" s="221">
        <v>2.0</v>
      </c>
      <c r="D106" s="225" t="str">
        <f t="array" ref="D106">INDIRECT("Draft!E"&amp;TEXT(15-A104,"0"))</f>
        <v/>
      </c>
      <c r="E106" s="223" t="str">
        <f>IF($D106="","", VLOOKUP($D106,'Final Update'!$Q$21:$AE1000,Column(G104),False))</f>
        <v/>
      </c>
      <c r="F106" s="223" t="str">
        <f>IF($D106="","", VLOOKUP($D106,'Final Update'!$Q$21:$AE1000,Column(H104),False))</f>
        <v/>
      </c>
      <c r="G106" s="223" t="str">
        <f>IF($D106="","", VLOOKUP($D106,'Final Update'!$Q$21:$AE1000,Column(I104),False))</f>
        <v/>
      </c>
      <c r="H106" s="223" t="str">
        <f>IF($D106="","", VLOOKUP($D106,'Final Update'!$Q$21:$AE1000,Column(J104),False))</f>
        <v/>
      </c>
      <c r="I106" s="223" t="str">
        <f>IF($D106="","", VLOOKUP($D106,'Final Update'!$Q$21:$AE1000,Column(K104),False))</f>
        <v/>
      </c>
      <c r="J106" s="223" t="str">
        <f>IF($D106="","", VLOOKUP($D106,'Final Update'!$Q$21:$AE1000,Column(L104),False))</f>
        <v/>
      </c>
      <c r="K106" s="224" t="str">
        <f>IF($D106="","", VLOOKUP($D106,'Final Update'!$Q$21:$AE1000,Column(M104),False))</f>
        <v/>
      </c>
      <c r="L106" s="224" t="str">
        <f>IF($D106="","", VLOOKUP($D106,'Final Update'!$Q$21:$AE1000,Column(N104),False))</f>
        <v/>
      </c>
      <c r="M106" s="223" t="str">
        <f>IF($D106="","", VLOOKUP($D106,'Final Update'!$Q$21:$AE1000,Column(O104),False))</f>
        <v/>
      </c>
      <c r="N106" s="223" t="str">
        <f>IF($D106="","", VLOOKUP($D106,'Final Update'!$Q$21:$AE1000,Column(C104),False))</f>
        <v/>
      </c>
      <c r="O106" s="221">
        <f t="array" ref="O106">COUNTIF(FIND(P106,$N105:$N118),"&gt;0")</f>
        <v>0</v>
      </c>
      <c r="P106" s="222" t="s">
        <v>47</v>
      </c>
      <c r="Q106" s="163"/>
      <c r="R106" s="163"/>
      <c r="S106" s="163"/>
      <c r="T106" s="163"/>
      <c r="U106" s="163"/>
      <c r="V106" s="163"/>
      <c r="W106" s="163"/>
      <c r="X106" s="163"/>
      <c r="Y106" s="163"/>
      <c r="Z106" s="163"/>
    </row>
    <row r="107">
      <c r="A107" s="163"/>
      <c r="B107" s="220">
        <f>Projections!$AJ$18</f>
        <v>100</v>
      </c>
      <c r="C107" s="221">
        <v>3.0</v>
      </c>
      <c r="D107" s="226" t="str">
        <f t="array" ref="D107">INDIRECT("Draft!F"&amp;TEXT(A104+2,"0"))</f>
        <v/>
      </c>
      <c r="E107" s="227" t="str">
        <f>IF($D107="","", VLOOKUP($D107,'Final Update'!$Q$21:$AE1000,Column(G105),False))</f>
        <v/>
      </c>
      <c r="F107" s="227" t="str">
        <f>IF($D107="","", VLOOKUP($D107,'Final Update'!$Q$21:$AE1000,Column(H105),False))</f>
        <v/>
      </c>
      <c r="G107" s="227" t="str">
        <f>IF($D107="","", VLOOKUP($D107,'Final Update'!$Q$21:$AE1000,Column(I105),False))</f>
        <v/>
      </c>
      <c r="H107" s="227" t="str">
        <f>IF($D107="","", VLOOKUP($D107,'Final Update'!$Q$21:$AE1000,Column(J105),False))</f>
        <v/>
      </c>
      <c r="I107" s="227" t="str">
        <f>IF($D107="","", VLOOKUP($D107,'Final Update'!$Q$21:$AE1000,Column(K105),False))</f>
        <v/>
      </c>
      <c r="J107" s="227" t="str">
        <f>IF($D107="","", VLOOKUP($D107,'Final Update'!$Q$21:$AE1000,Column(L105),False))</f>
        <v/>
      </c>
      <c r="K107" s="228" t="str">
        <f>IF($D107="","", VLOOKUP($D107,'Final Update'!$Q$21:$AE1000,Column(M105),False))</f>
        <v/>
      </c>
      <c r="L107" s="228" t="str">
        <f>IF($D107="","", VLOOKUP($D107,'Final Update'!$Q$21:$AE1000,Column(N105),False))</f>
        <v/>
      </c>
      <c r="M107" s="227" t="str">
        <f>IF($D107="","", VLOOKUP($D107,'Final Update'!$Q$21:$AE1000,Column(O105),False))</f>
        <v/>
      </c>
      <c r="N107" s="227" t="str">
        <f>IF($D107="","", VLOOKUP($D107,'Final Update'!$Q$21:$AE1000,Column(C105),False))</f>
        <v/>
      </c>
      <c r="O107" s="221">
        <f t="array" ref="O107">COUNTIF(FIND(P107,$N105:$N118),"&gt;0")</f>
        <v>0</v>
      </c>
      <c r="P107" s="222" t="s">
        <v>48</v>
      </c>
      <c r="Q107" s="163"/>
      <c r="R107" s="163"/>
      <c r="S107" s="163"/>
      <c r="T107" s="163"/>
      <c r="U107" s="163"/>
      <c r="V107" s="163"/>
      <c r="W107" s="163"/>
      <c r="X107" s="163"/>
      <c r="Y107" s="163"/>
      <c r="Z107" s="163"/>
    </row>
    <row r="108">
      <c r="A108" s="163"/>
      <c r="B108" s="220">
        <f>Projections!$AJ$19</f>
        <v>100</v>
      </c>
      <c r="C108" s="221">
        <v>4.0</v>
      </c>
      <c r="D108" s="229" t="str">
        <f t="array" ref="D108">INDIRECT("Draft!G"&amp;TEXT(15-A104,"0"))</f>
        <v/>
      </c>
      <c r="E108" s="227" t="str">
        <f>IF($D108="","", VLOOKUP($D108,'Final Update'!$Q$21:$AE1000,Column(G106),False))</f>
        <v/>
      </c>
      <c r="F108" s="227" t="str">
        <f>IF($D108="","", VLOOKUP($D108,'Final Update'!$Q$21:$AE1000,Column(H106),False))</f>
        <v/>
      </c>
      <c r="G108" s="227" t="str">
        <f>IF($D108="","", VLOOKUP($D108,'Final Update'!$Q$21:$AE1000,Column(I106),False))</f>
        <v/>
      </c>
      <c r="H108" s="227" t="str">
        <f>IF($D108="","", VLOOKUP($D108,'Final Update'!$Q$21:$AE1000,Column(J106),False))</f>
        <v/>
      </c>
      <c r="I108" s="227" t="str">
        <f>IF($D108="","", VLOOKUP($D108,'Final Update'!$Q$21:$AE1000,Column(K106),False))</f>
        <v/>
      </c>
      <c r="J108" s="227" t="str">
        <f>IF($D108="","", VLOOKUP($D108,'Final Update'!$Q$21:$AE1000,Column(L106),False))</f>
        <v/>
      </c>
      <c r="K108" s="228" t="str">
        <f>IF($D108="","", VLOOKUP($D108,'Final Update'!$Q$21:$AE1000,Column(M106),False))</f>
        <v/>
      </c>
      <c r="L108" s="228" t="str">
        <f>IF($D108="","", VLOOKUP($D108,'Final Update'!$Q$21:$AE1000,Column(N106),False))</f>
        <v/>
      </c>
      <c r="M108" s="227" t="str">
        <f>IF($D108="","", VLOOKUP($D108,'Final Update'!$Q$21:$AE1000,Column(O106),False))</f>
        <v/>
      </c>
      <c r="N108" s="227" t="str">
        <f>IF($D108="","", VLOOKUP($D108,'Final Update'!$Q$21:$AE1000,Column(C106),False))</f>
        <v/>
      </c>
      <c r="O108" s="221">
        <f t="array" ref="O108">COUNTIF(FIND(P108,$N105:$N118),"&gt;0")</f>
        <v>0</v>
      </c>
      <c r="P108" s="222" t="s">
        <v>49</v>
      </c>
      <c r="Q108" s="163"/>
      <c r="R108" s="163"/>
      <c r="S108" s="163"/>
      <c r="T108" s="163"/>
      <c r="U108" s="163"/>
      <c r="V108" s="163"/>
      <c r="W108" s="163"/>
      <c r="X108" s="163"/>
      <c r="Y108" s="163"/>
      <c r="Z108" s="163"/>
    </row>
    <row r="109">
      <c r="A109" s="163"/>
      <c r="B109" s="220">
        <f>Projections!$AJ$20</f>
        <v>100</v>
      </c>
      <c r="C109" s="221">
        <v>5.0</v>
      </c>
      <c r="D109" s="230" t="str">
        <f t="array" ref="D109">INDIRECT("Draft!H"&amp;TEXT(A104+2,"0"))</f>
        <v/>
      </c>
      <c r="E109" s="227" t="str">
        <f>IF($D109="","", VLOOKUP($D109,'Final Update'!$Q$21:$AE1000,Column(G107),False))</f>
        <v/>
      </c>
      <c r="F109" s="227" t="str">
        <f>IF($D109="","", VLOOKUP($D109,'Final Update'!$Q$21:$AE1000,Column(H107),False))</f>
        <v/>
      </c>
      <c r="G109" s="227" t="str">
        <f>IF($D109="","", VLOOKUP($D109,'Final Update'!$Q$21:$AE1000,Column(I107),False))</f>
        <v/>
      </c>
      <c r="H109" s="227" t="str">
        <f>IF($D109="","", VLOOKUP($D109,'Final Update'!$Q$21:$AE1000,Column(J107),False))</f>
        <v/>
      </c>
      <c r="I109" s="227" t="str">
        <f>IF($D109="","", VLOOKUP($D109,'Final Update'!$Q$21:$AE1000,Column(K107),False))</f>
        <v/>
      </c>
      <c r="J109" s="227" t="str">
        <f>IF($D109="","", VLOOKUP($D109,'Final Update'!$Q$21:$AE1000,Column(L107),False))</f>
        <v/>
      </c>
      <c r="K109" s="228" t="str">
        <f>IF($D109="","", VLOOKUP($D109,'Final Update'!$Q$21:$AE1000,Column(M107),False))</f>
        <v/>
      </c>
      <c r="L109" s="228" t="str">
        <f>IF($D109="","", VLOOKUP($D109,'Final Update'!$Q$21:$AE1000,Column(N107),False))</f>
        <v/>
      </c>
      <c r="M109" s="227" t="str">
        <f>IF($D109="","", VLOOKUP($D109,'Final Update'!$Q$21:$AE1000,Column(O107),False))</f>
        <v/>
      </c>
      <c r="N109" s="227" t="str">
        <f>IF($D109="","", VLOOKUP($D109,'Final Update'!$Q$21:$AE1000,Column(C107),False))</f>
        <v/>
      </c>
      <c r="O109" s="221">
        <f t="array" ref="O109">COUNTIF(FIND(P109,$N105:$N118),"&gt;0")</f>
        <v>0</v>
      </c>
      <c r="P109" s="222" t="s">
        <v>34</v>
      </c>
      <c r="Q109" s="163"/>
      <c r="R109" s="163"/>
      <c r="S109" s="163"/>
      <c r="T109" s="163"/>
      <c r="U109" s="163"/>
      <c r="V109" s="163"/>
      <c r="W109" s="163"/>
      <c r="X109" s="163"/>
      <c r="Y109" s="163"/>
      <c r="Z109" s="163"/>
    </row>
    <row r="110">
      <c r="A110" s="163"/>
      <c r="B110" s="220">
        <f>Projections!$AJ$21</f>
        <v>100</v>
      </c>
      <c r="C110" s="221">
        <v>6.0</v>
      </c>
      <c r="D110" s="231" t="str">
        <f t="array" ref="D110">INDIRECT("Draft!I"&amp;TEXT(15-A104,"0"))</f>
        <v/>
      </c>
      <c r="E110" s="227" t="str">
        <f>IF($D110="","", VLOOKUP($D110,'Final Update'!$Q$21:$AE1000,Column(G108),False))</f>
        <v/>
      </c>
      <c r="F110" s="227" t="str">
        <f>IF($D110="","", VLOOKUP($D110,'Final Update'!$Q$21:$AE1000,Column(H108),False))</f>
        <v/>
      </c>
      <c r="G110" s="227" t="str">
        <f>IF($D110="","", VLOOKUP($D110,'Final Update'!$Q$21:$AE1000,Column(I108),False))</f>
        <v/>
      </c>
      <c r="H110" s="227" t="str">
        <f>IF($D110="","", VLOOKUP($D110,'Final Update'!$Q$21:$AE1000,Column(J108),False))</f>
        <v/>
      </c>
      <c r="I110" s="227" t="str">
        <f>IF($D110="","", VLOOKUP($D110,'Final Update'!$Q$21:$AE1000,Column(K108),False))</f>
        <v/>
      </c>
      <c r="J110" s="227" t="str">
        <f>IF($D110="","", VLOOKUP($D110,'Final Update'!$Q$21:$AE1000,Column(L108),False))</f>
        <v/>
      </c>
      <c r="K110" s="228" t="str">
        <f>IF($D110="","", VLOOKUP($D110,'Final Update'!$Q$21:$AE1000,Column(M108),False))</f>
        <v/>
      </c>
      <c r="L110" s="228" t="str">
        <f>IF($D110="","", VLOOKUP($D110,'Final Update'!$Q$21:$AE1000,Column(N108),False))</f>
        <v/>
      </c>
      <c r="M110" s="227" t="str">
        <f>IF($D110="","", VLOOKUP($D110,'Final Update'!$Q$21:$AE1000,Column(O108),False))</f>
        <v/>
      </c>
      <c r="N110" s="227" t="str">
        <f>IF($D110="","", VLOOKUP($D110,'Final Update'!$Q$21:$AE1000,Column(C108),False))</f>
        <v/>
      </c>
      <c r="O110" s="163"/>
      <c r="P110" s="163"/>
      <c r="Q110" s="163"/>
      <c r="R110" s="163"/>
      <c r="S110" s="163"/>
      <c r="T110" s="163"/>
      <c r="U110" s="163"/>
      <c r="V110" s="163"/>
      <c r="W110" s="163"/>
      <c r="X110" s="163"/>
      <c r="Y110" s="163"/>
      <c r="Z110" s="163"/>
    </row>
    <row r="111">
      <c r="A111" s="163"/>
      <c r="B111" s="220">
        <f>Projections!$AJ$22</f>
        <v>100</v>
      </c>
      <c r="C111" s="221">
        <v>7.0</v>
      </c>
      <c r="D111" s="230" t="str">
        <f t="array" ref="D111">INDIRECT("Draft!J"&amp;TEXT(A104+2,"0"))</f>
        <v/>
      </c>
      <c r="E111" s="227" t="str">
        <f>IF($D111="","", VLOOKUP($D111,'Final Update'!$Q$21:$AE1000,Column(G109),False))</f>
        <v/>
      </c>
      <c r="F111" s="227" t="str">
        <f>IF($D111="","", VLOOKUP($D111,'Final Update'!$Q$21:$AE1000,Column(H109),False))</f>
        <v/>
      </c>
      <c r="G111" s="227" t="str">
        <f>IF($D111="","", VLOOKUP($D111,'Final Update'!$Q$21:$AE1000,Column(I109),False))</f>
        <v/>
      </c>
      <c r="H111" s="227" t="str">
        <f>IF($D111="","", VLOOKUP($D111,'Final Update'!$Q$21:$AE1000,Column(J109),False))</f>
        <v/>
      </c>
      <c r="I111" s="227" t="str">
        <f>IF($D111="","", VLOOKUP($D111,'Final Update'!$Q$21:$AE1000,Column(K109),False))</f>
        <v/>
      </c>
      <c r="J111" s="227" t="str">
        <f>IF($D111="","", VLOOKUP($D111,'Final Update'!$Q$21:$AE1000,Column(L109),False))</f>
        <v/>
      </c>
      <c r="K111" s="228" t="str">
        <f>IF($D111="","", VLOOKUP($D111,'Final Update'!$Q$21:$AE1000,Column(M109),False))</f>
        <v/>
      </c>
      <c r="L111" s="228" t="str">
        <f>IF($D111="","", VLOOKUP($D111,'Final Update'!$Q$21:$AE1000,Column(N109),False))</f>
        <v/>
      </c>
      <c r="M111" s="227" t="str">
        <f>IF($D111="","", VLOOKUP($D111,'Final Update'!$Q$21:$AE1000,Column(O109),False))</f>
        <v/>
      </c>
      <c r="N111" s="227" t="str">
        <f>IF($D111="","", VLOOKUP($D111,'Final Update'!$Q$21:$AE1000,Column(C109),False))</f>
        <v/>
      </c>
      <c r="O111" s="163"/>
      <c r="P111" s="163"/>
      <c r="Q111" s="163"/>
      <c r="R111" s="163"/>
      <c r="S111" s="163"/>
      <c r="T111" s="163"/>
      <c r="U111" s="163"/>
      <c r="V111" s="163"/>
      <c r="W111" s="163"/>
      <c r="X111" s="163"/>
      <c r="Y111" s="163"/>
      <c r="Z111" s="163"/>
    </row>
    <row r="112">
      <c r="A112" s="163"/>
      <c r="B112" s="220">
        <f>Projections!$AJ$23</f>
        <v>100</v>
      </c>
      <c r="C112" s="221">
        <v>8.0</v>
      </c>
      <c r="D112" s="231" t="str">
        <f t="array" ref="D112">INDIRECT("Draft!K"&amp;TEXT(15-A104,"0"))</f>
        <v/>
      </c>
      <c r="E112" s="227" t="str">
        <f>IF($D112="","", VLOOKUP($D112,'Final Update'!$Q$21:$AE1000,Column(G110),False))</f>
        <v/>
      </c>
      <c r="F112" s="227" t="str">
        <f>IF($D112="","", VLOOKUP($D112,'Final Update'!$Q$21:$AE1000,Column(H110),False))</f>
        <v/>
      </c>
      <c r="G112" s="227" t="str">
        <f>IF($D112="","", VLOOKUP($D112,'Final Update'!$Q$21:$AE1000,Column(I110),False))</f>
        <v/>
      </c>
      <c r="H112" s="227" t="str">
        <f>IF($D112="","", VLOOKUP($D112,'Final Update'!$Q$21:$AE1000,Column(J110),False))</f>
        <v/>
      </c>
      <c r="I112" s="227" t="str">
        <f>IF($D112="","", VLOOKUP($D112,'Final Update'!$Q$21:$AE1000,Column(K110),False))</f>
        <v/>
      </c>
      <c r="J112" s="227" t="str">
        <f>IF($D112="","", VLOOKUP($D112,'Final Update'!$Q$21:$AE1000,Column(L110),False))</f>
        <v/>
      </c>
      <c r="K112" s="228" t="str">
        <f>IF($D112="","", VLOOKUP($D112,'Final Update'!$Q$21:$AE1000,Column(M110),False))</f>
        <v/>
      </c>
      <c r="L112" s="228" t="str">
        <f>IF($D112="","", VLOOKUP($D112,'Final Update'!$Q$21:$AE1000,Column(N110),False))</f>
        <v/>
      </c>
      <c r="M112" s="227" t="str">
        <f>IF($D112="","", VLOOKUP($D112,'Final Update'!$Q$21:$AE1000,Column(O110),False))</f>
        <v/>
      </c>
      <c r="N112" s="227" t="str">
        <f>IF($D112="","", VLOOKUP($D112,'Final Update'!$Q$21:$AE1000,Column(C110),False))</f>
        <v/>
      </c>
      <c r="O112" s="163"/>
      <c r="P112" s="163"/>
      <c r="Q112" s="163"/>
      <c r="R112" s="163"/>
      <c r="S112" s="163"/>
      <c r="T112" s="163"/>
      <c r="U112" s="163"/>
      <c r="V112" s="163"/>
      <c r="W112" s="163"/>
      <c r="X112" s="163"/>
      <c r="Y112" s="163"/>
      <c r="Z112" s="163"/>
    </row>
    <row r="113">
      <c r="A113" s="163"/>
      <c r="B113" s="220">
        <f>Projections!$AJ$24</f>
        <v>100</v>
      </c>
      <c r="C113" s="221">
        <v>9.0</v>
      </c>
      <c r="D113" s="230" t="str">
        <f t="array" ref="D113">INDIRECT("Draft!L"&amp;TEXT(A104+2,"0"))</f>
        <v/>
      </c>
      <c r="E113" s="227" t="str">
        <f>IF($D113="","", VLOOKUP($D113,'Final Update'!$Q$21:$AE1000,Column(G111),False))</f>
        <v/>
      </c>
      <c r="F113" s="227" t="str">
        <f>IF($D113="","", VLOOKUP($D113,'Final Update'!$Q$21:$AE1000,Column(H111),False))</f>
        <v/>
      </c>
      <c r="G113" s="227" t="str">
        <f>IF($D113="","", VLOOKUP($D113,'Final Update'!$Q$21:$AE1000,Column(I111),False))</f>
        <v/>
      </c>
      <c r="H113" s="227" t="str">
        <f>IF($D113="","", VLOOKUP($D113,'Final Update'!$Q$21:$AE1000,Column(J111),False))</f>
        <v/>
      </c>
      <c r="I113" s="227" t="str">
        <f>IF($D113="","", VLOOKUP($D113,'Final Update'!$Q$21:$AE1000,Column(K111),False))</f>
        <v/>
      </c>
      <c r="J113" s="227" t="str">
        <f>IF($D113="","", VLOOKUP($D113,'Final Update'!$Q$21:$AE1000,Column(L111),False))</f>
        <v/>
      </c>
      <c r="K113" s="228" t="str">
        <f>IF($D113="","", VLOOKUP($D113,'Final Update'!$Q$21:$AE1000,Column(M111),False))</f>
        <v/>
      </c>
      <c r="L113" s="228" t="str">
        <f>IF($D113="","", VLOOKUP($D113,'Final Update'!$Q$21:$AE1000,Column(N111),False))</f>
        <v/>
      </c>
      <c r="M113" s="227" t="str">
        <f>IF($D113="","", VLOOKUP($D113,'Final Update'!$Q$21:$AE1000,Column(O111),False))</f>
        <v/>
      </c>
      <c r="N113" s="227" t="str">
        <f>IF($D113="","", VLOOKUP($D113,'Final Update'!$Q$21:$AE1000,Column(C111),False))</f>
        <v/>
      </c>
      <c r="O113" s="163"/>
      <c r="P113" s="163"/>
      <c r="Q113" s="163"/>
      <c r="R113" s="163"/>
      <c r="S113" s="163"/>
      <c r="T113" s="163"/>
      <c r="U113" s="163"/>
      <c r="V113" s="163"/>
      <c r="W113" s="163"/>
      <c r="X113" s="163"/>
      <c r="Y113" s="163"/>
      <c r="Z113" s="163"/>
    </row>
    <row r="114">
      <c r="A114" s="163"/>
      <c r="B114" s="220">
        <f>Projections!$AJ$25</f>
        <v>100</v>
      </c>
      <c r="C114" s="221">
        <v>10.0</v>
      </c>
      <c r="D114" s="231" t="str">
        <f t="array" ref="D114">INDIRECT("Draft!M"&amp;TEXT(15-A104,"0"))</f>
        <v/>
      </c>
      <c r="E114" s="227" t="str">
        <f>IF($D114="","", VLOOKUP($D114,'Final Update'!$Q$21:$AE1000,Column(G112),False))</f>
        <v/>
      </c>
      <c r="F114" s="227" t="str">
        <f>IF($D114="","", VLOOKUP($D114,'Final Update'!$Q$21:$AE1000,Column(H112),False))</f>
        <v/>
      </c>
      <c r="G114" s="227" t="str">
        <f>IF($D114="","", VLOOKUP($D114,'Final Update'!$Q$21:$AE1000,Column(I112),False))</f>
        <v/>
      </c>
      <c r="H114" s="227" t="str">
        <f>IF($D114="","", VLOOKUP($D114,'Final Update'!$Q$21:$AE1000,Column(J112),False))</f>
        <v/>
      </c>
      <c r="I114" s="227" t="str">
        <f>IF($D114="","", VLOOKUP($D114,'Final Update'!$Q$21:$AE1000,Column(K112),False))</f>
        <v/>
      </c>
      <c r="J114" s="227" t="str">
        <f>IF($D114="","", VLOOKUP($D114,'Final Update'!$Q$21:$AE1000,Column(L112),False))</f>
        <v/>
      </c>
      <c r="K114" s="228" t="str">
        <f>IF($D114="","", VLOOKUP($D114,'Final Update'!$Q$21:$AE1000,Column(M112),False))</f>
        <v/>
      </c>
      <c r="L114" s="228" t="str">
        <f>IF($D114="","", VLOOKUP($D114,'Final Update'!$Q$21:$AE1000,Column(N112),False))</f>
        <v/>
      </c>
      <c r="M114" s="227" t="str">
        <f>IF($D114="","", VLOOKUP($D114,'Final Update'!$Q$21:$AE1000,Column(O112),False))</f>
        <v/>
      </c>
      <c r="N114" s="227" t="str">
        <f>IF($D114="","", VLOOKUP($D114,'Final Update'!$Q$21:$AE1000,Column(C112),False))</f>
        <v/>
      </c>
      <c r="O114" s="163"/>
      <c r="P114" s="163"/>
      <c r="Q114" s="163"/>
      <c r="R114" s="163"/>
      <c r="S114" s="163"/>
      <c r="T114" s="163"/>
      <c r="U114" s="163"/>
      <c r="V114" s="163"/>
      <c r="W114" s="163"/>
      <c r="X114" s="163"/>
      <c r="Y114" s="163"/>
      <c r="Z114" s="163"/>
    </row>
    <row r="115">
      <c r="A115" s="163"/>
      <c r="B115" s="220">
        <f>Projections!$AJ$26</f>
        <v>100</v>
      </c>
      <c r="C115" s="221">
        <v>11.0</v>
      </c>
      <c r="D115" s="230" t="str">
        <f t="array" ref="D115">INDIRECT("Draft!N"&amp;TEXT(A104+2,"0"))</f>
        <v/>
      </c>
      <c r="E115" s="227" t="str">
        <f>IF($D115="","", VLOOKUP($D115,'Final Update'!$Q$21:$AE1000,Column(G113),False))</f>
        <v/>
      </c>
      <c r="F115" s="227" t="str">
        <f>IF($D115="","", VLOOKUP($D115,'Final Update'!$Q$21:$AE1000,Column(H113),False))</f>
        <v/>
      </c>
      <c r="G115" s="227" t="str">
        <f>IF($D115="","", VLOOKUP($D115,'Final Update'!$Q$21:$AE1000,Column(I113),False))</f>
        <v/>
      </c>
      <c r="H115" s="227" t="str">
        <f>IF($D115="","", VLOOKUP($D115,'Final Update'!$Q$21:$AE1000,Column(J113),False))</f>
        <v/>
      </c>
      <c r="I115" s="227" t="str">
        <f>IF($D115="","", VLOOKUP($D115,'Final Update'!$Q$21:$AE1000,Column(K113),False))</f>
        <v/>
      </c>
      <c r="J115" s="227" t="str">
        <f>IF($D115="","", VLOOKUP($D115,'Final Update'!$Q$21:$AE1000,Column(L113),False))</f>
        <v/>
      </c>
      <c r="K115" s="228" t="str">
        <f>IF($D115="","", VLOOKUP($D115,'Final Update'!$Q$21:$AE1000,Column(M113),False))</f>
        <v/>
      </c>
      <c r="L115" s="228" t="str">
        <f>IF($D115="","", VLOOKUP($D115,'Final Update'!$Q$21:$AE1000,Column(N113),False))</f>
        <v/>
      </c>
      <c r="M115" s="227" t="str">
        <f>IF($D115="","", VLOOKUP($D115,'Final Update'!$Q$21:$AE1000,Column(O113),False))</f>
        <v/>
      </c>
      <c r="N115" s="227" t="str">
        <f>IF($D115="","", VLOOKUP($D115,'Final Update'!$Q$21:$AE1000,Column(C113),False))</f>
        <v/>
      </c>
      <c r="O115" s="163"/>
      <c r="P115" s="163"/>
      <c r="Q115" s="163"/>
      <c r="R115" s="163"/>
      <c r="S115" s="163"/>
      <c r="T115" s="163"/>
      <c r="U115" s="163"/>
      <c r="V115" s="163"/>
      <c r="W115" s="163"/>
      <c r="X115" s="163"/>
      <c r="Y115" s="163"/>
      <c r="Z115" s="163"/>
    </row>
    <row r="116">
      <c r="A116" s="163"/>
      <c r="B116" s="220">
        <f>Projections!$AJ$27</f>
        <v>100</v>
      </c>
      <c r="C116" s="221">
        <v>12.0</v>
      </c>
      <c r="D116" s="231" t="str">
        <f t="array" ref="D116">INDIRECT("Draft!O"&amp;TEXT(15-A104,"0"))</f>
        <v/>
      </c>
      <c r="E116" s="227" t="str">
        <f>IF($D116="","", VLOOKUP($D116,'Final Update'!$Q$21:$AE1000,Column(G114),False))</f>
        <v/>
      </c>
      <c r="F116" s="227" t="str">
        <f>IF($D116="","", VLOOKUP($D116,'Final Update'!$Q$21:$AE1000,Column(H114),False))</f>
        <v/>
      </c>
      <c r="G116" s="227" t="str">
        <f>IF($D116="","", VLOOKUP($D116,'Final Update'!$Q$21:$AE1000,Column(I114),False))</f>
        <v/>
      </c>
      <c r="H116" s="227" t="str">
        <f>IF($D116="","", VLOOKUP($D116,'Final Update'!$Q$21:$AE1000,Column(J114),False))</f>
        <v/>
      </c>
      <c r="I116" s="227" t="str">
        <f>IF($D116="","", VLOOKUP($D116,'Final Update'!$Q$21:$AE1000,Column(K114),False))</f>
        <v/>
      </c>
      <c r="J116" s="227" t="str">
        <f>IF($D116="","", VLOOKUP($D116,'Final Update'!$Q$21:$AE1000,Column(L114),False))</f>
        <v/>
      </c>
      <c r="K116" s="228" t="str">
        <f>IF($D116="","", VLOOKUP($D116,'Final Update'!$Q$21:$AE1000,Column(M114),False))</f>
        <v/>
      </c>
      <c r="L116" s="228" t="str">
        <f>IF($D116="","", VLOOKUP($D116,'Final Update'!$Q$21:$AE1000,Column(N114),False))</f>
        <v/>
      </c>
      <c r="M116" s="227" t="str">
        <f>IF($D116="","", VLOOKUP($D116,'Final Update'!$Q$21:$AE1000,Column(O114),False))</f>
        <v/>
      </c>
      <c r="N116" s="227" t="str">
        <f>IF($D116="","", VLOOKUP($D116,'Final Update'!$Q$21:$AE1000,Column(C114),False))</f>
        <v/>
      </c>
      <c r="O116" s="163"/>
      <c r="P116" s="163"/>
      <c r="Q116" s="163"/>
      <c r="R116" s="163"/>
      <c r="S116" s="163"/>
      <c r="T116" s="163"/>
      <c r="U116" s="163"/>
      <c r="V116" s="163"/>
      <c r="W116" s="163"/>
      <c r="X116" s="163"/>
      <c r="Y116" s="163"/>
      <c r="Z116" s="163"/>
    </row>
    <row r="117">
      <c r="A117" s="163"/>
      <c r="B117" s="273">
        <v>75.0</v>
      </c>
      <c r="C117" s="221">
        <v>13.0</v>
      </c>
      <c r="D117" s="230" t="str">
        <f t="array" ref="D117">INDIRECT("Draft!P"&amp;TEXT(A104+2,"0"))</f>
        <v/>
      </c>
      <c r="E117" s="227" t="str">
        <f>IF($D117="","", VLOOKUP($D117,'Final Update'!$Q$21:$AE1000,Column(G115),False))</f>
        <v/>
      </c>
      <c r="F117" s="227" t="str">
        <f>IF($D117="","", VLOOKUP($D117,'Final Update'!$Q$21:$AE1000,Column(H115),False))</f>
        <v/>
      </c>
      <c r="G117" s="227" t="str">
        <f>IF($D117="","", VLOOKUP($D117,'Final Update'!$Q$21:$AE1000,Column(I115),False))</f>
        <v/>
      </c>
      <c r="H117" s="227" t="str">
        <f>IF($D117="","", VLOOKUP($D117,'Final Update'!$Q$21:$AE1000,Column(J115),False))</f>
        <v/>
      </c>
      <c r="I117" s="227" t="str">
        <f>IF($D117="","", VLOOKUP($D117,'Final Update'!$Q$21:$AE1000,Column(K115),False))</f>
        <v/>
      </c>
      <c r="J117" s="227" t="str">
        <f>IF($D117="","", VLOOKUP($D117,'Final Update'!$Q$21:$AE1000,Column(L115),False))</f>
        <v/>
      </c>
      <c r="K117" s="228" t="str">
        <f>IF($D117="","", VLOOKUP($D117,'Final Update'!$Q$21:$AE1000,Column(M115),False))</f>
        <v/>
      </c>
      <c r="L117" s="228" t="str">
        <f>IF($D117="","", VLOOKUP($D117,'Final Update'!$Q$21:$AE1000,Column(N115),False))</f>
        <v/>
      </c>
      <c r="M117" s="227" t="str">
        <f>IF($D117="","", VLOOKUP($D117,'Final Update'!$Q$21:$AE1000,Column(O115),False))</f>
        <v/>
      </c>
      <c r="N117" s="227" t="str">
        <f>IF($D117="","", VLOOKUP($D117,'Final Update'!$Q$21:$AE1000,Column(C115),False))</f>
        <v/>
      </c>
      <c r="O117" s="163"/>
      <c r="P117" s="163"/>
      <c r="Q117" s="163"/>
      <c r="R117" s="163"/>
      <c r="S117" s="163"/>
      <c r="T117" s="163"/>
      <c r="U117" s="163"/>
      <c r="V117" s="163"/>
      <c r="W117" s="163"/>
      <c r="X117" s="163"/>
      <c r="Y117" s="163"/>
      <c r="Z117" s="163"/>
    </row>
    <row r="118">
      <c r="A118" s="163"/>
      <c r="B118" s="220">
        <f>Projections!$AJ$29</f>
        <v>50</v>
      </c>
      <c r="C118" s="221">
        <v>14.0</v>
      </c>
      <c r="D118" s="231" t="str">
        <f t="array" ref="D118">INDIRECT("Draft!Q"&amp;TEXT(15-A104,"0"))</f>
        <v/>
      </c>
      <c r="E118" s="227" t="str">
        <f>IF($D118="","", VLOOKUP($D118,'Final Update'!$Q$21:$AE1000,Column(G116),False))</f>
        <v/>
      </c>
      <c r="F118" s="227" t="str">
        <f>IF($D118="","", VLOOKUP($D118,'Final Update'!$Q$21:$AE1000,Column(H116),False))</f>
        <v/>
      </c>
      <c r="G118" s="227" t="str">
        <f>IF($D118="","", VLOOKUP($D118,'Final Update'!$Q$21:$AE1000,Column(I116),False))</f>
        <v/>
      </c>
      <c r="H118" s="227" t="str">
        <f>IF($D118="","", VLOOKUP($D118,'Final Update'!$Q$21:$AE1000,Column(J116),False))</f>
        <v/>
      </c>
      <c r="I118" s="227" t="str">
        <f>IF($D118="","", VLOOKUP($D118,'Final Update'!$Q$21:$AE1000,Column(K116),False))</f>
        <v/>
      </c>
      <c r="J118" s="227" t="str">
        <f>IF($D118="","", VLOOKUP($D118,'Final Update'!$Q$21:$AE1000,Column(L116),False))</f>
        <v/>
      </c>
      <c r="K118" s="228" t="str">
        <f>IF($D118="","", VLOOKUP($D118,'Final Update'!$Q$21:$AE1000,Column(M116),False))</f>
        <v/>
      </c>
      <c r="L118" s="228" t="str">
        <f>IF($D118="","", VLOOKUP($D118,'Final Update'!$Q$21:$AE1000,Column(N116),False))</f>
        <v/>
      </c>
      <c r="M118" s="227" t="str">
        <f>IF($D118="","", VLOOKUP($D118,'Final Update'!$Q$21:$AE1000,Column(O116),False))</f>
        <v/>
      </c>
      <c r="N118" s="227" t="str">
        <f>IF($D118="","", VLOOKUP($D118,'Final Update'!$Q$21:$AE1000,Column(C116),False))</f>
        <v/>
      </c>
      <c r="O118" s="163"/>
      <c r="P118" s="163"/>
      <c r="Q118" s="163"/>
      <c r="R118" s="163"/>
      <c r="S118" s="163"/>
      <c r="T118" s="163"/>
      <c r="U118" s="163"/>
      <c r="V118" s="163"/>
      <c r="W118" s="163"/>
      <c r="X118" s="163"/>
      <c r="Y118" s="163"/>
      <c r="Z118" s="163"/>
    </row>
    <row r="119">
      <c r="A119" s="216" t="s">
        <v>5</v>
      </c>
      <c r="B119" s="163"/>
      <c r="C119" s="163"/>
      <c r="D119" s="219" t="s">
        <v>1328</v>
      </c>
      <c r="E119" s="233" t="str">
        <f t="shared" ref="E119:J119" si="7">IFERROR(AVERAGE(SUMPRODUCT(E105:E118,$B105:$B118/100))/(SUM(OFFSET($B105,0,0,COUNT(E105:E118)))/100),"")</f>
        <v/>
      </c>
      <c r="F119" s="233" t="str">
        <f t="shared" si="7"/>
        <v/>
      </c>
      <c r="G119" s="233" t="str">
        <f t="shared" si="7"/>
        <v/>
      </c>
      <c r="H119" s="233" t="str">
        <f t="shared" si="7"/>
        <v/>
      </c>
      <c r="I119" s="233" t="str">
        <f t="shared" si="7"/>
        <v/>
      </c>
      <c r="J119" s="233" t="str">
        <f t="shared" si="7"/>
        <v/>
      </c>
      <c r="K119" s="233" t="str">
        <f t="array" ref="K119">IFERROR(100*SUMPRODUCT(IFERROR(VLOOKUP($D105:$D118,UpdateHashtag!$C:$S,6,False),"")*$B105:$B118/100)/SUMPRODUCT(IFERROR(VLOOKUP($D105:$D118,UpdateHashtag!$C:$S,17,False),"")*$B105:$B118/100),"")</f>
        <v/>
      </c>
      <c r="L119" s="233" t="str">
        <f t="array" ref="L119">IFERROR(100*SUMPRODUCT(IFERROR(VLOOKUP($D105:$D118,UpdateHashtag!$C:$T,8,False),"")*$B105:$B118/100)/SUMPRODUCT(IFERROR(VLOOKUP($D105:$D118,UpdateHashtag!$C:$T,18,False),"")*$B105:$B118/100),"")</f>
        <v/>
      </c>
      <c r="M119" s="233" t="str">
        <f>IFERROR(AVERAGE(SUMPRODUCT(M105:M118,$B105:$B118/100))/(SUM(OFFSET($B105,0,0,COUNT(M105:M118)))/100),"")</f>
        <v/>
      </c>
      <c r="N119" s="163"/>
      <c r="O119" s="163"/>
      <c r="P119" s="163"/>
      <c r="Q119" s="163"/>
      <c r="R119" s="163"/>
      <c r="S119" s="163"/>
      <c r="T119" s="163"/>
      <c r="U119" s="163"/>
      <c r="V119" s="163"/>
      <c r="W119" s="163"/>
      <c r="X119" s="163"/>
      <c r="Y119" s="163"/>
      <c r="Z119" s="163"/>
    </row>
    <row r="120">
      <c r="A120" s="163"/>
      <c r="B120" s="163"/>
      <c r="C120" s="163"/>
      <c r="D120" s="219" t="s">
        <v>1329</v>
      </c>
      <c r="E120" s="234" t="str">
        <f>IFERROR((SUM(OFFSET('All Teams'!$B105,0,0,COUNT('All Teams'!E105:E118)))/100)*('All Teams'!E119-'Final Update'!$B$1)/'Final Update'!$B$2,"")</f>
        <v/>
      </c>
      <c r="F120" s="234" t="str">
        <f>IFERROR((SUM(OFFSET('All Teams'!$B105,0,0,COUNT('All Teams'!F105:F118)))/100)*('All Teams'!F119-'Final Update'!$C$1)/'Final Update'!$C$2,"")</f>
        <v/>
      </c>
      <c r="G120" s="234" t="str">
        <f>IFERROR((SUM(OFFSET('All Teams'!$B105,0,0,COUNT('All Teams'!G105:G118)))/100)*('All Teams'!G119-'Final Update'!$D$1)/'Final Update'!$D$2,"")</f>
        <v/>
      </c>
      <c r="H120" s="234" t="str">
        <f>IFERROR((SUM(OFFSET('All Teams'!$B105,0,0,COUNT('All Teams'!H105:H118)))/100)*('All Teams'!H119-'Final Update'!$E$1)/'Final Update'!$E$2,"")</f>
        <v/>
      </c>
      <c r="I120" s="234" t="str">
        <f>IFERROR((SUM(OFFSET('All Teams'!$B105,0,0,COUNT('All Teams'!I105:I118)))/100)*('All Teams'!I119-'Final Update'!$F$1)/'Final Update'!$F$2,"")</f>
        <v/>
      </c>
      <c r="J120" s="234" t="str">
        <f>IFERROR((SUM(OFFSET('All Teams'!$B105,0,0,COUNT('All Teams'!J105:J118)))/100)*('All Teams'!J119-'Final Update'!$G$1)/'Final Update'!$G$2,"")</f>
        <v/>
      </c>
      <c r="K120" s="234">
        <f t="array" ref="K120">SUMPRODUCT(IFERROR(VLOOKUP($D105:$D118,'Final Update'!$A$4:$L$403,8,False)*$B105:$B118/100,""))</f>
        <v>0</v>
      </c>
      <c r="L120" s="234">
        <f t="array" ref="L120">SUMPRODUCT(IFERROR(VLOOKUP($D105:$D118,'Final Update'!$A$4:$L$403,10,False)*$B105:$B118/100,""))</f>
        <v>0</v>
      </c>
      <c r="M120" s="234" t="str">
        <f>IFERROR(-(SUM(OFFSET('All Teams'!$B105,0,0,COUNT('All Teams'!M105:M118)))/100)*('All Teams'!M119-'Final Update'!$L$1)/'Final Update'!$L$2,"")</f>
        <v/>
      </c>
      <c r="N120" s="163"/>
      <c r="O120" s="163"/>
      <c r="P120" s="163"/>
      <c r="Q120" s="163"/>
      <c r="R120" s="163"/>
      <c r="S120" s="163"/>
      <c r="T120" s="163"/>
      <c r="U120" s="163"/>
      <c r="V120" s="163"/>
      <c r="W120" s="163"/>
      <c r="X120" s="163"/>
      <c r="Y120" s="163"/>
      <c r="Z120" s="163"/>
    </row>
    <row r="121">
      <c r="A121" s="217">
        <v>8.0</v>
      </c>
      <c r="B121" s="218" t="s">
        <v>220</v>
      </c>
      <c r="C121" s="219" t="s">
        <v>222</v>
      </c>
      <c r="D121" s="218" t="s">
        <v>1242</v>
      </c>
      <c r="E121" s="218" t="s">
        <v>10</v>
      </c>
      <c r="F121" s="218" t="s">
        <v>109</v>
      </c>
      <c r="G121" s="218" t="s">
        <v>110</v>
      </c>
      <c r="H121" s="218" t="s">
        <v>12</v>
      </c>
      <c r="I121" s="218" t="s">
        <v>13</v>
      </c>
      <c r="J121" s="218" t="s">
        <v>14</v>
      </c>
      <c r="K121" s="218" t="s">
        <v>8</v>
      </c>
      <c r="L121" s="218" t="s">
        <v>9</v>
      </c>
      <c r="M121" s="218" t="s">
        <v>15</v>
      </c>
      <c r="N121" s="218" t="s">
        <v>4</v>
      </c>
      <c r="O121" s="218" t="s">
        <v>227</v>
      </c>
      <c r="P121" s="218" t="s">
        <v>4</v>
      </c>
      <c r="Q121" s="163"/>
      <c r="R121" s="163"/>
      <c r="S121" s="163"/>
      <c r="T121" s="163"/>
      <c r="U121" s="163"/>
      <c r="V121" s="163"/>
      <c r="W121" s="163"/>
      <c r="X121" s="163"/>
      <c r="Y121" s="163"/>
      <c r="Z121" s="163"/>
    </row>
    <row r="122">
      <c r="A122" s="163"/>
      <c r="B122" s="220">
        <f>Projections!$AJ$16</f>
        <v>100</v>
      </c>
      <c r="C122" s="221">
        <v>1.0</v>
      </c>
      <c r="D122" s="222" t="str">
        <f t="array" ref="D122">INDIRECT("Draft!D"&amp;TEXT(A121+2,"0"))</f>
        <v/>
      </c>
      <c r="E122" s="223" t="str">
        <f>IF($D122="","", VLOOKUP($D122,'Final Update'!$Q$21:$AE1000,Column(G120),False))</f>
        <v/>
      </c>
      <c r="F122" s="223" t="str">
        <f>IF($D122="","", VLOOKUP($D122,'Final Update'!$Q$21:$AE1000,Column(H120),False))</f>
        <v/>
      </c>
      <c r="G122" s="223" t="str">
        <f>IF($D122="","", VLOOKUP($D122,'Final Update'!$Q$21:$AE1000,Column(I120),False))</f>
        <v/>
      </c>
      <c r="H122" s="223" t="str">
        <f>IF($D122="","", VLOOKUP($D122,'Final Update'!$Q$21:$AE1000,Column(J120),False))</f>
        <v/>
      </c>
      <c r="I122" s="223" t="str">
        <f>IF($D122="","", VLOOKUP($D122,'Final Update'!$Q$21:$AE1000,Column(K120),False))</f>
        <v/>
      </c>
      <c r="J122" s="223" t="str">
        <f>IF($D122="","", VLOOKUP($D122,'Final Update'!$Q$21:$AE1000,Column(L120),False))</f>
        <v/>
      </c>
      <c r="K122" s="224" t="str">
        <f>IF($D122="","", VLOOKUP($D122,'Final Update'!$Q$21:$AE1000,Column(M120),False))</f>
        <v/>
      </c>
      <c r="L122" s="224" t="str">
        <f>IF($D122="","", VLOOKUP($D122,'Final Update'!$Q$21:$AE1000,Column(N120),False))</f>
        <v/>
      </c>
      <c r="M122" s="223" t="str">
        <f>IF($D122="","", VLOOKUP($D122,'Final Update'!$Q$21:$AE1000,Column(O120),False))</f>
        <v/>
      </c>
      <c r="N122" s="223" t="str">
        <f>IF($D122="","", VLOOKUP($D122,'Final Update'!$Q$21:$AE1000,Column(C120),False))</f>
        <v/>
      </c>
      <c r="O122" s="221">
        <f t="array" ref="O122">COUNTIF(FIND(P122,$N122:$N135),"&gt;0")</f>
        <v>0</v>
      </c>
      <c r="P122" s="222" t="s">
        <v>46</v>
      </c>
      <c r="Q122" s="163"/>
      <c r="R122" s="163"/>
      <c r="S122" s="163"/>
      <c r="T122" s="163"/>
      <c r="U122" s="163"/>
      <c r="V122" s="163"/>
      <c r="W122" s="163"/>
      <c r="X122" s="163"/>
      <c r="Y122" s="163"/>
      <c r="Z122" s="163"/>
    </row>
    <row r="123">
      <c r="A123" s="163"/>
      <c r="B123" s="220">
        <f>Projections!$AJ$17</f>
        <v>100</v>
      </c>
      <c r="C123" s="221">
        <v>2.0</v>
      </c>
      <c r="D123" s="225" t="str">
        <f t="array" ref="D123">INDIRECT("Draft!E"&amp;TEXT(15-A121,"0"))</f>
        <v/>
      </c>
      <c r="E123" s="223" t="str">
        <f>IF($D123="","", VLOOKUP($D123,'Final Update'!$Q$21:$AE1000,Column(G121),False))</f>
        <v/>
      </c>
      <c r="F123" s="223" t="str">
        <f>IF($D123="","", VLOOKUP($D123,'Final Update'!$Q$21:$AE1000,Column(H121),False))</f>
        <v/>
      </c>
      <c r="G123" s="223" t="str">
        <f>IF($D123="","", VLOOKUP($D123,'Final Update'!$Q$21:$AE1000,Column(I121),False))</f>
        <v/>
      </c>
      <c r="H123" s="223" t="str">
        <f>IF($D123="","", VLOOKUP($D123,'Final Update'!$Q$21:$AE1000,Column(J121),False))</f>
        <v/>
      </c>
      <c r="I123" s="223" t="str">
        <f>IF($D123="","", VLOOKUP($D123,'Final Update'!$Q$21:$AE1000,Column(K121),False))</f>
        <v/>
      </c>
      <c r="J123" s="223" t="str">
        <f>IF($D123="","", VLOOKUP($D123,'Final Update'!$Q$21:$AE1000,Column(L121),False))</f>
        <v/>
      </c>
      <c r="K123" s="224" t="str">
        <f>IF($D123="","", VLOOKUP($D123,'Final Update'!$Q$21:$AE1000,Column(M121),False))</f>
        <v/>
      </c>
      <c r="L123" s="224" t="str">
        <f>IF($D123="","", VLOOKUP($D123,'Final Update'!$Q$21:$AE1000,Column(N121),False))</f>
        <v/>
      </c>
      <c r="M123" s="223" t="str">
        <f>IF($D123="","", VLOOKUP($D123,'Final Update'!$Q$21:$AE1000,Column(O121),False))</f>
        <v/>
      </c>
      <c r="N123" s="223" t="str">
        <f>IF($D123="","", VLOOKUP($D123,'Final Update'!$Q$21:$AE1000,Column(C121),False))</f>
        <v/>
      </c>
      <c r="O123" s="221">
        <f t="array" ref="O123">COUNTIF(FIND(P123,$N122:$N135),"&gt;0")</f>
        <v>0</v>
      </c>
      <c r="P123" s="222" t="s">
        <v>47</v>
      </c>
      <c r="Q123" s="163"/>
      <c r="R123" s="163"/>
      <c r="S123" s="163"/>
      <c r="T123" s="163"/>
      <c r="U123" s="163"/>
      <c r="V123" s="163"/>
      <c r="W123" s="163"/>
      <c r="X123" s="163"/>
      <c r="Y123" s="163"/>
      <c r="Z123" s="163"/>
    </row>
    <row r="124">
      <c r="A124" s="163"/>
      <c r="B124" s="220">
        <f>Projections!$AJ$18</f>
        <v>100</v>
      </c>
      <c r="C124" s="221">
        <v>3.0</v>
      </c>
      <c r="D124" s="226" t="str">
        <f t="array" ref="D124">INDIRECT("Draft!F"&amp;TEXT(A121+2,"0"))</f>
        <v/>
      </c>
      <c r="E124" s="227" t="str">
        <f>IF($D124="","", VLOOKUP($D124,'Final Update'!$Q$21:$AE1000,Column(G122),False))</f>
        <v/>
      </c>
      <c r="F124" s="227" t="str">
        <f>IF($D124="","", VLOOKUP($D124,'Final Update'!$Q$21:$AE1000,Column(H122),False))</f>
        <v/>
      </c>
      <c r="G124" s="227" t="str">
        <f>IF($D124="","", VLOOKUP($D124,'Final Update'!$Q$21:$AE1000,Column(I122),False))</f>
        <v/>
      </c>
      <c r="H124" s="227" t="str">
        <f>IF($D124="","", VLOOKUP($D124,'Final Update'!$Q$21:$AE1000,Column(J122),False))</f>
        <v/>
      </c>
      <c r="I124" s="227" t="str">
        <f>IF($D124="","", VLOOKUP($D124,'Final Update'!$Q$21:$AE1000,Column(K122),False))</f>
        <v/>
      </c>
      <c r="J124" s="227" t="str">
        <f>IF($D124="","", VLOOKUP($D124,'Final Update'!$Q$21:$AE1000,Column(L122),False))</f>
        <v/>
      </c>
      <c r="K124" s="228" t="str">
        <f>IF($D124="","", VLOOKUP($D124,'Final Update'!$Q$21:$AE1000,Column(M122),False))</f>
        <v/>
      </c>
      <c r="L124" s="228" t="str">
        <f>IF($D124="","", VLOOKUP($D124,'Final Update'!$Q$21:$AE1000,Column(N122),False))</f>
        <v/>
      </c>
      <c r="M124" s="227" t="str">
        <f>IF($D124="","", VLOOKUP($D124,'Final Update'!$Q$21:$AE1000,Column(O122),False))</f>
        <v/>
      </c>
      <c r="N124" s="227" t="str">
        <f>IF($D124="","", VLOOKUP($D124,'Final Update'!$Q$21:$AE1000,Column(C122),False))</f>
        <v/>
      </c>
      <c r="O124" s="221">
        <f t="array" ref="O124">COUNTIF(FIND(P124,$N122:$N135),"&gt;0")</f>
        <v>0</v>
      </c>
      <c r="P124" s="222" t="s">
        <v>48</v>
      </c>
      <c r="Q124" s="163"/>
      <c r="R124" s="163"/>
      <c r="S124" s="163"/>
      <c r="T124" s="163"/>
      <c r="U124" s="163"/>
      <c r="V124" s="163"/>
      <c r="W124" s="163"/>
      <c r="X124" s="163"/>
      <c r="Y124" s="163"/>
      <c r="Z124" s="163"/>
    </row>
    <row r="125">
      <c r="A125" s="163"/>
      <c r="B125" s="220">
        <f>Projections!$AJ$19</f>
        <v>100</v>
      </c>
      <c r="C125" s="221">
        <v>4.0</v>
      </c>
      <c r="D125" s="229" t="str">
        <f t="array" ref="D125">INDIRECT("Draft!G"&amp;TEXT(15-A121,"0"))</f>
        <v/>
      </c>
      <c r="E125" s="227" t="str">
        <f>IF($D125="","", VLOOKUP($D125,'Final Update'!$Q$21:$AE1000,Column(G123),False))</f>
        <v/>
      </c>
      <c r="F125" s="227" t="str">
        <f>IF($D125="","", VLOOKUP($D125,'Final Update'!$Q$21:$AE1000,Column(H123),False))</f>
        <v/>
      </c>
      <c r="G125" s="227" t="str">
        <f>IF($D125="","", VLOOKUP($D125,'Final Update'!$Q$21:$AE1000,Column(I123),False))</f>
        <v/>
      </c>
      <c r="H125" s="227" t="str">
        <f>IF($D125="","", VLOOKUP($D125,'Final Update'!$Q$21:$AE1000,Column(J123),False))</f>
        <v/>
      </c>
      <c r="I125" s="227" t="str">
        <f>IF($D125="","", VLOOKUP($D125,'Final Update'!$Q$21:$AE1000,Column(K123),False))</f>
        <v/>
      </c>
      <c r="J125" s="227" t="str">
        <f>IF($D125="","", VLOOKUP($D125,'Final Update'!$Q$21:$AE1000,Column(L123),False))</f>
        <v/>
      </c>
      <c r="K125" s="228" t="str">
        <f>IF($D125="","", VLOOKUP($D125,'Final Update'!$Q$21:$AE1000,Column(M123),False))</f>
        <v/>
      </c>
      <c r="L125" s="228" t="str">
        <f>IF($D125="","", VLOOKUP($D125,'Final Update'!$Q$21:$AE1000,Column(N123),False))</f>
        <v/>
      </c>
      <c r="M125" s="227" t="str">
        <f>IF($D125="","", VLOOKUP($D125,'Final Update'!$Q$21:$AE1000,Column(O123),False))</f>
        <v/>
      </c>
      <c r="N125" s="227" t="str">
        <f>IF($D125="","", VLOOKUP($D125,'Final Update'!$Q$21:$AE1000,Column(C123),False))</f>
        <v/>
      </c>
      <c r="O125" s="221">
        <f t="array" ref="O125">COUNTIF(FIND(P125,$N122:$N135),"&gt;0")</f>
        <v>0</v>
      </c>
      <c r="P125" s="222" t="s">
        <v>49</v>
      </c>
      <c r="Q125" s="163"/>
      <c r="R125" s="163"/>
      <c r="S125" s="163"/>
      <c r="T125" s="163"/>
      <c r="U125" s="163"/>
      <c r="V125" s="163"/>
      <c r="W125" s="163"/>
      <c r="X125" s="163"/>
      <c r="Y125" s="163"/>
      <c r="Z125" s="163"/>
    </row>
    <row r="126">
      <c r="A126" s="163"/>
      <c r="B126" s="220">
        <f>Projections!$AJ$20</f>
        <v>100</v>
      </c>
      <c r="C126" s="221">
        <v>5.0</v>
      </c>
      <c r="D126" s="230" t="str">
        <f t="array" ref="D126">INDIRECT("Draft!H"&amp;TEXT(A121+2,"0"))</f>
        <v/>
      </c>
      <c r="E126" s="227" t="str">
        <f>IF($D126="","", VLOOKUP($D126,'Final Update'!$Q$21:$AE1000,Column(G124),False))</f>
        <v/>
      </c>
      <c r="F126" s="227" t="str">
        <f>IF($D126="","", VLOOKUP($D126,'Final Update'!$Q$21:$AE1000,Column(H124),False))</f>
        <v/>
      </c>
      <c r="G126" s="227" t="str">
        <f>IF($D126="","", VLOOKUP($D126,'Final Update'!$Q$21:$AE1000,Column(I124),False))</f>
        <v/>
      </c>
      <c r="H126" s="227" t="str">
        <f>IF($D126="","", VLOOKUP($D126,'Final Update'!$Q$21:$AE1000,Column(J124),False))</f>
        <v/>
      </c>
      <c r="I126" s="227" t="str">
        <f>IF($D126="","", VLOOKUP($D126,'Final Update'!$Q$21:$AE1000,Column(K124),False))</f>
        <v/>
      </c>
      <c r="J126" s="227" t="str">
        <f>IF($D126="","", VLOOKUP($D126,'Final Update'!$Q$21:$AE1000,Column(L124),False))</f>
        <v/>
      </c>
      <c r="K126" s="228" t="str">
        <f>IF($D126="","", VLOOKUP($D126,'Final Update'!$Q$21:$AE1000,Column(M124),False))</f>
        <v/>
      </c>
      <c r="L126" s="228" t="str">
        <f>IF($D126="","", VLOOKUP($D126,'Final Update'!$Q$21:$AE1000,Column(N124),False))</f>
        <v/>
      </c>
      <c r="M126" s="227" t="str">
        <f>IF($D126="","", VLOOKUP($D126,'Final Update'!$Q$21:$AE1000,Column(O124),False))</f>
        <v/>
      </c>
      <c r="N126" s="227" t="str">
        <f>IF($D126="","", VLOOKUP($D126,'Final Update'!$Q$21:$AE1000,Column(C124),False))</f>
        <v/>
      </c>
      <c r="O126" s="221">
        <f t="array" ref="O126">COUNTIF(FIND(P126,$N122:$N135),"&gt;0")</f>
        <v>0</v>
      </c>
      <c r="P126" s="222" t="s">
        <v>34</v>
      </c>
      <c r="Q126" s="163"/>
      <c r="R126" s="163"/>
      <c r="S126" s="163"/>
      <c r="T126" s="163"/>
      <c r="U126" s="163"/>
      <c r="V126" s="163"/>
      <c r="W126" s="163"/>
      <c r="X126" s="163"/>
      <c r="Y126" s="163"/>
      <c r="Z126" s="163"/>
    </row>
    <row r="127">
      <c r="A127" s="163"/>
      <c r="B127" s="220">
        <f>Projections!$AJ$21</f>
        <v>100</v>
      </c>
      <c r="C127" s="221">
        <v>6.0</v>
      </c>
      <c r="D127" s="231" t="str">
        <f t="array" ref="D127">INDIRECT("Draft!I"&amp;TEXT(15-A121,"0"))</f>
        <v/>
      </c>
      <c r="E127" s="227" t="str">
        <f>IF($D127="","", VLOOKUP($D127,'Final Update'!$Q$21:$AE1000,Column(G125),False))</f>
        <v/>
      </c>
      <c r="F127" s="227" t="str">
        <f>IF($D127="","", VLOOKUP($D127,'Final Update'!$Q$21:$AE1000,Column(H125),False))</f>
        <v/>
      </c>
      <c r="G127" s="227" t="str">
        <f>IF($D127="","", VLOOKUP($D127,'Final Update'!$Q$21:$AE1000,Column(I125),False))</f>
        <v/>
      </c>
      <c r="H127" s="227" t="str">
        <f>IF($D127="","", VLOOKUP($D127,'Final Update'!$Q$21:$AE1000,Column(J125),False))</f>
        <v/>
      </c>
      <c r="I127" s="227" t="str">
        <f>IF($D127="","", VLOOKUP($D127,'Final Update'!$Q$21:$AE1000,Column(K125),False))</f>
        <v/>
      </c>
      <c r="J127" s="227" t="str">
        <f>IF($D127="","", VLOOKUP($D127,'Final Update'!$Q$21:$AE1000,Column(L125),False))</f>
        <v/>
      </c>
      <c r="K127" s="228" t="str">
        <f>IF($D127="","", VLOOKUP($D127,'Final Update'!$Q$21:$AE1000,Column(M125),False))</f>
        <v/>
      </c>
      <c r="L127" s="228" t="str">
        <f>IF($D127="","", VLOOKUP($D127,'Final Update'!$Q$21:$AE1000,Column(N125),False))</f>
        <v/>
      </c>
      <c r="M127" s="227" t="str">
        <f>IF($D127="","", VLOOKUP($D127,'Final Update'!$Q$21:$AE1000,Column(O125),False))</f>
        <v/>
      </c>
      <c r="N127" s="227" t="str">
        <f>IF($D127="","", VLOOKUP($D127,'Final Update'!$Q$21:$AE1000,Column(C125),False))</f>
        <v/>
      </c>
      <c r="O127" s="163"/>
      <c r="P127" s="163"/>
      <c r="Q127" s="163"/>
      <c r="R127" s="163"/>
      <c r="S127" s="163"/>
      <c r="T127" s="163"/>
      <c r="U127" s="163"/>
      <c r="V127" s="163"/>
      <c r="W127" s="163"/>
      <c r="X127" s="163"/>
      <c r="Y127" s="163"/>
      <c r="Z127" s="163"/>
    </row>
    <row r="128">
      <c r="A128" s="163"/>
      <c r="B128" s="220">
        <f>Projections!$AJ$22</f>
        <v>100</v>
      </c>
      <c r="C128" s="221">
        <v>7.0</v>
      </c>
      <c r="D128" s="230" t="str">
        <f t="array" ref="D128">INDIRECT("Draft!J"&amp;TEXT(A121+2,"0"))</f>
        <v/>
      </c>
      <c r="E128" s="227" t="str">
        <f>IF($D128="","", VLOOKUP($D128,'Final Update'!$Q$21:$AE1000,Column(G126),False))</f>
        <v/>
      </c>
      <c r="F128" s="227" t="str">
        <f>IF($D128="","", VLOOKUP($D128,'Final Update'!$Q$21:$AE1000,Column(H126),False))</f>
        <v/>
      </c>
      <c r="G128" s="227" t="str">
        <f>IF($D128="","", VLOOKUP($D128,'Final Update'!$Q$21:$AE1000,Column(I126),False))</f>
        <v/>
      </c>
      <c r="H128" s="227" t="str">
        <f>IF($D128="","", VLOOKUP($D128,'Final Update'!$Q$21:$AE1000,Column(J126),False))</f>
        <v/>
      </c>
      <c r="I128" s="227" t="str">
        <f>IF($D128="","", VLOOKUP($D128,'Final Update'!$Q$21:$AE1000,Column(K126),False))</f>
        <v/>
      </c>
      <c r="J128" s="227" t="str">
        <f>IF($D128="","", VLOOKUP($D128,'Final Update'!$Q$21:$AE1000,Column(L126),False))</f>
        <v/>
      </c>
      <c r="K128" s="228" t="str">
        <f>IF($D128="","", VLOOKUP($D128,'Final Update'!$Q$21:$AE1000,Column(M126),False))</f>
        <v/>
      </c>
      <c r="L128" s="228" t="str">
        <f>IF($D128="","", VLOOKUP($D128,'Final Update'!$Q$21:$AE1000,Column(N126),False))</f>
        <v/>
      </c>
      <c r="M128" s="227" t="str">
        <f>IF($D128="","", VLOOKUP($D128,'Final Update'!$Q$21:$AE1000,Column(O126),False))</f>
        <v/>
      </c>
      <c r="N128" s="227" t="str">
        <f>IF($D128="","", VLOOKUP($D128,'Final Update'!$Q$21:$AE1000,Column(C126),False))</f>
        <v/>
      </c>
      <c r="O128" s="163"/>
      <c r="P128" s="163"/>
      <c r="Q128" s="163"/>
      <c r="R128" s="163"/>
      <c r="S128" s="163"/>
      <c r="T128" s="163"/>
      <c r="U128" s="163"/>
      <c r="V128" s="163"/>
      <c r="W128" s="163"/>
      <c r="X128" s="163"/>
      <c r="Y128" s="163"/>
      <c r="Z128" s="163"/>
    </row>
    <row r="129">
      <c r="A129" s="163"/>
      <c r="B129" s="220">
        <f>Projections!$AJ$23</f>
        <v>100</v>
      </c>
      <c r="C129" s="221">
        <v>8.0</v>
      </c>
      <c r="D129" s="231" t="str">
        <f t="array" ref="D129">INDIRECT("Draft!K"&amp;TEXT(15-A121,"0"))</f>
        <v/>
      </c>
      <c r="E129" s="227" t="str">
        <f>IF($D129="","", VLOOKUP($D129,'Final Update'!$Q$21:$AE1000,Column(G127),False))</f>
        <v/>
      </c>
      <c r="F129" s="227" t="str">
        <f>IF($D129="","", VLOOKUP($D129,'Final Update'!$Q$21:$AE1000,Column(H127),False))</f>
        <v/>
      </c>
      <c r="G129" s="227" t="str">
        <f>IF($D129="","", VLOOKUP($D129,'Final Update'!$Q$21:$AE1000,Column(I127),False))</f>
        <v/>
      </c>
      <c r="H129" s="227" t="str">
        <f>IF($D129="","", VLOOKUP($D129,'Final Update'!$Q$21:$AE1000,Column(J127),False))</f>
        <v/>
      </c>
      <c r="I129" s="227" t="str">
        <f>IF($D129="","", VLOOKUP($D129,'Final Update'!$Q$21:$AE1000,Column(K127),False))</f>
        <v/>
      </c>
      <c r="J129" s="227" t="str">
        <f>IF($D129="","", VLOOKUP($D129,'Final Update'!$Q$21:$AE1000,Column(L127),False))</f>
        <v/>
      </c>
      <c r="K129" s="228" t="str">
        <f>IF($D129="","", VLOOKUP($D129,'Final Update'!$Q$21:$AE1000,Column(M127),False))</f>
        <v/>
      </c>
      <c r="L129" s="228" t="str">
        <f>IF($D129="","", VLOOKUP($D129,'Final Update'!$Q$21:$AE1000,Column(N127),False))</f>
        <v/>
      </c>
      <c r="M129" s="227" t="str">
        <f>IF($D129="","", VLOOKUP($D129,'Final Update'!$Q$21:$AE1000,Column(O127),False))</f>
        <v/>
      </c>
      <c r="N129" s="227" t="str">
        <f>IF($D129="","", VLOOKUP($D129,'Final Update'!$Q$21:$AE1000,Column(C127),False))</f>
        <v/>
      </c>
      <c r="O129" s="163"/>
      <c r="P129" s="163"/>
      <c r="Q129" s="163"/>
      <c r="R129" s="163"/>
      <c r="S129" s="163"/>
      <c r="T129" s="163"/>
      <c r="U129" s="163"/>
      <c r="V129" s="163"/>
      <c r="W129" s="163"/>
      <c r="X129" s="163"/>
      <c r="Y129" s="163"/>
      <c r="Z129" s="163"/>
    </row>
    <row r="130">
      <c r="A130" s="163"/>
      <c r="B130" s="220">
        <f>Projections!$AJ$24</f>
        <v>100</v>
      </c>
      <c r="C130" s="221">
        <v>9.0</v>
      </c>
      <c r="D130" s="230" t="str">
        <f t="array" ref="D130">INDIRECT("Draft!L"&amp;TEXT(A121+2,"0"))</f>
        <v/>
      </c>
      <c r="E130" s="227" t="str">
        <f>IF($D130="","", VLOOKUP($D130,'Final Update'!$Q$21:$AE1000,Column(G128),False))</f>
        <v/>
      </c>
      <c r="F130" s="227" t="str">
        <f>IF($D130="","", VLOOKUP($D130,'Final Update'!$Q$21:$AE1000,Column(H128),False))</f>
        <v/>
      </c>
      <c r="G130" s="227" t="str">
        <f>IF($D130="","", VLOOKUP($D130,'Final Update'!$Q$21:$AE1000,Column(I128),False))</f>
        <v/>
      </c>
      <c r="H130" s="227" t="str">
        <f>IF($D130="","", VLOOKUP($D130,'Final Update'!$Q$21:$AE1000,Column(J128),False))</f>
        <v/>
      </c>
      <c r="I130" s="227" t="str">
        <f>IF($D130="","", VLOOKUP($D130,'Final Update'!$Q$21:$AE1000,Column(K128),False))</f>
        <v/>
      </c>
      <c r="J130" s="227" t="str">
        <f>IF($D130="","", VLOOKUP($D130,'Final Update'!$Q$21:$AE1000,Column(L128),False))</f>
        <v/>
      </c>
      <c r="K130" s="228" t="str">
        <f>IF($D130="","", VLOOKUP($D130,'Final Update'!$Q$21:$AE1000,Column(M128),False))</f>
        <v/>
      </c>
      <c r="L130" s="228" t="str">
        <f>IF($D130="","", VLOOKUP($D130,'Final Update'!$Q$21:$AE1000,Column(N128),False))</f>
        <v/>
      </c>
      <c r="M130" s="227" t="str">
        <f>IF($D130="","", VLOOKUP($D130,'Final Update'!$Q$21:$AE1000,Column(O128),False))</f>
        <v/>
      </c>
      <c r="N130" s="227" t="str">
        <f>IF($D130="","", VLOOKUP($D130,'Final Update'!$Q$21:$AE1000,Column(C128),False))</f>
        <v/>
      </c>
      <c r="O130" s="163"/>
      <c r="P130" s="163"/>
      <c r="Q130" s="163"/>
      <c r="R130" s="163"/>
      <c r="S130" s="163"/>
      <c r="T130" s="163"/>
      <c r="U130" s="163"/>
      <c r="V130" s="163"/>
      <c r="W130" s="163"/>
      <c r="X130" s="163"/>
      <c r="Y130" s="163"/>
      <c r="Z130" s="163"/>
    </row>
    <row r="131">
      <c r="A131" s="163"/>
      <c r="B131" s="220">
        <f>Projections!$AJ$25</f>
        <v>100</v>
      </c>
      <c r="C131" s="221">
        <v>10.0</v>
      </c>
      <c r="D131" s="231" t="str">
        <f t="array" ref="D131">INDIRECT("Draft!M"&amp;TEXT(15-A121,"0"))</f>
        <v/>
      </c>
      <c r="E131" s="227" t="str">
        <f>IF($D131="","", VLOOKUP($D131,'Final Update'!$Q$21:$AE1000,Column(G129),False))</f>
        <v/>
      </c>
      <c r="F131" s="227" t="str">
        <f>IF($D131="","", VLOOKUP($D131,'Final Update'!$Q$21:$AE1000,Column(H129),False))</f>
        <v/>
      </c>
      <c r="G131" s="227" t="str">
        <f>IF($D131="","", VLOOKUP($D131,'Final Update'!$Q$21:$AE1000,Column(I129),False))</f>
        <v/>
      </c>
      <c r="H131" s="227" t="str">
        <f>IF($D131="","", VLOOKUP($D131,'Final Update'!$Q$21:$AE1000,Column(J129),False))</f>
        <v/>
      </c>
      <c r="I131" s="227" t="str">
        <f>IF($D131="","", VLOOKUP($D131,'Final Update'!$Q$21:$AE1000,Column(K129),False))</f>
        <v/>
      </c>
      <c r="J131" s="227" t="str">
        <f>IF($D131="","", VLOOKUP($D131,'Final Update'!$Q$21:$AE1000,Column(L129),False))</f>
        <v/>
      </c>
      <c r="K131" s="228" t="str">
        <f>IF($D131="","", VLOOKUP($D131,'Final Update'!$Q$21:$AE1000,Column(M129),False))</f>
        <v/>
      </c>
      <c r="L131" s="228" t="str">
        <f>IF($D131="","", VLOOKUP($D131,'Final Update'!$Q$21:$AE1000,Column(N129),False))</f>
        <v/>
      </c>
      <c r="M131" s="227" t="str">
        <f>IF($D131="","", VLOOKUP($D131,'Final Update'!$Q$21:$AE1000,Column(O129),False))</f>
        <v/>
      </c>
      <c r="N131" s="227" t="str">
        <f>IF($D131="","", VLOOKUP($D131,'Final Update'!$Q$21:$AE1000,Column(C129),False))</f>
        <v/>
      </c>
      <c r="O131" s="163"/>
      <c r="P131" s="163"/>
      <c r="Q131" s="163"/>
      <c r="R131" s="163"/>
      <c r="S131" s="163"/>
      <c r="T131" s="163"/>
      <c r="U131" s="163"/>
      <c r="V131" s="163"/>
      <c r="W131" s="163"/>
      <c r="X131" s="163"/>
      <c r="Y131" s="163"/>
      <c r="Z131" s="163"/>
    </row>
    <row r="132">
      <c r="A132" s="163"/>
      <c r="B132" s="220">
        <f>Projections!$AJ$26</f>
        <v>100</v>
      </c>
      <c r="C132" s="221">
        <v>11.0</v>
      </c>
      <c r="D132" s="230" t="str">
        <f t="array" ref="D132">INDIRECT("Draft!N"&amp;TEXT(A121+2,"0"))</f>
        <v/>
      </c>
      <c r="E132" s="227" t="str">
        <f>IF($D132="","", VLOOKUP($D132,'Final Update'!$Q$21:$AE1000,Column(G130),False))</f>
        <v/>
      </c>
      <c r="F132" s="227" t="str">
        <f>IF($D132="","", VLOOKUP($D132,'Final Update'!$Q$21:$AE1000,Column(H130),False))</f>
        <v/>
      </c>
      <c r="G132" s="227" t="str">
        <f>IF($D132="","", VLOOKUP($D132,'Final Update'!$Q$21:$AE1000,Column(I130),False))</f>
        <v/>
      </c>
      <c r="H132" s="227" t="str">
        <f>IF($D132="","", VLOOKUP($D132,'Final Update'!$Q$21:$AE1000,Column(J130),False))</f>
        <v/>
      </c>
      <c r="I132" s="227" t="str">
        <f>IF($D132="","", VLOOKUP($D132,'Final Update'!$Q$21:$AE1000,Column(K130),False))</f>
        <v/>
      </c>
      <c r="J132" s="227" t="str">
        <f>IF($D132="","", VLOOKUP($D132,'Final Update'!$Q$21:$AE1000,Column(L130),False))</f>
        <v/>
      </c>
      <c r="K132" s="228" t="str">
        <f>IF($D132="","", VLOOKUP($D132,'Final Update'!$Q$21:$AE1000,Column(M130),False))</f>
        <v/>
      </c>
      <c r="L132" s="228" t="str">
        <f>IF($D132="","", VLOOKUP($D132,'Final Update'!$Q$21:$AE1000,Column(N130),False))</f>
        <v/>
      </c>
      <c r="M132" s="227" t="str">
        <f>IF($D132="","", VLOOKUP($D132,'Final Update'!$Q$21:$AE1000,Column(O130),False))</f>
        <v/>
      </c>
      <c r="N132" s="227" t="str">
        <f>IF($D132="","", VLOOKUP($D132,'Final Update'!$Q$21:$AE1000,Column(C130),False))</f>
        <v/>
      </c>
      <c r="O132" s="163"/>
      <c r="P132" s="163"/>
      <c r="Q132" s="163"/>
      <c r="R132" s="163"/>
      <c r="S132" s="163"/>
      <c r="T132" s="163"/>
      <c r="U132" s="163"/>
      <c r="V132" s="163"/>
      <c r="W132" s="163"/>
      <c r="X132" s="163"/>
      <c r="Y132" s="163"/>
      <c r="Z132" s="163"/>
    </row>
    <row r="133">
      <c r="A133" s="163"/>
      <c r="B133" s="220">
        <f>Projections!$AJ$27</f>
        <v>100</v>
      </c>
      <c r="C133" s="221">
        <v>12.0</v>
      </c>
      <c r="D133" s="231" t="str">
        <f t="array" ref="D133">INDIRECT("Draft!O"&amp;TEXT(15-A121,"0"))</f>
        <v/>
      </c>
      <c r="E133" s="227" t="str">
        <f>IF($D133="","", VLOOKUP($D133,'Final Update'!$Q$21:$AE1000,Column(G131),False))</f>
        <v/>
      </c>
      <c r="F133" s="227" t="str">
        <f>IF($D133="","", VLOOKUP($D133,'Final Update'!$Q$21:$AE1000,Column(H131),False))</f>
        <v/>
      </c>
      <c r="G133" s="227" t="str">
        <f>IF($D133="","", VLOOKUP($D133,'Final Update'!$Q$21:$AE1000,Column(I131),False))</f>
        <v/>
      </c>
      <c r="H133" s="227" t="str">
        <f>IF($D133="","", VLOOKUP($D133,'Final Update'!$Q$21:$AE1000,Column(J131),False))</f>
        <v/>
      </c>
      <c r="I133" s="227" t="str">
        <f>IF($D133="","", VLOOKUP($D133,'Final Update'!$Q$21:$AE1000,Column(K131),False))</f>
        <v/>
      </c>
      <c r="J133" s="227" t="str">
        <f>IF($D133="","", VLOOKUP($D133,'Final Update'!$Q$21:$AE1000,Column(L131),False))</f>
        <v/>
      </c>
      <c r="K133" s="228" t="str">
        <f>IF($D133="","", VLOOKUP($D133,'Final Update'!$Q$21:$AE1000,Column(M131),False))</f>
        <v/>
      </c>
      <c r="L133" s="228" t="str">
        <f>IF($D133="","", VLOOKUP($D133,'Final Update'!$Q$21:$AE1000,Column(N131),False))</f>
        <v/>
      </c>
      <c r="M133" s="227" t="str">
        <f>IF($D133="","", VLOOKUP($D133,'Final Update'!$Q$21:$AE1000,Column(O131),False))</f>
        <v/>
      </c>
      <c r="N133" s="227" t="str">
        <f>IF($D133="","", VLOOKUP($D133,'Final Update'!$Q$21:$AE1000,Column(C131),False))</f>
        <v/>
      </c>
      <c r="O133" s="163"/>
      <c r="P133" s="163"/>
      <c r="Q133" s="163"/>
      <c r="R133" s="163"/>
      <c r="S133" s="163"/>
      <c r="T133" s="163"/>
      <c r="U133" s="163"/>
      <c r="V133" s="163"/>
      <c r="W133" s="163"/>
      <c r="X133" s="163"/>
      <c r="Y133" s="163"/>
      <c r="Z133" s="163"/>
    </row>
    <row r="134">
      <c r="A134" s="163"/>
      <c r="B134" s="273">
        <v>75.0</v>
      </c>
      <c r="C134" s="221">
        <v>13.0</v>
      </c>
      <c r="D134" s="230" t="str">
        <f t="array" ref="D134">INDIRECT("Draft!P"&amp;TEXT(A121+2,"0"))</f>
        <v/>
      </c>
      <c r="E134" s="227" t="str">
        <f>IF($D134="","", VLOOKUP($D134,'Final Update'!$Q$21:$AE1000,Column(G132),False))</f>
        <v/>
      </c>
      <c r="F134" s="227" t="str">
        <f>IF($D134="","", VLOOKUP($D134,'Final Update'!$Q$21:$AE1000,Column(H132),False))</f>
        <v/>
      </c>
      <c r="G134" s="227" t="str">
        <f>IF($D134="","", VLOOKUP($D134,'Final Update'!$Q$21:$AE1000,Column(I132),False))</f>
        <v/>
      </c>
      <c r="H134" s="227" t="str">
        <f>IF($D134="","", VLOOKUP($D134,'Final Update'!$Q$21:$AE1000,Column(J132),False))</f>
        <v/>
      </c>
      <c r="I134" s="227" t="str">
        <f>IF($D134="","", VLOOKUP($D134,'Final Update'!$Q$21:$AE1000,Column(K132),False))</f>
        <v/>
      </c>
      <c r="J134" s="227" t="str">
        <f>IF($D134="","", VLOOKUP($D134,'Final Update'!$Q$21:$AE1000,Column(L132),False))</f>
        <v/>
      </c>
      <c r="K134" s="228" t="str">
        <f>IF($D134="","", VLOOKUP($D134,'Final Update'!$Q$21:$AE1000,Column(M132),False))</f>
        <v/>
      </c>
      <c r="L134" s="228" t="str">
        <f>IF($D134="","", VLOOKUP($D134,'Final Update'!$Q$21:$AE1000,Column(N132),False))</f>
        <v/>
      </c>
      <c r="M134" s="227" t="str">
        <f>IF($D134="","", VLOOKUP($D134,'Final Update'!$Q$21:$AE1000,Column(O132),False))</f>
        <v/>
      </c>
      <c r="N134" s="227" t="str">
        <f>IF($D134="","", VLOOKUP($D134,'Final Update'!$Q$21:$AE1000,Column(C132),False))</f>
        <v/>
      </c>
      <c r="O134" s="163"/>
      <c r="P134" s="163"/>
      <c r="Q134" s="163"/>
      <c r="R134" s="163"/>
      <c r="S134" s="163"/>
      <c r="T134" s="163"/>
      <c r="U134" s="163"/>
      <c r="V134" s="163"/>
      <c r="W134" s="163"/>
      <c r="X134" s="163"/>
      <c r="Y134" s="163"/>
      <c r="Z134" s="163"/>
    </row>
    <row r="135">
      <c r="A135" s="163"/>
      <c r="B135" s="220">
        <f>Projections!$AJ$29</f>
        <v>50</v>
      </c>
      <c r="C135" s="221">
        <v>14.0</v>
      </c>
      <c r="D135" s="231" t="str">
        <f t="array" ref="D135">INDIRECT("Draft!Q"&amp;TEXT(15-A121,"0"))</f>
        <v/>
      </c>
      <c r="E135" s="227" t="str">
        <f>IF($D135="","", VLOOKUP($D135,'Final Update'!$Q$21:$AE1000,Column(G133),False))</f>
        <v/>
      </c>
      <c r="F135" s="227" t="str">
        <f>IF($D135="","", VLOOKUP($D135,'Final Update'!$Q$21:$AE1000,Column(H133),False))</f>
        <v/>
      </c>
      <c r="G135" s="227" t="str">
        <f>IF($D135="","", VLOOKUP($D135,'Final Update'!$Q$21:$AE1000,Column(I133),False))</f>
        <v/>
      </c>
      <c r="H135" s="227" t="str">
        <f>IF($D135="","", VLOOKUP($D135,'Final Update'!$Q$21:$AE1000,Column(J133),False))</f>
        <v/>
      </c>
      <c r="I135" s="227" t="str">
        <f>IF($D135="","", VLOOKUP($D135,'Final Update'!$Q$21:$AE1000,Column(K133),False))</f>
        <v/>
      </c>
      <c r="J135" s="227" t="str">
        <f>IF($D135="","", VLOOKUP($D135,'Final Update'!$Q$21:$AE1000,Column(L133),False))</f>
        <v/>
      </c>
      <c r="K135" s="228" t="str">
        <f>IF($D135="","", VLOOKUP($D135,'Final Update'!$Q$21:$AE1000,Column(M133),False))</f>
        <v/>
      </c>
      <c r="L135" s="228" t="str">
        <f>IF($D135="","", VLOOKUP($D135,'Final Update'!$Q$21:$AE1000,Column(N133),False))</f>
        <v/>
      </c>
      <c r="M135" s="227" t="str">
        <f>IF($D135="","", VLOOKUP($D135,'Final Update'!$Q$21:$AE1000,Column(O133),False))</f>
        <v/>
      </c>
      <c r="N135" s="227" t="str">
        <f>IF($D135="","", VLOOKUP($D135,'Final Update'!$Q$21:$AE1000,Column(C133),False))</f>
        <v/>
      </c>
      <c r="O135" s="163"/>
      <c r="P135" s="163"/>
      <c r="Q135" s="163"/>
      <c r="R135" s="163"/>
      <c r="S135" s="163"/>
      <c r="T135" s="163"/>
      <c r="U135" s="163"/>
      <c r="V135" s="163"/>
      <c r="W135" s="163"/>
      <c r="X135" s="163"/>
      <c r="Y135" s="163"/>
      <c r="Z135" s="163"/>
    </row>
    <row r="136">
      <c r="A136" s="216" t="s">
        <v>5</v>
      </c>
      <c r="B136" s="163"/>
      <c r="C136" s="163"/>
      <c r="D136" s="219" t="s">
        <v>1328</v>
      </c>
      <c r="E136" s="233" t="str">
        <f t="shared" ref="E136:J136" si="8">IFERROR(AVERAGE(SUMPRODUCT(E122:E135,$B122:$B135/100))/(SUM(OFFSET($B122,0,0,COUNT(E122:E135)))/100),"")</f>
        <v/>
      </c>
      <c r="F136" s="233" t="str">
        <f t="shared" si="8"/>
        <v/>
      </c>
      <c r="G136" s="233" t="str">
        <f t="shared" si="8"/>
        <v/>
      </c>
      <c r="H136" s="233" t="str">
        <f t="shared" si="8"/>
        <v/>
      </c>
      <c r="I136" s="233" t="str">
        <f t="shared" si="8"/>
        <v/>
      </c>
      <c r="J136" s="233" t="str">
        <f t="shared" si="8"/>
        <v/>
      </c>
      <c r="K136" s="233" t="str">
        <f t="array" ref="K136">IFERROR(100*SUMPRODUCT(IFERROR(VLOOKUP($D122:$D135,UpdateHashtag!$C:$S,6,False),"")*$B122:$B135/100)/SUMPRODUCT(IFERROR(VLOOKUP($D122:$D135,UpdateHashtag!$C:$S,17,False),"")*$B122:$B135/100),"")</f>
        <v/>
      </c>
      <c r="L136" s="233" t="str">
        <f t="array" ref="L136">IFERROR(100*SUMPRODUCT(IFERROR(VLOOKUP($D122:$D135,UpdateHashtag!$C:$T,8,False),"")*$B122:$B135/100)/SUMPRODUCT(IFERROR(VLOOKUP($D122:$D135,UpdateHashtag!$C:$T,18,False),"")*$B122:$B135/100),"")</f>
        <v/>
      </c>
      <c r="M136" s="233" t="str">
        <f>IFERROR(AVERAGE(SUMPRODUCT(M122:M135,$B122:$B135/100))/(SUM(OFFSET($B122,0,0,COUNT(M122:M135)))/100),"")</f>
        <v/>
      </c>
      <c r="N136" s="163"/>
      <c r="O136" s="163"/>
      <c r="P136" s="163"/>
      <c r="Q136" s="163"/>
      <c r="R136" s="163"/>
      <c r="S136" s="163"/>
      <c r="T136" s="163"/>
      <c r="U136" s="163"/>
      <c r="V136" s="163"/>
      <c r="W136" s="163"/>
      <c r="X136" s="163"/>
      <c r="Y136" s="163"/>
      <c r="Z136" s="163"/>
    </row>
    <row r="137">
      <c r="A137" s="163"/>
      <c r="B137" s="163"/>
      <c r="C137" s="163"/>
      <c r="D137" s="219" t="s">
        <v>1329</v>
      </c>
      <c r="E137" s="234" t="str">
        <f>IFERROR((SUM(OFFSET('All Teams'!$B122,0,0,COUNT('All Teams'!E122:E135)))/100)*('All Teams'!E136-'Final Update'!$B$1)/'Final Update'!$B$2,"")</f>
        <v/>
      </c>
      <c r="F137" s="234" t="str">
        <f>IFERROR((SUM(OFFSET('All Teams'!$B122,0,0,COUNT('All Teams'!F122:F135)))/100)*('All Teams'!F136-'Final Update'!$C$1)/'Final Update'!$C$2,"")</f>
        <v/>
      </c>
      <c r="G137" s="234" t="str">
        <f>IFERROR((SUM(OFFSET('All Teams'!$B122,0,0,COUNT('All Teams'!G122:G135)))/100)*('All Teams'!G136-'Final Update'!$D$1)/'Final Update'!$D$2,"")</f>
        <v/>
      </c>
      <c r="H137" s="234" t="str">
        <f>IFERROR((SUM(OFFSET('All Teams'!$B122,0,0,COUNT('All Teams'!H122:H135)))/100)*('All Teams'!H136-'Final Update'!$E$1)/'Final Update'!$E$2,"")</f>
        <v/>
      </c>
      <c r="I137" s="234" t="str">
        <f>IFERROR((SUM(OFFSET('All Teams'!$B122,0,0,COUNT('All Teams'!I122:I135)))/100)*('All Teams'!I136-'Final Update'!$F$1)/'Final Update'!$F$2,"")</f>
        <v/>
      </c>
      <c r="J137" s="234" t="str">
        <f>IFERROR((SUM(OFFSET('All Teams'!$B122,0,0,COUNT('All Teams'!J122:J135)))/100)*('All Teams'!J136-'Final Update'!$G$1)/'Final Update'!$G$2,"")</f>
        <v/>
      </c>
      <c r="K137" s="234">
        <f t="array" ref="K137">SUMPRODUCT(IFERROR(VLOOKUP($D122:$D135,'Final Update'!$A$4:$L$403,8,False)*$B122:$B135/100,""))</f>
        <v>0</v>
      </c>
      <c r="L137" s="234">
        <f t="array" ref="L137">SUMPRODUCT(IFERROR(VLOOKUP($D122:$D135,'Final Update'!$A$4:$L$403,10,False)*$B122:$B135/100,""))</f>
        <v>0</v>
      </c>
      <c r="M137" s="234" t="str">
        <f>IFERROR(-(SUM(OFFSET('All Teams'!$B122,0,0,COUNT('All Teams'!M122:M135)))/100)*('All Teams'!M136-'Final Update'!$L$1)/'Final Update'!$L$2,"")</f>
        <v/>
      </c>
      <c r="N137" s="163"/>
      <c r="O137" s="163"/>
      <c r="P137" s="163"/>
      <c r="Q137" s="163"/>
      <c r="R137" s="163"/>
      <c r="S137" s="163"/>
      <c r="T137" s="163"/>
      <c r="U137" s="163"/>
      <c r="V137" s="163"/>
      <c r="W137" s="163"/>
      <c r="X137" s="163"/>
      <c r="Y137" s="163"/>
      <c r="Z137" s="163"/>
    </row>
    <row r="138">
      <c r="A138" s="217">
        <v>9.0</v>
      </c>
      <c r="B138" s="218" t="s">
        <v>220</v>
      </c>
      <c r="C138" s="219" t="s">
        <v>222</v>
      </c>
      <c r="D138" s="218" t="s">
        <v>1242</v>
      </c>
      <c r="E138" s="218" t="s">
        <v>10</v>
      </c>
      <c r="F138" s="218" t="s">
        <v>109</v>
      </c>
      <c r="G138" s="218" t="s">
        <v>110</v>
      </c>
      <c r="H138" s="218" t="s">
        <v>12</v>
      </c>
      <c r="I138" s="218" t="s">
        <v>13</v>
      </c>
      <c r="J138" s="218" t="s">
        <v>14</v>
      </c>
      <c r="K138" s="218" t="s">
        <v>8</v>
      </c>
      <c r="L138" s="218" t="s">
        <v>9</v>
      </c>
      <c r="M138" s="218" t="s">
        <v>15</v>
      </c>
      <c r="N138" s="218" t="s">
        <v>4</v>
      </c>
      <c r="O138" s="218" t="s">
        <v>227</v>
      </c>
      <c r="P138" s="218" t="s">
        <v>4</v>
      </c>
      <c r="Q138" s="163"/>
      <c r="R138" s="163"/>
      <c r="S138" s="163"/>
      <c r="T138" s="163"/>
      <c r="U138" s="163"/>
      <c r="V138" s="163"/>
      <c r="W138" s="163"/>
      <c r="X138" s="163"/>
      <c r="Y138" s="163"/>
      <c r="Z138" s="163"/>
    </row>
    <row r="139">
      <c r="A139" s="163"/>
      <c r="B139" s="220">
        <f>Projections!$AJ$16</f>
        <v>100</v>
      </c>
      <c r="C139" s="221">
        <v>1.0</v>
      </c>
      <c r="D139" s="222" t="str">
        <f t="array" ref="D139">INDIRECT("Draft!D"&amp;TEXT(A138+2,"0"))</f>
        <v/>
      </c>
      <c r="E139" s="223" t="str">
        <f>IF($D139="","", VLOOKUP($D139,'Final Update'!$Q$21:$AE1000,Column(G137),False))</f>
        <v/>
      </c>
      <c r="F139" s="223" t="str">
        <f>IF($D139="","", VLOOKUP($D139,'Final Update'!$Q$21:$AE1000,Column(H137),False))</f>
        <v/>
      </c>
      <c r="G139" s="223" t="str">
        <f>IF($D139="","", VLOOKUP($D139,'Final Update'!$Q$21:$AE1000,Column(I137),False))</f>
        <v/>
      </c>
      <c r="H139" s="223" t="str">
        <f>IF($D139="","", VLOOKUP($D139,'Final Update'!$Q$21:$AE1000,Column(J137),False))</f>
        <v/>
      </c>
      <c r="I139" s="223" t="str">
        <f>IF($D139="","", VLOOKUP($D139,'Final Update'!$Q$21:$AE1000,Column(K137),False))</f>
        <v/>
      </c>
      <c r="J139" s="223" t="str">
        <f>IF($D139="","", VLOOKUP($D139,'Final Update'!$Q$21:$AE1000,Column(L137),False))</f>
        <v/>
      </c>
      <c r="K139" s="224" t="str">
        <f>IF($D139="","", VLOOKUP($D139,'Final Update'!$Q$21:$AE1000,Column(M137),False))</f>
        <v/>
      </c>
      <c r="L139" s="224" t="str">
        <f>IF($D139="","", VLOOKUP($D139,'Final Update'!$Q$21:$AE1000,Column(N137),False))</f>
        <v/>
      </c>
      <c r="M139" s="223" t="str">
        <f>IF($D139="","", VLOOKUP($D139,'Final Update'!$Q$21:$AE1000,Column(O137),False))</f>
        <v/>
      </c>
      <c r="N139" s="223" t="str">
        <f>IF($D139="","", VLOOKUP($D139,'Final Update'!$Q$21:$AE1000,Column(C137),False))</f>
        <v/>
      </c>
      <c r="O139" s="221">
        <f t="array" ref="O139">COUNTIF(FIND(P139,$N139:$N152),"&gt;0")</f>
        <v>0</v>
      </c>
      <c r="P139" s="222" t="s">
        <v>46</v>
      </c>
      <c r="Q139" s="163"/>
      <c r="R139" s="163"/>
      <c r="S139" s="163"/>
      <c r="T139" s="163"/>
      <c r="U139" s="163"/>
      <c r="V139" s="163"/>
      <c r="W139" s="163"/>
      <c r="X139" s="163"/>
      <c r="Y139" s="163"/>
      <c r="Z139" s="163"/>
    </row>
    <row r="140">
      <c r="A140" s="163"/>
      <c r="B140" s="220">
        <f>Projections!$AJ$17</f>
        <v>100</v>
      </c>
      <c r="C140" s="221">
        <v>2.0</v>
      </c>
      <c r="D140" s="225" t="str">
        <f t="array" ref="D140">INDIRECT("Draft!E"&amp;TEXT(15-A138,"0"))</f>
        <v/>
      </c>
      <c r="E140" s="223" t="str">
        <f>IF($D140="","", VLOOKUP($D140,'Final Update'!$Q$21:$AE1000,Column(G138),False))</f>
        <v/>
      </c>
      <c r="F140" s="223" t="str">
        <f>IF($D140="","", VLOOKUP($D140,'Final Update'!$Q$21:$AE1000,Column(H138),False))</f>
        <v/>
      </c>
      <c r="G140" s="223" t="str">
        <f>IF($D140="","", VLOOKUP($D140,'Final Update'!$Q$21:$AE1000,Column(I138),False))</f>
        <v/>
      </c>
      <c r="H140" s="223" t="str">
        <f>IF($D140="","", VLOOKUP($D140,'Final Update'!$Q$21:$AE1000,Column(J138),False))</f>
        <v/>
      </c>
      <c r="I140" s="223" t="str">
        <f>IF($D140="","", VLOOKUP($D140,'Final Update'!$Q$21:$AE1000,Column(K138),False))</f>
        <v/>
      </c>
      <c r="J140" s="223" t="str">
        <f>IF($D140="","", VLOOKUP($D140,'Final Update'!$Q$21:$AE1000,Column(L138),False))</f>
        <v/>
      </c>
      <c r="K140" s="224" t="str">
        <f>IF($D140="","", VLOOKUP($D140,'Final Update'!$Q$21:$AE1000,Column(M138),False))</f>
        <v/>
      </c>
      <c r="L140" s="224" t="str">
        <f>IF($D140="","", VLOOKUP($D140,'Final Update'!$Q$21:$AE1000,Column(N138),False))</f>
        <v/>
      </c>
      <c r="M140" s="223" t="str">
        <f>IF($D140="","", VLOOKUP($D140,'Final Update'!$Q$21:$AE1000,Column(O138),False))</f>
        <v/>
      </c>
      <c r="N140" s="223" t="str">
        <f>IF($D140="","", VLOOKUP($D140,'Final Update'!$Q$21:$AE1000,Column(C138),False))</f>
        <v/>
      </c>
      <c r="O140" s="221">
        <f t="array" ref="O140">COUNTIF(FIND(P140,$N139:$N152),"&gt;0")</f>
        <v>0</v>
      </c>
      <c r="P140" s="222" t="s">
        <v>47</v>
      </c>
      <c r="Q140" s="163"/>
      <c r="R140" s="163"/>
      <c r="S140" s="163"/>
      <c r="T140" s="163"/>
      <c r="U140" s="163"/>
      <c r="V140" s="163"/>
      <c r="W140" s="163"/>
      <c r="X140" s="163"/>
      <c r="Y140" s="163"/>
      <c r="Z140" s="163"/>
    </row>
    <row r="141">
      <c r="A141" s="163"/>
      <c r="B141" s="220">
        <f>Projections!$AJ$18</f>
        <v>100</v>
      </c>
      <c r="C141" s="221">
        <v>3.0</v>
      </c>
      <c r="D141" s="226" t="str">
        <f t="array" ref="D141">INDIRECT("Draft!F"&amp;TEXT(A138+2,"0"))</f>
        <v/>
      </c>
      <c r="E141" s="227" t="str">
        <f>IF($D141="","", VLOOKUP($D141,'Final Update'!$Q$21:$AE1000,Column(G139),False))</f>
        <v/>
      </c>
      <c r="F141" s="227" t="str">
        <f>IF($D141="","", VLOOKUP($D141,'Final Update'!$Q$21:$AE1000,Column(H139),False))</f>
        <v/>
      </c>
      <c r="G141" s="227" t="str">
        <f>IF($D141="","", VLOOKUP($D141,'Final Update'!$Q$21:$AE1000,Column(I139),False))</f>
        <v/>
      </c>
      <c r="H141" s="227" t="str">
        <f>IF($D141="","", VLOOKUP($D141,'Final Update'!$Q$21:$AE1000,Column(J139),False))</f>
        <v/>
      </c>
      <c r="I141" s="227" t="str">
        <f>IF($D141="","", VLOOKUP($D141,'Final Update'!$Q$21:$AE1000,Column(K139),False))</f>
        <v/>
      </c>
      <c r="J141" s="227" t="str">
        <f>IF($D141="","", VLOOKUP($D141,'Final Update'!$Q$21:$AE1000,Column(L139),False))</f>
        <v/>
      </c>
      <c r="K141" s="228" t="str">
        <f>IF($D141="","", VLOOKUP($D141,'Final Update'!$Q$21:$AE1000,Column(M139),False))</f>
        <v/>
      </c>
      <c r="L141" s="228" t="str">
        <f>IF($D141="","", VLOOKUP($D141,'Final Update'!$Q$21:$AE1000,Column(N139),False))</f>
        <v/>
      </c>
      <c r="M141" s="227" t="str">
        <f>IF($D141="","", VLOOKUP($D141,'Final Update'!$Q$21:$AE1000,Column(O139),False))</f>
        <v/>
      </c>
      <c r="N141" s="227" t="str">
        <f>IF($D141="","", VLOOKUP($D141,'Final Update'!$Q$21:$AE1000,Column(C139),False))</f>
        <v/>
      </c>
      <c r="O141" s="221">
        <f t="array" ref="O141">COUNTIF(FIND(P141,$N139:$N152),"&gt;0")</f>
        <v>0</v>
      </c>
      <c r="P141" s="222" t="s">
        <v>48</v>
      </c>
      <c r="Q141" s="163"/>
      <c r="R141" s="163"/>
      <c r="S141" s="163"/>
      <c r="T141" s="163"/>
      <c r="U141" s="163"/>
      <c r="V141" s="163"/>
      <c r="W141" s="163"/>
      <c r="X141" s="163"/>
      <c r="Y141" s="163"/>
      <c r="Z141" s="163"/>
    </row>
    <row r="142">
      <c r="A142" s="163"/>
      <c r="B142" s="220">
        <f>Projections!$AJ$19</f>
        <v>100</v>
      </c>
      <c r="C142" s="221">
        <v>4.0</v>
      </c>
      <c r="D142" s="229" t="str">
        <f t="array" ref="D142">INDIRECT("Draft!G"&amp;TEXT(15-A138,"0"))</f>
        <v/>
      </c>
      <c r="E142" s="227" t="str">
        <f>IF($D142="","", VLOOKUP($D142,'Final Update'!$Q$21:$AE1000,Column(G140),False))</f>
        <v/>
      </c>
      <c r="F142" s="227" t="str">
        <f>IF($D142="","", VLOOKUP($D142,'Final Update'!$Q$21:$AE1000,Column(H140),False))</f>
        <v/>
      </c>
      <c r="G142" s="227" t="str">
        <f>IF($D142="","", VLOOKUP($D142,'Final Update'!$Q$21:$AE1000,Column(I140),False))</f>
        <v/>
      </c>
      <c r="H142" s="227" t="str">
        <f>IF($D142="","", VLOOKUP($D142,'Final Update'!$Q$21:$AE1000,Column(J140),False))</f>
        <v/>
      </c>
      <c r="I142" s="227" t="str">
        <f>IF($D142="","", VLOOKUP($D142,'Final Update'!$Q$21:$AE1000,Column(K140),False))</f>
        <v/>
      </c>
      <c r="J142" s="227" t="str">
        <f>IF($D142="","", VLOOKUP($D142,'Final Update'!$Q$21:$AE1000,Column(L140),False))</f>
        <v/>
      </c>
      <c r="K142" s="228" t="str">
        <f>IF($D142="","", VLOOKUP($D142,'Final Update'!$Q$21:$AE1000,Column(M140),False))</f>
        <v/>
      </c>
      <c r="L142" s="228" t="str">
        <f>IF($D142="","", VLOOKUP($D142,'Final Update'!$Q$21:$AE1000,Column(N140),False))</f>
        <v/>
      </c>
      <c r="M142" s="227" t="str">
        <f>IF($D142="","", VLOOKUP($D142,'Final Update'!$Q$21:$AE1000,Column(O140),False))</f>
        <v/>
      </c>
      <c r="N142" s="227" t="str">
        <f>IF($D142="","", VLOOKUP($D142,'Final Update'!$Q$21:$AE1000,Column(C140),False))</f>
        <v/>
      </c>
      <c r="O142" s="221">
        <f t="array" ref="O142">COUNTIF(FIND(P142,$N139:$N152),"&gt;0")</f>
        <v>0</v>
      </c>
      <c r="P142" s="222" t="s">
        <v>49</v>
      </c>
      <c r="Q142" s="163"/>
      <c r="R142" s="163"/>
      <c r="S142" s="163"/>
      <c r="T142" s="163"/>
      <c r="U142" s="163"/>
      <c r="V142" s="163"/>
      <c r="W142" s="163"/>
      <c r="X142" s="163"/>
      <c r="Y142" s="163"/>
      <c r="Z142" s="163"/>
    </row>
    <row r="143">
      <c r="A143" s="163"/>
      <c r="B143" s="220">
        <f>Projections!$AJ$20</f>
        <v>100</v>
      </c>
      <c r="C143" s="221">
        <v>5.0</v>
      </c>
      <c r="D143" s="230" t="str">
        <f t="array" ref="D143">INDIRECT("Draft!H"&amp;TEXT(A138+2,"0"))</f>
        <v/>
      </c>
      <c r="E143" s="227" t="str">
        <f>IF($D143="","", VLOOKUP($D143,'Final Update'!$Q$21:$AE1000,Column(G141),False))</f>
        <v/>
      </c>
      <c r="F143" s="227" t="str">
        <f>IF($D143="","", VLOOKUP($D143,'Final Update'!$Q$21:$AE1000,Column(H141),False))</f>
        <v/>
      </c>
      <c r="G143" s="227" t="str">
        <f>IF($D143="","", VLOOKUP($D143,'Final Update'!$Q$21:$AE1000,Column(I141),False))</f>
        <v/>
      </c>
      <c r="H143" s="227" t="str">
        <f>IF($D143="","", VLOOKUP($D143,'Final Update'!$Q$21:$AE1000,Column(J141),False))</f>
        <v/>
      </c>
      <c r="I143" s="227" t="str">
        <f>IF($D143="","", VLOOKUP($D143,'Final Update'!$Q$21:$AE1000,Column(K141),False))</f>
        <v/>
      </c>
      <c r="J143" s="227" t="str">
        <f>IF($D143="","", VLOOKUP($D143,'Final Update'!$Q$21:$AE1000,Column(L141),False))</f>
        <v/>
      </c>
      <c r="K143" s="228" t="str">
        <f>IF($D143="","", VLOOKUP($D143,'Final Update'!$Q$21:$AE1000,Column(M141),False))</f>
        <v/>
      </c>
      <c r="L143" s="228" t="str">
        <f>IF($D143="","", VLOOKUP($D143,'Final Update'!$Q$21:$AE1000,Column(N141),False))</f>
        <v/>
      </c>
      <c r="M143" s="227" t="str">
        <f>IF($D143="","", VLOOKUP($D143,'Final Update'!$Q$21:$AE1000,Column(O141),False))</f>
        <v/>
      </c>
      <c r="N143" s="227" t="str">
        <f>IF($D143="","", VLOOKUP($D143,'Final Update'!$Q$21:$AE1000,Column(C141),False))</f>
        <v/>
      </c>
      <c r="O143" s="221">
        <f t="array" ref="O143">COUNTIF(FIND(P143,$N139:$N152),"&gt;0")</f>
        <v>0</v>
      </c>
      <c r="P143" s="222" t="s">
        <v>34</v>
      </c>
      <c r="Q143" s="163"/>
      <c r="R143" s="163"/>
      <c r="S143" s="163"/>
      <c r="T143" s="163"/>
      <c r="U143" s="163"/>
      <c r="V143" s="163"/>
      <c r="W143" s="163"/>
      <c r="X143" s="163"/>
      <c r="Y143" s="163"/>
      <c r="Z143" s="163"/>
    </row>
    <row r="144">
      <c r="A144" s="163"/>
      <c r="B144" s="220">
        <f>Projections!$AJ$21</f>
        <v>100</v>
      </c>
      <c r="C144" s="221">
        <v>6.0</v>
      </c>
      <c r="D144" s="231" t="str">
        <f t="array" ref="D144">INDIRECT("Draft!I"&amp;TEXT(15-A138,"0"))</f>
        <v/>
      </c>
      <c r="E144" s="227" t="str">
        <f>IF($D144="","", VLOOKUP($D144,'Final Update'!$Q$21:$AE1000,Column(G142),False))</f>
        <v/>
      </c>
      <c r="F144" s="227" t="str">
        <f>IF($D144="","", VLOOKUP($D144,'Final Update'!$Q$21:$AE1000,Column(H142),False))</f>
        <v/>
      </c>
      <c r="G144" s="227" t="str">
        <f>IF($D144="","", VLOOKUP($D144,'Final Update'!$Q$21:$AE1000,Column(I142),False))</f>
        <v/>
      </c>
      <c r="H144" s="227" t="str">
        <f>IF($D144="","", VLOOKUP($D144,'Final Update'!$Q$21:$AE1000,Column(J142),False))</f>
        <v/>
      </c>
      <c r="I144" s="227" t="str">
        <f>IF($D144="","", VLOOKUP($D144,'Final Update'!$Q$21:$AE1000,Column(K142),False))</f>
        <v/>
      </c>
      <c r="J144" s="227" t="str">
        <f>IF($D144="","", VLOOKUP($D144,'Final Update'!$Q$21:$AE1000,Column(L142),False))</f>
        <v/>
      </c>
      <c r="K144" s="228" t="str">
        <f>IF($D144="","", VLOOKUP($D144,'Final Update'!$Q$21:$AE1000,Column(M142),False))</f>
        <v/>
      </c>
      <c r="L144" s="228" t="str">
        <f>IF($D144="","", VLOOKUP($D144,'Final Update'!$Q$21:$AE1000,Column(N142),False))</f>
        <v/>
      </c>
      <c r="M144" s="227" t="str">
        <f>IF($D144="","", VLOOKUP($D144,'Final Update'!$Q$21:$AE1000,Column(O142),False))</f>
        <v/>
      </c>
      <c r="N144" s="227" t="str">
        <f>IF($D144="","", VLOOKUP($D144,'Final Update'!$Q$21:$AE1000,Column(C142),False))</f>
        <v/>
      </c>
      <c r="O144" s="163"/>
      <c r="P144" s="163"/>
      <c r="Q144" s="163"/>
      <c r="R144" s="163"/>
      <c r="S144" s="163"/>
      <c r="T144" s="163"/>
      <c r="U144" s="163"/>
      <c r="V144" s="163"/>
      <c r="W144" s="163"/>
      <c r="X144" s="163"/>
      <c r="Y144" s="163"/>
      <c r="Z144" s="163"/>
    </row>
    <row r="145">
      <c r="A145" s="163"/>
      <c r="B145" s="220">
        <f>Projections!$AJ$22</f>
        <v>100</v>
      </c>
      <c r="C145" s="221">
        <v>7.0</v>
      </c>
      <c r="D145" s="230" t="str">
        <f t="array" ref="D145">INDIRECT("Draft!J"&amp;TEXT(A138+2,"0"))</f>
        <v/>
      </c>
      <c r="E145" s="227" t="str">
        <f>IF($D145="","", VLOOKUP($D145,'Final Update'!$Q$21:$AE1000,Column(G143),False))</f>
        <v/>
      </c>
      <c r="F145" s="227" t="str">
        <f>IF($D145="","", VLOOKUP($D145,'Final Update'!$Q$21:$AE1000,Column(H143),False))</f>
        <v/>
      </c>
      <c r="G145" s="227" t="str">
        <f>IF($D145="","", VLOOKUP($D145,'Final Update'!$Q$21:$AE1000,Column(I143),False))</f>
        <v/>
      </c>
      <c r="H145" s="227" t="str">
        <f>IF($D145="","", VLOOKUP($D145,'Final Update'!$Q$21:$AE1000,Column(J143),False))</f>
        <v/>
      </c>
      <c r="I145" s="227" t="str">
        <f>IF($D145="","", VLOOKUP($D145,'Final Update'!$Q$21:$AE1000,Column(K143),False))</f>
        <v/>
      </c>
      <c r="J145" s="227" t="str">
        <f>IF($D145="","", VLOOKUP($D145,'Final Update'!$Q$21:$AE1000,Column(L143),False))</f>
        <v/>
      </c>
      <c r="K145" s="228" t="str">
        <f>IF($D145="","", VLOOKUP($D145,'Final Update'!$Q$21:$AE1000,Column(M143),False))</f>
        <v/>
      </c>
      <c r="L145" s="228" t="str">
        <f>IF($D145="","", VLOOKUP($D145,'Final Update'!$Q$21:$AE1000,Column(N143),False))</f>
        <v/>
      </c>
      <c r="M145" s="227" t="str">
        <f>IF($D145="","", VLOOKUP($D145,'Final Update'!$Q$21:$AE1000,Column(O143),False))</f>
        <v/>
      </c>
      <c r="N145" s="227" t="str">
        <f>IF($D145="","", VLOOKUP($D145,'Final Update'!$Q$21:$AE1000,Column(C143),False))</f>
        <v/>
      </c>
      <c r="O145" s="163"/>
      <c r="P145" s="163"/>
      <c r="Q145" s="163"/>
      <c r="R145" s="163"/>
      <c r="S145" s="163"/>
      <c r="T145" s="163"/>
      <c r="U145" s="163"/>
      <c r="V145" s="163"/>
      <c r="W145" s="163"/>
      <c r="X145" s="163"/>
      <c r="Y145" s="163"/>
      <c r="Z145" s="163"/>
    </row>
    <row r="146">
      <c r="A146" s="163"/>
      <c r="B146" s="220">
        <f>Projections!$AJ$23</f>
        <v>100</v>
      </c>
      <c r="C146" s="221">
        <v>8.0</v>
      </c>
      <c r="D146" s="231" t="str">
        <f t="array" ref="D146">INDIRECT("Draft!K"&amp;TEXT(15-A138,"0"))</f>
        <v/>
      </c>
      <c r="E146" s="227" t="str">
        <f>IF($D146="","", VLOOKUP($D146,'Final Update'!$Q$21:$AE1000,Column(G144),False))</f>
        <v/>
      </c>
      <c r="F146" s="227" t="str">
        <f>IF($D146="","", VLOOKUP($D146,'Final Update'!$Q$21:$AE1000,Column(H144),False))</f>
        <v/>
      </c>
      <c r="G146" s="227" t="str">
        <f>IF($D146="","", VLOOKUP($D146,'Final Update'!$Q$21:$AE1000,Column(I144),False))</f>
        <v/>
      </c>
      <c r="H146" s="227" t="str">
        <f>IF($D146="","", VLOOKUP($D146,'Final Update'!$Q$21:$AE1000,Column(J144),False))</f>
        <v/>
      </c>
      <c r="I146" s="227" t="str">
        <f>IF($D146="","", VLOOKUP($D146,'Final Update'!$Q$21:$AE1000,Column(K144),False))</f>
        <v/>
      </c>
      <c r="J146" s="227" t="str">
        <f>IF($D146="","", VLOOKUP($D146,'Final Update'!$Q$21:$AE1000,Column(L144),False))</f>
        <v/>
      </c>
      <c r="K146" s="228" t="str">
        <f>IF($D146="","", VLOOKUP($D146,'Final Update'!$Q$21:$AE1000,Column(M144),False))</f>
        <v/>
      </c>
      <c r="L146" s="228" t="str">
        <f>IF($D146="","", VLOOKUP($D146,'Final Update'!$Q$21:$AE1000,Column(N144),False))</f>
        <v/>
      </c>
      <c r="M146" s="227" t="str">
        <f>IF($D146="","", VLOOKUP($D146,'Final Update'!$Q$21:$AE1000,Column(O144),False))</f>
        <v/>
      </c>
      <c r="N146" s="227" t="str">
        <f>IF($D146="","", VLOOKUP($D146,'Final Update'!$Q$21:$AE1000,Column(C144),False))</f>
        <v/>
      </c>
      <c r="O146" s="163"/>
      <c r="P146" s="163"/>
      <c r="Q146" s="163"/>
      <c r="R146" s="163"/>
      <c r="S146" s="163"/>
      <c r="T146" s="163"/>
      <c r="U146" s="163"/>
      <c r="V146" s="163"/>
      <c r="W146" s="163"/>
      <c r="X146" s="163"/>
      <c r="Y146" s="163"/>
      <c r="Z146" s="163"/>
    </row>
    <row r="147">
      <c r="A147" s="163"/>
      <c r="B147" s="220">
        <f>Projections!$AJ$24</f>
        <v>100</v>
      </c>
      <c r="C147" s="221">
        <v>9.0</v>
      </c>
      <c r="D147" s="230" t="str">
        <f t="array" ref="D147">INDIRECT("Draft!L"&amp;TEXT(A138+2,"0"))</f>
        <v/>
      </c>
      <c r="E147" s="227" t="str">
        <f>IF($D147="","", VLOOKUP($D147,'Final Update'!$Q$21:$AE1000,Column(G145),False))</f>
        <v/>
      </c>
      <c r="F147" s="227" t="str">
        <f>IF($D147="","", VLOOKUP($D147,'Final Update'!$Q$21:$AE1000,Column(H145),False))</f>
        <v/>
      </c>
      <c r="G147" s="227" t="str">
        <f>IF($D147="","", VLOOKUP($D147,'Final Update'!$Q$21:$AE1000,Column(I145),False))</f>
        <v/>
      </c>
      <c r="H147" s="227" t="str">
        <f>IF($D147="","", VLOOKUP($D147,'Final Update'!$Q$21:$AE1000,Column(J145),False))</f>
        <v/>
      </c>
      <c r="I147" s="227" t="str">
        <f>IF($D147="","", VLOOKUP($D147,'Final Update'!$Q$21:$AE1000,Column(K145),False))</f>
        <v/>
      </c>
      <c r="J147" s="227" t="str">
        <f>IF($D147="","", VLOOKUP($D147,'Final Update'!$Q$21:$AE1000,Column(L145),False))</f>
        <v/>
      </c>
      <c r="K147" s="228" t="str">
        <f>IF($D147="","", VLOOKUP($D147,'Final Update'!$Q$21:$AE1000,Column(M145),False))</f>
        <v/>
      </c>
      <c r="L147" s="228" t="str">
        <f>IF($D147="","", VLOOKUP($D147,'Final Update'!$Q$21:$AE1000,Column(N145),False))</f>
        <v/>
      </c>
      <c r="M147" s="227" t="str">
        <f>IF($D147="","", VLOOKUP($D147,'Final Update'!$Q$21:$AE1000,Column(O145),False))</f>
        <v/>
      </c>
      <c r="N147" s="227" t="str">
        <f>IF($D147="","", VLOOKUP($D147,'Final Update'!$Q$21:$AE1000,Column(C145),False))</f>
        <v/>
      </c>
      <c r="O147" s="163"/>
      <c r="P147" s="163"/>
      <c r="Q147" s="163"/>
      <c r="R147" s="163"/>
      <c r="S147" s="163"/>
      <c r="T147" s="163"/>
      <c r="U147" s="163"/>
      <c r="V147" s="163"/>
      <c r="W147" s="163"/>
      <c r="X147" s="163"/>
      <c r="Y147" s="163"/>
      <c r="Z147" s="163"/>
    </row>
    <row r="148">
      <c r="A148" s="163"/>
      <c r="B148" s="220">
        <f>Projections!$AJ$25</f>
        <v>100</v>
      </c>
      <c r="C148" s="221">
        <v>10.0</v>
      </c>
      <c r="D148" s="231" t="str">
        <f t="array" ref="D148">INDIRECT("Draft!M"&amp;TEXT(15-A138,"0"))</f>
        <v/>
      </c>
      <c r="E148" s="227" t="str">
        <f>IF($D148="","", VLOOKUP($D148,'Final Update'!$Q$21:$AE1000,Column(G146),False))</f>
        <v/>
      </c>
      <c r="F148" s="227" t="str">
        <f>IF($D148="","", VLOOKUP($D148,'Final Update'!$Q$21:$AE1000,Column(H146),False))</f>
        <v/>
      </c>
      <c r="G148" s="227" t="str">
        <f>IF($D148="","", VLOOKUP($D148,'Final Update'!$Q$21:$AE1000,Column(I146),False))</f>
        <v/>
      </c>
      <c r="H148" s="227" t="str">
        <f>IF($D148="","", VLOOKUP($D148,'Final Update'!$Q$21:$AE1000,Column(J146),False))</f>
        <v/>
      </c>
      <c r="I148" s="227" t="str">
        <f>IF($D148="","", VLOOKUP($D148,'Final Update'!$Q$21:$AE1000,Column(K146),False))</f>
        <v/>
      </c>
      <c r="J148" s="227" t="str">
        <f>IF($D148="","", VLOOKUP($D148,'Final Update'!$Q$21:$AE1000,Column(L146),False))</f>
        <v/>
      </c>
      <c r="K148" s="228" t="str">
        <f>IF($D148="","", VLOOKUP($D148,'Final Update'!$Q$21:$AE1000,Column(M146),False))</f>
        <v/>
      </c>
      <c r="L148" s="228" t="str">
        <f>IF($D148="","", VLOOKUP($D148,'Final Update'!$Q$21:$AE1000,Column(N146),False))</f>
        <v/>
      </c>
      <c r="M148" s="227" t="str">
        <f>IF($D148="","", VLOOKUP($D148,'Final Update'!$Q$21:$AE1000,Column(O146),False))</f>
        <v/>
      </c>
      <c r="N148" s="227" t="str">
        <f>IF($D148="","", VLOOKUP($D148,'Final Update'!$Q$21:$AE1000,Column(C146),False))</f>
        <v/>
      </c>
      <c r="O148" s="163"/>
      <c r="P148" s="163"/>
      <c r="Q148" s="163"/>
      <c r="R148" s="163"/>
      <c r="S148" s="163"/>
      <c r="T148" s="163"/>
      <c r="U148" s="163"/>
      <c r="V148" s="163"/>
      <c r="W148" s="163"/>
      <c r="X148" s="163"/>
      <c r="Y148" s="163"/>
      <c r="Z148" s="163"/>
    </row>
    <row r="149">
      <c r="A149" s="163"/>
      <c r="B149" s="220">
        <f>Projections!$AJ$26</f>
        <v>100</v>
      </c>
      <c r="C149" s="221">
        <v>11.0</v>
      </c>
      <c r="D149" s="230" t="str">
        <f t="array" ref="D149">INDIRECT("Draft!N"&amp;TEXT(A138+2,"0"))</f>
        <v/>
      </c>
      <c r="E149" s="227" t="str">
        <f>IF($D149="","", VLOOKUP($D149,'Final Update'!$Q$21:$AE1000,Column(G147),False))</f>
        <v/>
      </c>
      <c r="F149" s="227" t="str">
        <f>IF($D149="","", VLOOKUP($D149,'Final Update'!$Q$21:$AE1000,Column(H147),False))</f>
        <v/>
      </c>
      <c r="G149" s="227" t="str">
        <f>IF($D149="","", VLOOKUP($D149,'Final Update'!$Q$21:$AE1000,Column(I147),False))</f>
        <v/>
      </c>
      <c r="H149" s="227" t="str">
        <f>IF($D149="","", VLOOKUP($D149,'Final Update'!$Q$21:$AE1000,Column(J147),False))</f>
        <v/>
      </c>
      <c r="I149" s="227" t="str">
        <f>IF($D149="","", VLOOKUP($D149,'Final Update'!$Q$21:$AE1000,Column(K147),False))</f>
        <v/>
      </c>
      <c r="J149" s="227" t="str">
        <f>IF($D149="","", VLOOKUP($D149,'Final Update'!$Q$21:$AE1000,Column(L147),False))</f>
        <v/>
      </c>
      <c r="K149" s="228" t="str">
        <f>IF($D149="","", VLOOKUP($D149,'Final Update'!$Q$21:$AE1000,Column(M147),False))</f>
        <v/>
      </c>
      <c r="L149" s="228" t="str">
        <f>IF($D149="","", VLOOKUP($D149,'Final Update'!$Q$21:$AE1000,Column(N147),False))</f>
        <v/>
      </c>
      <c r="M149" s="227" t="str">
        <f>IF($D149="","", VLOOKUP($D149,'Final Update'!$Q$21:$AE1000,Column(O147),False))</f>
        <v/>
      </c>
      <c r="N149" s="227" t="str">
        <f>IF($D149="","", VLOOKUP($D149,'Final Update'!$Q$21:$AE1000,Column(C147),False))</f>
        <v/>
      </c>
      <c r="O149" s="163"/>
      <c r="P149" s="163"/>
      <c r="Q149" s="163"/>
      <c r="R149" s="163"/>
      <c r="S149" s="163"/>
      <c r="T149" s="163"/>
      <c r="U149" s="163"/>
      <c r="V149" s="163"/>
      <c r="W149" s="163"/>
      <c r="X149" s="163"/>
      <c r="Y149" s="163"/>
      <c r="Z149" s="163"/>
    </row>
    <row r="150">
      <c r="A150" s="163"/>
      <c r="B150" s="220">
        <f>Projections!$AJ$27</f>
        <v>100</v>
      </c>
      <c r="C150" s="221">
        <v>12.0</v>
      </c>
      <c r="D150" s="231" t="str">
        <f t="array" ref="D150">INDIRECT("Draft!O"&amp;TEXT(15-A138,"0"))</f>
        <v/>
      </c>
      <c r="E150" s="227" t="str">
        <f>IF($D150="","", VLOOKUP($D150,'Final Update'!$Q$21:$AE1000,Column(G148),False))</f>
        <v/>
      </c>
      <c r="F150" s="227" t="str">
        <f>IF($D150="","", VLOOKUP($D150,'Final Update'!$Q$21:$AE1000,Column(H148),False))</f>
        <v/>
      </c>
      <c r="G150" s="227" t="str">
        <f>IF($D150="","", VLOOKUP($D150,'Final Update'!$Q$21:$AE1000,Column(I148),False))</f>
        <v/>
      </c>
      <c r="H150" s="227" t="str">
        <f>IF($D150="","", VLOOKUP($D150,'Final Update'!$Q$21:$AE1000,Column(J148),False))</f>
        <v/>
      </c>
      <c r="I150" s="227" t="str">
        <f>IF($D150="","", VLOOKUP($D150,'Final Update'!$Q$21:$AE1000,Column(K148),False))</f>
        <v/>
      </c>
      <c r="J150" s="227" t="str">
        <f>IF($D150="","", VLOOKUP($D150,'Final Update'!$Q$21:$AE1000,Column(L148),False))</f>
        <v/>
      </c>
      <c r="K150" s="228" t="str">
        <f>IF($D150="","", VLOOKUP($D150,'Final Update'!$Q$21:$AE1000,Column(M148),False))</f>
        <v/>
      </c>
      <c r="L150" s="228" t="str">
        <f>IF($D150="","", VLOOKUP($D150,'Final Update'!$Q$21:$AE1000,Column(N148),False))</f>
        <v/>
      </c>
      <c r="M150" s="227" t="str">
        <f>IF($D150="","", VLOOKUP($D150,'Final Update'!$Q$21:$AE1000,Column(O148),False))</f>
        <v/>
      </c>
      <c r="N150" s="227" t="str">
        <f>IF($D150="","", VLOOKUP($D150,'Final Update'!$Q$21:$AE1000,Column(C148),False))</f>
        <v/>
      </c>
      <c r="O150" s="163"/>
      <c r="P150" s="163"/>
      <c r="Q150" s="163"/>
      <c r="R150" s="163"/>
      <c r="S150" s="163"/>
      <c r="T150" s="163"/>
      <c r="U150" s="163"/>
      <c r="V150" s="163"/>
      <c r="W150" s="163"/>
      <c r="X150" s="163"/>
      <c r="Y150" s="163"/>
      <c r="Z150" s="163"/>
    </row>
    <row r="151">
      <c r="A151" s="163"/>
      <c r="B151" s="273">
        <v>75.0</v>
      </c>
      <c r="C151" s="221">
        <v>13.0</v>
      </c>
      <c r="D151" s="230" t="str">
        <f t="array" ref="D151">INDIRECT("Draft!P"&amp;TEXT(A138+2,"0"))</f>
        <v/>
      </c>
      <c r="E151" s="227" t="str">
        <f>IF($D151="","", VLOOKUP($D151,'Final Update'!$Q$21:$AE1000,Column(G149),False))</f>
        <v/>
      </c>
      <c r="F151" s="227" t="str">
        <f>IF($D151="","", VLOOKUP($D151,'Final Update'!$Q$21:$AE1000,Column(H149),False))</f>
        <v/>
      </c>
      <c r="G151" s="227" t="str">
        <f>IF($D151="","", VLOOKUP($D151,'Final Update'!$Q$21:$AE1000,Column(I149),False))</f>
        <v/>
      </c>
      <c r="H151" s="227" t="str">
        <f>IF($D151="","", VLOOKUP($D151,'Final Update'!$Q$21:$AE1000,Column(J149),False))</f>
        <v/>
      </c>
      <c r="I151" s="227" t="str">
        <f>IF($D151="","", VLOOKUP($D151,'Final Update'!$Q$21:$AE1000,Column(K149),False))</f>
        <v/>
      </c>
      <c r="J151" s="227" t="str">
        <f>IF($D151="","", VLOOKUP($D151,'Final Update'!$Q$21:$AE1000,Column(L149),False))</f>
        <v/>
      </c>
      <c r="K151" s="228" t="str">
        <f>IF($D151="","", VLOOKUP($D151,'Final Update'!$Q$21:$AE1000,Column(M149),False))</f>
        <v/>
      </c>
      <c r="L151" s="228" t="str">
        <f>IF($D151="","", VLOOKUP($D151,'Final Update'!$Q$21:$AE1000,Column(N149),False))</f>
        <v/>
      </c>
      <c r="M151" s="227" t="str">
        <f>IF($D151="","", VLOOKUP($D151,'Final Update'!$Q$21:$AE1000,Column(O149),False))</f>
        <v/>
      </c>
      <c r="N151" s="227" t="str">
        <f>IF($D151="","", VLOOKUP($D151,'Final Update'!$Q$21:$AE1000,Column(C149),False))</f>
        <v/>
      </c>
      <c r="O151" s="163"/>
      <c r="P151" s="163"/>
      <c r="Q151" s="163"/>
      <c r="R151" s="163"/>
      <c r="S151" s="163"/>
      <c r="T151" s="163"/>
      <c r="U151" s="163"/>
      <c r="V151" s="163"/>
      <c r="W151" s="163"/>
      <c r="X151" s="163"/>
      <c r="Y151" s="163"/>
      <c r="Z151" s="163"/>
    </row>
    <row r="152">
      <c r="A152" s="163"/>
      <c r="B152" s="220">
        <f>Projections!$AJ$29</f>
        <v>50</v>
      </c>
      <c r="C152" s="221">
        <v>14.0</v>
      </c>
      <c r="D152" s="231" t="str">
        <f t="array" ref="D152">INDIRECT("Draft!Q"&amp;TEXT(15-A138,"0"))</f>
        <v/>
      </c>
      <c r="E152" s="227" t="str">
        <f>IF($D152="","", VLOOKUP($D152,'Final Update'!$Q$21:$AE1000,Column(G150),False))</f>
        <v/>
      </c>
      <c r="F152" s="227" t="str">
        <f>IF($D152="","", VLOOKUP($D152,'Final Update'!$Q$21:$AE1000,Column(H150),False))</f>
        <v/>
      </c>
      <c r="G152" s="227" t="str">
        <f>IF($D152="","", VLOOKUP($D152,'Final Update'!$Q$21:$AE1000,Column(I150),False))</f>
        <v/>
      </c>
      <c r="H152" s="227" t="str">
        <f>IF($D152="","", VLOOKUP($D152,'Final Update'!$Q$21:$AE1000,Column(J150),False))</f>
        <v/>
      </c>
      <c r="I152" s="227" t="str">
        <f>IF($D152="","", VLOOKUP($D152,'Final Update'!$Q$21:$AE1000,Column(K150),False))</f>
        <v/>
      </c>
      <c r="J152" s="227" t="str">
        <f>IF($D152="","", VLOOKUP($D152,'Final Update'!$Q$21:$AE1000,Column(L150),False))</f>
        <v/>
      </c>
      <c r="K152" s="228" t="str">
        <f>IF($D152="","", VLOOKUP($D152,'Final Update'!$Q$21:$AE1000,Column(M150),False))</f>
        <v/>
      </c>
      <c r="L152" s="228" t="str">
        <f>IF($D152="","", VLOOKUP($D152,'Final Update'!$Q$21:$AE1000,Column(N150),False))</f>
        <v/>
      </c>
      <c r="M152" s="227" t="str">
        <f>IF($D152="","", VLOOKUP($D152,'Final Update'!$Q$21:$AE1000,Column(O150),False))</f>
        <v/>
      </c>
      <c r="N152" s="227" t="str">
        <f>IF($D152="","", VLOOKUP($D152,'Final Update'!$Q$21:$AE1000,Column(C150),False))</f>
        <v/>
      </c>
      <c r="O152" s="163"/>
      <c r="P152" s="163"/>
      <c r="Q152" s="163"/>
      <c r="R152" s="163"/>
      <c r="S152" s="163"/>
      <c r="T152" s="163"/>
      <c r="U152" s="163"/>
      <c r="V152" s="163"/>
      <c r="W152" s="163"/>
      <c r="X152" s="163"/>
      <c r="Y152" s="163"/>
      <c r="Z152" s="163"/>
    </row>
    <row r="153">
      <c r="A153" s="216" t="s">
        <v>5</v>
      </c>
      <c r="B153" s="163"/>
      <c r="C153" s="163"/>
      <c r="D153" s="219" t="s">
        <v>1328</v>
      </c>
      <c r="E153" s="233" t="str">
        <f t="shared" ref="E153:J153" si="9">IFERROR(AVERAGE(SUMPRODUCT(E139:E152,$B139:$B152/100))/(SUM(OFFSET($B139,0,0,COUNT(E139:E152)))/100),"")</f>
        <v/>
      </c>
      <c r="F153" s="233" t="str">
        <f t="shared" si="9"/>
        <v/>
      </c>
      <c r="G153" s="233" t="str">
        <f t="shared" si="9"/>
        <v/>
      </c>
      <c r="H153" s="233" t="str">
        <f t="shared" si="9"/>
        <v/>
      </c>
      <c r="I153" s="233" t="str">
        <f t="shared" si="9"/>
        <v/>
      </c>
      <c r="J153" s="233" t="str">
        <f t="shared" si="9"/>
        <v/>
      </c>
      <c r="K153" s="233" t="str">
        <f t="array" ref="K153">IFERROR(100*SUMPRODUCT(IFERROR(VLOOKUP($D139:$D152,UpdateHashtag!$C:$S,6,False),"")*$B139:$B152/100)/SUMPRODUCT(IFERROR(VLOOKUP($D139:$D152,UpdateHashtag!$C:$S,17,False),"")*$B139:$B152/100),"")</f>
        <v/>
      </c>
      <c r="L153" s="233" t="str">
        <f t="array" ref="L153">IFERROR(100*SUMPRODUCT(IFERROR(VLOOKUP($D139:$D152,UpdateHashtag!$C:$T,8,False),"")*$B139:$B152/100)/SUMPRODUCT(IFERROR(VLOOKUP($D139:$D152,UpdateHashtag!$C:$T,18,False),"")*$B139:$B152/100),"")</f>
        <v/>
      </c>
      <c r="M153" s="233" t="str">
        <f>IFERROR(AVERAGE(SUMPRODUCT(M139:M152,$B139:$B152/100))/(SUM(OFFSET($B139,0,0,COUNT(M139:M152)))/100),"")</f>
        <v/>
      </c>
      <c r="N153" s="163"/>
      <c r="O153" s="163"/>
      <c r="P153" s="163"/>
      <c r="Q153" s="163"/>
      <c r="R153" s="163"/>
      <c r="S153" s="163"/>
      <c r="T153" s="163"/>
      <c r="U153" s="163"/>
      <c r="V153" s="163"/>
      <c r="W153" s="163"/>
      <c r="X153" s="163"/>
      <c r="Y153" s="163"/>
      <c r="Z153" s="163"/>
    </row>
    <row r="154">
      <c r="A154" s="163"/>
      <c r="B154" s="163"/>
      <c r="C154" s="163"/>
      <c r="D154" s="219" t="s">
        <v>1329</v>
      </c>
      <c r="E154" s="234" t="str">
        <f>IFERROR((SUM(OFFSET('All Teams'!$B139,0,0,COUNT('All Teams'!E139:E152)))/100)*('All Teams'!E153-'Final Update'!$B$1)/'Final Update'!$B$2,"")</f>
        <v/>
      </c>
      <c r="F154" s="234" t="str">
        <f>IFERROR((SUM(OFFSET('All Teams'!$B139,0,0,COUNT('All Teams'!F139:F152)))/100)*('All Teams'!F153-'Final Update'!$C$1)/'Final Update'!$C$2,"")</f>
        <v/>
      </c>
      <c r="G154" s="234" t="str">
        <f>IFERROR((SUM(OFFSET('All Teams'!$B139,0,0,COUNT('All Teams'!G139:G152)))/100)*('All Teams'!G153-'Final Update'!$D$1)/'Final Update'!$D$2,"")</f>
        <v/>
      </c>
      <c r="H154" s="234" t="str">
        <f>IFERROR((SUM(OFFSET('All Teams'!$B139,0,0,COUNT('All Teams'!H139:H152)))/100)*('All Teams'!H153-'Final Update'!$E$1)/'Final Update'!$E$2,"")</f>
        <v/>
      </c>
      <c r="I154" s="234" t="str">
        <f>IFERROR((SUM(OFFSET('All Teams'!$B139,0,0,COUNT('All Teams'!I139:I152)))/100)*('All Teams'!I153-'Final Update'!$F$1)/'Final Update'!$F$2,"")</f>
        <v/>
      </c>
      <c r="J154" s="234" t="str">
        <f>IFERROR((SUM(OFFSET('All Teams'!$B139,0,0,COUNT('All Teams'!J139:J152)))/100)*('All Teams'!J153-'Final Update'!$G$1)/'Final Update'!$G$2,"")</f>
        <v/>
      </c>
      <c r="K154" s="234">
        <f t="array" ref="K154">SUMPRODUCT(IFERROR(VLOOKUP($D139:$D152,'Final Update'!$A$4:$L$403,8,False)*$B139:$B152/100,""))</f>
        <v>0</v>
      </c>
      <c r="L154" s="234">
        <f t="array" ref="L154">SUMPRODUCT(IFERROR(VLOOKUP($D139:$D152,'Final Update'!$A$4:$L$403,10,False)*$B139:$B152/100,""))</f>
        <v>0</v>
      </c>
      <c r="M154" s="234" t="str">
        <f>IFERROR(-(SUM(OFFSET('All Teams'!$B139,0,0,COUNT('All Teams'!M139:M152)))/100)*('All Teams'!M153-'Final Update'!$L$1)/'Final Update'!$L$2,"")</f>
        <v/>
      </c>
      <c r="N154" s="163"/>
      <c r="O154" s="163"/>
      <c r="P154" s="163"/>
      <c r="Q154" s="163"/>
      <c r="R154" s="163"/>
      <c r="S154" s="163"/>
      <c r="T154" s="163"/>
      <c r="U154" s="163"/>
      <c r="V154" s="163"/>
      <c r="W154" s="163"/>
      <c r="X154" s="163"/>
      <c r="Y154" s="163"/>
      <c r="Z154" s="163"/>
    </row>
    <row r="155">
      <c r="A155" s="217">
        <v>10.0</v>
      </c>
      <c r="B155" s="218" t="s">
        <v>220</v>
      </c>
      <c r="C155" s="219" t="s">
        <v>222</v>
      </c>
      <c r="D155" s="218" t="s">
        <v>1242</v>
      </c>
      <c r="E155" s="218" t="s">
        <v>10</v>
      </c>
      <c r="F155" s="218" t="s">
        <v>109</v>
      </c>
      <c r="G155" s="218" t="s">
        <v>110</v>
      </c>
      <c r="H155" s="218" t="s">
        <v>12</v>
      </c>
      <c r="I155" s="218" t="s">
        <v>13</v>
      </c>
      <c r="J155" s="218" t="s">
        <v>14</v>
      </c>
      <c r="K155" s="218" t="s">
        <v>8</v>
      </c>
      <c r="L155" s="218" t="s">
        <v>9</v>
      </c>
      <c r="M155" s="218" t="s">
        <v>15</v>
      </c>
      <c r="N155" s="218" t="s">
        <v>4</v>
      </c>
      <c r="O155" s="218" t="s">
        <v>227</v>
      </c>
      <c r="P155" s="218" t="s">
        <v>4</v>
      </c>
      <c r="Q155" s="163"/>
      <c r="R155" s="163"/>
      <c r="S155" s="163"/>
      <c r="T155" s="163"/>
      <c r="U155" s="163"/>
      <c r="V155" s="163"/>
      <c r="W155" s="163"/>
      <c r="X155" s="163"/>
      <c r="Y155" s="163"/>
      <c r="Z155" s="163"/>
    </row>
    <row r="156">
      <c r="A156" s="163"/>
      <c r="B156" s="220">
        <f>Projections!$AJ$16</f>
        <v>100</v>
      </c>
      <c r="C156" s="221">
        <v>1.0</v>
      </c>
      <c r="D156" s="222" t="str">
        <f t="array" ref="D156">INDIRECT("Draft!D"&amp;TEXT(A155+2,"0"))</f>
        <v/>
      </c>
      <c r="E156" s="223" t="str">
        <f>IF($D156="","", VLOOKUP($D156,'Final Update'!$Q$21:$AE1000,Column(G154),False))</f>
        <v/>
      </c>
      <c r="F156" s="223" t="str">
        <f>IF($D156="","", VLOOKUP($D156,'Final Update'!$Q$21:$AE1000,Column(H154),False))</f>
        <v/>
      </c>
      <c r="G156" s="223" t="str">
        <f>IF($D156="","", VLOOKUP($D156,'Final Update'!$Q$21:$AE1000,Column(I154),False))</f>
        <v/>
      </c>
      <c r="H156" s="223" t="str">
        <f>IF($D156="","", VLOOKUP($D156,'Final Update'!$Q$21:$AE1000,Column(J154),False))</f>
        <v/>
      </c>
      <c r="I156" s="223" t="str">
        <f>IF($D156="","", VLOOKUP($D156,'Final Update'!$Q$21:$AE1000,Column(K154),False))</f>
        <v/>
      </c>
      <c r="J156" s="223" t="str">
        <f>IF($D156="","", VLOOKUP($D156,'Final Update'!$Q$21:$AE1000,Column(L154),False))</f>
        <v/>
      </c>
      <c r="K156" s="224" t="str">
        <f>IF($D156="","", VLOOKUP($D156,'Final Update'!$Q$21:$AE1000,Column(M154),False))</f>
        <v/>
      </c>
      <c r="L156" s="224" t="str">
        <f>IF($D156="","", VLOOKUP($D156,'Final Update'!$Q$21:$AE1000,Column(N154),False))</f>
        <v/>
      </c>
      <c r="M156" s="223" t="str">
        <f>IF($D156="","", VLOOKUP($D156,'Final Update'!$Q$21:$AE1000,Column(O154),False))</f>
        <v/>
      </c>
      <c r="N156" s="223" t="str">
        <f>IF($D156="","", VLOOKUP($D156,'Final Update'!$Q$21:$AE1000,Column(C154),False))</f>
        <v/>
      </c>
      <c r="O156" s="221">
        <f t="array" ref="O156">COUNTIF(FIND(P156,$N156:$N169),"&gt;0")</f>
        <v>0</v>
      </c>
      <c r="P156" s="222" t="s">
        <v>46</v>
      </c>
      <c r="Q156" s="163"/>
      <c r="R156" s="163"/>
      <c r="S156" s="163"/>
      <c r="T156" s="163"/>
      <c r="U156" s="163"/>
      <c r="V156" s="163"/>
      <c r="W156" s="163"/>
      <c r="X156" s="163"/>
      <c r="Y156" s="163"/>
      <c r="Z156" s="163"/>
    </row>
    <row r="157">
      <c r="A157" s="163"/>
      <c r="B157" s="220">
        <f>Projections!$AJ$17</f>
        <v>100</v>
      </c>
      <c r="C157" s="221">
        <v>2.0</v>
      </c>
      <c r="D157" s="225" t="str">
        <f t="array" ref="D157">INDIRECT("Draft!E"&amp;TEXT(15-A155,"0"))</f>
        <v/>
      </c>
      <c r="E157" s="223" t="str">
        <f>IF($D157="","", VLOOKUP($D157,'Final Update'!$Q$21:$AE1000,Column(G155),False))</f>
        <v/>
      </c>
      <c r="F157" s="223" t="str">
        <f>IF($D157="","", VLOOKUP($D157,'Final Update'!$Q$21:$AE1000,Column(H155),False))</f>
        <v/>
      </c>
      <c r="G157" s="223" t="str">
        <f>IF($D157="","", VLOOKUP($D157,'Final Update'!$Q$21:$AE1000,Column(I155),False))</f>
        <v/>
      </c>
      <c r="H157" s="223" t="str">
        <f>IF($D157="","", VLOOKUP($D157,'Final Update'!$Q$21:$AE1000,Column(J155),False))</f>
        <v/>
      </c>
      <c r="I157" s="223" t="str">
        <f>IF($D157="","", VLOOKUP($D157,'Final Update'!$Q$21:$AE1000,Column(K155),False))</f>
        <v/>
      </c>
      <c r="J157" s="223" t="str">
        <f>IF($D157="","", VLOOKUP($D157,'Final Update'!$Q$21:$AE1000,Column(L155),False))</f>
        <v/>
      </c>
      <c r="K157" s="224" t="str">
        <f>IF($D157="","", VLOOKUP($D157,'Final Update'!$Q$21:$AE1000,Column(M155),False))</f>
        <v/>
      </c>
      <c r="L157" s="224" t="str">
        <f>IF($D157="","", VLOOKUP($D157,'Final Update'!$Q$21:$AE1000,Column(N155),False))</f>
        <v/>
      </c>
      <c r="M157" s="223" t="str">
        <f>IF($D157="","", VLOOKUP($D157,'Final Update'!$Q$21:$AE1000,Column(O155),False))</f>
        <v/>
      </c>
      <c r="N157" s="223" t="str">
        <f>IF($D157="","", VLOOKUP($D157,'Final Update'!$Q$21:$AE1000,Column(C155),False))</f>
        <v/>
      </c>
      <c r="O157" s="221">
        <f t="array" ref="O157">COUNTIF(FIND(P157,$N156:$N169),"&gt;0")</f>
        <v>0</v>
      </c>
      <c r="P157" s="222" t="s">
        <v>47</v>
      </c>
      <c r="Q157" s="163"/>
      <c r="R157" s="163"/>
      <c r="S157" s="163"/>
      <c r="T157" s="163"/>
      <c r="U157" s="163"/>
      <c r="V157" s="163"/>
      <c r="W157" s="163"/>
      <c r="X157" s="163"/>
      <c r="Y157" s="163"/>
      <c r="Z157" s="163"/>
    </row>
    <row r="158">
      <c r="A158" s="163"/>
      <c r="B158" s="220">
        <f>Projections!$AJ$18</f>
        <v>100</v>
      </c>
      <c r="C158" s="221">
        <v>3.0</v>
      </c>
      <c r="D158" s="226" t="str">
        <f t="array" ref="D158">INDIRECT("Draft!F"&amp;TEXT(A155+2,"0"))</f>
        <v/>
      </c>
      <c r="E158" s="227" t="str">
        <f>IF($D158="","", VLOOKUP($D158,'Final Update'!$Q$21:$AE1000,Column(G156),False))</f>
        <v/>
      </c>
      <c r="F158" s="227" t="str">
        <f>IF($D158="","", VLOOKUP($D158,'Final Update'!$Q$21:$AE1000,Column(H156),False))</f>
        <v/>
      </c>
      <c r="G158" s="227" t="str">
        <f>IF($D158="","", VLOOKUP($D158,'Final Update'!$Q$21:$AE1000,Column(I156),False))</f>
        <v/>
      </c>
      <c r="H158" s="227" t="str">
        <f>IF($D158="","", VLOOKUP($D158,'Final Update'!$Q$21:$AE1000,Column(J156),False))</f>
        <v/>
      </c>
      <c r="I158" s="227" t="str">
        <f>IF($D158="","", VLOOKUP($D158,'Final Update'!$Q$21:$AE1000,Column(K156),False))</f>
        <v/>
      </c>
      <c r="J158" s="227" t="str">
        <f>IF($D158="","", VLOOKUP($D158,'Final Update'!$Q$21:$AE1000,Column(L156),False))</f>
        <v/>
      </c>
      <c r="K158" s="228" t="str">
        <f>IF($D158="","", VLOOKUP($D158,'Final Update'!$Q$21:$AE1000,Column(M156),False))</f>
        <v/>
      </c>
      <c r="L158" s="228" t="str">
        <f>IF($D158="","", VLOOKUP($D158,'Final Update'!$Q$21:$AE1000,Column(N156),False))</f>
        <v/>
      </c>
      <c r="M158" s="227" t="str">
        <f>IF($D158="","", VLOOKUP($D158,'Final Update'!$Q$21:$AE1000,Column(O156),False))</f>
        <v/>
      </c>
      <c r="N158" s="227" t="str">
        <f>IF($D158="","", VLOOKUP($D158,'Final Update'!$Q$21:$AE1000,Column(C156),False))</f>
        <v/>
      </c>
      <c r="O158" s="221">
        <f t="array" ref="O158">COUNTIF(FIND(P158,$N156:$N169),"&gt;0")</f>
        <v>0</v>
      </c>
      <c r="P158" s="222" t="s">
        <v>48</v>
      </c>
      <c r="Q158" s="163"/>
      <c r="R158" s="163"/>
      <c r="S158" s="163"/>
      <c r="T158" s="163"/>
      <c r="U158" s="163"/>
      <c r="V158" s="163"/>
      <c r="W158" s="163"/>
      <c r="X158" s="163"/>
      <c r="Y158" s="163"/>
      <c r="Z158" s="163"/>
    </row>
    <row r="159">
      <c r="A159" s="163"/>
      <c r="B159" s="220">
        <f>Projections!$AJ$19</f>
        <v>100</v>
      </c>
      <c r="C159" s="221">
        <v>4.0</v>
      </c>
      <c r="D159" s="229" t="str">
        <f t="array" ref="D159">INDIRECT("Draft!G"&amp;TEXT(15-A155,"0"))</f>
        <v/>
      </c>
      <c r="E159" s="227" t="str">
        <f>IF($D159="","", VLOOKUP($D159,'Final Update'!$Q$21:$AE1000,Column(G157),False))</f>
        <v/>
      </c>
      <c r="F159" s="227" t="str">
        <f>IF($D159="","", VLOOKUP($D159,'Final Update'!$Q$21:$AE1000,Column(H157),False))</f>
        <v/>
      </c>
      <c r="G159" s="227" t="str">
        <f>IF($D159="","", VLOOKUP($D159,'Final Update'!$Q$21:$AE1000,Column(I157),False))</f>
        <v/>
      </c>
      <c r="H159" s="227" t="str">
        <f>IF($D159="","", VLOOKUP($D159,'Final Update'!$Q$21:$AE1000,Column(J157),False))</f>
        <v/>
      </c>
      <c r="I159" s="227" t="str">
        <f>IF($D159="","", VLOOKUP($D159,'Final Update'!$Q$21:$AE1000,Column(K157),False))</f>
        <v/>
      </c>
      <c r="J159" s="227" t="str">
        <f>IF($D159="","", VLOOKUP($D159,'Final Update'!$Q$21:$AE1000,Column(L157),False))</f>
        <v/>
      </c>
      <c r="K159" s="228" t="str">
        <f>IF($D159="","", VLOOKUP($D159,'Final Update'!$Q$21:$AE1000,Column(M157),False))</f>
        <v/>
      </c>
      <c r="L159" s="228" t="str">
        <f>IF($D159="","", VLOOKUP($D159,'Final Update'!$Q$21:$AE1000,Column(N157),False))</f>
        <v/>
      </c>
      <c r="M159" s="227" t="str">
        <f>IF($D159="","", VLOOKUP($D159,'Final Update'!$Q$21:$AE1000,Column(O157),False))</f>
        <v/>
      </c>
      <c r="N159" s="227" t="str">
        <f>IF($D159="","", VLOOKUP($D159,'Final Update'!$Q$21:$AE1000,Column(C157),False))</f>
        <v/>
      </c>
      <c r="O159" s="221">
        <f t="array" ref="O159">COUNTIF(FIND(P159,$N156:$N169),"&gt;0")</f>
        <v>0</v>
      </c>
      <c r="P159" s="222" t="s">
        <v>49</v>
      </c>
      <c r="Q159" s="163"/>
      <c r="R159" s="163"/>
      <c r="S159" s="163"/>
      <c r="T159" s="163"/>
      <c r="U159" s="163"/>
      <c r="V159" s="163"/>
      <c r="W159" s="163"/>
      <c r="X159" s="163"/>
      <c r="Y159" s="163"/>
      <c r="Z159" s="163"/>
    </row>
    <row r="160">
      <c r="A160" s="163"/>
      <c r="B160" s="220">
        <f>Projections!$AJ$20</f>
        <v>100</v>
      </c>
      <c r="C160" s="221">
        <v>5.0</v>
      </c>
      <c r="D160" s="230" t="str">
        <f t="array" ref="D160">INDIRECT("Draft!H"&amp;TEXT(A155+2,"0"))</f>
        <v/>
      </c>
      <c r="E160" s="227" t="str">
        <f>IF($D160="","", VLOOKUP($D160,'Final Update'!$Q$21:$AE1000,Column(G158),False))</f>
        <v/>
      </c>
      <c r="F160" s="227" t="str">
        <f>IF($D160="","", VLOOKUP($D160,'Final Update'!$Q$21:$AE1000,Column(H158),False))</f>
        <v/>
      </c>
      <c r="G160" s="227" t="str">
        <f>IF($D160="","", VLOOKUP($D160,'Final Update'!$Q$21:$AE1000,Column(I158),False))</f>
        <v/>
      </c>
      <c r="H160" s="227" t="str">
        <f>IF($D160="","", VLOOKUP($D160,'Final Update'!$Q$21:$AE1000,Column(J158),False))</f>
        <v/>
      </c>
      <c r="I160" s="227" t="str">
        <f>IF($D160="","", VLOOKUP($D160,'Final Update'!$Q$21:$AE1000,Column(K158),False))</f>
        <v/>
      </c>
      <c r="J160" s="227" t="str">
        <f>IF($D160="","", VLOOKUP($D160,'Final Update'!$Q$21:$AE1000,Column(L158),False))</f>
        <v/>
      </c>
      <c r="K160" s="228" t="str">
        <f>IF($D160="","", VLOOKUP($D160,'Final Update'!$Q$21:$AE1000,Column(M158),False))</f>
        <v/>
      </c>
      <c r="L160" s="228" t="str">
        <f>IF($D160="","", VLOOKUP($D160,'Final Update'!$Q$21:$AE1000,Column(N158),False))</f>
        <v/>
      </c>
      <c r="M160" s="227" t="str">
        <f>IF($D160="","", VLOOKUP($D160,'Final Update'!$Q$21:$AE1000,Column(O158),False))</f>
        <v/>
      </c>
      <c r="N160" s="227" t="str">
        <f>IF($D160="","", VLOOKUP($D160,'Final Update'!$Q$21:$AE1000,Column(C158),False))</f>
        <v/>
      </c>
      <c r="O160" s="221">
        <f t="array" ref="O160">COUNTIF(FIND(P160,$N156:$N169),"&gt;0")</f>
        <v>0</v>
      </c>
      <c r="P160" s="222" t="s">
        <v>34</v>
      </c>
      <c r="Q160" s="163"/>
      <c r="R160" s="163"/>
      <c r="S160" s="163"/>
      <c r="T160" s="163"/>
      <c r="U160" s="163"/>
      <c r="V160" s="163"/>
      <c r="W160" s="163"/>
      <c r="X160" s="163"/>
      <c r="Y160" s="163"/>
      <c r="Z160" s="163"/>
    </row>
    <row r="161">
      <c r="A161" s="163"/>
      <c r="B161" s="220">
        <f>Projections!$AJ$21</f>
        <v>100</v>
      </c>
      <c r="C161" s="221">
        <v>6.0</v>
      </c>
      <c r="D161" s="231" t="str">
        <f t="array" ref="D161">INDIRECT("Draft!I"&amp;TEXT(15-A155,"0"))</f>
        <v/>
      </c>
      <c r="E161" s="227" t="str">
        <f>IF($D161="","", VLOOKUP($D161,'Final Update'!$Q$21:$AE1000,Column(G159),False))</f>
        <v/>
      </c>
      <c r="F161" s="227" t="str">
        <f>IF($D161="","", VLOOKUP($D161,'Final Update'!$Q$21:$AE1000,Column(H159),False))</f>
        <v/>
      </c>
      <c r="G161" s="227" t="str">
        <f>IF($D161="","", VLOOKUP($D161,'Final Update'!$Q$21:$AE1000,Column(I159),False))</f>
        <v/>
      </c>
      <c r="H161" s="227" t="str">
        <f>IF($D161="","", VLOOKUP($D161,'Final Update'!$Q$21:$AE1000,Column(J159),False))</f>
        <v/>
      </c>
      <c r="I161" s="227" t="str">
        <f>IF($D161="","", VLOOKUP($D161,'Final Update'!$Q$21:$AE1000,Column(K159),False))</f>
        <v/>
      </c>
      <c r="J161" s="227" t="str">
        <f>IF($D161="","", VLOOKUP($D161,'Final Update'!$Q$21:$AE1000,Column(L159),False))</f>
        <v/>
      </c>
      <c r="K161" s="228" t="str">
        <f>IF($D161="","", VLOOKUP($D161,'Final Update'!$Q$21:$AE1000,Column(M159),False))</f>
        <v/>
      </c>
      <c r="L161" s="228" t="str">
        <f>IF($D161="","", VLOOKUP($D161,'Final Update'!$Q$21:$AE1000,Column(N159),False))</f>
        <v/>
      </c>
      <c r="M161" s="227" t="str">
        <f>IF($D161="","", VLOOKUP($D161,'Final Update'!$Q$21:$AE1000,Column(O159),False))</f>
        <v/>
      </c>
      <c r="N161" s="227" t="str">
        <f>IF($D161="","", VLOOKUP($D161,'Final Update'!$Q$21:$AE1000,Column(C159),False))</f>
        <v/>
      </c>
      <c r="O161" s="163"/>
      <c r="P161" s="163"/>
      <c r="Q161" s="163"/>
      <c r="R161" s="163"/>
      <c r="S161" s="163"/>
      <c r="T161" s="163"/>
      <c r="U161" s="163"/>
      <c r="V161" s="163"/>
      <c r="W161" s="163"/>
      <c r="X161" s="163"/>
      <c r="Y161" s="163"/>
      <c r="Z161" s="163"/>
    </row>
    <row r="162">
      <c r="A162" s="163"/>
      <c r="B162" s="220">
        <f>Projections!$AJ$22</f>
        <v>100</v>
      </c>
      <c r="C162" s="221">
        <v>7.0</v>
      </c>
      <c r="D162" s="230" t="str">
        <f t="array" ref="D162">INDIRECT("Draft!J"&amp;TEXT(A155+2,"0"))</f>
        <v/>
      </c>
      <c r="E162" s="227" t="str">
        <f>IF($D162="","", VLOOKUP($D162,'Final Update'!$Q$21:$AE1000,Column(G160),False))</f>
        <v/>
      </c>
      <c r="F162" s="227" t="str">
        <f>IF($D162="","", VLOOKUP($D162,'Final Update'!$Q$21:$AE1000,Column(H160),False))</f>
        <v/>
      </c>
      <c r="G162" s="227" t="str">
        <f>IF($D162="","", VLOOKUP($D162,'Final Update'!$Q$21:$AE1000,Column(I160),False))</f>
        <v/>
      </c>
      <c r="H162" s="227" t="str">
        <f>IF($D162="","", VLOOKUP($D162,'Final Update'!$Q$21:$AE1000,Column(J160),False))</f>
        <v/>
      </c>
      <c r="I162" s="227" t="str">
        <f>IF($D162="","", VLOOKUP($D162,'Final Update'!$Q$21:$AE1000,Column(K160),False))</f>
        <v/>
      </c>
      <c r="J162" s="227" t="str">
        <f>IF($D162="","", VLOOKUP($D162,'Final Update'!$Q$21:$AE1000,Column(L160),False))</f>
        <v/>
      </c>
      <c r="K162" s="228" t="str">
        <f>IF($D162="","", VLOOKUP($D162,'Final Update'!$Q$21:$AE1000,Column(M160),False))</f>
        <v/>
      </c>
      <c r="L162" s="228" t="str">
        <f>IF($D162="","", VLOOKUP($D162,'Final Update'!$Q$21:$AE1000,Column(N160),False))</f>
        <v/>
      </c>
      <c r="M162" s="227" t="str">
        <f>IF($D162="","", VLOOKUP($D162,'Final Update'!$Q$21:$AE1000,Column(O160),False))</f>
        <v/>
      </c>
      <c r="N162" s="227" t="str">
        <f>IF($D162="","", VLOOKUP($D162,'Final Update'!$Q$21:$AE1000,Column(C160),False))</f>
        <v/>
      </c>
      <c r="O162" s="163"/>
      <c r="P162" s="163"/>
      <c r="Q162" s="163"/>
      <c r="R162" s="163"/>
      <c r="S162" s="163"/>
      <c r="T162" s="163"/>
      <c r="U162" s="163"/>
      <c r="V162" s="163"/>
      <c r="W162" s="163"/>
      <c r="X162" s="163"/>
      <c r="Y162" s="163"/>
      <c r="Z162" s="163"/>
    </row>
    <row r="163">
      <c r="A163" s="163"/>
      <c r="B163" s="220">
        <f>Projections!$AJ$23</f>
        <v>100</v>
      </c>
      <c r="C163" s="221">
        <v>8.0</v>
      </c>
      <c r="D163" s="231" t="str">
        <f t="array" ref="D163">INDIRECT("Draft!K"&amp;TEXT(15-A155,"0"))</f>
        <v/>
      </c>
      <c r="E163" s="227" t="str">
        <f>IF($D163="","", VLOOKUP($D163,'Final Update'!$Q$21:$AE1000,Column(G161),False))</f>
        <v/>
      </c>
      <c r="F163" s="227" t="str">
        <f>IF($D163="","", VLOOKUP($D163,'Final Update'!$Q$21:$AE1000,Column(H161),False))</f>
        <v/>
      </c>
      <c r="G163" s="227" t="str">
        <f>IF($D163="","", VLOOKUP($D163,'Final Update'!$Q$21:$AE1000,Column(I161),False))</f>
        <v/>
      </c>
      <c r="H163" s="227" t="str">
        <f>IF($D163="","", VLOOKUP($D163,'Final Update'!$Q$21:$AE1000,Column(J161),False))</f>
        <v/>
      </c>
      <c r="I163" s="227" t="str">
        <f>IF($D163="","", VLOOKUP($D163,'Final Update'!$Q$21:$AE1000,Column(K161),False))</f>
        <v/>
      </c>
      <c r="J163" s="227" t="str">
        <f>IF($D163="","", VLOOKUP($D163,'Final Update'!$Q$21:$AE1000,Column(L161),False))</f>
        <v/>
      </c>
      <c r="K163" s="228" t="str">
        <f>IF($D163="","", VLOOKUP($D163,'Final Update'!$Q$21:$AE1000,Column(M161),False))</f>
        <v/>
      </c>
      <c r="L163" s="228" t="str">
        <f>IF($D163="","", VLOOKUP($D163,'Final Update'!$Q$21:$AE1000,Column(N161),False))</f>
        <v/>
      </c>
      <c r="M163" s="227" t="str">
        <f>IF($D163="","", VLOOKUP($D163,'Final Update'!$Q$21:$AE1000,Column(O161),False))</f>
        <v/>
      </c>
      <c r="N163" s="227" t="str">
        <f>IF($D163="","", VLOOKUP($D163,'Final Update'!$Q$21:$AE1000,Column(C161),False))</f>
        <v/>
      </c>
      <c r="O163" s="163"/>
      <c r="P163" s="163"/>
      <c r="Q163" s="163"/>
      <c r="R163" s="163"/>
      <c r="S163" s="163"/>
      <c r="T163" s="163"/>
      <c r="U163" s="163"/>
      <c r="V163" s="163"/>
      <c r="W163" s="163"/>
      <c r="X163" s="163"/>
      <c r="Y163" s="163"/>
      <c r="Z163" s="163"/>
    </row>
    <row r="164">
      <c r="A164" s="163"/>
      <c r="B164" s="220">
        <f>Projections!$AJ$24</f>
        <v>100</v>
      </c>
      <c r="C164" s="221">
        <v>9.0</v>
      </c>
      <c r="D164" s="230" t="str">
        <f t="array" ref="D164">INDIRECT("Draft!L"&amp;TEXT(A155+2,"0"))</f>
        <v/>
      </c>
      <c r="E164" s="227" t="str">
        <f>IF($D164="","", VLOOKUP($D164,'Final Update'!$Q$21:$AE1000,Column(G162),False))</f>
        <v/>
      </c>
      <c r="F164" s="227" t="str">
        <f>IF($D164="","", VLOOKUP($D164,'Final Update'!$Q$21:$AE1000,Column(H162),False))</f>
        <v/>
      </c>
      <c r="G164" s="227" t="str">
        <f>IF($D164="","", VLOOKUP($D164,'Final Update'!$Q$21:$AE1000,Column(I162),False))</f>
        <v/>
      </c>
      <c r="H164" s="227" t="str">
        <f>IF($D164="","", VLOOKUP($D164,'Final Update'!$Q$21:$AE1000,Column(J162),False))</f>
        <v/>
      </c>
      <c r="I164" s="227" t="str">
        <f>IF($D164="","", VLOOKUP($D164,'Final Update'!$Q$21:$AE1000,Column(K162),False))</f>
        <v/>
      </c>
      <c r="J164" s="227" t="str">
        <f>IF($D164="","", VLOOKUP($D164,'Final Update'!$Q$21:$AE1000,Column(L162),False))</f>
        <v/>
      </c>
      <c r="K164" s="228" t="str">
        <f>IF($D164="","", VLOOKUP($D164,'Final Update'!$Q$21:$AE1000,Column(M162),False))</f>
        <v/>
      </c>
      <c r="L164" s="228" t="str">
        <f>IF($D164="","", VLOOKUP($D164,'Final Update'!$Q$21:$AE1000,Column(N162),False))</f>
        <v/>
      </c>
      <c r="M164" s="227" t="str">
        <f>IF($D164="","", VLOOKUP($D164,'Final Update'!$Q$21:$AE1000,Column(O162),False))</f>
        <v/>
      </c>
      <c r="N164" s="227" t="str">
        <f>IF($D164="","", VLOOKUP($D164,'Final Update'!$Q$21:$AE1000,Column(C162),False))</f>
        <v/>
      </c>
      <c r="O164" s="163"/>
      <c r="P164" s="163"/>
      <c r="Q164" s="163"/>
      <c r="R164" s="163"/>
      <c r="S164" s="163"/>
      <c r="T164" s="163"/>
      <c r="U164" s="163"/>
      <c r="V164" s="163"/>
      <c r="W164" s="163"/>
      <c r="X164" s="163"/>
      <c r="Y164" s="163"/>
      <c r="Z164" s="163"/>
    </row>
    <row r="165">
      <c r="A165" s="163"/>
      <c r="B165" s="220">
        <f>Projections!$AJ$25</f>
        <v>100</v>
      </c>
      <c r="C165" s="221">
        <v>10.0</v>
      </c>
      <c r="D165" s="231" t="str">
        <f t="array" ref="D165">INDIRECT("Draft!M"&amp;TEXT(15-A155,"0"))</f>
        <v/>
      </c>
      <c r="E165" s="227" t="str">
        <f>IF($D165="","", VLOOKUP($D165,'Final Update'!$Q$21:$AE1000,Column(G163),False))</f>
        <v/>
      </c>
      <c r="F165" s="227" t="str">
        <f>IF($D165="","", VLOOKUP($D165,'Final Update'!$Q$21:$AE1000,Column(H163),False))</f>
        <v/>
      </c>
      <c r="G165" s="227" t="str">
        <f>IF($D165="","", VLOOKUP($D165,'Final Update'!$Q$21:$AE1000,Column(I163),False))</f>
        <v/>
      </c>
      <c r="H165" s="227" t="str">
        <f>IF($D165="","", VLOOKUP($D165,'Final Update'!$Q$21:$AE1000,Column(J163),False))</f>
        <v/>
      </c>
      <c r="I165" s="227" t="str">
        <f>IF($D165="","", VLOOKUP($D165,'Final Update'!$Q$21:$AE1000,Column(K163),False))</f>
        <v/>
      </c>
      <c r="J165" s="227" t="str">
        <f>IF($D165="","", VLOOKUP($D165,'Final Update'!$Q$21:$AE1000,Column(L163),False))</f>
        <v/>
      </c>
      <c r="K165" s="228" t="str">
        <f>IF($D165="","", VLOOKUP($D165,'Final Update'!$Q$21:$AE1000,Column(M163),False))</f>
        <v/>
      </c>
      <c r="L165" s="228" t="str">
        <f>IF($D165="","", VLOOKUP($D165,'Final Update'!$Q$21:$AE1000,Column(N163),False))</f>
        <v/>
      </c>
      <c r="M165" s="227" t="str">
        <f>IF($D165="","", VLOOKUP($D165,'Final Update'!$Q$21:$AE1000,Column(O163),False))</f>
        <v/>
      </c>
      <c r="N165" s="227" t="str">
        <f>IF($D165="","", VLOOKUP($D165,'Final Update'!$Q$21:$AE1000,Column(C163),False))</f>
        <v/>
      </c>
      <c r="O165" s="163"/>
      <c r="P165" s="163"/>
      <c r="Q165" s="163"/>
      <c r="R165" s="163"/>
      <c r="S165" s="163"/>
      <c r="T165" s="163"/>
      <c r="U165" s="163"/>
      <c r="V165" s="163"/>
      <c r="W165" s="163"/>
      <c r="X165" s="163"/>
      <c r="Y165" s="163"/>
      <c r="Z165" s="163"/>
    </row>
    <row r="166">
      <c r="A166" s="163"/>
      <c r="B166" s="220">
        <f>Projections!$AJ$26</f>
        <v>100</v>
      </c>
      <c r="C166" s="221">
        <v>11.0</v>
      </c>
      <c r="D166" s="230" t="str">
        <f t="array" ref="D166">INDIRECT("Draft!N"&amp;TEXT(A155+2,"0"))</f>
        <v/>
      </c>
      <c r="E166" s="227" t="str">
        <f>IF($D166="","", VLOOKUP($D166,'Final Update'!$Q$21:$AE1000,Column(G164),False))</f>
        <v/>
      </c>
      <c r="F166" s="227" t="str">
        <f>IF($D166="","", VLOOKUP($D166,'Final Update'!$Q$21:$AE1000,Column(H164),False))</f>
        <v/>
      </c>
      <c r="G166" s="227" t="str">
        <f>IF($D166="","", VLOOKUP($D166,'Final Update'!$Q$21:$AE1000,Column(I164),False))</f>
        <v/>
      </c>
      <c r="H166" s="227" t="str">
        <f>IF($D166="","", VLOOKUP($D166,'Final Update'!$Q$21:$AE1000,Column(J164),False))</f>
        <v/>
      </c>
      <c r="I166" s="227" t="str">
        <f>IF($D166="","", VLOOKUP($D166,'Final Update'!$Q$21:$AE1000,Column(K164),False))</f>
        <v/>
      </c>
      <c r="J166" s="227" t="str">
        <f>IF($D166="","", VLOOKUP($D166,'Final Update'!$Q$21:$AE1000,Column(L164),False))</f>
        <v/>
      </c>
      <c r="K166" s="228" t="str">
        <f>IF($D166="","", VLOOKUP($D166,'Final Update'!$Q$21:$AE1000,Column(M164),False))</f>
        <v/>
      </c>
      <c r="L166" s="228" t="str">
        <f>IF($D166="","", VLOOKUP($D166,'Final Update'!$Q$21:$AE1000,Column(N164),False))</f>
        <v/>
      </c>
      <c r="M166" s="227" t="str">
        <f>IF($D166="","", VLOOKUP($D166,'Final Update'!$Q$21:$AE1000,Column(O164),False))</f>
        <v/>
      </c>
      <c r="N166" s="227" t="str">
        <f>IF($D166="","", VLOOKUP($D166,'Final Update'!$Q$21:$AE1000,Column(C164),False))</f>
        <v/>
      </c>
      <c r="O166" s="163"/>
      <c r="P166" s="163"/>
      <c r="Q166" s="163"/>
      <c r="R166" s="163"/>
      <c r="S166" s="163"/>
      <c r="T166" s="163"/>
      <c r="U166" s="163"/>
      <c r="V166" s="163"/>
      <c r="W166" s="163"/>
      <c r="X166" s="163"/>
      <c r="Y166" s="163"/>
      <c r="Z166" s="163"/>
    </row>
    <row r="167">
      <c r="A167" s="163"/>
      <c r="B167" s="220">
        <f>Projections!$AJ$27</f>
        <v>100</v>
      </c>
      <c r="C167" s="221">
        <v>12.0</v>
      </c>
      <c r="D167" s="231" t="str">
        <f t="array" ref="D167">INDIRECT("Draft!O"&amp;TEXT(15-A155,"0"))</f>
        <v/>
      </c>
      <c r="E167" s="227" t="str">
        <f>IF($D167="","", VLOOKUP($D167,'Final Update'!$Q$21:$AE1000,Column(G165),False))</f>
        <v/>
      </c>
      <c r="F167" s="227" t="str">
        <f>IF($D167="","", VLOOKUP($D167,'Final Update'!$Q$21:$AE1000,Column(H165),False))</f>
        <v/>
      </c>
      <c r="G167" s="227" t="str">
        <f>IF($D167="","", VLOOKUP($D167,'Final Update'!$Q$21:$AE1000,Column(I165),False))</f>
        <v/>
      </c>
      <c r="H167" s="227" t="str">
        <f>IF($D167="","", VLOOKUP($D167,'Final Update'!$Q$21:$AE1000,Column(J165),False))</f>
        <v/>
      </c>
      <c r="I167" s="227" t="str">
        <f>IF($D167="","", VLOOKUP($D167,'Final Update'!$Q$21:$AE1000,Column(K165),False))</f>
        <v/>
      </c>
      <c r="J167" s="227" t="str">
        <f>IF($D167="","", VLOOKUP($D167,'Final Update'!$Q$21:$AE1000,Column(L165),False))</f>
        <v/>
      </c>
      <c r="K167" s="228" t="str">
        <f>IF($D167="","", VLOOKUP($D167,'Final Update'!$Q$21:$AE1000,Column(M165),False))</f>
        <v/>
      </c>
      <c r="L167" s="228" t="str">
        <f>IF($D167="","", VLOOKUP($D167,'Final Update'!$Q$21:$AE1000,Column(N165),False))</f>
        <v/>
      </c>
      <c r="M167" s="227" t="str">
        <f>IF($D167="","", VLOOKUP($D167,'Final Update'!$Q$21:$AE1000,Column(O165),False))</f>
        <v/>
      </c>
      <c r="N167" s="227" t="str">
        <f>IF($D167="","", VLOOKUP($D167,'Final Update'!$Q$21:$AE1000,Column(C165),False))</f>
        <v/>
      </c>
      <c r="O167" s="163"/>
      <c r="P167" s="163"/>
      <c r="Q167" s="163"/>
      <c r="R167" s="163"/>
      <c r="S167" s="163"/>
      <c r="T167" s="163"/>
      <c r="U167" s="163"/>
      <c r="V167" s="163"/>
      <c r="W167" s="163"/>
      <c r="X167" s="163"/>
      <c r="Y167" s="163"/>
      <c r="Z167" s="163"/>
    </row>
    <row r="168">
      <c r="A168" s="163"/>
      <c r="B168" s="232">
        <f>Projections!$AJ$28</f>
        <v>100</v>
      </c>
      <c r="C168" s="221">
        <v>13.0</v>
      </c>
      <c r="D168" s="230" t="str">
        <f t="array" ref="D168">INDIRECT("Draft!P"&amp;TEXT(A155+2,"0"))</f>
        <v/>
      </c>
      <c r="E168" s="227" t="str">
        <f>IF($D168="","", VLOOKUP($D168,'Final Update'!$Q$21:$AE1000,Column(G166),False))</f>
        <v/>
      </c>
      <c r="F168" s="227" t="str">
        <f>IF($D168="","", VLOOKUP($D168,'Final Update'!$Q$21:$AE1000,Column(H166),False))</f>
        <v/>
      </c>
      <c r="G168" s="227" t="str">
        <f>IF($D168="","", VLOOKUP($D168,'Final Update'!$Q$21:$AE1000,Column(I166),False))</f>
        <v/>
      </c>
      <c r="H168" s="227" t="str">
        <f>IF($D168="","", VLOOKUP($D168,'Final Update'!$Q$21:$AE1000,Column(J166),False))</f>
        <v/>
      </c>
      <c r="I168" s="227" t="str">
        <f>IF($D168="","", VLOOKUP($D168,'Final Update'!$Q$21:$AE1000,Column(K166),False))</f>
        <v/>
      </c>
      <c r="J168" s="227" t="str">
        <f>IF($D168="","", VLOOKUP($D168,'Final Update'!$Q$21:$AE1000,Column(L166),False))</f>
        <v/>
      </c>
      <c r="K168" s="228" t="str">
        <f>IF($D168="","", VLOOKUP($D168,'Final Update'!$Q$21:$AE1000,Column(M166),False))</f>
        <v/>
      </c>
      <c r="L168" s="228" t="str">
        <f>IF($D168="","", VLOOKUP($D168,'Final Update'!$Q$21:$AE1000,Column(N166),False))</f>
        <v/>
      </c>
      <c r="M168" s="227" t="str">
        <f>IF($D168="","", VLOOKUP($D168,'Final Update'!$Q$21:$AE1000,Column(O166),False))</f>
        <v/>
      </c>
      <c r="N168" s="227" t="str">
        <f>IF($D168="","", VLOOKUP($D168,'Final Update'!$Q$21:$AE1000,Column(C166),False))</f>
        <v/>
      </c>
      <c r="O168" s="163"/>
      <c r="P168" s="163"/>
      <c r="Q168" s="163"/>
      <c r="R168" s="163"/>
      <c r="S168" s="163"/>
      <c r="T168" s="163"/>
      <c r="U168" s="163"/>
      <c r="V168" s="163"/>
      <c r="W168" s="163"/>
      <c r="X168" s="163"/>
      <c r="Y168" s="163"/>
      <c r="Z168" s="163"/>
    </row>
    <row r="169">
      <c r="A169" s="163"/>
      <c r="B169" s="220">
        <f>Projections!$AJ$29</f>
        <v>50</v>
      </c>
      <c r="C169" s="221">
        <v>14.0</v>
      </c>
      <c r="D169" s="231" t="str">
        <f t="array" ref="D169">INDIRECT("Draft!Q"&amp;TEXT(15-A155,"0"))</f>
        <v/>
      </c>
      <c r="E169" s="227" t="str">
        <f>IF($D169="","", VLOOKUP($D169,'Final Update'!$Q$21:$AE1000,Column(G167),False))</f>
        <v/>
      </c>
      <c r="F169" s="227" t="str">
        <f>IF($D169="","", VLOOKUP($D169,'Final Update'!$Q$21:$AE1000,Column(H167),False))</f>
        <v/>
      </c>
      <c r="G169" s="227" t="str">
        <f>IF($D169="","", VLOOKUP($D169,'Final Update'!$Q$21:$AE1000,Column(I167),False))</f>
        <v/>
      </c>
      <c r="H169" s="227" t="str">
        <f>IF($D169="","", VLOOKUP($D169,'Final Update'!$Q$21:$AE1000,Column(J167),False))</f>
        <v/>
      </c>
      <c r="I169" s="227" t="str">
        <f>IF($D169="","", VLOOKUP($D169,'Final Update'!$Q$21:$AE1000,Column(K167),False))</f>
        <v/>
      </c>
      <c r="J169" s="227" t="str">
        <f>IF($D169="","", VLOOKUP($D169,'Final Update'!$Q$21:$AE1000,Column(L167),False))</f>
        <v/>
      </c>
      <c r="K169" s="228" t="str">
        <f>IF($D169="","", VLOOKUP($D169,'Final Update'!$Q$21:$AE1000,Column(M167),False))</f>
        <v/>
      </c>
      <c r="L169" s="228" t="str">
        <f>IF($D169="","", VLOOKUP($D169,'Final Update'!$Q$21:$AE1000,Column(N167),False))</f>
        <v/>
      </c>
      <c r="M169" s="227" t="str">
        <f>IF($D169="","", VLOOKUP($D169,'Final Update'!$Q$21:$AE1000,Column(O167),False))</f>
        <v/>
      </c>
      <c r="N169" s="227" t="str">
        <f>IF($D169="","", VLOOKUP($D169,'Final Update'!$Q$21:$AE1000,Column(C167),False))</f>
        <v/>
      </c>
      <c r="O169" s="163"/>
      <c r="P169" s="163"/>
      <c r="Q169" s="163"/>
      <c r="R169" s="163"/>
      <c r="S169" s="163"/>
      <c r="T169" s="163"/>
      <c r="U169" s="163"/>
      <c r="V169" s="163"/>
      <c r="W169" s="163"/>
      <c r="X169" s="163"/>
      <c r="Y169" s="163"/>
      <c r="Z169" s="163"/>
    </row>
    <row r="170">
      <c r="A170" s="216" t="s">
        <v>5</v>
      </c>
      <c r="B170" s="163"/>
      <c r="C170" s="163"/>
      <c r="D170" s="219" t="s">
        <v>1328</v>
      </c>
      <c r="E170" s="233" t="str">
        <f t="shared" ref="E170:J170" si="10">IFERROR(AVERAGE(SUMPRODUCT(E156:E169,$B156:$B169/100))/(SUM(OFFSET($B156,0,0,COUNT(E156:E169)))/100),"")</f>
        <v/>
      </c>
      <c r="F170" s="233" t="str">
        <f t="shared" si="10"/>
        <v/>
      </c>
      <c r="G170" s="233" t="str">
        <f t="shared" si="10"/>
        <v/>
      </c>
      <c r="H170" s="233" t="str">
        <f t="shared" si="10"/>
        <v/>
      </c>
      <c r="I170" s="233" t="str">
        <f t="shared" si="10"/>
        <v/>
      </c>
      <c r="J170" s="233" t="str">
        <f t="shared" si="10"/>
        <v/>
      </c>
      <c r="K170" s="233" t="str">
        <f t="array" ref="K170">IFERROR(100*SUMPRODUCT(IFERROR(VLOOKUP($D156:$D169,UpdateHashtag!$C:$S,6,False),"")*$B156:$B169/100)/SUMPRODUCT(IFERROR(VLOOKUP($D156:$D169,UpdateHashtag!$C:$S,17,False),"")*$B156:$B169/100),"")</f>
        <v/>
      </c>
      <c r="L170" s="233" t="str">
        <f t="array" ref="L170">IFERROR(100*SUMPRODUCT(IFERROR(VLOOKUP($D156:$D169,UpdateHashtag!$C:$T,8,False),"")*$B156:$B169/100)/SUMPRODUCT(IFERROR(VLOOKUP($D156:$D169,UpdateHashtag!$C:$T,18,False),"")*$B156:$B169/100),"")</f>
        <v/>
      </c>
      <c r="M170" s="233" t="str">
        <f>IFERROR(AVERAGE(SUMPRODUCT(M156:M169,$B156:$B169/100))/(SUM(OFFSET($B156,0,0,COUNT(M156:M169)))/100),"")</f>
        <v/>
      </c>
      <c r="N170" s="163"/>
      <c r="O170" s="163"/>
      <c r="P170" s="163"/>
      <c r="Q170" s="163"/>
      <c r="R170" s="163"/>
      <c r="S170" s="163"/>
      <c r="T170" s="163"/>
      <c r="U170" s="163"/>
      <c r="V170" s="163"/>
      <c r="W170" s="163"/>
      <c r="X170" s="163"/>
      <c r="Y170" s="163"/>
      <c r="Z170" s="163"/>
    </row>
    <row r="171">
      <c r="A171" s="163"/>
      <c r="B171" s="163"/>
      <c r="C171" s="163"/>
      <c r="D171" s="219" t="s">
        <v>1329</v>
      </c>
      <c r="E171" s="234" t="str">
        <f>IFERROR((SUM(OFFSET('All Teams'!$B156,0,0,COUNT('All Teams'!E156:E169)))/100)*('All Teams'!E170-'Final Update'!$B$1)/'Final Update'!$B$2,"")</f>
        <v/>
      </c>
      <c r="F171" s="234" t="str">
        <f>IFERROR((SUM(OFFSET('All Teams'!$B156,0,0,COUNT('All Teams'!F156:F169)))/100)*('All Teams'!F170-'Final Update'!$C$1)/'Final Update'!$C$2,"")</f>
        <v/>
      </c>
      <c r="G171" s="234" t="str">
        <f>IFERROR((SUM(OFFSET('All Teams'!$B156,0,0,COUNT('All Teams'!G156:G169)))/100)*('All Teams'!G170-'Final Update'!$D$1)/'Final Update'!$D$2,"")</f>
        <v/>
      </c>
      <c r="H171" s="234" t="str">
        <f>IFERROR((SUM(OFFSET('All Teams'!$B156,0,0,COUNT('All Teams'!H156:H169)))/100)*('All Teams'!H170-'Final Update'!$E$1)/'Final Update'!$E$2,"")</f>
        <v/>
      </c>
      <c r="I171" s="234" t="str">
        <f>IFERROR((SUM(OFFSET('All Teams'!$B156,0,0,COUNT('All Teams'!I156:I169)))/100)*('All Teams'!I170-'Final Update'!$F$1)/'Final Update'!$F$2,"")</f>
        <v/>
      </c>
      <c r="J171" s="234" t="str">
        <f>IFERROR((SUM(OFFSET('All Teams'!$B156,0,0,COUNT('All Teams'!J156:J169)))/100)*('All Teams'!J170-'Final Update'!$G$1)/'Final Update'!$G$2,"")</f>
        <v/>
      </c>
      <c r="K171" s="234">
        <f t="array" ref="K171">SUMPRODUCT(IFERROR(VLOOKUP($D156:$D169,'Final Update'!$A$4:$L$403,8,False)*$B156:$B169/100,""))</f>
        <v>0</v>
      </c>
      <c r="L171" s="234">
        <f t="array" ref="L171">SUMPRODUCT(IFERROR(VLOOKUP($D156:$D169,'Final Update'!$A$4:$L$403,10,False)*$B156:$B169/100,""))</f>
        <v>0</v>
      </c>
      <c r="M171" s="234" t="str">
        <f>IFERROR(-(SUM(OFFSET('All Teams'!$B156,0,0,COUNT('All Teams'!M156:M169)))/100)*('All Teams'!M170-'Final Update'!$L$1)/'Final Update'!$L$2,"")</f>
        <v/>
      </c>
      <c r="N171" s="163"/>
      <c r="O171" s="163"/>
      <c r="P171" s="163"/>
      <c r="Q171" s="163"/>
      <c r="R171" s="163"/>
      <c r="S171" s="163"/>
      <c r="T171" s="163"/>
      <c r="U171" s="163"/>
      <c r="V171" s="163"/>
      <c r="W171" s="163"/>
      <c r="X171" s="163"/>
      <c r="Y171" s="163"/>
      <c r="Z171" s="163"/>
    </row>
    <row r="172">
      <c r="A172" s="217">
        <v>11.0</v>
      </c>
      <c r="B172" s="218" t="s">
        <v>220</v>
      </c>
      <c r="C172" s="219" t="s">
        <v>222</v>
      </c>
      <c r="D172" s="218" t="s">
        <v>1242</v>
      </c>
      <c r="E172" s="218" t="s">
        <v>10</v>
      </c>
      <c r="F172" s="218" t="s">
        <v>109</v>
      </c>
      <c r="G172" s="218" t="s">
        <v>110</v>
      </c>
      <c r="H172" s="218" t="s">
        <v>12</v>
      </c>
      <c r="I172" s="218" t="s">
        <v>13</v>
      </c>
      <c r="J172" s="218" t="s">
        <v>14</v>
      </c>
      <c r="K172" s="218" t="s">
        <v>8</v>
      </c>
      <c r="L172" s="218" t="s">
        <v>9</v>
      </c>
      <c r="M172" s="218" t="s">
        <v>15</v>
      </c>
      <c r="N172" s="218" t="s">
        <v>4</v>
      </c>
      <c r="O172" s="218" t="s">
        <v>227</v>
      </c>
      <c r="P172" s="218" t="s">
        <v>4</v>
      </c>
      <c r="Q172" s="163"/>
      <c r="R172" s="163"/>
      <c r="S172" s="163"/>
      <c r="T172" s="163"/>
      <c r="U172" s="163"/>
      <c r="V172" s="163"/>
      <c r="W172" s="163"/>
      <c r="X172" s="163"/>
      <c r="Y172" s="163"/>
      <c r="Z172" s="163"/>
    </row>
    <row r="173">
      <c r="A173" s="163"/>
      <c r="B173" s="220">
        <f>Projections!$AJ$16</f>
        <v>100</v>
      </c>
      <c r="C173" s="221">
        <v>1.0</v>
      </c>
      <c r="D173" s="222" t="str">
        <f t="array" ref="D173">INDIRECT("Draft!D"&amp;TEXT(A172+2,"0"))</f>
        <v/>
      </c>
      <c r="E173" s="223" t="str">
        <f>IF($D173="","", VLOOKUP($D173,'Final Update'!$Q$21:$AE1000,Column(G171),False))</f>
        <v/>
      </c>
      <c r="F173" s="223" t="str">
        <f>IF($D173="","", VLOOKUP($D173,'Final Update'!$Q$21:$AE1000,Column(H171),False))</f>
        <v/>
      </c>
      <c r="G173" s="223" t="str">
        <f>IF($D173="","", VLOOKUP($D173,'Final Update'!$Q$21:$AE1000,Column(I171),False))</f>
        <v/>
      </c>
      <c r="H173" s="223" t="str">
        <f>IF($D173="","", VLOOKUP($D173,'Final Update'!$Q$21:$AE1000,Column(J171),False))</f>
        <v/>
      </c>
      <c r="I173" s="223" t="str">
        <f>IF($D173="","", VLOOKUP($D173,'Final Update'!$Q$21:$AE1000,Column(K171),False))</f>
        <v/>
      </c>
      <c r="J173" s="223" t="str">
        <f>IF($D173="","", VLOOKUP($D173,'Final Update'!$Q$21:$AE1000,Column(L171),False))</f>
        <v/>
      </c>
      <c r="K173" s="224" t="str">
        <f>IF($D173="","", VLOOKUP($D173,'Final Update'!$Q$21:$AE1000,Column(M171),False))</f>
        <v/>
      </c>
      <c r="L173" s="224" t="str">
        <f>IF($D173="","", VLOOKUP($D173,'Final Update'!$Q$21:$AE1000,Column(N171),False))</f>
        <v/>
      </c>
      <c r="M173" s="223" t="str">
        <f>IF($D173="","", VLOOKUP($D173,'Final Update'!$Q$21:$AE1000,Column(O171),False))</f>
        <v/>
      </c>
      <c r="N173" s="223" t="str">
        <f>IF($D173="","", VLOOKUP($D173,'Final Update'!$Q$21:$AE1000,Column(C171),False))</f>
        <v/>
      </c>
      <c r="O173" s="221">
        <f t="array" ref="O173">COUNTIF(FIND(P173,$N173:$N186),"&gt;0")</f>
        <v>0</v>
      </c>
      <c r="P173" s="222" t="s">
        <v>46</v>
      </c>
      <c r="Q173" s="163"/>
      <c r="R173" s="163"/>
      <c r="S173" s="163"/>
      <c r="T173" s="163"/>
      <c r="U173" s="163"/>
      <c r="V173" s="163"/>
      <c r="W173" s="163"/>
      <c r="X173" s="163"/>
      <c r="Y173" s="163"/>
      <c r="Z173" s="163"/>
    </row>
    <row r="174">
      <c r="A174" s="163"/>
      <c r="B174" s="220">
        <f>Projections!$AJ$17</f>
        <v>100</v>
      </c>
      <c r="C174" s="221">
        <v>2.0</v>
      </c>
      <c r="D174" s="225" t="str">
        <f t="array" ref="D174">INDIRECT("Draft!E"&amp;TEXT(15-A172,"0"))</f>
        <v/>
      </c>
      <c r="E174" s="223" t="str">
        <f>IF($D174="","", VLOOKUP($D174,'Final Update'!$Q$21:$AE1000,Column(G172),False))</f>
        <v/>
      </c>
      <c r="F174" s="223" t="str">
        <f>IF($D174="","", VLOOKUP($D174,'Final Update'!$Q$21:$AE1000,Column(H172),False))</f>
        <v/>
      </c>
      <c r="G174" s="223" t="str">
        <f>IF($D174="","", VLOOKUP($D174,'Final Update'!$Q$21:$AE1000,Column(I172),False))</f>
        <v/>
      </c>
      <c r="H174" s="223" t="str">
        <f>IF($D174="","", VLOOKUP($D174,'Final Update'!$Q$21:$AE1000,Column(J172),False))</f>
        <v/>
      </c>
      <c r="I174" s="223" t="str">
        <f>IF($D174="","", VLOOKUP($D174,'Final Update'!$Q$21:$AE1000,Column(K172),False))</f>
        <v/>
      </c>
      <c r="J174" s="223" t="str">
        <f>IF($D174="","", VLOOKUP($D174,'Final Update'!$Q$21:$AE1000,Column(L172),False))</f>
        <v/>
      </c>
      <c r="K174" s="224" t="str">
        <f>IF($D174="","", VLOOKUP($D174,'Final Update'!$Q$21:$AE1000,Column(M172),False))</f>
        <v/>
      </c>
      <c r="L174" s="224" t="str">
        <f>IF($D174="","", VLOOKUP($D174,'Final Update'!$Q$21:$AE1000,Column(N172),False))</f>
        <v/>
      </c>
      <c r="M174" s="223" t="str">
        <f>IF($D174="","", VLOOKUP($D174,'Final Update'!$Q$21:$AE1000,Column(O172),False))</f>
        <v/>
      </c>
      <c r="N174" s="223" t="str">
        <f>IF($D174="","", VLOOKUP($D174,'Final Update'!$Q$21:$AE1000,Column(C172),False))</f>
        <v/>
      </c>
      <c r="O174" s="221">
        <f t="array" ref="O174">COUNTIF(FIND(P174,$N173:$N186),"&gt;0")</f>
        <v>0</v>
      </c>
      <c r="P174" s="222" t="s">
        <v>47</v>
      </c>
      <c r="Q174" s="163"/>
      <c r="R174" s="163"/>
      <c r="S174" s="163"/>
      <c r="T174" s="163"/>
      <c r="U174" s="163"/>
      <c r="V174" s="163"/>
      <c r="W174" s="163"/>
      <c r="X174" s="163"/>
      <c r="Y174" s="163"/>
      <c r="Z174" s="163"/>
    </row>
    <row r="175">
      <c r="A175" s="163"/>
      <c r="B175" s="220">
        <f>Projections!$AJ$18</f>
        <v>100</v>
      </c>
      <c r="C175" s="221">
        <v>3.0</v>
      </c>
      <c r="D175" s="226" t="str">
        <f t="array" ref="D175">INDIRECT("Draft!F"&amp;TEXT(A172+2,"0"))</f>
        <v/>
      </c>
      <c r="E175" s="227" t="str">
        <f>IF($D175="","", VLOOKUP($D175,'Final Update'!$Q$21:$AE1000,Column(G173),False))</f>
        <v/>
      </c>
      <c r="F175" s="227" t="str">
        <f>IF($D175="","", VLOOKUP($D175,'Final Update'!$Q$21:$AE1000,Column(H173),False))</f>
        <v/>
      </c>
      <c r="G175" s="227" t="str">
        <f>IF($D175="","", VLOOKUP($D175,'Final Update'!$Q$21:$AE1000,Column(I173),False))</f>
        <v/>
      </c>
      <c r="H175" s="227" t="str">
        <f>IF($D175="","", VLOOKUP($D175,'Final Update'!$Q$21:$AE1000,Column(J173),False))</f>
        <v/>
      </c>
      <c r="I175" s="227" t="str">
        <f>IF($D175="","", VLOOKUP($D175,'Final Update'!$Q$21:$AE1000,Column(K173),False))</f>
        <v/>
      </c>
      <c r="J175" s="227" t="str">
        <f>IF($D175="","", VLOOKUP($D175,'Final Update'!$Q$21:$AE1000,Column(L173),False))</f>
        <v/>
      </c>
      <c r="K175" s="228" t="str">
        <f>IF($D175="","", VLOOKUP($D175,'Final Update'!$Q$21:$AE1000,Column(M173),False))</f>
        <v/>
      </c>
      <c r="L175" s="228" t="str">
        <f>IF($D175="","", VLOOKUP($D175,'Final Update'!$Q$21:$AE1000,Column(N173),False))</f>
        <v/>
      </c>
      <c r="M175" s="227" t="str">
        <f>IF($D175="","", VLOOKUP($D175,'Final Update'!$Q$21:$AE1000,Column(O173),False))</f>
        <v/>
      </c>
      <c r="N175" s="227" t="str">
        <f>IF($D175="","", VLOOKUP($D175,'Final Update'!$Q$21:$AE1000,Column(C173),False))</f>
        <v/>
      </c>
      <c r="O175" s="221">
        <f t="array" ref="O175">COUNTIF(FIND(P175,$N173:$N186),"&gt;0")</f>
        <v>0</v>
      </c>
      <c r="P175" s="222" t="s">
        <v>48</v>
      </c>
      <c r="Q175" s="163"/>
      <c r="R175" s="163"/>
      <c r="S175" s="163"/>
      <c r="T175" s="163"/>
      <c r="U175" s="163"/>
      <c r="V175" s="163"/>
      <c r="W175" s="163"/>
      <c r="X175" s="163"/>
      <c r="Y175" s="163"/>
      <c r="Z175" s="163"/>
    </row>
    <row r="176">
      <c r="A176" s="163"/>
      <c r="B176" s="220">
        <f>Projections!$AJ$19</f>
        <v>100</v>
      </c>
      <c r="C176" s="221">
        <v>4.0</v>
      </c>
      <c r="D176" s="229" t="str">
        <f t="array" ref="D176">INDIRECT("Draft!G"&amp;TEXT(15-A172,"0"))</f>
        <v/>
      </c>
      <c r="E176" s="227" t="str">
        <f>IF($D176="","", VLOOKUP($D176,'Final Update'!$Q$21:$AE1000,Column(G174),False))</f>
        <v/>
      </c>
      <c r="F176" s="227" t="str">
        <f>IF($D176="","", VLOOKUP($D176,'Final Update'!$Q$21:$AE1000,Column(H174),False))</f>
        <v/>
      </c>
      <c r="G176" s="227" t="str">
        <f>IF($D176="","", VLOOKUP($D176,'Final Update'!$Q$21:$AE1000,Column(I174),False))</f>
        <v/>
      </c>
      <c r="H176" s="227" t="str">
        <f>IF($D176="","", VLOOKUP($D176,'Final Update'!$Q$21:$AE1000,Column(J174),False))</f>
        <v/>
      </c>
      <c r="I176" s="227" t="str">
        <f>IF($D176="","", VLOOKUP($D176,'Final Update'!$Q$21:$AE1000,Column(K174),False))</f>
        <v/>
      </c>
      <c r="J176" s="227" t="str">
        <f>IF($D176="","", VLOOKUP($D176,'Final Update'!$Q$21:$AE1000,Column(L174),False))</f>
        <v/>
      </c>
      <c r="K176" s="228" t="str">
        <f>IF($D176="","", VLOOKUP($D176,'Final Update'!$Q$21:$AE1000,Column(M174),False))</f>
        <v/>
      </c>
      <c r="L176" s="228" t="str">
        <f>IF($D176="","", VLOOKUP($D176,'Final Update'!$Q$21:$AE1000,Column(N174),False))</f>
        <v/>
      </c>
      <c r="M176" s="227" t="str">
        <f>IF($D176="","", VLOOKUP($D176,'Final Update'!$Q$21:$AE1000,Column(O174),False))</f>
        <v/>
      </c>
      <c r="N176" s="227" t="str">
        <f>IF($D176="","", VLOOKUP($D176,'Final Update'!$Q$21:$AE1000,Column(C174),False))</f>
        <v/>
      </c>
      <c r="O176" s="221">
        <f t="array" ref="O176">COUNTIF(FIND(P176,$N173:$N186),"&gt;0")</f>
        <v>0</v>
      </c>
      <c r="P176" s="222" t="s">
        <v>49</v>
      </c>
      <c r="Q176" s="163"/>
      <c r="R176" s="163"/>
      <c r="S176" s="163"/>
      <c r="T176" s="163"/>
      <c r="U176" s="163"/>
      <c r="V176" s="163"/>
      <c r="W176" s="163"/>
      <c r="X176" s="163"/>
      <c r="Y176" s="163"/>
      <c r="Z176" s="163"/>
    </row>
    <row r="177">
      <c r="A177" s="163"/>
      <c r="B177" s="220">
        <f>Projections!$AJ$20</f>
        <v>100</v>
      </c>
      <c r="C177" s="221">
        <v>5.0</v>
      </c>
      <c r="D177" s="230" t="str">
        <f t="array" ref="D177">INDIRECT("Draft!H"&amp;TEXT(A172+2,"0"))</f>
        <v/>
      </c>
      <c r="E177" s="227" t="str">
        <f>IF($D177="","", VLOOKUP($D177,'Final Update'!$Q$21:$AE1000,Column(G175),False))</f>
        <v/>
      </c>
      <c r="F177" s="227" t="str">
        <f>IF($D177="","", VLOOKUP($D177,'Final Update'!$Q$21:$AE1000,Column(H175),False))</f>
        <v/>
      </c>
      <c r="G177" s="227" t="str">
        <f>IF($D177="","", VLOOKUP($D177,'Final Update'!$Q$21:$AE1000,Column(I175),False))</f>
        <v/>
      </c>
      <c r="H177" s="227" t="str">
        <f>IF($D177="","", VLOOKUP($D177,'Final Update'!$Q$21:$AE1000,Column(J175),False))</f>
        <v/>
      </c>
      <c r="I177" s="227" t="str">
        <f>IF($D177="","", VLOOKUP($D177,'Final Update'!$Q$21:$AE1000,Column(K175),False))</f>
        <v/>
      </c>
      <c r="J177" s="227" t="str">
        <f>IF($D177="","", VLOOKUP($D177,'Final Update'!$Q$21:$AE1000,Column(L175),False))</f>
        <v/>
      </c>
      <c r="K177" s="228" t="str">
        <f>IF($D177="","", VLOOKUP($D177,'Final Update'!$Q$21:$AE1000,Column(M175),False))</f>
        <v/>
      </c>
      <c r="L177" s="228" t="str">
        <f>IF($D177="","", VLOOKUP($D177,'Final Update'!$Q$21:$AE1000,Column(N175),False))</f>
        <v/>
      </c>
      <c r="M177" s="227" t="str">
        <f>IF($D177="","", VLOOKUP($D177,'Final Update'!$Q$21:$AE1000,Column(O175),False))</f>
        <v/>
      </c>
      <c r="N177" s="227" t="str">
        <f>IF($D177="","", VLOOKUP($D177,'Final Update'!$Q$21:$AE1000,Column(C175),False))</f>
        <v/>
      </c>
      <c r="O177" s="221">
        <f t="array" ref="O177">COUNTIF(FIND(P177,$N173:$N186),"&gt;0")</f>
        <v>0</v>
      </c>
      <c r="P177" s="222" t="s">
        <v>34</v>
      </c>
      <c r="Q177" s="163"/>
      <c r="R177" s="163"/>
      <c r="S177" s="163"/>
      <c r="T177" s="163"/>
      <c r="U177" s="163"/>
      <c r="V177" s="163"/>
      <c r="W177" s="163"/>
      <c r="X177" s="163"/>
      <c r="Y177" s="163"/>
      <c r="Z177" s="163"/>
    </row>
    <row r="178">
      <c r="A178" s="163"/>
      <c r="B178" s="220">
        <f>Projections!$AJ$21</f>
        <v>100</v>
      </c>
      <c r="C178" s="221">
        <v>6.0</v>
      </c>
      <c r="D178" s="231" t="str">
        <f t="array" ref="D178">INDIRECT("Draft!I"&amp;TEXT(15-A172,"0"))</f>
        <v/>
      </c>
      <c r="E178" s="227" t="str">
        <f>IF($D178="","", VLOOKUP($D178,'Final Update'!$Q$21:$AE1000,Column(G176),False))</f>
        <v/>
      </c>
      <c r="F178" s="227" t="str">
        <f>IF($D178="","", VLOOKUP($D178,'Final Update'!$Q$21:$AE1000,Column(H176),False))</f>
        <v/>
      </c>
      <c r="G178" s="227" t="str">
        <f>IF($D178="","", VLOOKUP($D178,'Final Update'!$Q$21:$AE1000,Column(I176),False))</f>
        <v/>
      </c>
      <c r="H178" s="227" t="str">
        <f>IF($D178="","", VLOOKUP($D178,'Final Update'!$Q$21:$AE1000,Column(J176),False))</f>
        <v/>
      </c>
      <c r="I178" s="227" t="str">
        <f>IF($D178="","", VLOOKUP($D178,'Final Update'!$Q$21:$AE1000,Column(K176),False))</f>
        <v/>
      </c>
      <c r="J178" s="227" t="str">
        <f>IF($D178="","", VLOOKUP($D178,'Final Update'!$Q$21:$AE1000,Column(L176),False))</f>
        <v/>
      </c>
      <c r="K178" s="228" t="str">
        <f>IF($D178="","", VLOOKUP($D178,'Final Update'!$Q$21:$AE1000,Column(M176),False))</f>
        <v/>
      </c>
      <c r="L178" s="228" t="str">
        <f>IF($D178="","", VLOOKUP($D178,'Final Update'!$Q$21:$AE1000,Column(N176),False))</f>
        <v/>
      </c>
      <c r="M178" s="227" t="str">
        <f>IF($D178="","", VLOOKUP($D178,'Final Update'!$Q$21:$AE1000,Column(O176),False))</f>
        <v/>
      </c>
      <c r="N178" s="227" t="str">
        <f>IF($D178="","", VLOOKUP($D178,'Final Update'!$Q$21:$AE1000,Column(C176),False))</f>
        <v/>
      </c>
      <c r="O178" s="163"/>
      <c r="P178" s="163"/>
      <c r="Q178" s="163"/>
      <c r="R178" s="163"/>
      <c r="S178" s="163"/>
      <c r="T178" s="163"/>
      <c r="U178" s="163"/>
      <c r="V178" s="163"/>
      <c r="W178" s="163"/>
      <c r="X178" s="163"/>
      <c r="Y178" s="163"/>
      <c r="Z178" s="163"/>
    </row>
    <row r="179">
      <c r="A179" s="163"/>
      <c r="B179" s="220">
        <f>Projections!$AJ$22</f>
        <v>100</v>
      </c>
      <c r="C179" s="221">
        <v>7.0</v>
      </c>
      <c r="D179" s="230" t="str">
        <f t="array" ref="D179">INDIRECT("Draft!J"&amp;TEXT(A172+2,"0"))</f>
        <v/>
      </c>
      <c r="E179" s="227" t="str">
        <f>IF($D179="","", VLOOKUP($D179,'Final Update'!$Q$21:$AE1000,Column(G177),False))</f>
        <v/>
      </c>
      <c r="F179" s="227" t="str">
        <f>IF($D179="","", VLOOKUP($D179,'Final Update'!$Q$21:$AE1000,Column(H177),False))</f>
        <v/>
      </c>
      <c r="G179" s="227" t="str">
        <f>IF($D179="","", VLOOKUP($D179,'Final Update'!$Q$21:$AE1000,Column(I177),False))</f>
        <v/>
      </c>
      <c r="H179" s="227" t="str">
        <f>IF($D179="","", VLOOKUP($D179,'Final Update'!$Q$21:$AE1000,Column(J177),False))</f>
        <v/>
      </c>
      <c r="I179" s="227" t="str">
        <f>IF($D179="","", VLOOKUP($D179,'Final Update'!$Q$21:$AE1000,Column(K177),False))</f>
        <v/>
      </c>
      <c r="J179" s="227" t="str">
        <f>IF($D179="","", VLOOKUP($D179,'Final Update'!$Q$21:$AE1000,Column(L177),False))</f>
        <v/>
      </c>
      <c r="K179" s="228" t="str">
        <f>IF($D179="","", VLOOKUP($D179,'Final Update'!$Q$21:$AE1000,Column(M177),False))</f>
        <v/>
      </c>
      <c r="L179" s="228" t="str">
        <f>IF($D179="","", VLOOKUP($D179,'Final Update'!$Q$21:$AE1000,Column(N177),False))</f>
        <v/>
      </c>
      <c r="M179" s="227" t="str">
        <f>IF($D179="","", VLOOKUP($D179,'Final Update'!$Q$21:$AE1000,Column(O177),False))</f>
        <v/>
      </c>
      <c r="N179" s="227" t="str">
        <f>IF($D179="","", VLOOKUP($D179,'Final Update'!$Q$21:$AE1000,Column(C177),False))</f>
        <v/>
      </c>
      <c r="O179" s="163"/>
      <c r="P179" s="163"/>
      <c r="Q179" s="163"/>
      <c r="R179" s="163"/>
      <c r="S179" s="163"/>
      <c r="T179" s="163"/>
      <c r="U179" s="163"/>
      <c r="V179" s="163"/>
      <c r="W179" s="163"/>
      <c r="X179" s="163"/>
      <c r="Y179" s="163"/>
      <c r="Z179" s="163"/>
    </row>
    <row r="180">
      <c r="A180" s="163"/>
      <c r="B180" s="220">
        <f>Projections!$AJ$23</f>
        <v>100</v>
      </c>
      <c r="C180" s="221">
        <v>8.0</v>
      </c>
      <c r="D180" s="231" t="str">
        <f t="array" ref="D180">INDIRECT("Draft!K"&amp;TEXT(15-A172,"0"))</f>
        <v/>
      </c>
      <c r="E180" s="227" t="str">
        <f>IF($D180="","", VLOOKUP($D180,'Final Update'!$Q$21:$AE1000,Column(G178),False))</f>
        <v/>
      </c>
      <c r="F180" s="227" t="str">
        <f>IF($D180="","", VLOOKUP($D180,'Final Update'!$Q$21:$AE1000,Column(H178),False))</f>
        <v/>
      </c>
      <c r="G180" s="227" t="str">
        <f>IF($D180="","", VLOOKUP($D180,'Final Update'!$Q$21:$AE1000,Column(I178),False))</f>
        <v/>
      </c>
      <c r="H180" s="227" t="str">
        <f>IF($D180="","", VLOOKUP($D180,'Final Update'!$Q$21:$AE1000,Column(J178),False))</f>
        <v/>
      </c>
      <c r="I180" s="227" t="str">
        <f>IF($D180="","", VLOOKUP($D180,'Final Update'!$Q$21:$AE1000,Column(K178),False))</f>
        <v/>
      </c>
      <c r="J180" s="227" t="str">
        <f>IF($D180="","", VLOOKUP($D180,'Final Update'!$Q$21:$AE1000,Column(L178),False))</f>
        <v/>
      </c>
      <c r="K180" s="228" t="str">
        <f>IF($D180="","", VLOOKUP($D180,'Final Update'!$Q$21:$AE1000,Column(M178),False))</f>
        <v/>
      </c>
      <c r="L180" s="228" t="str">
        <f>IF($D180="","", VLOOKUP($D180,'Final Update'!$Q$21:$AE1000,Column(N178),False))</f>
        <v/>
      </c>
      <c r="M180" s="227" t="str">
        <f>IF($D180="","", VLOOKUP($D180,'Final Update'!$Q$21:$AE1000,Column(O178),False))</f>
        <v/>
      </c>
      <c r="N180" s="227" t="str">
        <f>IF($D180="","", VLOOKUP($D180,'Final Update'!$Q$21:$AE1000,Column(C178),False))</f>
        <v/>
      </c>
      <c r="O180" s="163"/>
      <c r="P180" s="163"/>
      <c r="Q180" s="163"/>
      <c r="R180" s="163"/>
      <c r="S180" s="163"/>
      <c r="T180" s="163"/>
      <c r="U180" s="163"/>
      <c r="V180" s="163"/>
      <c r="W180" s="163"/>
      <c r="X180" s="163"/>
      <c r="Y180" s="163"/>
      <c r="Z180" s="163"/>
    </row>
    <row r="181">
      <c r="A181" s="163"/>
      <c r="B181" s="220">
        <f>Projections!$AJ$24</f>
        <v>100</v>
      </c>
      <c r="C181" s="221">
        <v>9.0</v>
      </c>
      <c r="D181" s="230" t="str">
        <f t="array" ref="D181">INDIRECT("Draft!L"&amp;TEXT(A172+2,"0"))</f>
        <v/>
      </c>
      <c r="E181" s="227" t="str">
        <f>IF($D181="","", VLOOKUP($D181,'Final Update'!$Q$21:$AE1000,Column(G179),False))</f>
        <v/>
      </c>
      <c r="F181" s="227" t="str">
        <f>IF($D181="","", VLOOKUP($D181,'Final Update'!$Q$21:$AE1000,Column(H179),False))</f>
        <v/>
      </c>
      <c r="G181" s="227" t="str">
        <f>IF($D181="","", VLOOKUP($D181,'Final Update'!$Q$21:$AE1000,Column(I179),False))</f>
        <v/>
      </c>
      <c r="H181" s="227" t="str">
        <f>IF($D181="","", VLOOKUP($D181,'Final Update'!$Q$21:$AE1000,Column(J179),False))</f>
        <v/>
      </c>
      <c r="I181" s="227" t="str">
        <f>IF($D181="","", VLOOKUP($D181,'Final Update'!$Q$21:$AE1000,Column(K179),False))</f>
        <v/>
      </c>
      <c r="J181" s="227" t="str">
        <f>IF($D181="","", VLOOKUP($D181,'Final Update'!$Q$21:$AE1000,Column(L179),False))</f>
        <v/>
      </c>
      <c r="K181" s="228" t="str">
        <f>IF($D181="","", VLOOKUP($D181,'Final Update'!$Q$21:$AE1000,Column(M179),False))</f>
        <v/>
      </c>
      <c r="L181" s="228" t="str">
        <f>IF($D181="","", VLOOKUP($D181,'Final Update'!$Q$21:$AE1000,Column(N179),False))</f>
        <v/>
      </c>
      <c r="M181" s="227" t="str">
        <f>IF($D181="","", VLOOKUP($D181,'Final Update'!$Q$21:$AE1000,Column(O179),False))</f>
        <v/>
      </c>
      <c r="N181" s="227" t="str">
        <f>IF($D181="","", VLOOKUP($D181,'Final Update'!$Q$21:$AE1000,Column(C179),False))</f>
        <v/>
      </c>
      <c r="O181" s="163"/>
      <c r="P181" s="163"/>
      <c r="Q181" s="163"/>
      <c r="R181" s="163"/>
      <c r="S181" s="163"/>
      <c r="T181" s="163"/>
      <c r="U181" s="163"/>
      <c r="V181" s="163"/>
      <c r="W181" s="163"/>
      <c r="X181" s="163"/>
      <c r="Y181" s="163"/>
      <c r="Z181" s="163"/>
    </row>
    <row r="182">
      <c r="A182" s="163"/>
      <c r="B182" s="220">
        <f>Projections!$AJ$25</f>
        <v>100</v>
      </c>
      <c r="C182" s="221">
        <v>10.0</v>
      </c>
      <c r="D182" s="231" t="str">
        <f t="array" ref="D182">INDIRECT("Draft!M"&amp;TEXT(15-A172,"0"))</f>
        <v/>
      </c>
      <c r="E182" s="227" t="str">
        <f>IF($D182="","", VLOOKUP($D182,'Final Update'!$Q$21:$AE1000,Column(G180),False))</f>
        <v/>
      </c>
      <c r="F182" s="227" t="str">
        <f>IF($D182="","", VLOOKUP($D182,'Final Update'!$Q$21:$AE1000,Column(H180),False))</f>
        <v/>
      </c>
      <c r="G182" s="227" t="str">
        <f>IF($D182="","", VLOOKUP($D182,'Final Update'!$Q$21:$AE1000,Column(I180),False))</f>
        <v/>
      </c>
      <c r="H182" s="227" t="str">
        <f>IF($D182="","", VLOOKUP($D182,'Final Update'!$Q$21:$AE1000,Column(J180),False))</f>
        <v/>
      </c>
      <c r="I182" s="227" t="str">
        <f>IF($D182="","", VLOOKUP($D182,'Final Update'!$Q$21:$AE1000,Column(K180),False))</f>
        <v/>
      </c>
      <c r="J182" s="227" t="str">
        <f>IF($D182="","", VLOOKUP($D182,'Final Update'!$Q$21:$AE1000,Column(L180),False))</f>
        <v/>
      </c>
      <c r="K182" s="228" t="str">
        <f>IF($D182="","", VLOOKUP($D182,'Final Update'!$Q$21:$AE1000,Column(M180),False))</f>
        <v/>
      </c>
      <c r="L182" s="228" t="str">
        <f>IF($D182="","", VLOOKUP($D182,'Final Update'!$Q$21:$AE1000,Column(N180),False))</f>
        <v/>
      </c>
      <c r="M182" s="227" t="str">
        <f>IF($D182="","", VLOOKUP($D182,'Final Update'!$Q$21:$AE1000,Column(O180),False))</f>
        <v/>
      </c>
      <c r="N182" s="227" t="str">
        <f>IF($D182="","", VLOOKUP($D182,'Final Update'!$Q$21:$AE1000,Column(C180),False))</f>
        <v/>
      </c>
      <c r="O182" s="163"/>
      <c r="P182" s="163"/>
      <c r="Q182" s="163"/>
      <c r="R182" s="163"/>
      <c r="S182" s="163"/>
      <c r="T182" s="163"/>
      <c r="U182" s="163"/>
      <c r="V182" s="163"/>
      <c r="W182" s="163"/>
      <c r="X182" s="163"/>
      <c r="Y182" s="163"/>
      <c r="Z182" s="163"/>
    </row>
    <row r="183">
      <c r="A183" s="163"/>
      <c r="B183" s="220">
        <f>Projections!$AJ$26</f>
        <v>100</v>
      </c>
      <c r="C183" s="221">
        <v>11.0</v>
      </c>
      <c r="D183" s="230" t="str">
        <f t="array" ref="D183">INDIRECT("Draft!N"&amp;TEXT(A172+2,"0"))</f>
        <v/>
      </c>
      <c r="E183" s="227" t="str">
        <f>IF($D183="","", VLOOKUP($D183,'Final Update'!$Q$21:$AE1000,Column(G181),False))</f>
        <v/>
      </c>
      <c r="F183" s="227" t="str">
        <f>IF($D183="","", VLOOKUP($D183,'Final Update'!$Q$21:$AE1000,Column(H181),False))</f>
        <v/>
      </c>
      <c r="G183" s="227" t="str">
        <f>IF($D183="","", VLOOKUP($D183,'Final Update'!$Q$21:$AE1000,Column(I181),False))</f>
        <v/>
      </c>
      <c r="H183" s="227" t="str">
        <f>IF($D183="","", VLOOKUP($D183,'Final Update'!$Q$21:$AE1000,Column(J181),False))</f>
        <v/>
      </c>
      <c r="I183" s="227" t="str">
        <f>IF($D183="","", VLOOKUP($D183,'Final Update'!$Q$21:$AE1000,Column(K181),False))</f>
        <v/>
      </c>
      <c r="J183" s="227" t="str">
        <f>IF($D183="","", VLOOKUP($D183,'Final Update'!$Q$21:$AE1000,Column(L181),False))</f>
        <v/>
      </c>
      <c r="K183" s="228" t="str">
        <f>IF($D183="","", VLOOKUP($D183,'Final Update'!$Q$21:$AE1000,Column(M181),False))</f>
        <v/>
      </c>
      <c r="L183" s="228" t="str">
        <f>IF($D183="","", VLOOKUP($D183,'Final Update'!$Q$21:$AE1000,Column(N181),False))</f>
        <v/>
      </c>
      <c r="M183" s="227" t="str">
        <f>IF($D183="","", VLOOKUP($D183,'Final Update'!$Q$21:$AE1000,Column(O181),False))</f>
        <v/>
      </c>
      <c r="N183" s="227" t="str">
        <f>IF($D183="","", VLOOKUP($D183,'Final Update'!$Q$21:$AE1000,Column(C181),False))</f>
        <v/>
      </c>
      <c r="O183" s="163"/>
      <c r="P183" s="163"/>
      <c r="Q183" s="163"/>
      <c r="R183" s="163"/>
      <c r="S183" s="163"/>
      <c r="T183" s="163"/>
      <c r="U183" s="163"/>
      <c r="V183" s="163"/>
      <c r="W183" s="163"/>
      <c r="X183" s="163"/>
      <c r="Y183" s="163"/>
      <c r="Z183" s="163"/>
    </row>
    <row r="184">
      <c r="A184" s="163"/>
      <c r="B184" s="220">
        <f>Projections!$AJ$27</f>
        <v>100</v>
      </c>
      <c r="C184" s="221">
        <v>12.0</v>
      </c>
      <c r="D184" s="231" t="str">
        <f t="array" ref="D184">INDIRECT("Draft!O"&amp;TEXT(15-A172,"0"))</f>
        <v/>
      </c>
      <c r="E184" s="227" t="str">
        <f>IF($D184="","", VLOOKUP($D184,'Final Update'!$Q$21:$AE1000,Column(G182),False))</f>
        <v/>
      </c>
      <c r="F184" s="227" t="str">
        <f>IF($D184="","", VLOOKUP($D184,'Final Update'!$Q$21:$AE1000,Column(H182),False))</f>
        <v/>
      </c>
      <c r="G184" s="227" t="str">
        <f>IF($D184="","", VLOOKUP($D184,'Final Update'!$Q$21:$AE1000,Column(I182),False))</f>
        <v/>
      </c>
      <c r="H184" s="227" t="str">
        <f>IF($D184="","", VLOOKUP($D184,'Final Update'!$Q$21:$AE1000,Column(J182),False))</f>
        <v/>
      </c>
      <c r="I184" s="227" t="str">
        <f>IF($D184="","", VLOOKUP($D184,'Final Update'!$Q$21:$AE1000,Column(K182),False))</f>
        <v/>
      </c>
      <c r="J184" s="227" t="str">
        <f>IF($D184="","", VLOOKUP($D184,'Final Update'!$Q$21:$AE1000,Column(L182),False))</f>
        <v/>
      </c>
      <c r="K184" s="228" t="str">
        <f>IF($D184="","", VLOOKUP($D184,'Final Update'!$Q$21:$AE1000,Column(M182),False))</f>
        <v/>
      </c>
      <c r="L184" s="228" t="str">
        <f>IF($D184="","", VLOOKUP($D184,'Final Update'!$Q$21:$AE1000,Column(N182),False))</f>
        <v/>
      </c>
      <c r="M184" s="227" t="str">
        <f>IF($D184="","", VLOOKUP($D184,'Final Update'!$Q$21:$AE1000,Column(O182),False))</f>
        <v/>
      </c>
      <c r="N184" s="227" t="str">
        <f>IF($D184="","", VLOOKUP($D184,'Final Update'!$Q$21:$AE1000,Column(C182),False))</f>
        <v/>
      </c>
      <c r="O184" s="163"/>
      <c r="P184" s="163"/>
      <c r="Q184" s="163"/>
      <c r="R184" s="163"/>
      <c r="S184" s="163"/>
      <c r="T184" s="163"/>
      <c r="U184" s="163"/>
      <c r="V184" s="163"/>
      <c r="W184" s="163"/>
      <c r="X184" s="163"/>
      <c r="Y184" s="163"/>
      <c r="Z184" s="163"/>
    </row>
    <row r="185">
      <c r="A185" s="163"/>
      <c r="B185" s="232">
        <f>Projections!$AJ$28</f>
        <v>100</v>
      </c>
      <c r="C185" s="221">
        <v>13.0</v>
      </c>
      <c r="D185" s="230" t="str">
        <f t="array" ref="D185">INDIRECT("Draft!P"&amp;TEXT(A172+2,"0"))</f>
        <v/>
      </c>
      <c r="E185" s="227" t="str">
        <f>IF($D185="","", VLOOKUP($D185,'Final Update'!$Q$21:$AE1000,Column(G183),False))</f>
        <v/>
      </c>
      <c r="F185" s="227" t="str">
        <f>IF($D185="","", VLOOKUP($D185,'Final Update'!$Q$21:$AE1000,Column(H183),False))</f>
        <v/>
      </c>
      <c r="G185" s="227" t="str">
        <f>IF($D185="","", VLOOKUP($D185,'Final Update'!$Q$21:$AE1000,Column(I183),False))</f>
        <v/>
      </c>
      <c r="H185" s="227" t="str">
        <f>IF($D185="","", VLOOKUP($D185,'Final Update'!$Q$21:$AE1000,Column(J183),False))</f>
        <v/>
      </c>
      <c r="I185" s="227" t="str">
        <f>IF($D185="","", VLOOKUP($D185,'Final Update'!$Q$21:$AE1000,Column(K183),False))</f>
        <v/>
      </c>
      <c r="J185" s="227" t="str">
        <f>IF($D185="","", VLOOKUP($D185,'Final Update'!$Q$21:$AE1000,Column(L183),False))</f>
        <v/>
      </c>
      <c r="K185" s="228" t="str">
        <f>IF($D185="","", VLOOKUP($D185,'Final Update'!$Q$21:$AE1000,Column(M183),False))</f>
        <v/>
      </c>
      <c r="L185" s="228" t="str">
        <f>IF($D185="","", VLOOKUP($D185,'Final Update'!$Q$21:$AE1000,Column(N183),False))</f>
        <v/>
      </c>
      <c r="M185" s="227" t="str">
        <f>IF($D185="","", VLOOKUP($D185,'Final Update'!$Q$21:$AE1000,Column(O183),False))</f>
        <v/>
      </c>
      <c r="N185" s="227" t="str">
        <f>IF($D185="","", VLOOKUP($D185,'Final Update'!$Q$21:$AE1000,Column(C183),False))</f>
        <v/>
      </c>
      <c r="O185" s="163"/>
      <c r="P185" s="163"/>
      <c r="Q185" s="163"/>
      <c r="R185" s="163"/>
      <c r="S185" s="163"/>
      <c r="T185" s="163"/>
      <c r="U185" s="163"/>
      <c r="V185" s="163"/>
      <c r="W185" s="163"/>
      <c r="X185" s="163"/>
      <c r="Y185" s="163"/>
      <c r="Z185" s="163"/>
    </row>
    <row r="186">
      <c r="A186" s="163"/>
      <c r="B186" s="220">
        <f>Projections!$AJ$29</f>
        <v>50</v>
      </c>
      <c r="C186" s="221">
        <v>14.0</v>
      </c>
      <c r="D186" s="231" t="str">
        <f t="array" ref="D186">INDIRECT("Draft!Q"&amp;TEXT(15-A172,"0"))</f>
        <v/>
      </c>
      <c r="E186" s="227" t="str">
        <f>IF($D186="","", VLOOKUP($D186,'Final Update'!$Q$21:$AE1000,Column(G184),False))</f>
        <v/>
      </c>
      <c r="F186" s="227" t="str">
        <f>IF($D186="","", VLOOKUP($D186,'Final Update'!$Q$21:$AE1000,Column(H184),False))</f>
        <v/>
      </c>
      <c r="G186" s="227" t="str">
        <f>IF($D186="","", VLOOKUP($D186,'Final Update'!$Q$21:$AE1000,Column(I184),False))</f>
        <v/>
      </c>
      <c r="H186" s="227" t="str">
        <f>IF($D186="","", VLOOKUP($D186,'Final Update'!$Q$21:$AE1000,Column(J184),False))</f>
        <v/>
      </c>
      <c r="I186" s="227" t="str">
        <f>IF($D186="","", VLOOKUP($D186,'Final Update'!$Q$21:$AE1000,Column(K184),False))</f>
        <v/>
      </c>
      <c r="J186" s="227" t="str">
        <f>IF($D186="","", VLOOKUP($D186,'Final Update'!$Q$21:$AE1000,Column(L184),False))</f>
        <v/>
      </c>
      <c r="K186" s="228" t="str">
        <f>IF($D186="","", VLOOKUP($D186,'Final Update'!$Q$21:$AE1000,Column(M184),False))</f>
        <v/>
      </c>
      <c r="L186" s="228" t="str">
        <f>IF($D186="","", VLOOKUP($D186,'Final Update'!$Q$21:$AE1000,Column(N184),False))</f>
        <v/>
      </c>
      <c r="M186" s="227" t="str">
        <f>IF($D186="","", VLOOKUP($D186,'Final Update'!$Q$21:$AE1000,Column(O184),False))</f>
        <v/>
      </c>
      <c r="N186" s="227" t="str">
        <f>IF($D186="","", VLOOKUP($D186,'Final Update'!$Q$21:$AE1000,Column(C184),False))</f>
        <v/>
      </c>
      <c r="O186" s="163"/>
      <c r="P186" s="163"/>
      <c r="Q186" s="163"/>
      <c r="R186" s="163"/>
      <c r="S186" s="163"/>
      <c r="T186" s="163"/>
      <c r="U186" s="163"/>
      <c r="V186" s="163"/>
      <c r="W186" s="163"/>
      <c r="X186" s="163"/>
      <c r="Y186" s="163"/>
      <c r="Z186" s="163"/>
    </row>
    <row r="187">
      <c r="A187" s="216" t="s">
        <v>5</v>
      </c>
      <c r="B187" s="163"/>
      <c r="C187" s="163"/>
      <c r="D187" s="219" t="s">
        <v>1328</v>
      </c>
      <c r="E187" s="233" t="str">
        <f t="shared" ref="E187:J187" si="11">IFERROR(AVERAGE(SUMPRODUCT(E173:E186,$B173:$B186/100))/(SUM(OFFSET($B173,0,0,COUNT(E173:E186)))/100),"")</f>
        <v/>
      </c>
      <c r="F187" s="233" t="str">
        <f t="shared" si="11"/>
        <v/>
      </c>
      <c r="G187" s="233" t="str">
        <f t="shared" si="11"/>
        <v/>
      </c>
      <c r="H187" s="233" t="str">
        <f t="shared" si="11"/>
        <v/>
      </c>
      <c r="I187" s="233" t="str">
        <f t="shared" si="11"/>
        <v/>
      </c>
      <c r="J187" s="233" t="str">
        <f t="shared" si="11"/>
        <v/>
      </c>
      <c r="K187" s="233" t="str">
        <f t="array" ref="K187">IFERROR(100*SUMPRODUCT(IFERROR(VLOOKUP($D173:$D186,UpdateHashtag!$C:$S,6,False),"")*$B173:$B186/100)/SUMPRODUCT(IFERROR(VLOOKUP($D173:$D186,UpdateHashtag!$C:$S,17,False),"")*$B173:$B186/100),"")</f>
        <v/>
      </c>
      <c r="L187" s="233" t="str">
        <f t="array" ref="L187">IFERROR(100*SUMPRODUCT(IFERROR(VLOOKUP($D173:$D186,UpdateHashtag!$C:$T,8,False),"")*$B173:$B186/100)/SUMPRODUCT(IFERROR(VLOOKUP($D173:$D186,UpdateHashtag!$C:$T,18,False),"")*$B173:$B186/100),"")</f>
        <v/>
      </c>
      <c r="M187" s="233" t="str">
        <f>IFERROR(AVERAGE(SUMPRODUCT(M173:M186,$B173:$B186/100))/(SUM(OFFSET($B173,0,0,COUNT(M173:M186)))/100),"")</f>
        <v/>
      </c>
      <c r="N187" s="163"/>
      <c r="O187" s="163"/>
      <c r="P187" s="163"/>
      <c r="Q187" s="163"/>
      <c r="R187" s="163"/>
      <c r="S187" s="163"/>
      <c r="T187" s="163"/>
      <c r="U187" s="163"/>
      <c r="V187" s="163"/>
      <c r="W187" s="163"/>
      <c r="X187" s="163"/>
      <c r="Y187" s="163"/>
      <c r="Z187" s="163"/>
    </row>
    <row r="188">
      <c r="A188" s="163"/>
      <c r="B188" s="163"/>
      <c r="C188" s="163"/>
      <c r="D188" s="219" t="s">
        <v>1329</v>
      </c>
      <c r="E188" s="234" t="str">
        <f>IFERROR((SUM(OFFSET('All Teams'!$B173,0,0,COUNT('All Teams'!E173:E186)))/100)*('All Teams'!E187-'Final Update'!$B$1)/'Final Update'!$B$2,"")</f>
        <v/>
      </c>
      <c r="F188" s="234" t="str">
        <f>IFERROR((SUM(OFFSET('All Teams'!$B173,0,0,COUNT('All Teams'!F173:F186)))/100)*('All Teams'!F187-'Final Update'!$C$1)/'Final Update'!$C$2,"")</f>
        <v/>
      </c>
      <c r="G188" s="234" t="str">
        <f>IFERROR((SUM(OFFSET('All Teams'!$B173,0,0,COUNT('All Teams'!G173:G186)))/100)*('All Teams'!G187-'Final Update'!$D$1)/'Final Update'!$D$2,"")</f>
        <v/>
      </c>
      <c r="H188" s="234" t="str">
        <f>IFERROR((SUM(OFFSET('All Teams'!$B173,0,0,COUNT('All Teams'!H173:H186)))/100)*('All Teams'!H187-'Final Update'!$E$1)/'Final Update'!$E$2,"")</f>
        <v/>
      </c>
      <c r="I188" s="234" t="str">
        <f>IFERROR((SUM(OFFSET('All Teams'!$B173,0,0,COUNT('All Teams'!I173:I186)))/100)*('All Teams'!I187-'Final Update'!$F$1)/'Final Update'!$F$2,"")</f>
        <v/>
      </c>
      <c r="J188" s="234" t="str">
        <f>IFERROR((SUM(OFFSET('All Teams'!$B173,0,0,COUNT('All Teams'!J173:J186)))/100)*('All Teams'!J187-'Final Update'!$G$1)/'Final Update'!$G$2,"")</f>
        <v/>
      </c>
      <c r="K188" s="234">
        <f t="array" ref="K188">SUMPRODUCT(IFERROR(VLOOKUP($D173:$D186,'Final Update'!$A$4:$L$403,8,False)*$B173:$B186/100,""))</f>
        <v>0</v>
      </c>
      <c r="L188" s="234">
        <f t="array" ref="L188">SUMPRODUCT(IFERROR(VLOOKUP($D173:$D186,'Final Update'!$A$4:$L$403,10,False)*$B173:$B186/100,""))</f>
        <v>0</v>
      </c>
      <c r="M188" s="234" t="str">
        <f>IFERROR(-(SUM(OFFSET('All Teams'!$B173,0,0,COUNT('All Teams'!M173:M186)))/100)*('All Teams'!M187-'Final Update'!$L$1)/'Final Update'!$L$2,"")</f>
        <v/>
      </c>
      <c r="N188" s="163"/>
      <c r="O188" s="163"/>
      <c r="P188" s="163"/>
      <c r="Q188" s="163"/>
      <c r="R188" s="163"/>
      <c r="S188" s="163"/>
      <c r="T188" s="163"/>
      <c r="U188" s="163"/>
      <c r="V188" s="163"/>
      <c r="W188" s="163"/>
      <c r="X188" s="163"/>
      <c r="Y188" s="163"/>
      <c r="Z188" s="163"/>
    </row>
    <row r="189">
      <c r="A189" s="217">
        <v>12.0</v>
      </c>
      <c r="B189" s="218" t="s">
        <v>220</v>
      </c>
      <c r="C189" s="219" t="s">
        <v>222</v>
      </c>
      <c r="D189" s="218" t="s">
        <v>1242</v>
      </c>
      <c r="E189" s="218" t="s">
        <v>10</v>
      </c>
      <c r="F189" s="218" t="s">
        <v>109</v>
      </c>
      <c r="G189" s="218" t="s">
        <v>110</v>
      </c>
      <c r="H189" s="218" t="s">
        <v>12</v>
      </c>
      <c r="I189" s="218" t="s">
        <v>13</v>
      </c>
      <c r="J189" s="218" t="s">
        <v>14</v>
      </c>
      <c r="K189" s="218" t="s">
        <v>8</v>
      </c>
      <c r="L189" s="218" t="s">
        <v>9</v>
      </c>
      <c r="M189" s="218" t="s">
        <v>15</v>
      </c>
      <c r="N189" s="218" t="s">
        <v>4</v>
      </c>
      <c r="O189" s="218" t="s">
        <v>227</v>
      </c>
      <c r="P189" s="218" t="s">
        <v>4</v>
      </c>
      <c r="Q189" s="163"/>
      <c r="R189" s="163"/>
      <c r="S189" s="163"/>
      <c r="T189" s="163"/>
      <c r="U189" s="163"/>
      <c r="V189" s="163"/>
      <c r="W189" s="163"/>
      <c r="X189" s="163"/>
      <c r="Y189" s="163"/>
      <c r="Z189" s="163"/>
    </row>
    <row r="190">
      <c r="A190" s="163"/>
      <c r="B190" s="220">
        <f>Projections!$AJ$16</f>
        <v>100</v>
      </c>
      <c r="C190" s="221">
        <v>1.0</v>
      </c>
      <c r="D190" s="222" t="str">
        <f t="array" ref="D190">INDIRECT("Draft!D"&amp;TEXT(A189+2,"0"))</f>
        <v/>
      </c>
      <c r="E190" s="223" t="str">
        <f>IF($D190="","", VLOOKUP($D190,'Final Update'!$Q$21:$AE1000,Column(G188),False))</f>
        <v/>
      </c>
      <c r="F190" s="223" t="str">
        <f>IF($D190="","", VLOOKUP($D190,'Final Update'!$Q$21:$AE1000,Column(H188),False))</f>
        <v/>
      </c>
      <c r="G190" s="223" t="str">
        <f>IF($D190="","", VLOOKUP($D190,'Final Update'!$Q$21:$AE1000,Column(I188),False))</f>
        <v/>
      </c>
      <c r="H190" s="223" t="str">
        <f>IF($D190="","", VLOOKUP($D190,'Final Update'!$Q$21:$AE1000,Column(J188),False))</f>
        <v/>
      </c>
      <c r="I190" s="223" t="str">
        <f>IF($D190="","", VLOOKUP($D190,'Final Update'!$Q$21:$AE1000,Column(K188),False))</f>
        <v/>
      </c>
      <c r="J190" s="223" t="str">
        <f>IF($D190="","", VLOOKUP($D190,'Final Update'!$Q$21:$AE1000,Column(L188),False))</f>
        <v/>
      </c>
      <c r="K190" s="224" t="str">
        <f>IF($D190="","", VLOOKUP($D190,'Final Update'!$Q$21:$AE1000,Column(M188),False))</f>
        <v/>
      </c>
      <c r="L190" s="224" t="str">
        <f>IF($D190="","", VLOOKUP($D190,'Final Update'!$Q$21:$AE1000,Column(N188),False))</f>
        <v/>
      </c>
      <c r="M190" s="223" t="str">
        <f>IF($D190="","", VLOOKUP($D190,'Final Update'!$Q$21:$AE1000,Column(O188),False))</f>
        <v/>
      </c>
      <c r="N190" s="223" t="str">
        <f>IF($D190="","", VLOOKUP($D190,'Final Update'!$Q$21:$AE1000,Column(C188),False))</f>
        <v/>
      </c>
      <c r="O190" s="221">
        <f t="array" ref="O190">COUNTIF(FIND(P190,$N190:$N203),"&gt;0")</f>
        <v>0</v>
      </c>
      <c r="P190" s="222" t="s">
        <v>46</v>
      </c>
      <c r="Q190" s="163"/>
      <c r="R190" s="163"/>
      <c r="S190" s="163"/>
      <c r="T190" s="163"/>
      <c r="U190" s="163"/>
      <c r="V190" s="163"/>
      <c r="W190" s="163"/>
      <c r="X190" s="163"/>
      <c r="Y190" s="163"/>
      <c r="Z190" s="163"/>
    </row>
    <row r="191">
      <c r="A191" s="163"/>
      <c r="B191" s="220">
        <f>Projections!$AJ$17</f>
        <v>100</v>
      </c>
      <c r="C191" s="221">
        <v>2.0</v>
      </c>
      <c r="D191" s="225" t="str">
        <f t="array" ref="D191">INDIRECT("Draft!E"&amp;TEXT(15-A189,"0"))</f>
        <v/>
      </c>
      <c r="E191" s="223" t="str">
        <f>IF($D191="","", VLOOKUP($D191,'Final Update'!$Q$21:$AE1000,Column(G189),False))</f>
        <v/>
      </c>
      <c r="F191" s="223" t="str">
        <f>IF($D191="","", VLOOKUP($D191,'Final Update'!$Q$21:$AE1000,Column(H189),False))</f>
        <v/>
      </c>
      <c r="G191" s="223" t="str">
        <f>IF($D191="","", VLOOKUP($D191,'Final Update'!$Q$21:$AE1000,Column(I189),False))</f>
        <v/>
      </c>
      <c r="H191" s="223" t="str">
        <f>IF($D191="","", VLOOKUP($D191,'Final Update'!$Q$21:$AE1000,Column(J189),False))</f>
        <v/>
      </c>
      <c r="I191" s="223" t="str">
        <f>IF($D191="","", VLOOKUP($D191,'Final Update'!$Q$21:$AE1000,Column(K189),False))</f>
        <v/>
      </c>
      <c r="J191" s="223" t="str">
        <f>IF($D191="","", VLOOKUP($D191,'Final Update'!$Q$21:$AE1000,Column(L189),False))</f>
        <v/>
      </c>
      <c r="K191" s="224" t="str">
        <f>IF($D191="","", VLOOKUP($D191,'Final Update'!$Q$21:$AE1000,Column(M189),False))</f>
        <v/>
      </c>
      <c r="L191" s="224" t="str">
        <f>IF($D191="","", VLOOKUP($D191,'Final Update'!$Q$21:$AE1000,Column(N189),False))</f>
        <v/>
      </c>
      <c r="M191" s="223" t="str">
        <f>IF($D191="","", VLOOKUP($D191,'Final Update'!$Q$21:$AE1000,Column(O189),False))</f>
        <v/>
      </c>
      <c r="N191" s="223" t="str">
        <f>IF($D191="","", VLOOKUP($D191,'Final Update'!$Q$21:$AE1000,Column(C189),False))</f>
        <v/>
      </c>
      <c r="O191" s="221">
        <f t="array" ref="O191">COUNTIF(FIND(P191,$N190:$N203),"&gt;0")</f>
        <v>0</v>
      </c>
      <c r="P191" s="222" t="s">
        <v>47</v>
      </c>
      <c r="Q191" s="163"/>
      <c r="R191" s="163"/>
      <c r="S191" s="163"/>
      <c r="T191" s="163"/>
      <c r="U191" s="163"/>
      <c r="V191" s="163"/>
      <c r="W191" s="163"/>
      <c r="X191" s="163"/>
      <c r="Y191" s="163"/>
      <c r="Z191" s="163"/>
    </row>
    <row r="192">
      <c r="A192" s="163"/>
      <c r="B192" s="220">
        <f>Projections!$AJ$18</f>
        <v>100</v>
      </c>
      <c r="C192" s="221">
        <v>3.0</v>
      </c>
      <c r="D192" s="226" t="str">
        <f t="array" ref="D192">INDIRECT("Draft!F"&amp;TEXT(A189+2,"0"))</f>
        <v/>
      </c>
      <c r="E192" s="223" t="str">
        <f>IF($D192="","", VLOOKUP($D192,'Final Update'!$Q$21:$AE1000,Column(G190),False))</f>
        <v/>
      </c>
      <c r="F192" s="223" t="str">
        <f>IF($D192="","", VLOOKUP($D192,'Final Update'!$Q$21:$AE1000,Column(H190),False))</f>
        <v/>
      </c>
      <c r="G192" s="223" t="str">
        <f>IF($D192="","", VLOOKUP($D192,'Final Update'!$Q$21:$AE1000,Column(I190),False))</f>
        <v/>
      </c>
      <c r="H192" s="223" t="str">
        <f>IF($D192="","", VLOOKUP($D192,'Final Update'!$Q$21:$AE1000,Column(J190),False))</f>
        <v/>
      </c>
      <c r="I192" s="223" t="str">
        <f>IF($D192="","", VLOOKUP($D192,'Final Update'!$Q$21:$AE1000,Column(K190),False))</f>
        <v/>
      </c>
      <c r="J192" s="223" t="str">
        <f>IF($D192="","", VLOOKUP($D192,'Final Update'!$Q$21:$AE1000,Column(L190),False))</f>
        <v/>
      </c>
      <c r="K192" s="224" t="str">
        <f>IF($D192="","", VLOOKUP($D192,'Final Update'!$Q$21:$AE1000,Column(M190),False))</f>
        <v/>
      </c>
      <c r="L192" s="224" t="str">
        <f>IF($D192="","", VLOOKUP($D192,'Final Update'!$Q$21:$AE1000,Column(N190),False))</f>
        <v/>
      </c>
      <c r="M192" s="223" t="str">
        <f>IF($D192="","", VLOOKUP($D192,'Final Update'!$Q$21:$AE1000,Column(O190),False))</f>
        <v/>
      </c>
      <c r="N192" s="223" t="str">
        <f>IF($D192="","", VLOOKUP($D192,'Final Update'!$Q$21:$AE1000,Column(C190),False))</f>
        <v/>
      </c>
      <c r="O192" s="221">
        <f t="array" ref="O192">COUNTIF(FIND(P192,$N190:$N203),"&gt;0")</f>
        <v>0</v>
      </c>
      <c r="P192" s="222" t="s">
        <v>48</v>
      </c>
      <c r="Q192" s="163"/>
      <c r="R192" s="163"/>
      <c r="S192" s="163"/>
      <c r="T192" s="163"/>
      <c r="U192" s="163"/>
      <c r="V192" s="163"/>
      <c r="W192" s="163"/>
      <c r="X192" s="163"/>
      <c r="Y192" s="163"/>
      <c r="Z192" s="163"/>
    </row>
    <row r="193">
      <c r="A193" s="163"/>
      <c r="B193" s="220">
        <f>Projections!$AJ$19</f>
        <v>100</v>
      </c>
      <c r="C193" s="221">
        <v>4.0</v>
      </c>
      <c r="D193" s="229" t="str">
        <f t="array" ref="D193">INDIRECT("Draft!G"&amp;TEXT(15-A189,"0"))</f>
        <v/>
      </c>
      <c r="E193" s="227" t="str">
        <f>IF($D193="","", VLOOKUP($D193,'Final Update'!$Q$21:$AE1000,Column(G191),False))</f>
        <v/>
      </c>
      <c r="F193" s="227" t="str">
        <f>IF($D193="","", VLOOKUP($D193,'Final Update'!$Q$21:$AE1000,Column(H191),False))</f>
        <v/>
      </c>
      <c r="G193" s="227" t="str">
        <f>IF($D193="","", VLOOKUP($D193,'Final Update'!$Q$21:$AE1000,Column(I191),False))</f>
        <v/>
      </c>
      <c r="H193" s="227" t="str">
        <f>IF($D193="","", VLOOKUP($D193,'Final Update'!$Q$21:$AE1000,Column(J191),False))</f>
        <v/>
      </c>
      <c r="I193" s="227" t="str">
        <f>IF($D193="","", VLOOKUP($D193,'Final Update'!$Q$21:$AE1000,Column(K191),False))</f>
        <v/>
      </c>
      <c r="J193" s="227" t="str">
        <f>IF($D193="","", VLOOKUP($D193,'Final Update'!$Q$21:$AE1000,Column(L191),False))</f>
        <v/>
      </c>
      <c r="K193" s="228" t="str">
        <f>IF($D193="","", VLOOKUP($D193,'Final Update'!$Q$21:$AE1000,Column(M191),False))</f>
        <v/>
      </c>
      <c r="L193" s="228" t="str">
        <f>IF($D193="","", VLOOKUP($D193,'Final Update'!$Q$21:$AE1000,Column(N191),False))</f>
        <v/>
      </c>
      <c r="M193" s="227" t="str">
        <f>IF($D193="","", VLOOKUP($D193,'Final Update'!$Q$21:$AE1000,Column(O191),False))</f>
        <v/>
      </c>
      <c r="N193" s="227" t="str">
        <f>IF($D193="","", VLOOKUP($D193,'Final Update'!$Q$21:$AE1000,Column(C191),False))</f>
        <v/>
      </c>
      <c r="O193" s="221">
        <f t="array" ref="O193">COUNTIF(FIND(P193,$N190:$N203),"&gt;0")</f>
        <v>0</v>
      </c>
      <c r="P193" s="222" t="s">
        <v>49</v>
      </c>
      <c r="Q193" s="163"/>
      <c r="R193" s="163"/>
      <c r="S193" s="163"/>
      <c r="T193" s="163"/>
      <c r="U193" s="163"/>
      <c r="V193" s="163"/>
      <c r="W193" s="163"/>
      <c r="X193" s="163"/>
      <c r="Y193" s="163"/>
      <c r="Z193" s="163"/>
    </row>
    <row r="194">
      <c r="A194" s="163"/>
      <c r="B194" s="220">
        <f>Projections!$AJ$20</f>
        <v>100</v>
      </c>
      <c r="C194" s="221">
        <v>5.0</v>
      </c>
      <c r="D194" s="230" t="str">
        <f t="array" ref="D194">INDIRECT("Draft!H"&amp;TEXT(A189+2,"0"))</f>
        <v/>
      </c>
      <c r="E194" s="227" t="str">
        <f>IF($D194="","", VLOOKUP($D194,'Final Update'!$Q$21:$AE1000,Column(G192),False))</f>
        <v/>
      </c>
      <c r="F194" s="227" t="str">
        <f>IF($D194="","", VLOOKUP($D194,'Final Update'!$Q$21:$AE1000,Column(H192),False))</f>
        <v/>
      </c>
      <c r="G194" s="227" t="str">
        <f>IF($D194="","", VLOOKUP($D194,'Final Update'!$Q$21:$AE1000,Column(I192),False))</f>
        <v/>
      </c>
      <c r="H194" s="227" t="str">
        <f>IF($D194="","", VLOOKUP($D194,'Final Update'!$Q$21:$AE1000,Column(J192),False))</f>
        <v/>
      </c>
      <c r="I194" s="227" t="str">
        <f>IF($D194="","", VLOOKUP($D194,'Final Update'!$Q$21:$AE1000,Column(K192),False))</f>
        <v/>
      </c>
      <c r="J194" s="227" t="str">
        <f>IF($D194="","", VLOOKUP($D194,'Final Update'!$Q$21:$AE1000,Column(L192),False))</f>
        <v/>
      </c>
      <c r="K194" s="228" t="str">
        <f>IF($D194="","", VLOOKUP($D194,'Final Update'!$Q$21:$AE1000,Column(M192),False))</f>
        <v/>
      </c>
      <c r="L194" s="228" t="str">
        <f>IF($D194="","", VLOOKUP($D194,'Final Update'!$Q$21:$AE1000,Column(N192),False))</f>
        <v/>
      </c>
      <c r="M194" s="227" t="str">
        <f>IF($D194="","", VLOOKUP($D194,'Final Update'!$Q$21:$AE1000,Column(O192),False))</f>
        <v/>
      </c>
      <c r="N194" s="227" t="str">
        <f>IF($D194="","", VLOOKUP($D194,'Final Update'!$Q$21:$AE1000,Column(C192),False))</f>
        <v/>
      </c>
      <c r="O194" s="221">
        <f t="array" ref="O194">COUNTIF(FIND(P194,$N190:$N203),"&gt;0")</f>
        <v>0</v>
      </c>
      <c r="P194" s="222" t="s">
        <v>34</v>
      </c>
      <c r="Q194" s="163"/>
      <c r="R194" s="163"/>
      <c r="S194" s="163"/>
      <c r="T194" s="163"/>
      <c r="U194" s="163"/>
      <c r="V194" s="163"/>
      <c r="W194" s="163"/>
      <c r="X194" s="163"/>
      <c r="Y194" s="163"/>
      <c r="Z194" s="163"/>
    </row>
    <row r="195">
      <c r="A195" s="163"/>
      <c r="B195" s="220">
        <f>Projections!$AJ$21</f>
        <v>100</v>
      </c>
      <c r="C195" s="221">
        <v>6.0</v>
      </c>
      <c r="D195" s="231" t="str">
        <f t="array" ref="D195">INDIRECT("Draft!I"&amp;TEXT(15-A189,"0"))</f>
        <v/>
      </c>
      <c r="E195" s="227" t="str">
        <f>IF($D195="","", VLOOKUP($D195,'Final Update'!$Q$21:$AE1000,Column(G193),False))</f>
        <v/>
      </c>
      <c r="F195" s="227" t="str">
        <f>IF($D195="","", VLOOKUP($D195,'Final Update'!$Q$21:$AE1000,Column(H193),False))</f>
        <v/>
      </c>
      <c r="G195" s="227" t="str">
        <f>IF($D195="","", VLOOKUP($D195,'Final Update'!$Q$21:$AE1000,Column(I193),False))</f>
        <v/>
      </c>
      <c r="H195" s="227" t="str">
        <f>IF($D195="","", VLOOKUP($D195,'Final Update'!$Q$21:$AE1000,Column(J193),False))</f>
        <v/>
      </c>
      <c r="I195" s="227" t="str">
        <f>IF($D195="","", VLOOKUP($D195,'Final Update'!$Q$21:$AE1000,Column(K193),False))</f>
        <v/>
      </c>
      <c r="J195" s="227" t="str">
        <f>IF($D195="","", VLOOKUP($D195,'Final Update'!$Q$21:$AE1000,Column(L193),False))</f>
        <v/>
      </c>
      <c r="K195" s="228" t="str">
        <f>IF($D195="","", VLOOKUP($D195,'Final Update'!$Q$21:$AE1000,Column(M193),False))</f>
        <v/>
      </c>
      <c r="L195" s="228" t="str">
        <f>IF($D195="","", VLOOKUP($D195,'Final Update'!$Q$21:$AE1000,Column(N193),False))</f>
        <v/>
      </c>
      <c r="M195" s="227" t="str">
        <f>IF($D195="","", VLOOKUP($D195,'Final Update'!$Q$21:$AE1000,Column(O193),False))</f>
        <v/>
      </c>
      <c r="N195" s="227" t="str">
        <f>IF($D195="","", VLOOKUP($D195,'Final Update'!$Q$21:$AE1000,Column(C193),False))</f>
        <v/>
      </c>
      <c r="O195" s="163"/>
      <c r="P195" s="163"/>
      <c r="Q195" s="163"/>
      <c r="R195" s="163"/>
      <c r="S195" s="163"/>
      <c r="T195" s="163"/>
      <c r="U195" s="163"/>
      <c r="V195" s="163"/>
      <c r="W195" s="163"/>
      <c r="X195" s="163"/>
      <c r="Y195" s="163"/>
      <c r="Z195" s="163"/>
    </row>
    <row r="196">
      <c r="A196" s="163"/>
      <c r="B196" s="220">
        <f>Projections!$AJ$22</f>
        <v>100</v>
      </c>
      <c r="C196" s="221">
        <v>7.0</v>
      </c>
      <c r="D196" s="230" t="str">
        <f t="array" ref="D196">INDIRECT("Draft!J"&amp;TEXT(A189+2,"0"))</f>
        <v/>
      </c>
      <c r="E196" s="227" t="str">
        <f>IF($D196="","", VLOOKUP($D196,'Final Update'!$Q$21:$AE1000,Column(G194),False))</f>
        <v/>
      </c>
      <c r="F196" s="227" t="str">
        <f>IF($D196="","", VLOOKUP($D196,'Final Update'!$Q$21:$AE1000,Column(H194),False))</f>
        <v/>
      </c>
      <c r="G196" s="227" t="str">
        <f>IF($D196="","", VLOOKUP($D196,'Final Update'!$Q$21:$AE1000,Column(I194),False))</f>
        <v/>
      </c>
      <c r="H196" s="227" t="str">
        <f>IF($D196="","", VLOOKUP($D196,'Final Update'!$Q$21:$AE1000,Column(J194),False))</f>
        <v/>
      </c>
      <c r="I196" s="227" t="str">
        <f>IF($D196="","", VLOOKUP($D196,'Final Update'!$Q$21:$AE1000,Column(K194),False))</f>
        <v/>
      </c>
      <c r="J196" s="227" t="str">
        <f>IF($D196="","", VLOOKUP($D196,'Final Update'!$Q$21:$AE1000,Column(L194),False))</f>
        <v/>
      </c>
      <c r="K196" s="228" t="str">
        <f>IF($D196="","", VLOOKUP($D196,'Final Update'!$Q$21:$AE1000,Column(M194),False))</f>
        <v/>
      </c>
      <c r="L196" s="228" t="str">
        <f>IF($D196="","", VLOOKUP($D196,'Final Update'!$Q$21:$AE1000,Column(N194),False))</f>
        <v/>
      </c>
      <c r="M196" s="227" t="str">
        <f>IF($D196="","", VLOOKUP($D196,'Final Update'!$Q$21:$AE1000,Column(O194),False))</f>
        <v/>
      </c>
      <c r="N196" s="227" t="str">
        <f>IF($D196="","", VLOOKUP($D196,'Final Update'!$Q$21:$AE1000,Column(C194),False))</f>
        <v/>
      </c>
      <c r="O196" s="163"/>
      <c r="P196" s="163"/>
      <c r="Q196" s="163"/>
      <c r="R196" s="163"/>
      <c r="S196" s="163"/>
      <c r="T196" s="163"/>
      <c r="U196" s="163"/>
      <c r="V196" s="163"/>
      <c r="W196" s="163"/>
      <c r="X196" s="163"/>
      <c r="Y196" s="163"/>
      <c r="Z196" s="163"/>
    </row>
    <row r="197">
      <c r="A197" s="163"/>
      <c r="B197" s="220">
        <f>Projections!$AJ$23</f>
        <v>100</v>
      </c>
      <c r="C197" s="221">
        <v>8.0</v>
      </c>
      <c r="D197" s="231" t="str">
        <f t="array" ref="D197">INDIRECT("Draft!K"&amp;TEXT(15-A189,"0"))</f>
        <v/>
      </c>
      <c r="E197" s="227" t="str">
        <f>IF($D197="","", VLOOKUP($D197,'Final Update'!$Q$21:$AE1000,Column(G195),False))</f>
        <v/>
      </c>
      <c r="F197" s="227" t="str">
        <f>IF($D197="","", VLOOKUP($D197,'Final Update'!$Q$21:$AE1000,Column(H195),False))</f>
        <v/>
      </c>
      <c r="G197" s="227" t="str">
        <f>IF($D197="","", VLOOKUP($D197,'Final Update'!$Q$21:$AE1000,Column(I195),False))</f>
        <v/>
      </c>
      <c r="H197" s="227" t="str">
        <f>IF($D197="","", VLOOKUP($D197,'Final Update'!$Q$21:$AE1000,Column(J195),False))</f>
        <v/>
      </c>
      <c r="I197" s="227" t="str">
        <f>IF($D197="","", VLOOKUP($D197,'Final Update'!$Q$21:$AE1000,Column(K195),False))</f>
        <v/>
      </c>
      <c r="J197" s="227" t="str">
        <f>IF($D197="","", VLOOKUP($D197,'Final Update'!$Q$21:$AE1000,Column(L195),False))</f>
        <v/>
      </c>
      <c r="K197" s="228" t="str">
        <f>IF($D197="","", VLOOKUP($D197,'Final Update'!$Q$21:$AE1000,Column(M195),False))</f>
        <v/>
      </c>
      <c r="L197" s="228" t="str">
        <f>IF($D197="","", VLOOKUP($D197,'Final Update'!$Q$21:$AE1000,Column(N195),False))</f>
        <v/>
      </c>
      <c r="M197" s="227" t="str">
        <f>IF($D197="","", VLOOKUP($D197,'Final Update'!$Q$21:$AE1000,Column(O195),False))</f>
        <v/>
      </c>
      <c r="N197" s="227" t="str">
        <f>IF($D197="","", VLOOKUP($D197,'Final Update'!$Q$21:$AE1000,Column(C195),False))</f>
        <v/>
      </c>
      <c r="O197" s="163"/>
      <c r="P197" s="163"/>
      <c r="Q197" s="163"/>
      <c r="R197" s="163"/>
      <c r="S197" s="163"/>
      <c r="T197" s="163"/>
      <c r="U197" s="163"/>
      <c r="V197" s="163"/>
      <c r="W197" s="163"/>
      <c r="X197" s="163"/>
      <c r="Y197" s="163"/>
      <c r="Z197" s="163"/>
    </row>
    <row r="198">
      <c r="A198" s="163"/>
      <c r="B198" s="220">
        <f>Projections!$AJ$24</f>
        <v>100</v>
      </c>
      <c r="C198" s="221">
        <v>9.0</v>
      </c>
      <c r="D198" s="230" t="str">
        <f t="array" ref="D198">INDIRECT("Draft!L"&amp;TEXT(A189+2,"0"))</f>
        <v/>
      </c>
      <c r="E198" s="227" t="str">
        <f>IF($D198="","", VLOOKUP($D198,'Final Update'!$Q$21:$AE1000,Column(G196),False))</f>
        <v/>
      </c>
      <c r="F198" s="227" t="str">
        <f>IF($D198="","", VLOOKUP($D198,'Final Update'!$Q$21:$AE1000,Column(H196),False))</f>
        <v/>
      </c>
      <c r="G198" s="227" t="str">
        <f>IF($D198="","", VLOOKUP($D198,'Final Update'!$Q$21:$AE1000,Column(I196),False))</f>
        <v/>
      </c>
      <c r="H198" s="227" t="str">
        <f>IF($D198="","", VLOOKUP($D198,'Final Update'!$Q$21:$AE1000,Column(J196),False))</f>
        <v/>
      </c>
      <c r="I198" s="227" t="str">
        <f>IF($D198="","", VLOOKUP($D198,'Final Update'!$Q$21:$AE1000,Column(K196),False))</f>
        <v/>
      </c>
      <c r="J198" s="227" t="str">
        <f>IF($D198="","", VLOOKUP($D198,'Final Update'!$Q$21:$AE1000,Column(L196),False))</f>
        <v/>
      </c>
      <c r="K198" s="228" t="str">
        <f>IF($D198="","", VLOOKUP($D198,'Final Update'!$Q$21:$AE1000,Column(M196),False))</f>
        <v/>
      </c>
      <c r="L198" s="228" t="str">
        <f>IF($D198="","", VLOOKUP($D198,'Final Update'!$Q$21:$AE1000,Column(N196),False))</f>
        <v/>
      </c>
      <c r="M198" s="227" t="str">
        <f>IF($D198="","", VLOOKUP($D198,'Final Update'!$Q$21:$AE1000,Column(O196),False))</f>
        <v/>
      </c>
      <c r="N198" s="227" t="str">
        <f>IF($D198="","", VLOOKUP($D198,'Final Update'!$Q$21:$AE1000,Column(C196),False))</f>
        <v/>
      </c>
      <c r="O198" s="163"/>
      <c r="P198" s="163"/>
      <c r="Q198" s="163"/>
      <c r="R198" s="163"/>
      <c r="S198" s="163"/>
      <c r="T198" s="163"/>
      <c r="U198" s="163"/>
      <c r="V198" s="163"/>
      <c r="W198" s="163"/>
      <c r="X198" s="163"/>
      <c r="Y198" s="163"/>
      <c r="Z198" s="163"/>
    </row>
    <row r="199">
      <c r="A199" s="163"/>
      <c r="B199" s="220">
        <f>Projections!$AJ$25</f>
        <v>100</v>
      </c>
      <c r="C199" s="221">
        <v>10.0</v>
      </c>
      <c r="D199" s="231" t="str">
        <f t="array" ref="D199">INDIRECT("Draft!M"&amp;TEXT(15-A189,"0"))</f>
        <v/>
      </c>
      <c r="E199" s="227" t="str">
        <f>IF($D199="","", VLOOKUP($D199,'Final Update'!$Q$21:$AE1000,Column(G197),False))</f>
        <v/>
      </c>
      <c r="F199" s="227" t="str">
        <f>IF($D199="","", VLOOKUP($D199,'Final Update'!$Q$21:$AE1000,Column(H197),False))</f>
        <v/>
      </c>
      <c r="G199" s="227" t="str">
        <f>IF($D199="","", VLOOKUP($D199,'Final Update'!$Q$21:$AE1000,Column(I197),False))</f>
        <v/>
      </c>
      <c r="H199" s="227" t="str">
        <f>IF($D199="","", VLOOKUP($D199,'Final Update'!$Q$21:$AE1000,Column(J197),False))</f>
        <v/>
      </c>
      <c r="I199" s="227" t="str">
        <f>IF($D199="","", VLOOKUP($D199,'Final Update'!$Q$21:$AE1000,Column(K197),False))</f>
        <v/>
      </c>
      <c r="J199" s="227" t="str">
        <f>IF($D199="","", VLOOKUP($D199,'Final Update'!$Q$21:$AE1000,Column(L197),False))</f>
        <v/>
      </c>
      <c r="K199" s="228" t="str">
        <f>IF($D199="","", VLOOKUP($D199,'Final Update'!$Q$21:$AE1000,Column(M197),False))</f>
        <v/>
      </c>
      <c r="L199" s="228" t="str">
        <f>IF($D199="","", VLOOKUP($D199,'Final Update'!$Q$21:$AE1000,Column(N197),False))</f>
        <v/>
      </c>
      <c r="M199" s="227" t="str">
        <f>IF($D199="","", VLOOKUP($D199,'Final Update'!$Q$21:$AE1000,Column(O197),False))</f>
        <v/>
      </c>
      <c r="N199" s="227" t="str">
        <f>IF($D199="","", VLOOKUP($D199,'Final Update'!$Q$21:$AE1000,Column(C197),False))</f>
        <v/>
      </c>
      <c r="O199" s="163"/>
      <c r="P199" s="163"/>
      <c r="Q199" s="163"/>
      <c r="R199" s="163"/>
      <c r="S199" s="163"/>
      <c r="T199" s="163"/>
      <c r="U199" s="163"/>
      <c r="V199" s="163"/>
      <c r="W199" s="163"/>
      <c r="X199" s="163"/>
      <c r="Y199" s="163"/>
      <c r="Z199" s="163"/>
    </row>
    <row r="200">
      <c r="A200" s="163"/>
      <c r="B200" s="220">
        <f>Projections!$AJ$26</f>
        <v>100</v>
      </c>
      <c r="C200" s="221">
        <v>11.0</v>
      </c>
      <c r="D200" s="230" t="str">
        <f t="array" ref="D200">INDIRECT("Draft!N"&amp;TEXT(A189+2,"0"))</f>
        <v/>
      </c>
      <c r="E200" s="227" t="str">
        <f>IF($D200="","", VLOOKUP($D200,'Final Update'!$Q$21:$AE1000,Column(G198),False))</f>
        <v/>
      </c>
      <c r="F200" s="227" t="str">
        <f>IF($D200="","", VLOOKUP($D200,'Final Update'!$Q$21:$AE1000,Column(H198),False))</f>
        <v/>
      </c>
      <c r="G200" s="227" t="str">
        <f>IF($D200="","", VLOOKUP($D200,'Final Update'!$Q$21:$AE1000,Column(I198),False))</f>
        <v/>
      </c>
      <c r="H200" s="227" t="str">
        <f>IF($D200="","", VLOOKUP($D200,'Final Update'!$Q$21:$AE1000,Column(J198),False))</f>
        <v/>
      </c>
      <c r="I200" s="227" t="str">
        <f>IF($D200="","", VLOOKUP($D200,'Final Update'!$Q$21:$AE1000,Column(K198),False))</f>
        <v/>
      </c>
      <c r="J200" s="227" t="str">
        <f>IF($D200="","", VLOOKUP($D200,'Final Update'!$Q$21:$AE1000,Column(L198),False))</f>
        <v/>
      </c>
      <c r="K200" s="228" t="str">
        <f>IF($D200="","", VLOOKUP($D200,'Final Update'!$Q$21:$AE1000,Column(M198),False))</f>
        <v/>
      </c>
      <c r="L200" s="228" t="str">
        <f>IF($D200="","", VLOOKUP($D200,'Final Update'!$Q$21:$AE1000,Column(N198),False))</f>
        <v/>
      </c>
      <c r="M200" s="227" t="str">
        <f>IF($D200="","", VLOOKUP($D200,'Final Update'!$Q$21:$AE1000,Column(O198),False))</f>
        <v/>
      </c>
      <c r="N200" s="227" t="str">
        <f>IF($D200="","", VLOOKUP($D200,'Final Update'!$Q$21:$AE1000,Column(C198),False))</f>
        <v/>
      </c>
      <c r="O200" s="163"/>
      <c r="P200" s="163"/>
      <c r="Q200" s="163"/>
      <c r="R200" s="163"/>
      <c r="S200" s="163"/>
      <c r="T200" s="163"/>
      <c r="U200" s="163"/>
      <c r="V200" s="163"/>
      <c r="W200" s="163"/>
      <c r="X200" s="163"/>
      <c r="Y200" s="163"/>
      <c r="Z200" s="163"/>
    </row>
    <row r="201">
      <c r="A201" s="163"/>
      <c r="B201" s="220">
        <f>Projections!$AJ$27</f>
        <v>100</v>
      </c>
      <c r="C201" s="221">
        <v>12.0</v>
      </c>
      <c r="D201" s="231" t="str">
        <f t="array" ref="D201">INDIRECT("Draft!O"&amp;TEXT(15-A189,"0"))</f>
        <v/>
      </c>
      <c r="E201" s="227" t="str">
        <f>IF($D201="","", VLOOKUP($D201,'Final Update'!$Q$21:$AE1000,Column(G199),False))</f>
        <v/>
      </c>
      <c r="F201" s="227" t="str">
        <f>IF($D201="","", VLOOKUP($D201,'Final Update'!$Q$21:$AE1000,Column(H199),False))</f>
        <v/>
      </c>
      <c r="G201" s="227" t="str">
        <f>IF($D201="","", VLOOKUP($D201,'Final Update'!$Q$21:$AE1000,Column(I199),False))</f>
        <v/>
      </c>
      <c r="H201" s="227" t="str">
        <f>IF($D201="","", VLOOKUP($D201,'Final Update'!$Q$21:$AE1000,Column(J199),False))</f>
        <v/>
      </c>
      <c r="I201" s="227" t="str">
        <f>IF($D201="","", VLOOKUP($D201,'Final Update'!$Q$21:$AE1000,Column(K199),False))</f>
        <v/>
      </c>
      <c r="J201" s="227" t="str">
        <f>IF($D201="","", VLOOKUP($D201,'Final Update'!$Q$21:$AE1000,Column(L199),False))</f>
        <v/>
      </c>
      <c r="K201" s="228" t="str">
        <f>IF($D201="","", VLOOKUP($D201,'Final Update'!$Q$21:$AE1000,Column(M199),False))</f>
        <v/>
      </c>
      <c r="L201" s="228" t="str">
        <f>IF($D201="","", VLOOKUP($D201,'Final Update'!$Q$21:$AE1000,Column(N199),False))</f>
        <v/>
      </c>
      <c r="M201" s="227" t="str">
        <f>IF($D201="","", VLOOKUP($D201,'Final Update'!$Q$21:$AE1000,Column(O199),False))</f>
        <v/>
      </c>
      <c r="N201" s="227" t="str">
        <f>IF($D201="","", VLOOKUP($D201,'Final Update'!$Q$21:$AE1000,Column(C199),False))</f>
        <v/>
      </c>
      <c r="O201" s="163"/>
      <c r="P201" s="163"/>
      <c r="Q201" s="163"/>
      <c r="R201" s="163"/>
      <c r="S201" s="163"/>
      <c r="T201" s="163"/>
      <c r="U201" s="163"/>
      <c r="V201" s="163"/>
      <c r="W201" s="163"/>
      <c r="X201" s="163"/>
      <c r="Y201" s="163"/>
      <c r="Z201" s="163"/>
    </row>
    <row r="202">
      <c r="A202" s="163"/>
      <c r="B202" s="232">
        <f>Projections!$AJ$28</f>
        <v>100</v>
      </c>
      <c r="C202" s="221">
        <v>13.0</v>
      </c>
      <c r="D202" s="230" t="str">
        <f t="array" ref="D202">INDIRECT("Draft!P"&amp;TEXT(A189+2,"0"))</f>
        <v/>
      </c>
      <c r="E202" s="227" t="str">
        <f>IF($D202="","", VLOOKUP($D202,'Final Update'!$Q$21:$AE1000,Column(G200),False))</f>
        <v/>
      </c>
      <c r="F202" s="227" t="str">
        <f>IF($D202="","", VLOOKUP($D202,'Final Update'!$Q$21:$AE1000,Column(H200),False))</f>
        <v/>
      </c>
      <c r="G202" s="227" t="str">
        <f>IF($D202="","", VLOOKUP($D202,'Final Update'!$Q$21:$AE1000,Column(I200),False))</f>
        <v/>
      </c>
      <c r="H202" s="227" t="str">
        <f>IF($D202="","", VLOOKUP($D202,'Final Update'!$Q$21:$AE1000,Column(J200),False))</f>
        <v/>
      </c>
      <c r="I202" s="227" t="str">
        <f>IF($D202="","", VLOOKUP($D202,'Final Update'!$Q$21:$AE1000,Column(K200),False))</f>
        <v/>
      </c>
      <c r="J202" s="227" t="str">
        <f>IF($D202="","", VLOOKUP($D202,'Final Update'!$Q$21:$AE1000,Column(L200),False))</f>
        <v/>
      </c>
      <c r="K202" s="228" t="str">
        <f>IF($D202="","", VLOOKUP($D202,'Final Update'!$Q$21:$AE1000,Column(M200),False))</f>
        <v/>
      </c>
      <c r="L202" s="228" t="str">
        <f>IF($D202="","", VLOOKUP($D202,'Final Update'!$Q$21:$AE1000,Column(N200),False))</f>
        <v/>
      </c>
      <c r="M202" s="227" t="str">
        <f>IF($D202="","", VLOOKUP($D202,'Final Update'!$Q$21:$AE1000,Column(O200),False))</f>
        <v/>
      </c>
      <c r="N202" s="227" t="str">
        <f>IF($D202="","", VLOOKUP($D202,'Final Update'!$Q$21:$AE1000,Column(C200),False))</f>
        <v/>
      </c>
      <c r="O202" s="163"/>
      <c r="P202" s="163"/>
      <c r="Q202" s="163"/>
      <c r="R202" s="163"/>
      <c r="S202" s="163"/>
      <c r="T202" s="163"/>
      <c r="U202" s="163"/>
      <c r="V202" s="163"/>
      <c r="W202" s="163"/>
      <c r="X202" s="163"/>
      <c r="Y202" s="163"/>
      <c r="Z202" s="163"/>
    </row>
    <row r="203">
      <c r="A203" s="163"/>
      <c r="B203" s="220">
        <f>Projections!$AJ$29</f>
        <v>50</v>
      </c>
      <c r="C203" s="221">
        <v>14.0</v>
      </c>
      <c r="D203" s="231" t="str">
        <f t="array" ref="D203">INDIRECT("Draft!Q"&amp;TEXT(15-A189,"0"))</f>
        <v/>
      </c>
      <c r="E203" s="227" t="str">
        <f>IF($D203="","", VLOOKUP($D203,'Final Update'!$Q$21:$AE1000,Column(G201),False))</f>
        <v/>
      </c>
      <c r="F203" s="227" t="str">
        <f>IF($D203="","", VLOOKUP($D203,'Final Update'!$Q$21:$AE1000,Column(H201),False))</f>
        <v/>
      </c>
      <c r="G203" s="227" t="str">
        <f>IF($D203="","", VLOOKUP($D203,'Final Update'!$Q$21:$AE1000,Column(I201),False))</f>
        <v/>
      </c>
      <c r="H203" s="227" t="str">
        <f>IF($D203="","", VLOOKUP($D203,'Final Update'!$Q$21:$AE1000,Column(J201),False))</f>
        <v/>
      </c>
      <c r="I203" s="227" t="str">
        <f>IF($D203="","", VLOOKUP($D203,'Final Update'!$Q$21:$AE1000,Column(K201),False))</f>
        <v/>
      </c>
      <c r="J203" s="227" t="str">
        <f>IF($D203="","", VLOOKUP($D203,'Final Update'!$Q$21:$AE1000,Column(L201),False))</f>
        <v/>
      </c>
      <c r="K203" s="228" t="str">
        <f>IF($D203="","", VLOOKUP($D203,'Final Update'!$Q$21:$AE1000,Column(M201),False))</f>
        <v/>
      </c>
      <c r="L203" s="228" t="str">
        <f>IF($D203="","", VLOOKUP($D203,'Final Update'!$Q$21:$AE1000,Column(N201),False))</f>
        <v/>
      </c>
      <c r="M203" s="227" t="str">
        <f>IF($D203="","", VLOOKUP($D203,'Final Update'!$Q$21:$AE1000,Column(O201),False))</f>
        <v/>
      </c>
      <c r="N203" s="227" t="str">
        <f>IF($D203="","", VLOOKUP($D203,'Final Update'!$Q$21:$AE1000,Column(C201),False))</f>
        <v/>
      </c>
      <c r="O203" s="163"/>
      <c r="P203" s="163"/>
      <c r="Q203" s="163"/>
      <c r="R203" s="163"/>
      <c r="S203" s="163"/>
      <c r="T203" s="163"/>
      <c r="U203" s="163"/>
      <c r="V203" s="163"/>
      <c r="W203" s="163"/>
      <c r="X203" s="163"/>
      <c r="Y203" s="163"/>
      <c r="Z203" s="163"/>
    </row>
    <row r="204">
      <c r="A204" s="163"/>
      <c r="B204" s="163"/>
      <c r="C204" s="163"/>
      <c r="D204" s="219" t="s">
        <v>1328</v>
      </c>
      <c r="E204" s="233" t="str">
        <f t="shared" ref="E204:J204" si="12">IFERROR(AVERAGE(SUMPRODUCT(E190:E203,$B190:$B203/100))/(SUM(OFFSET($B190,0,0,COUNT(E190:E203)))/100),"")</f>
        <v/>
      </c>
      <c r="F204" s="233" t="str">
        <f t="shared" si="12"/>
        <v/>
      </c>
      <c r="G204" s="233" t="str">
        <f t="shared" si="12"/>
        <v/>
      </c>
      <c r="H204" s="233" t="str">
        <f t="shared" si="12"/>
        <v/>
      </c>
      <c r="I204" s="233" t="str">
        <f t="shared" si="12"/>
        <v/>
      </c>
      <c r="J204" s="233" t="str">
        <f t="shared" si="12"/>
        <v/>
      </c>
      <c r="K204" s="233" t="str">
        <f t="array" ref="K204">IFERROR(100*SUMPRODUCT(IFERROR(VLOOKUP($D190:$D203,UpdateHashtag!$C:$S,6,False),"")*$B190:$B203/100)/SUMPRODUCT(IFERROR(VLOOKUP($D190:$D203,UpdateHashtag!$C:$S,17,False),"")*$B190:$B203/100),"")</f>
        <v/>
      </c>
      <c r="L204" s="233" t="str">
        <f t="array" ref="L204">IFERROR(100*SUMPRODUCT(IFERROR(VLOOKUP($D190:$D203,UpdateHashtag!$C:$T,8,False),"")*$B190:$B203/100)/SUMPRODUCT(IFERROR(VLOOKUP($D190:$D203,UpdateHashtag!$C:$T,18,False),"")*$B190:$B203/100),"")</f>
        <v/>
      </c>
      <c r="M204" s="233" t="str">
        <f>IFERROR(AVERAGE(SUMPRODUCT(M190:M203,$B190:$B203/100))/(SUM(OFFSET($B190,0,0,COUNT(M190:M203)))/100),"")</f>
        <v/>
      </c>
      <c r="N204" s="163"/>
      <c r="O204" s="163"/>
      <c r="P204" s="163"/>
      <c r="Q204" s="163"/>
      <c r="R204" s="163"/>
      <c r="S204" s="163"/>
      <c r="T204" s="163"/>
      <c r="U204" s="163"/>
      <c r="V204" s="163"/>
      <c r="W204" s="163"/>
      <c r="X204" s="163"/>
      <c r="Y204" s="163"/>
      <c r="Z204" s="163"/>
    </row>
    <row r="205">
      <c r="A205" s="163"/>
      <c r="B205" s="163"/>
      <c r="C205" s="163"/>
      <c r="D205" s="219" t="s">
        <v>1329</v>
      </c>
      <c r="E205" s="234" t="str">
        <f>IFERROR((SUM(OFFSET('All Teams'!$B190,0,0,COUNT('All Teams'!E190:E203)))/100)*('All Teams'!E204-'Final Update'!$B$1)/'Final Update'!$B$2,"")</f>
        <v/>
      </c>
      <c r="F205" s="234" t="str">
        <f>IFERROR((SUM(OFFSET('All Teams'!$B190,0,0,COUNT('All Teams'!F190:F203)))/100)*('All Teams'!F204-'Final Update'!$C$1)/'Final Update'!$C$2,"")</f>
        <v/>
      </c>
      <c r="G205" s="234" t="str">
        <f>IFERROR((SUM(OFFSET('All Teams'!$B190,0,0,COUNT('All Teams'!G190:G203)))/100)*('All Teams'!G204-'Final Update'!$D$1)/'Final Update'!$D$2,"")</f>
        <v/>
      </c>
      <c r="H205" s="234" t="str">
        <f>IFERROR((SUM(OFFSET('All Teams'!$B190,0,0,COUNT('All Teams'!H190:H203)))/100)*('All Teams'!H204-'Final Update'!$E$1)/'Final Update'!$E$2,"")</f>
        <v/>
      </c>
      <c r="I205" s="234" t="str">
        <f>IFERROR((SUM(OFFSET('All Teams'!$B190,0,0,COUNT('All Teams'!I190:I203)))/100)*('All Teams'!I204-'Final Update'!$F$1)/'Final Update'!$F$2,"")</f>
        <v/>
      </c>
      <c r="J205" s="234" t="str">
        <f>IFERROR((SUM(OFFSET('All Teams'!$B190,0,0,COUNT('All Teams'!J190:J203)))/100)*('All Teams'!J204-'Final Update'!$G$1)/'Final Update'!$G$2,"")</f>
        <v/>
      </c>
      <c r="K205" s="234">
        <f t="array" ref="K205">SUMPRODUCT(IFERROR(VLOOKUP($D190:$D203,'Final Update'!$A$4:$L$403,8,False)*$B190:$B203/100,""))</f>
        <v>0</v>
      </c>
      <c r="L205" s="234">
        <f t="array" ref="L205">SUMPRODUCT(IFERROR(VLOOKUP($D190:$D203,'Final Update'!$A$4:$L$403,10,False)*$B190:$B203/100,""))</f>
        <v>0</v>
      </c>
      <c r="M205" s="234" t="str">
        <f>IFERROR(-(SUM(OFFSET('All Teams'!$B190,0,0,COUNT('All Teams'!M190:M203)))/100)*('All Teams'!M204-'Final Update'!$L$1)/'Final Update'!$L$2,"")</f>
        <v/>
      </c>
      <c r="N205" s="163"/>
      <c r="O205" s="163"/>
      <c r="P205" s="163"/>
      <c r="Q205" s="163"/>
      <c r="R205" s="163"/>
      <c r="S205" s="163"/>
      <c r="T205" s="163"/>
      <c r="U205" s="163"/>
      <c r="V205" s="163"/>
      <c r="W205" s="163"/>
      <c r="X205" s="163"/>
      <c r="Y205" s="163"/>
      <c r="Z205" s="163"/>
    </row>
    <row r="206">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row>
    <row r="232">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row>
    <row r="233">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row>
    <row r="234">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row>
    <row r="235">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row>
    <row r="236">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row>
    <row r="237">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row>
    <row r="238">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row>
    <row r="239">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row>
    <row r="240">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row>
    <row r="24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row>
    <row r="242">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row>
    <row r="243">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row>
    <row r="244">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row>
    <row r="245">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row>
    <row r="246">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row>
    <row r="247">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row>
    <row r="248">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row>
    <row r="249">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row>
    <row r="250">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row>
    <row r="25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row>
    <row r="252">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row>
    <row r="253">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row>
    <row r="254">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row>
    <row r="255">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row>
    <row r="256">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row>
    <row r="257">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row>
    <row r="258">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row>
    <row r="259">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row>
    <row r="260">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row>
    <row r="26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row>
    <row r="262">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row>
    <row r="263">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row>
    <row r="264">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row>
    <row r="265">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row>
    <row r="266">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row>
    <row r="267">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row>
    <row r="268">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row>
    <row r="269">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row>
    <row r="270">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row>
    <row r="27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row>
    <row r="272">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row>
    <row r="273">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row>
    <row r="274">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row>
    <row r="275">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row>
    <row r="276">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row>
    <row r="277">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row>
    <row r="278">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row>
    <row r="279">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row>
    <row r="280">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row>
    <row r="28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row>
    <row r="282">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row>
    <row r="283">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row>
    <row r="284">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row>
    <row r="285">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row>
    <row r="286">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row>
    <row r="287">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row>
    <row r="288">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row>
    <row r="289">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row>
    <row r="290">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row>
    <row r="29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row>
    <row r="292">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row>
    <row r="293">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row>
    <row r="294">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row>
    <row r="295">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row>
    <row r="296">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row>
    <row r="297">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row>
    <row r="298">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row>
    <row r="299">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row>
    <row r="300">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row>
    <row r="30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row>
    <row r="302">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row>
    <row r="303">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row>
    <row r="304">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row>
    <row r="305">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row>
    <row r="306">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row>
    <row r="307">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row>
    <row r="308">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row>
    <row r="309">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row>
    <row r="310">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row>
    <row r="31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row>
    <row r="312">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row>
    <row r="313">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row>
    <row r="314">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row>
    <row r="315">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row>
    <row r="316">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row>
    <row r="317">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row>
    <row r="318">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row>
    <row r="319">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row>
    <row r="320">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row>
    <row r="32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row>
    <row r="322">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row>
    <row r="323">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row>
    <row r="324">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row>
    <row r="325">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row>
    <row r="326">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row>
    <row r="327">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row>
    <row r="328">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row>
    <row r="329">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row>
    <row r="330">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row>
    <row r="33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row>
    <row r="332">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row>
    <row r="333">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row>
    <row r="334">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row>
    <row r="335">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row>
    <row r="336">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row>
    <row r="337">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row>
    <row r="338">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row>
    <row r="339">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row>
    <row r="340">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row>
    <row r="34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row>
    <row r="342">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row>
    <row r="343">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row>
    <row r="344">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row>
    <row r="345">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row>
    <row r="346">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row>
    <row r="347">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row>
    <row r="348">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row>
    <row r="349">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row>
    <row r="350">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row>
    <row r="35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row>
    <row r="352">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row>
    <row r="353">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row>
    <row r="354">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row>
    <row r="355">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row>
    <row r="356">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row>
    <row r="357">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row>
    <row r="358">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row>
    <row r="359">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row>
    <row r="360">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row>
    <row r="36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row>
    <row r="362">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row>
    <row r="363">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row>
    <row r="364">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row>
    <row r="365">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row>
    <row r="366">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row>
    <row r="367">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row>
    <row r="368">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row>
    <row r="369">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row>
    <row r="370">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row>
    <row r="37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row>
    <row r="372">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row>
    <row r="373">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row>
    <row r="374">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row>
    <row r="375">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row>
    <row r="376">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row>
    <row r="377">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row>
    <row r="378">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row>
    <row r="379">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row>
    <row r="380">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row>
    <row r="38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row>
    <row r="382">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row>
    <row r="383">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row>
    <row r="384">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row>
    <row r="385">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row>
    <row r="386">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row>
    <row r="387">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row>
    <row r="388">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row>
    <row r="389">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row>
    <row r="390">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row>
    <row r="39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row>
    <row r="392">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row>
    <row r="393">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row>
    <row r="394">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row>
    <row r="395">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row>
    <row r="396">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row>
    <row r="397">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row>
    <row r="398">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row>
    <row r="399">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row>
    <row r="400">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row>
    <row r="40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row>
    <row r="402">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row>
    <row r="403">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row>
    <row r="404">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row>
    <row r="405">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row>
    <row r="406">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row>
    <row r="407">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row>
    <row r="408">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row>
    <row r="409">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row>
    <row r="410">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row>
    <row r="41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row>
    <row r="412">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row>
    <row r="413">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row>
    <row r="414">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row>
    <row r="415">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row>
    <row r="416">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row>
    <row r="417">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row>
    <row r="418">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row>
    <row r="419">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row>
    <row r="420">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row>
    <row r="42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row>
    <row r="422">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row>
    <row r="423">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row>
    <row r="424">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row>
    <row r="425">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row>
    <row r="426">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row>
    <row r="427">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row>
    <row r="428">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row>
    <row r="429">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row>
    <row r="430">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row>
    <row r="43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row>
    <row r="432">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row>
    <row r="433">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row>
    <row r="434">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row>
    <row r="435">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row>
    <row r="436">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row>
    <row r="437">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row>
    <row r="438">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row>
    <row r="439">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row>
    <row r="440">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row>
    <row r="44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row>
    <row r="442">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row>
    <row r="443">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row>
    <row r="444">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row>
    <row r="445">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row>
    <row r="446">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row>
    <row r="447">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row>
    <row r="448">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row>
    <row r="449">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row>
    <row r="450">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row>
    <row r="45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row>
    <row r="452">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row>
    <row r="453">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row>
    <row r="454">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row>
    <row r="455">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row>
    <row r="456">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row>
    <row r="457">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row>
    <row r="458">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row>
    <row r="459">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row>
    <row r="460">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row>
    <row r="46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row>
    <row r="462">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row>
    <row r="463">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row>
    <row r="464">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row>
    <row r="465">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row>
    <row r="466">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row>
    <row r="467">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row>
    <row r="468">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row>
    <row r="469">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row>
    <row r="470">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row>
    <row r="47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row>
    <row r="472">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row>
    <row r="473">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row>
    <row r="474">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row>
    <row r="475">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row>
    <row r="476">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row>
    <row r="477">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row>
    <row r="478">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row>
    <row r="479">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row>
    <row r="480">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row>
    <row r="48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row>
    <row r="482">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row>
    <row r="483">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row>
    <row r="484">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row>
    <row r="485">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row>
    <row r="486">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row>
    <row r="487">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row>
    <row r="488">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row>
    <row r="489">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row>
    <row r="490">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row>
    <row r="49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row>
    <row r="492">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row>
    <row r="493">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row>
    <row r="494">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row>
    <row r="495">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row>
    <row r="496">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row>
    <row r="497">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row>
    <row r="498">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row>
    <row r="499">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row>
    <row r="500">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row>
    <row r="50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row>
    <row r="502">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row>
    <row r="503">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row>
    <row r="504">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row>
    <row r="505">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row>
    <row r="506">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row>
    <row r="507">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row>
    <row r="508">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row>
    <row r="509">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row>
    <row r="510">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row>
    <row r="51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row>
    <row r="512">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row>
    <row r="513">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row>
    <row r="514">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row>
    <row r="515">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row>
    <row r="516">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row>
    <row r="517">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row>
    <row r="518">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row>
    <row r="519">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row>
    <row r="520">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row>
    <row r="52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row>
    <row r="522">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row>
    <row r="523">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row>
    <row r="524">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row>
    <row r="525">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row>
    <row r="526">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row>
    <row r="527">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row>
    <row r="528">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row>
    <row r="529">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row>
    <row r="530">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row>
    <row r="53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row>
    <row r="532">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row>
    <row r="533">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row>
    <row r="534">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row>
    <row r="535">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row>
    <row r="536">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row>
    <row r="537">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row>
    <row r="538">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row>
    <row r="539">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row>
    <row r="540">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row>
    <row r="54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row>
    <row r="542">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row>
    <row r="543">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row>
    <row r="544">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row>
    <row r="545">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row>
    <row r="546">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row>
    <row r="547">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row>
    <row r="548">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row>
    <row r="549">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row>
    <row r="550">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row>
    <row r="55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row>
    <row r="552">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row>
    <row r="553">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row>
    <row r="554">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row>
    <row r="555">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row>
    <row r="556">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row>
    <row r="557">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row>
    <row r="558">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row>
    <row r="559">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row>
    <row r="560">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row>
    <row r="56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row>
    <row r="562">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row>
    <row r="563">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row>
    <row r="564">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row>
    <row r="565">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row>
    <row r="566">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row>
    <row r="567">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row>
    <row r="568">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row>
    <row r="569">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row>
    <row r="570">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row>
    <row r="57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row>
    <row r="572">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row>
    <row r="573">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row>
    <row r="574">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row>
    <row r="575">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row>
    <row r="576">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row>
    <row r="577">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row>
    <row r="578">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row>
    <row r="579">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row>
    <row r="580">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row>
    <row r="58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row>
    <row r="582">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row>
    <row r="583">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row>
    <row r="584">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row>
    <row r="585">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row>
    <row r="586">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row>
    <row r="587">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row>
    <row r="588">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row>
    <row r="589">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row>
    <row r="590">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row>
    <row r="59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row>
    <row r="592">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row>
    <row r="593">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row>
    <row r="594">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row>
    <row r="595">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row>
    <row r="596">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row>
    <row r="597">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row>
    <row r="598">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row>
    <row r="599">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row>
    <row r="600">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row>
    <row r="60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row>
    <row r="602">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row>
    <row r="603">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row>
    <row r="604">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row>
    <row r="606">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row>
    <row r="607">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row>
    <row r="608">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row>
    <row r="609">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row>
    <row r="610">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row>
    <row r="612">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row>
    <row r="613">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row>
    <row r="614">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row>
    <row r="615">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row>
    <row r="616">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row>
    <row r="617">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row>
    <row r="618">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row>
    <row r="619">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row>
    <row r="620">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row>
    <row r="62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row>
    <row r="622">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row>
    <row r="623">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row>
    <row r="624">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row>
    <row r="625">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row>
    <row r="626">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row>
    <row r="627">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row>
    <row r="628">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row>
    <row r="629">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row>
    <row r="630">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row>
    <row r="63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row>
    <row r="632">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row>
    <row r="633">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row>
    <row r="634">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row>
    <row r="635">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row>
    <row r="636">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row>
    <row r="637">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row>
    <row r="638">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row>
    <row r="639">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row>
    <row r="640">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row>
    <row r="64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row>
    <row r="642">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row>
    <row r="643">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row>
    <row r="644">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row>
    <row r="645">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row>
    <row r="646">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row>
    <row r="647">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row>
    <row r="648">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row>
    <row r="649">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row>
    <row r="650">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row>
    <row r="65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row>
    <row r="652">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row>
    <row r="653">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row>
    <row r="654">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row>
    <row r="655">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row>
    <row r="656">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row>
    <row r="657">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row>
    <row r="658">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row>
    <row r="659">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row>
    <row r="660">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row>
    <row r="66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row>
    <row r="662">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row>
    <row r="663">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row>
    <row r="664">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row>
    <row r="665">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row>
    <row r="666">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row>
    <row r="667">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row>
    <row r="668">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row>
    <row r="669">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row>
    <row r="670">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row>
    <row r="67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row>
    <row r="672">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row>
    <row r="673">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row>
    <row r="674">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row>
    <row r="675">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row>
    <row r="676">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row>
    <row r="677">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row>
    <row r="678">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row>
    <row r="679">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row>
    <row r="680">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row>
    <row r="68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row>
    <row r="682">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row>
    <row r="683">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row>
    <row r="684">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row>
    <row r="685">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row>
    <row r="686">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row>
    <row r="687">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row>
    <row r="688">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row>
    <row r="689">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row>
    <row r="690">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row>
    <row r="69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row>
    <row r="692">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row>
    <row r="693">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row>
    <row r="694">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row>
    <row r="695">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row>
    <row r="696">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row>
    <row r="697">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row>
    <row r="698">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row>
    <row r="699">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row>
    <row r="700">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row>
    <row r="70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row>
    <row r="702">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row>
    <row r="703">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row>
    <row r="704">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row>
    <row r="705">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row>
    <row r="706">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row>
    <row r="707">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row>
    <row r="708">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row>
    <row r="709">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row>
    <row r="710">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row>
    <row r="71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row>
    <row r="712">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row>
    <row r="713">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row>
    <row r="714">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row>
    <row r="715">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row>
    <row r="716">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row>
    <row r="717">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row>
    <row r="718">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row>
    <row r="719">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row>
    <row r="720">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row>
    <row r="72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row>
    <row r="722">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row>
    <row r="723">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row>
    <row r="724">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row>
    <row r="725">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row>
    <row r="726">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row>
    <row r="727">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row>
    <row r="728">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row>
    <row r="729">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row>
    <row r="730">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row>
    <row r="73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row>
    <row r="732">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row>
    <row r="733">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row>
    <row r="734">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row>
    <row r="735">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row>
    <row r="736">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row>
    <row r="737">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row>
    <row r="738">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row>
    <row r="739">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row>
    <row r="740">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row>
    <row r="74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row>
    <row r="742">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row>
    <row r="743">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row>
    <row r="744">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row>
    <row r="745">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row>
    <row r="746">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row>
    <row r="747">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row>
    <row r="748">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row>
    <row r="749">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row>
    <row r="750">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row>
    <row r="75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row>
    <row r="752">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row>
    <row r="753">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row>
    <row r="754">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row>
    <row r="755">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row>
    <row r="756">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row>
    <row r="757">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row>
    <row r="758">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row>
    <row r="759">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row>
    <row r="760">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row>
    <row r="76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row>
    <row r="762">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row>
    <row r="763">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row>
    <row r="764">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row>
    <row r="765">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row>
    <row r="766">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row>
    <row r="767">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row>
    <row r="768">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row>
    <row r="769">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row>
    <row r="770">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row>
    <row r="77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row>
    <row r="772">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row>
    <row r="773">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row>
    <row r="774">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row>
    <row r="775">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row>
    <row r="776">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row>
    <row r="777">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row>
    <row r="778">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row>
    <row r="779">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row>
    <row r="780">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row>
    <row r="78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row>
    <row r="782">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row>
    <row r="783">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row>
    <row r="784">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row>
    <row r="785">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row>
    <row r="786">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row>
    <row r="787">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row>
    <row r="788">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row>
    <row r="789">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row>
    <row r="790">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row>
    <row r="79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row>
    <row r="792">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row>
    <row r="793">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row>
    <row r="794">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row>
    <row r="795">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row>
    <row r="796">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row>
    <row r="797">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row>
    <row r="798">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row>
    <row r="799">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row>
    <row r="800">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row>
    <row r="80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row>
    <row r="802">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row>
    <row r="803">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row>
    <row r="804">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row>
    <row r="805">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row>
    <row r="806">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row>
    <row r="807">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row>
    <row r="808">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row>
    <row r="809">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row>
    <row r="810">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row>
    <row r="81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row>
    <row r="812">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row>
    <row r="813">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row>
    <row r="814">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row>
    <row r="815">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row>
    <row r="816">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row>
    <row r="817">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row>
    <row r="818">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row>
    <row r="819">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row>
    <row r="820">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row>
    <row r="82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row>
    <row r="822">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row>
    <row r="823">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row>
    <row r="824">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row>
    <row r="825">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row>
    <row r="826">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row>
    <row r="827">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row>
    <row r="828">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row>
    <row r="829">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row>
    <row r="830">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row>
    <row r="83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row>
    <row r="832">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row>
    <row r="833">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row>
    <row r="834">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row>
    <row r="835">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row>
    <row r="836">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row>
    <row r="837">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row>
    <row r="838">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row>
    <row r="839">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row>
    <row r="840">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row>
    <row r="84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row>
    <row r="842">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row>
    <row r="843">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row>
    <row r="844">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row>
    <row r="845">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row>
    <row r="846">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row>
    <row r="847">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row>
    <row r="848">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row>
    <row r="849">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row>
    <row r="850">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row>
    <row r="85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row>
    <row r="852">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row>
    <row r="853">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row>
    <row r="854">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row>
    <row r="855">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row>
    <row r="856">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row>
    <row r="857">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row>
    <row r="858">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row>
    <row r="859">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row>
    <row r="860">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row>
    <row r="86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row>
    <row r="862">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row>
    <row r="863">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row>
    <row r="864">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row>
    <row r="865">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row>
    <row r="866">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row>
    <row r="867">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row>
    <row r="868">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row>
    <row r="869">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row>
    <row r="870">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row>
    <row r="87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row>
    <row r="872">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row>
    <row r="873">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row>
    <row r="874">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row>
    <row r="875">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row>
    <row r="876">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row>
    <row r="877">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row>
    <row r="878">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row>
    <row r="879">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row>
    <row r="880">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row>
    <row r="88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row>
    <row r="882">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row>
    <row r="883">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row>
    <row r="884">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row>
    <row r="885">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row>
    <row r="886">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row>
    <row r="887">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row>
    <row r="888">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row>
    <row r="889">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row>
    <row r="890">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row>
    <row r="89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row>
    <row r="892">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row>
    <row r="893">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row>
    <row r="894">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row>
    <row r="895">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row>
    <row r="896">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row>
    <row r="897">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row>
    <row r="898">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row>
    <row r="899">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row>
    <row r="900">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row>
    <row r="90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row>
    <row r="902">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row>
    <row r="903">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row>
    <row r="904">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row>
    <row r="905">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row>
    <row r="906">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row>
    <row r="907">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row>
    <row r="908">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row>
    <row r="909">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row>
    <row r="910">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row>
    <row r="91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row>
    <row r="912">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row>
    <row r="913">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row>
    <row r="914">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row>
    <row r="915">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row>
    <row r="916">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row>
    <row r="917">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row>
    <row r="918">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row>
    <row r="919">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row>
    <row r="920">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row>
    <row r="92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row>
    <row r="922">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row>
    <row r="923">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row>
    <row r="924">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row>
    <row r="925">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row>
    <row r="926">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row>
    <row r="927">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row>
    <row r="928">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row>
    <row r="929">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row>
    <row r="930">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row>
    <row r="93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row>
    <row r="932">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row>
    <row r="933">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row>
    <row r="934">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row>
    <row r="935">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row>
    <row r="936">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row>
    <row r="937">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row>
    <row r="938">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row>
    <row r="939">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row>
    <row r="940">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row>
    <row r="94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row>
    <row r="942">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row>
    <row r="943">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row>
    <row r="944">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row>
    <row r="945">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row>
    <row r="946">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row>
    <row r="947">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row>
    <row r="948">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row>
    <row r="949">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row>
    <row r="950">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row>
    <row r="95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row>
    <row r="952">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row>
    <row r="953">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row>
    <row r="954">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row>
    <row r="955">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row>
    <row r="956">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row>
    <row r="957">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row>
    <row r="958">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row>
    <row r="959">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row>
    <row r="960">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row>
    <row r="96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row>
    <row r="962">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row>
    <row r="963">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row>
    <row r="964">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row>
    <row r="965">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row>
    <row r="966">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row>
    <row r="967">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row>
    <row r="968">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row>
    <row r="969">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row>
    <row r="970">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row>
    <row r="97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row>
    <row r="972">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row>
    <row r="973">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row>
    <row r="974">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row>
    <row r="975">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row>
    <row r="976">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row>
    <row r="977">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row>
    <row r="978">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row>
    <row r="979">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row>
    <row r="980">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row>
    <row r="98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row>
    <row r="982">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row>
    <row r="983">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row>
    <row r="984">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row>
    <row r="985">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row>
    <row r="986">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row>
    <row r="987">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row>
    <row r="988">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row>
    <row r="989">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row>
    <row r="990">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row>
    <row r="99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row>
    <row r="992">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row>
    <row r="993">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row>
    <row r="994">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row>
    <row r="995">
      <c r="A995" s="163"/>
      <c r="B995" s="163"/>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row>
    <row r="996">
      <c r="A996" s="163"/>
      <c r="B996" s="163"/>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row>
    <row r="997">
      <c r="A997" s="163"/>
      <c r="B997" s="163"/>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row>
    <row r="998">
      <c r="A998" s="163"/>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row>
    <row r="999">
      <c r="A999" s="163"/>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row>
    <row r="1000">
      <c r="A1000" s="163"/>
      <c r="B1000" s="163"/>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row>
  </sheetData>
  <dataValidations>
    <dataValidation type="list" allowBlank="1" sqref="B3:B16 B20:B33 B37:B50 B54:B67 B71:B84 B88:B101 B105:B118 B122:B135 B139:B152 B156:B169 B173:B186 B190:B203">
      <formula1>"100,75,50,25,0"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20.13"/>
    <col customWidth="1" min="12" max="12" width="11.13"/>
    <col customWidth="1" hidden="1" min="13" max="13" width="16.75"/>
    <col hidden="1" min="14" max="24" width="12.63"/>
    <col customWidth="1" min="25" max="25" width="14.75"/>
  </cols>
  <sheetData>
    <row r="1">
      <c r="C1" s="274" t="s">
        <v>149</v>
      </c>
      <c r="D1" s="275" t="str">
        <f>VLOOKUP(TRUE(),Projections!I3:J8,2,FALSE)</f>
        <v>#N/A</v>
      </c>
      <c r="Y1" s="275" t="s">
        <v>1829</v>
      </c>
      <c r="Z1" s="275">
        <v>156.0</v>
      </c>
      <c r="AB1" s="276"/>
    </row>
    <row r="2">
      <c r="C2" s="277"/>
      <c r="D2" s="277"/>
      <c r="F2" s="278" t="s">
        <v>1830</v>
      </c>
      <c r="Y2" s="277"/>
      <c r="Z2" s="277"/>
    </row>
    <row r="3">
      <c r="M3" s="5" t="str">
        <f>Projections!J3</f>
        <v>Current Player Auctioned</v>
      </c>
      <c r="N3" s="5" t="str">
        <f>Projections!J4</f>
        <v>$ Value</v>
      </c>
      <c r="O3" s="5" t="str">
        <f>Projections!J5</f>
        <v>LeagV/$</v>
      </c>
      <c r="P3" t="str">
        <f>Projections!J6</f>
        <v>PuntV/$</v>
      </c>
      <c r="Q3" s="5" t="str">
        <f>Projections!F4</f>
        <v>Total $ Left</v>
      </c>
      <c r="R3" t="str">
        <f t="shared" ref="R3:W3" si="1">#REF!</f>
        <v>#REF!</v>
      </c>
      <c r="S3" t="str">
        <f t="shared" si="1"/>
        <v>#REF!</v>
      </c>
      <c r="T3" t="str">
        <f t="shared" si="1"/>
        <v>#REF!</v>
      </c>
      <c r="U3" t="str">
        <f t="shared" si="1"/>
        <v>#REF!</v>
      </c>
      <c r="V3" t="str">
        <f t="shared" si="1"/>
        <v>#REF!</v>
      </c>
      <c r="W3" t="str">
        <f t="shared" si="1"/>
        <v>#REF!</v>
      </c>
      <c r="X3" t="str">
        <f>Projections!F5</f>
        <v>Total LeagV/$ Left</v>
      </c>
    </row>
    <row r="7" ht="15.75" customHeight="1"/>
    <row r="12">
      <c r="AA12" s="279"/>
    </row>
    <row r="17">
      <c r="D17" s="280"/>
      <c r="M17" s="281"/>
    </row>
    <row r="19">
      <c r="B19" s="282"/>
      <c r="C19" s="283" t="str">
        <f>'Final Update'!A3</f>
        <v>ADP</v>
      </c>
      <c r="D19" s="284" t="s">
        <v>10</v>
      </c>
      <c r="E19" s="284" t="s">
        <v>109</v>
      </c>
      <c r="F19" s="284" t="s">
        <v>110</v>
      </c>
      <c r="G19" s="284" t="s">
        <v>12</v>
      </c>
      <c r="H19" s="284" t="s">
        <v>13</v>
      </c>
      <c r="I19" s="284" t="s">
        <v>14</v>
      </c>
      <c r="J19" s="284" t="s">
        <v>8</v>
      </c>
      <c r="K19" s="284" t="s">
        <v>9</v>
      </c>
      <c r="L19" s="284" t="s">
        <v>15</v>
      </c>
      <c r="M19" s="283"/>
      <c r="N19" s="283"/>
      <c r="O19" s="283"/>
      <c r="P19" s="283"/>
      <c r="Q19" s="283"/>
      <c r="R19" s="283"/>
      <c r="S19" s="283"/>
      <c r="T19" s="283"/>
      <c r="U19" s="283"/>
      <c r="V19" s="283"/>
      <c r="W19" s="283"/>
      <c r="X19" s="283"/>
      <c r="Y19" s="285" t="s">
        <v>4</v>
      </c>
      <c r="Z19" s="285" t="s">
        <v>227</v>
      </c>
      <c r="AA19" s="285" t="s">
        <v>4</v>
      </c>
    </row>
    <row r="20">
      <c r="B20" s="286">
        <v>1.0</v>
      </c>
      <c r="C20" s="286" t="str">
        <f t="array" ref="C20">INDIRECT("Draft!C"&amp;TEXT(D1+2,"0"))</f>
        <v>#N/A</v>
      </c>
      <c r="D20" s="287" t="str">
        <f>IF($C20="","", VLOOKUP($C20,UpdateHashtag!$B$2:$R$420,11,False))</f>
        <v>#N/A</v>
      </c>
      <c r="E20" s="287" t="str">
        <f>IF($C20="","", VLOOKUP($C20,UpdateHashtag!$B$2:$R$420,10,False))</f>
        <v>#N/A</v>
      </c>
      <c r="F20" s="287" t="str">
        <f>IF($C20="","", VLOOKUP($C20,UpdateHashtag!$B$2:$R$420,12,False))</f>
        <v>#N/A</v>
      </c>
      <c r="G20" s="287" t="str">
        <f>IF($C20="","", VLOOKUP($C20,UpdateHashtag!$B$2:$R$420,13,False))</f>
        <v>#N/A</v>
      </c>
      <c r="H20" s="287" t="str">
        <f>IF($C20="","", VLOOKUP($C20,UpdateHashtag!$B$2:$R$420,14,False))</f>
        <v>#N/A</v>
      </c>
      <c r="I20" s="287" t="str">
        <f>IF($C20="","", VLOOKUP($C20,UpdateHashtag!$B$2:$R$420,15,False))</f>
        <v>#N/A</v>
      </c>
      <c r="J20" s="288" t="str">
        <f> IF($C20="","", 100*VLOOKUP($C20,UpdateHashtag!$B$2:$R$420,6,False)/VLOOKUP($C20,'Final Update'!$A$3:$L$420,9,False))</f>
        <v>#N/A</v>
      </c>
      <c r="K20" s="288" t="str">
        <f>IF($C20="","", 100*VLOOKUP($C20,UpdateHashtag!$B$2:$R$420,9,False))</f>
        <v>#N/A</v>
      </c>
      <c r="L20" s="287" t="str">
        <f>IF($C20="","", VLOOKUP($C20,UpdateHashtag!$B$2:$R$420,16,False))</f>
        <v>#N/A</v>
      </c>
      <c r="M20" s="282"/>
      <c r="N20" s="282"/>
      <c r="O20" s="282"/>
      <c r="P20" s="282"/>
      <c r="Q20" s="282"/>
      <c r="R20" s="282"/>
      <c r="S20" s="282"/>
      <c r="T20" s="282"/>
      <c r="U20" s="282"/>
      <c r="V20" s="282"/>
      <c r="W20" s="282"/>
      <c r="X20" s="282"/>
      <c r="Y20" s="282" t="str">
        <f>IF($C20="","", VLOOKUP($C20,UpdateHashtag!$B$2:$C$420,2,FALSE))</f>
        <v>#N/A</v>
      </c>
      <c r="Z20" s="282">
        <f t="array" ref="Z20">COUNTIF(FIND(AA20,$Y$20:$Y$31),"&gt;0")</f>
        <v>0</v>
      </c>
      <c r="AA20" s="286" t="s">
        <v>46</v>
      </c>
    </row>
    <row r="21">
      <c r="B21" s="286">
        <v>2.0</v>
      </c>
      <c r="C21" s="289" t="str">
        <f t="array" ref="C21">INDIRECT("Draft!D"&amp;TEXT(15-D1,"0"))</f>
        <v>#N/A</v>
      </c>
      <c r="D21" s="287" t="str">
        <f>IF($C21="","", VLOOKUP($C21,UpdateHashtag!$B$2:$R$420,11,False))</f>
        <v>#N/A</v>
      </c>
      <c r="E21" s="287" t="str">
        <f>IF($C21="","", VLOOKUP($C21,UpdateHashtag!$B$2:$R$420,10,False))</f>
        <v>#N/A</v>
      </c>
      <c r="F21" s="287" t="str">
        <f>IF($C21="","", VLOOKUP($C21,UpdateHashtag!$B$2:$R$420,12,False))</f>
        <v>#N/A</v>
      </c>
      <c r="G21" s="287" t="str">
        <f>IF($C21="","", VLOOKUP($C21,UpdateHashtag!$B$2:$R$420,13,False))</f>
        <v>#N/A</v>
      </c>
      <c r="H21" s="287" t="str">
        <f>IF($C21="","", VLOOKUP($C21,UpdateHashtag!$B$2:$R$420,14,False))</f>
        <v>#N/A</v>
      </c>
      <c r="I21" s="287" t="str">
        <f>IF($C21="","", VLOOKUP($C21,UpdateHashtag!$B$2:$R$420,15,False))</f>
        <v>#N/A</v>
      </c>
      <c r="J21" s="288" t="str">
        <f> IF($C21="","", 100*VLOOKUP($C21,UpdateHashtag!$B$2:$R$420,6,False)/VLOOKUP($C21,'Final Update'!$A$3:$L$420,9,False))</f>
        <v>#N/A</v>
      </c>
      <c r="K21" s="288" t="str">
        <f>IF($C21="","", 100*VLOOKUP($C21,UpdateHashtag!$B$2:$R$420,9,False))</f>
        <v>#N/A</v>
      </c>
      <c r="L21" s="287" t="str">
        <f>IF($C21="","", VLOOKUP($C21,UpdateHashtag!$B$2:$R$420,16,False))</f>
        <v>#N/A</v>
      </c>
      <c r="M21" s="282"/>
      <c r="N21" s="282"/>
      <c r="O21" s="282"/>
      <c r="P21" s="282"/>
      <c r="Q21" s="282"/>
      <c r="R21" s="282"/>
      <c r="S21" s="282"/>
      <c r="T21" s="282"/>
      <c r="U21" s="282"/>
      <c r="V21" s="282"/>
      <c r="W21" s="282"/>
      <c r="X21" s="282"/>
      <c r="Y21" s="282" t="str">
        <f>IF($C21="","", VLOOKUP($C21,UpdateHashtag!$B$2:$C$420,2,FALSE))</f>
        <v>#N/A</v>
      </c>
      <c r="Z21" s="282">
        <f t="array" ref="Z21">COUNTIF(FIND(AA21,$Y$20:$Y$31),"&gt;0")</f>
        <v>0</v>
      </c>
      <c r="AA21" s="286" t="s">
        <v>47</v>
      </c>
    </row>
    <row r="22">
      <c r="B22" s="286">
        <v>3.0</v>
      </c>
      <c r="C22" s="286" t="str">
        <f t="array" ref="C22">INDIRECT("Draft!E"&amp;TEXT(D1+2,"0"))</f>
        <v>#N/A</v>
      </c>
      <c r="D22" s="287" t="str">
        <f>IF($C22="","", VLOOKUP($C22,UpdateHashtag!$B$2:$R$420,11,False))</f>
        <v>#N/A</v>
      </c>
      <c r="E22" s="287" t="str">
        <f>IF($C22="","", VLOOKUP($C22,UpdateHashtag!$B$2:$R$420,10,False))</f>
        <v>#N/A</v>
      </c>
      <c r="F22" s="287" t="str">
        <f>IF($C22="","", VLOOKUP($C22,UpdateHashtag!$B$2:$R$420,12,False))</f>
        <v>#N/A</v>
      </c>
      <c r="G22" s="287" t="str">
        <f>IF($C22="","", VLOOKUP($C22,UpdateHashtag!$B$2:$R$420,13,False))</f>
        <v>#N/A</v>
      </c>
      <c r="H22" s="287" t="str">
        <f>IF($C22="","", VLOOKUP($C22,UpdateHashtag!$B$2:$R$420,14,False))</f>
        <v>#N/A</v>
      </c>
      <c r="I22" s="287" t="str">
        <f>IF($C22="","", VLOOKUP($C22,UpdateHashtag!$B$2:$R$420,15,False))</f>
        <v>#N/A</v>
      </c>
      <c r="J22" s="288" t="str">
        <f> IF($C22="","", 100*VLOOKUP($C22,UpdateHashtag!$B$2:$R$420,6,False)/VLOOKUP($C22,'Final Update'!$A$3:$L$420,9,False))</f>
        <v>#N/A</v>
      </c>
      <c r="K22" s="288" t="str">
        <f>IF($C22="","", 100*VLOOKUP($C22,UpdateHashtag!$B$2:$R$420,9,False))</f>
        <v>#N/A</v>
      </c>
      <c r="L22" s="287" t="str">
        <f>IF($C22="","", VLOOKUP($C22,UpdateHashtag!$B$2:$R$420,16,False))</f>
        <v>#N/A</v>
      </c>
      <c r="M22" s="282"/>
      <c r="N22" s="282"/>
      <c r="O22" s="282"/>
      <c r="P22" s="282"/>
      <c r="Q22" s="282"/>
      <c r="R22" s="282"/>
      <c r="S22" s="282"/>
      <c r="T22" s="282"/>
      <c r="U22" s="282"/>
      <c r="V22" s="282"/>
      <c r="W22" s="282"/>
      <c r="X22" s="282"/>
      <c r="Y22" s="282" t="str">
        <f>IF($C22="","", VLOOKUP($C22,UpdateHashtag!$B$2:$C$420,2,FALSE))</f>
        <v>#N/A</v>
      </c>
      <c r="Z22" s="282">
        <f t="array" ref="Z22">COUNTIF(FIND(AA22,$Y$20:$Y$31),"&gt;0")</f>
        <v>0</v>
      </c>
      <c r="AA22" s="286" t="s">
        <v>48</v>
      </c>
    </row>
    <row r="23">
      <c r="B23" s="286">
        <v>4.0</v>
      </c>
      <c r="C23" s="289" t="str">
        <f t="array" ref="C23">INDIRECT("Draft!F"&amp;TEXT(15-D1,"0"))</f>
        <v>#N/A</v>
      </c>
      <c r="D23" s="287" t="str">
        <f>IF($C23="","", VLOOKUP($C23,UpdateHashtag!$B$2:$R$420,11,False))</f>
        <v>#N/A</v>
      </c>
      <c r="E23" s="287" t="str">
        <f>IF($C23="","", VLOOKUP($C23,UpdateHashtag!$B$2:$R$420,10,False))</f>
        <v>#N/A</v>
      </c>
      <c r="F23" s="287" t="str">
        <f>IF($C23="","", VLOOKUP($C23,UpdateHashtag!$B$2:$R$420,12,False))</f>
        <v>#N/A</v>
      </c>
      <c r="G23" s="287" t="str">
        <f>IF($C23="","", VLOOKUP($C23,UpdateHashtag!$B$2:$R$420,13,False))</f>
        <v>#N/A</v>
      </c>
      <c r="H23" s="287" t="str">
        <f>IF($C23="","", VLOOKUP($C23,UpdateHashtag!$B$2:$R$420,14,False))</f>
        <v>#N/A</v>
      </c>
      <c r="I23" s="287" t="str">
        <f>IF($C23="","", VLOOKUP($C23,UpdateHashtag!$B$2:$R$420,15,False))</f>
        <v>#N/A</v>
      </c>
      <c r="J23" s="288" t="str">
        <f> IF($C23="","", 100*VLOOKUP($C23,UpdateHashtag!$B$2:$R$420,6,False)/VLOOKUP($C23,'Final Update'!$A$3:$L$420,9,False))</f>
        <v>#N/A</v>
      </c>
      <c r="K23" s="288" t="str">
        <f>IF($C23="","", 100*VLOOKUP($C23,UpdateHashtag!$B$2:$R$420,9,False))</f>
        <v>#N/A</v>
      </c>
      <c r="L23" s="287" t="str">
        <f>IF($C23="","", VLOOKUP($C23,UpdateHashtag!$B$2:$R$420,16,False))</f>
        <v>#N/A</v>
      </c>
      <c r="M23" s="282"/>
      <c r="N23" s="282"/>
      <c r="O23" s="282"/>
      <c r="P23" s="282"/>
      <c r="Q23" s="282"/>
      <c r="R23" s="282"/>
      <c r="S23" s="282"/>
      <c r="T23" s="282"/>
      <c r="U23" s="282"/>
      <c r="V23" s="282"/>
      <c r="W23" s="282"/>
      <c r="X23" s="282"/>
      <c r="Y23" s="282" t="str">
        <f>IF($C23="","", VLOOKUP($C23,UpdateHashtag!$B$2:$C$420,2,FALSE))</f>
        <v>#N/A</v>
      </c>
      <c r="Z23" s="282">
        <f t="array" ref="Z23">COUNTIF(FIND(AA23,$Y$20:$Y$31),"&gt;0")</f>
        <v>0</v>
      </c>
      <c r="AA23" s="286" t="s">
        <v>49</v>
      </c>
    </row>
    <row r="24">
      <c r="B24" s="286">
        <v>5.0</v>
      </c>
      <c r="C24" s="286" t="str">
        <f t="array" ref="C24">INDIRECT("Draft!G"&amp;TEXT(D1+2,"0"))</f>
        <v>#N/A</v>
      </c>
      <c r="D24" s="287" t="str">
        <f>IF($C24="","", VLOOKUP($C24,UpdateHashtag!$B$2:$R$420,11,False))</f>
        <v>#N/A</v>
      </c>
      <c r="E24" s="287" t="str">
        <f>IF($C24="","", VLOOKUP($C24,UpdateHashtag!$B$2:$R$420,10,False))</f>
        <v>#N/A</v>
      </c>
      <c r="F24" s="287" t="str">
        <f>IF($C24="","", VLOOKUP($C24,UpdateHashtag!$B$2:$R$420,12,False))</f>
        <v>#N/A</v>
      </c>
      <c r="G24" s="287" t="str">
        <f>IF($C24="","", VLOOKUP($C24,UpdateHashtag!$B$2:$R$420,13,False))</f>
        <v>#N/A</v>
      </c>
      <c r="H24" s="287" t="str">
        <f>IF($C24="","", VLOOKUP($C24,UpdateHashtag!$B$2:$R$420,14,False))</f>
        <v>#N/A</v>
      </c>
      <c r="I24" s="287" t="str">
        <f>IF($C24="","", VLOOKUP($C24,UpdateHashtag!$B$2:$R$420,15,False))</f>
        <v>#N/A</v>
      </c>
      <c r="J24" s="288" t="str">
        <f> IF($C24="","", 100*VLOOKUP($C24,UpdateHashtag!$B$2:$R$420,6,False)/VLOOKUP($C24,'Final Update'!$A$3:$L$420,9,False))</f>
        <v>#N/A</v>
      </c>
      <c r="K24" s="288" t="str">
        <f>IF($C24="","", 100*VLOOKUP($C24,UpdateHashtag!$B$2:$R$420,9,False))</f>
        <v>#N/A</v>
      </c>
      <c r="L24" s="287" t="str">
        <f>IF($C24="","", VLOOKUP($C24,UpdateHashtag!$B$2:$R$420,16,False))</f>
        <v>#N/A</v>
      </c>
      <c r="M24" s="282"/>
      <c r="N24" s="282"/>
      <c r="O24" s="282"/>
      <c r="P24" s="282"/>
      <c r="Q24" s="282"/>
      <c r="R24" s="282"/>
      <c r="S24" s="282"/>
      <c r="T24" s="282"/>
      <c r="U24" s="282"/>
      <c r="V24" s="282"/>
      <c r="W24" s="282"/>
      <c r="X24" s="282"/>
      <c r="Y24" s="282" t="str">
        <f>IF($C24="","", VLOOKUP($C24,UpdateHashtag!$B$2:$C$420,2,FALSE))</f>
        <v>#N/A</v>
      </c>
      <c r="Z24" s="282">
        <f t="array" ref="Z24">COUNTIF(FIND(AA24,$Y$20:$Y$31),"&gt;0")</f>
        <v>0</v>
      </c>
      <c r="AA24" s="286" t="s">
        <v>34</v>
      </c>
    </row>
    <row r="25">
      <c r="B25" s="286">
        <v>6.0</v>
      </c>
      <c r="C25" s="289" t="str">
        <f t="array" ref="C25">INDIRECT("Draft!H"&amp;TEXT(15-D1,"0"))</f>
        <v>#N/A</v>
      </c>
      <c r="D25" s="287" t="str">
        <f>IF($C25="","", VLOOKUP($C25,UpdateHashtag!$B$2:$R$420,11,False))</f>
        <v>#N/A</v>
      </c>
      <c r="E25" s="287" t="str">
        <f>IF($C25="","", VLOOKUP($C25,UpdateHashtag!$B$2:$R$420,10,False))</f>
        <v>#N/A</v>
      </c>
      <c r="F25" s="287" t="str">
        <f>IF($C25="","", VLOOKUP($C25,UpdateHashtag!$B$2:$R$420,12,False))</f>
        <v>#N/A</v>
      </c>
      <c r="G25" s="287" t="str">
        <f>IF($C25="","", VLOOKUP($C25,UpdateHashtag!$B$2:$R$420,13,False))</f>
        <v>#N/A</v>
      </c>
      <c r="H25" s="287" t="str">
        <f>IF($C25="","", VLOOKUP($C25,UpdateHashtag!$B$2:$R$420,14,False))</f>
        <v>#N/A</v>
      </c>
      <c r="I25" s="287" t="str">
        <f>IF($C25="","", VLOOKUP($C25,UpdateHashtag!$B$2:$R$420,15,False))</f>
        <v>#N/A</v>
      </c>
      <c r="J25" s="288" t="str">
        <f> IF($C25="","", 100*VLOOKUP($C25,UpdateHashtag!$B$2:$R$420,6,False)/VLOOKUP($C25,'Final Update'!$A$3:$L$420,9,False))</f>
        <v>#N/A</v>
      </c>
      <c r="K25" s="288" t="str">
        <f>IF($C25="","", 100*VLOOKUP($C25,UpdateHashtag!$B$2:$R$420,9,False))</f>
        <v>#N/A</v>
      </c>
      <c r="L25" s="287" t="str">
        <f>IF($C25="","", VLOOKUP($C25,UpdateHashtag!$B$2:$R$420,16,False))</f>
        <v>#N/A</v>
      </c>
      <c r="M25" s="282"/>
      <c r="N25" s="282"/>
      <c r="O25" s="282"/>
      <c r="P25" s="282"/>
      <c r="Q25" s="282"/>
      <c r="R25" s="282"/>
      <c r="S25" s="282"/>
      <c r="T25" s="282"/>
      <c r="U25" s="282"/>
      <c r="V25" s="282"/>
      <c r="W25" s="282"/>
      <c r="X25" s="282"/>
      <c r="Y25" s="282" t="str">
        <f>IF($C25="","", VLOOKUP($C25,UpdateHashtag!$B$2:$C$420,2,FALSE))</f>
        <v>#N/A</v>
      </c>
      <c r="Z25" s="290"/>
      <c r="AA25" s="290"/>
    </row>
    <row r="26">
      <c r="B26" s="286">
        <v>7.0</v>
      </c>
      <c r="C26" s="286" t="str">
        <f t="array" ref="C26">INDIRECT("Draft!I"&amp;TEXT(D1+2,"0"))</f>
        <v>#N/A</v>
      </c>
      <c r="D26" s="287" t="str">
        <f>IF($C26="","", VLOOKUP($C26,UpdateHashtag!$B$2:$R$420,11,False))</f>
        <v>#N/A</v>
      </c>
      <c r="E26" s="287" t="str">
        <f>IF($C26="","", VLOOKUP($C26,UpdateHashtag!$B$2:$R$420,10,False))</f>
        <v>#N/A</v>
      </c>
      <c r="F26" s="287" t="str">
        <f>IF($C26="","", VLOOKUP($C26,UpdateHashtag!$B$2:$R$420,12,False))</f>
        <v>#N/A</v>
      </c>
      <c r="G26" s="287" t="str">
        <f>IF($C26="","", VLOOKUP($C26,UpdateHashtag!$B$2:$R$420,13,False))</f>
        <v>#N/A</v>
      </c>
      <c r="H26" s="287" t="str">
        <f>IF($C26="","", VLOOKUP($C26,UpdateHashtag!$B$2:$R$420,14,False))</f>
        <v>#N/A</v>
      </c>
      <c r="I26" s="287" t="str">
        <f>IF($C26="","", VLOOKUP($C26,UpdateHashtag!$B$2:$R$420,15,False))</f>
        <v>#N/A</v>
      </c>
      <c r="J26" s="288" t="str">
        <f> IF($C26="","", 100*VLOOKUP($C26,UpdateHashtag!$B$2:$R$420,6,False)/VLOOKUP($C26,'Final Update'!$A$3:$L$420,9,False))</f>
        <v>#N/A</v>
      </c>
      <c r="K26" s="288" t="str">
        <f>IF($C26="","", 100*VLOOKUP($C26,UpdateHashtag!$B$2:$R$420,9,False))</f>
        <v>#N/A</v>
      </c>
      <c r="L26" s="287" t="str">
        <f>IF($C26="","", VLOOKUP($C26,UpdateHashtag!$B$2:$R$420,16,False))</f>
        <v>#N/A</v>
      </c>
      <c r="M26" s="282"/>
      <c r="N26" s="282"/>
      <c r="O26" s="282"/>
      <c r="P26" s="282"/>
      <c r="Q26" s="282"/>
      <c r="R26" s="282"/>
      <c r="S26" s="282"/>
      <c r="T26" s="282"/>
      <c r="U26" s="282"/>
      <c r="V26" s="282"/>
      <c r="W26" s="282"/>
      <c r="X26" s="282"/>
      <c r="Y26" s="282" t="str">
        <f>IF($C26="","", VLOOKUP($C26,UpdateHashtag!$B$2:$C$420,2,FALSE))</f>
        <v>#N/A</v>
      </c>
      <c r="Z26" s="290"/>
      <c r="AA26" s="290"/>
    </row>
    <row r="27">
      <c r="B27" s="286">
        <v>8.0</v>
      </c>
      <c r="C27" s="289" t="str">
        <f t="array" ref="C27">INDIRECT("Draft!J"&amp;TEXT(15-D1,"0"))</f>
        <v>#N/A</v>
      </c>
      <c r="D27" s="287" t="str">
        <f>IF($C27="","", VLOOKUP($C27,UpdateHashtag!$B$2:$R$420,11,False))</f>
        <v>#N/A</v>
      </c>
      <c r="E27" s="287" t="str">
        <f>IF($C27="","", VLOOKUP($C27,UpdateHashtag!$B$2:$R$420,10,False))</f>
        <v>#N/A</v>
      </c>
      <c r="F27" s="287" t="str">
        <f>IF($C27="","", VLOOKUP($C27,UpdateHashtag!$B$2:$R$420,12,False))</f>
        <v>#N/A</v>
      </c>
      <c r="G27" s="287" t="str">
        <f>IF($C27="","", VLOOKUP($C27,UpdateHashtag!$B$2:$R$420,13,False))</f>
        <v>#N/A</v>
      </c>
      <c r="H27" s="287" t="str">
        <f>IF($C27="","", VLOOKUP($C27,UpdateHashtag!$B$2:$R$420,14,False))</f>
        <v>#N/A</v>
      </c>
      <c r="I27" s="287" t="str">
        <f>IF($C27="","", VLOOKUP($C27,UpdateHashtag!$B$2:$R$420,15,False))</f>
        <v>#N/A</v>
      </c>
      <c r="J27" s="288" t="str">
        <f> IF($C27="","", 100*VLOOKUP($C27,UpdateHashtag!$B$2:$R$420,6,False)/VLOOKUP($C27,'Final Update'!$A$3:$L$420,9,False))</f>
        <v>#N/A</v>
      </c>
      <c r="K27" s="288" t="str">
        <f>IF($C27="","", 100*VLOOKUP($C27,UpdateHashtag!$B$2:$R$420,9,False))</f>
        <v>#N/A</v>
      </c>
      <c r="L27" s="287" t="str">
        <f>IF($C27="","", VLOOKUP($C27,UpdateHashtag!$B$2:$R$420,16,False))</f>
        <v>#N/A</v>
      </c>
      <c r="M27" s="282"/>
      <c r="N27" s="282"/>
      <c r="O27" s="282"/>
      <c r="P27" s="282"/>
      <c r="Q27" s="282"/>
      <c r="R27" s="282"/>
      <c r="S27" s="282"/>
      <c r="T27" s="282"/>
      <c r="U27" s="282"/>
      <c r="V27" s="282"/>
      <c r="W27" s="282"/>
      <c r="X27" s="282"/>
      <c r="Y27" s="282" t="str">
        <f>IF($C27="","", VLOOKUP($C27,UpdateHashtag!$B$2:$C$420,2,FALSE))</f>
        <v>#N/A</v>
      </c>
      <c r="Z27" s="290"/>
      <c r="AA27" s="290"/>
    </row>
    <row r="28">
      <c r="B28" s="286">
        <v>9.0</v>
      </c>
      <c r="C28" s="286" t="str">
        <f t="array" ref="C28">INDIRECT("Draft!K"&amp;TEXT(D1+2,"0"))</f>
        <v>#N/A</v>
      </c>
      <c r="D28" s="287" t="str">
        <f>IF($C28="","", VLOOKUP($C28,UpdateHashtag!$B$2:$R$420,11,False))</f>
        <v>#N/A</v>
      </c>
      <c r="E28" s="287" t="str">
        <f>IF($C28="","", VLOOKUP($C28,UpdateHashtag!$B$2:$R$420,10,False))</f>
        <v>#N/A</v>
      </c>
      <c r="F28" s="287" t="str">
        <f>IF($C28="","", VLOOKUP($C28,UpdateHashtag!$B$2:$R$420,12,False))</f>
        <v>#N/A</v>
      </c>
      <c r="G28" s="287" t="str">
        <f>IF($C28="","", VLOOKUP($C28,UpdateHashtag!$B$2:$R$420,13,False))</f>
        <v>#N/A</v>
      </c>
      <c r="H28" s="287" t="str">
        <f>IF($C28="","", VLOOKUP($C28,UpdateHashtag!$B$2:$R$420,14,False))</f>
        <v>#N/A</v>
      </c>
      <c r="I28" s="287" t="str">
        <f>IF($C28="","", VLOOKUP($C28,UpdateHashtag!$B$2:$R$420,15,False))</f>
        <v>#N/A</v>
      </c>
      <c r="J28" s="288" t="str">
        <f> IF($C28="","", 100*VLOOKUP($C28,UpdateHashtag!$B$2:$R$420,6,False)/VLOOKUP($C28,'Final Update'!$A$3:$L$420,9,False))</f>
        <v>#N/A</v>
      </c>
      <c r="K28" s="288" t="str">
        <f>IF($C28="","", 100*VLOOKUP($C28,UpdateHashtag!$B$2:$R$420,9,False))</f>
        <v>#N/A</v>
      </c>
      <c r="L28" s="287" t="str">
        <f>IF($C28="","", VLOOKUP($C28,UpdateHashtag!$B$2:$R$420,16,False))</f>
        <v>#N/A</v>
      </c>
      <c r="M28" s="282"/>
      <c r="N28" s="282"/>
      <c r="O28" s="282"/>
      <c r="P28" s="282"/>
      <c r="Q28" s="282"/>
      <c r="R28" s="282"/>
      <c r="S28" s="282"/>
      <c r="T28" s="282"/>
      <c r="U28" s="282"/>
      <c r="V28" s="282"/>
      <c r="W28" s="282"/>
      <c r="X28" s="282"/>
      <c r="Y28" s="282" t="str">
        <f>IF($C28="","", VLOOKUP($C28,UpdateHashtag!$B$2:$C$420,2,FALSE))</f>
        <v>#N/A</v>
      </c>
      <c r="Z28" s="290"/>
      <c r="AA28" s="290"/>
      <c r="AB28" s="276"/>
    </row>
    <row r="29">
      <c r="B29" s="286">
        <v>10.0</v>
      </c>
      <c r="C29" s="289" t="str">
        <f t="array" ref="C29">INDIRECT("Draft!L"&amp;TEXT(15-D1,"0"))</f>
        <v>#N/A</v>
      </c>
      <c r="D29" s="287" t="str">
        <f>IF($C29="","", VLOOKUP($C29,UpdateHashtag!$B$2:$R$420,11,False))</f>
        <v>#N/A</v>
      </c>
      <c r="E29" s="287" t="str">
        <f>IF($C29="","", VLOOKUP($C29,UpdateHashtag!$B$2:$R$420,10,False))</f>
        <v>#N/A</v>
      </c>
      <c r="F29" s="287" t="str">
        <f>IF($C29="","", VLOOKUP($C29,UpdateHashtag!$B$2:$R$420,12,False))</f>
        <v>#N/A</v>
      </c>
      <c r="G29" s="287" t="str">
        <f>IF($C29="","", VLOOKUP($C29,UpdateHashtag!$B$2:$R$420,13,False))</f>
        <v>#N/A</v>
      </c>
      <c r="H29" s="287" t="str">
        <f>IF($C29="","", VLOOKUP($C29,UpdateHashtag!$B$2:$R$420,14,False))</f>
        <v>#N/A</v>
      </c>
      <c r="I29" s="287" t="str">
        <f>IF($C29="","", VLOOKUP($C29,UpdateHashtag!$B$2:$R$420,15,False))</f>
        <v>#N/A</v>
      </c>
      <c r="J29" s="288" t="str">
        <f> IF($C29="","", 100*VLOOKUP($C29,UpdateHashtag!$B$2:$R$420,6,False)/VLOOKUP($C29,'Final Update'!$A$3:$L$420,9,False))</f>
        <v>#N/A</v>
      </c>
      <c r="K29" s="288" t="str">
        <f>IF($C29="","", 100*VLOOKUP($C29,UpdateHashtag!$B$2:$R$420,9,False))</f>
        <v>#N/A</v>
      </c>
      <c r="L29" s="287" t="str">
        <f>IF($C29="","", VLOOKUP($C29,UpdateHashtag!$B$2:$R$420,16,False))</f>
        <v>#N/A</v>
      </c>
      <c r="M29" s="282"/>
      <c r="N29" s="282"/>
      <c r="O29" s="282"/>
      <c r="P29" s="282"/>
      <c r="Q29" s="282"/>
      <c r="R29" s="282"/>
      <c r="S29" s="282"/>
      <c r="T29" s="282"/>
      <c r="U29" s="282"/>
      <c r="V29" s="282"/>
      <c r="W29" s="282"/>
      <c r="X29" s="282"/>
      <c r="Y29" s="282" t="str">
        <f>IF($C29="","", VLOOKUP($C29,UpdateHashtag!$B$2:$C$420,2,FALSE))</f>
        <v>#N/A</v>
      </c>
      <c r="Z29" s="290"/>
      <c r="AA29" s="290"/>
    </row>
    <row r="30">
      <c r="B30" s="286">
        <v>11.0</v>
      </c>
      <c r="C30" s="286" t="str">
        <f t="array" ref="C30">INDIRECT("Draft!M"&amp;TEXT(D1+2,"0"))</f>
        <v>#N/A</v>
      </c>
      <c r="D30" s="287" t="str">
        <f>IF($C30="","", VLOOKUP($C30,UpdateHashtag!$B$2:$R$420,11,False))</f>
        <v>#N/A</v>
      </c>
      <c r="E30" s="287" t="str">
        <f>IF($C30="","", VLOOKUP($C30,UpdateHashtag!$B$2:$R$420,10,False))</f>
        <v>#N/A</v>
      </c>
      <c r="F30" s="287" t="str">
        <f>IF($C30="","", VLOOKUP($C30,UpdateHashtag!$B$2:$R$420,12,False))</f>
        <v>#N/A</v>
      </c>
      <c r="G30" s="287" t="str">
        <f>IF($C30="","", VLOOKUP($C30,UpdateHashtag!$B$2:$R$420,13,False))</f>
        <v>#N/A</v>
      </c>
      <c r="H30" s="287" t="str">
        <f>IF($C30="","", VLOOKUP($C30,UpdateHashtag!$B$2:$R$420,14,False))</f>
        <v>#N/A</v>
      </c>
      <c r="I30" s="287" t="str">
        <f>IF($C30="","", VLOOKUP($C30,UpdateHashtag!$B$2:$R$420,15,False))</f>
        <v>#N/A</v>
      </c>
      <c r="J30" s="288" t="str">
        <f> IF($C30="","", 100*VLOOKUP($C30,UpdateHashtag!$B$2:$R$420,6,False)/VLOOKUP($C30,'Final Update'!$A$3:$L$420,9,False))</f>
        <v>#N/A</v>
      </c>
      <c r="K30" s="288" t="str">
        <f>IF($C30="","", 100*VLOOKUP($C30,UpdateHashtag!$B$2:$R$420,9,False))</f>
        <v>#N/A</v>
      </c>
      <c r="L30" s="287" t="str">
        <f>IF($C30="","", VLOOKUP($C30,UpdateHashtag!$B$2:$R$420,16,False))</f>
        <v>#N/A</v>
      </c>
      <c r="M30" s="282"/>
      <c r="N30" s="282"/>
      <c r="O30" s="282"/>
      <c r="P30" s="282"/>
      <c r="Q30" s="282"/>
      <c r="R30" s="282"/>
      <c r="S30" s="282"/>
      <c r="T30" s="282"/>
      <c r="U30" s="282"/>
      <c r="V30" s="282"/>
      <c r="W30" s="282"/>
      <c r="X30" s="282"/>
      <c r="Y30" s="282" t="str">
        <f>IF($C30="","", VLOOKUP($C30,UpdateHashtag!$B$2:$C$420,2,FALSE))</f>
        <v>#N/A</v>
      </c>
      <c r="Z30" s="290"/>
      <c r="AA30" s="290"/>
    </row>
    <row r="31">
      <c r="B31" s="286">
        <v>12.0</v>
      </c>
      <c r="C31" s="289" t="str">
        <f t="array" ref="C31">INDIRECT("Draft!N"&amp;TEXT(15-D1,"0"))</f>
        <v>#N/A</v>
      </c>
      <c r="D31" s="287" t="str">
        <f>IF($C31="","", VLOOKUP($C31,UpdateHashtag!$B$2:$R$420,11,False))</f>
        <v>#N/A</v>
      </c>
      <c r="E31" s="287" t="str">
        <f>IF($C31="","", VLOOKUP($C31,UpdateHashtag!$B$2:$R$420,10,False))</f>
        <v>#N/A</v>
      </c>
      <c r="F31" s="287" t="str">
        <f>IF($C31="","", VLOOKUP($C31,UpdateHashtag!$B$2:$R$420,12,False))</f>
        <v>#N/A</v>
      </c>
      <c r="G31" s="287" t="str">
        <f>IF($C31="","", VLOOKUP($C31,UpdateHashtag!$B$2:$R$420,13,False))</f>
        <v>#N/A</v>
      </c>
      <c r="H31" s="287" t="str">
        <f>IF($C31="","", VLOOKUP($C31,UpdateHashtag!$B$2:$R$420,14,False))</f>
        <v>#N/A</v>
      </c>
      <c r="I31" s="287" t="str">
        <f>IF($C31="","", VLOOKUP($C31,UpdateHashtag!$B$2:$R$420,15,False))</f>
        <v>#N/A</v>
      </c>
      <c r="J31" s="288" t="str">
        <f> IF($C31="","", 100*VLOOKUP($C31,UpdateHashtag!$B$2:$R$420,6,False)/VLOOKUP($C31,'Final Update'!$A$3:$L$420,9,False))</f>
        <v>#N/A</v>
      </c>
      <c r="K31" s="288" t="str">
        <f>IF($C31="","", 100*VLOOKUP($C31,UpdateHashtag!$B$2:$R$420,9,False))</f>
        <v>#N/A</v>
      </c>
      <c r="L31" s="287" t="str">
        <f>IF($C31="","", VLOOKUP($C31,UpdateHashtag!$B$2:$R$420,16,False))</f>
        <v>#N/A</v>
      </c>
      <c r="M31" s="282"/>
      <c r="N31" s="282"/>
      <c r="O31" s="282"/>
      <c r="P31" s="282"/>
      <c r="Q31" s="282"/>
      <c r="R31" s="282"/>
      <c r="S31" s="282"/>
      <c r="T31" s="282"/>
      <c r="U31" s="282"/>
      <c r="V31" s="282"/>
      <c r="W31" s="282"/>
      <c r="X31" s="282"/>
      <c r="Y31" s="282" t="str">
        <f>IF($C31="","", VLOOKUP($C31,UpdateHashtag!$B$2:$C$420,2,FALSE))</f>
        <v>#N/A</v>
      </c>
      <c r="Z31" s="290"/>
      <c r="AA31" s="290"/>
    </row>
    <row r="32">
      <c r="C32" s="291" t="s">
        <v>1328</v>
      </c>
      <c r="D32" s="288" t="str">
        <f t="shared" ref="D32:I32" si="2">IFERROR(AVERAGE(D20:D31),"")</f>
        <v/>
      </c>
      <c r="E32" s="288" t="str">
        <f t="shared" si="2"/>
        <v/>
      </c>
      <c r="F32" s="288" t="str">
        <f t="shared" si="2"/>
        <v/>
      </c>
      <c r="G32" s="288" t="str">
        <f t="shared" si="2"/>
        <v/>
      </c>
      <c r="H32" s="288" t="str">
        <f t="shared" si="2"/>
        <v/>
      </c>
      <c r="I32" s="288" t="str">
        <f t="shared" si="2"/>
        <v/>
      </c>
      <c r="J32" s="288" t="str">
        <f t="array" ref="J32">IFERROR(100*SUMPRODUCT(IFERROR(VLOOKUP(C20:C31,UpdateHashtag!B:S,6,False),""))/SUMPRODUCT(IFERROR(VLOOKUP(C20:C31,UpdateHashtag!B:S,17,False),"")),"")</f>
        <v/>
      </c>
      <c r="K32" s="288" t="str">
        <f t="array" ref="K32">IFERROR(100*SUMPRODUCT(IFERROR(VLOOKUP(C20:C31,UpdateHashtag!B:S,8,False),""))/SUMPRODUCT(IFERROR(VLOOKUP(C20:C31,UpdateHashtag!B:S,18,False),"")),"")</f>
        <v/>
      </c>
      <c r="L32" s="288" t="str">
        <f>IFERROR(AVERAGE(L20:L31),"")</f>
        <v/>
      </c>
      <c r="M32" s="282"/>
      <c r="N32" s="282"/>
      <c r="O32" s="282"/>
      <c r="P32" s="282"/>
      <c r="Q32" s="282"/>
      <c r="R32" s="282"/>
      <c r="S32" s="282"/>
      <c r="T32" s="282"/>
      <c r="U32" s="282"/>
      <c r="V32" s="282"/>
      <c r="W32" s="282"/>
      <c r="X32" s="292"/>
      <c r="Y32" s="290"/>
    </row>
  </sheetData>
  <mergeCells count="4">
    <mergeCell ref="C1:C2"/>
    <mergeCell ref="D1:D2"/>
    <mergeCell ref="Y1:Y2"/>
    <mergeCell ref="Z1:Z2"/>
  </mergeCells>
  <dataValidations>
    <dataValidation type="list" allowBlank="1" sqref="Z1">
      <formula1>"50,100,156,200,250,300,350,400"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row>
    <row r="2">
      <c r="A2" s="14"/>
      <c r="B2" s="14"/>
      <c r="C2" s="14"/>
      <c r="D2" s="1" t="s">
        <v>1831</v>
      </c>
      <c r="E2" s="1" t="s">
        <v>1832</v>
      </c>
      <c r="F2" s="1" t="s">
        <v>1387</v>
      </c>
      <c r="G2" s="1" t="s">
        <v>1379</v>
      </c>
      <c r="H2" s="1" t="s">
        <v>1384</v>
      </c>
      <c r="I2" s="1" t="s">
        <v>1833</v>
      </c>
      <c r="J2" s="1" t="s">
        <v>1834</v>
      </c>
      <c r="K2" s="1" t="s">
        <v>1835</v>
      </c>
      <c r="L2" s="1" t="s">
        <v>1442</v>
      </c>
      <c r="M2" s="1" t="s">
        <v>1373</v>
      </c>
      <c r="N2" s="1" t="s">
        <v>1836</v>
      </c>
      <c r="O2" s="1" t="s">
        <v>1837</v>
      </c>
      <c r="P2" s="1" t="s">
        <v>1838</v>
      </c>
      <c r="Q2" s="1" t="s">
        <v>1839</v>
      </c>
      <c r="R2" s="14"/>
      <c r="S2" s="14"/>
      <c r="T2" s="14"/>
      <c r="U2" s="14"/>
      <c r="V2" s="14"/>
      <c r="W2" s="14"/>
      <c r="X2" s="14"/>
      <c r="Y2" s="14"/>
      <c r="Z2" s="14"/>
      <c r="AA2" s="14"/>
      <c r="AB2" s="14"/>
      <c r="AC2" s="14"/>
      <c r="AD2" s="14"/>
      <c r="AE2" s="14"/>
      <c r="AF2" s="14"/>
      <c r="AG2" s="14"/>
      <c r="AH2" s="14"/>
      <c r="AI2" s="14"/>
      <c r="AJ2" s="14"/>
      <c r="AK2" s="14"/>
      <c r="AL2" s="14"/>
      <c r="AM2" s="14"/>
      <c r="AN2" s="14"/>
    </row>
    <row r="3">
      <c r="A3" s="1" t="s">
        <v>1840</v>
      </c>
      <c r="B3" s="14" t="str">
        <f t="array" ref="B3">TOCOL(IF(IF(#REF!,D16:O27,D3:O14)=#REF!,D15:O15&amp;C16:C27,NA()),2)</f>
        <v>#REF!</v>
      </c>
      <c r="C3" s="1">
        <v>3.0</v>
      </c>
      <c r="D3" s="19">
        <v>1.0</v>
      </c>
      <c r="E3" s="19">
        <v>13.0</v>
      </c>
      <c r="F3" s="293">
        <v>25.0</v>
      </c>
      <c r="G3" s="293">
        <v>37.0</v>
      </c>
      <c r="H3" s="293">
        <v>49.0</v>
      </c>
      <c r="I3" s="293">
        <v>61.0</v>
      </c>
      <c r="J3" s="293">
        <v>73.0</v>
      </c>
      <c r="K3" s="293">
        <v>85.0</v>
      </c>
      <c r="L3" s="293">
        <v>97.0</v>
      </c>
      <c r="M3" s="293">
        <v>109.0</v>
      </c>
      <c r="N3" s="293">
        <v>121.0</v>
      </c>
      <c r="O3" s="293">
        <v>133.0</v>
      </c>
      <c r="P3" s="293">
        <v>145.0</v>
      </c>
      <c r="Q3" s="293">
        <v>157.0</v>
      </c>
      <c r="R3" s="14"/>
      <c r="S3" s="14"/>
      <c r="T3" s="14"/>
      <c r="U3" s="14" t="str">
        <f>IFERROR(__xludf.DUMMYFUNCTION("(FILTER(FLATTEN(Draft!D3:O14), FLATTEN(Draft!D3:O14)&lt;&gt;""""))"),"#N/A")</f>
        <v>#N/A</v>
      </c>
      <c r="V3" s="14"/>
      <c r="W3" s="14" t="str">
        <f>IFERROR(__xludf.DUMMYFUNCTION("ArrayFormula(IF(FILTER(FLATTEN(Draft!D3:O14), FLATTEN(Draft!D3:O14)&lt;&gt;"""")&lt;&gt;0,true,false))"),"#N/A")</f>
        <v>#N/A</v>
      </c>
      <c r="X3" s="14"/>
      <c r="Y3" s="14"/>
      <c r="Z3" s="14"/>
      <c r="AA3" s="14"/>
      <c r="AB3" s="14"/>
      <c r="AC3" s="14"/>
      <c r="AD3" s="14"/>
      <c r="AE3" s="14"/>
      <c r="AF3" s="14"/>
      <c r="AG3" s="14"/>
      <c r="AH3" s="14"/>
      <c r="AI3" s="14"/>
      <c r="AJ3" s="14"/>
      <c r="AK3" s="14"/>
      <c r="AL3" s="14"/>
      <c r="AM3" s="14"/>
      <c r="AN3" s="14"/>
    </row>
    <row r="4">
      <c r="A4" s="1" t="s">
        <v>1841</v>
      </c>
      <c r="B4" s="14" t="str">
        <f t="array" ref="B4">TOCOL(IF(IF(#REF!,D16:O27,D3:O14)=(#REF!-1),D15:O15&amp;C16:C27,NA()),2)</f>
        <v>#REF!</v>
      </c>
      <c r="C4" s="1">
        <v>4.0</v>
      </c>
      <c r="D4" s="19">
        <v>2.0</v>
      </c>
      <c r="E4" s="19">
        <v>14.0</v>
      </c>
      <c r="F4" s="293">
        <v>26.0</v>
      </c>
      <c r="G4" s="293">
        <v>38.0</v>
      </c>
      <c r="H4" s="293">
        <v>50.0</v>
      </c>
      <c r="I4" s="293">
        <v>62.0</v>
      </c>
      <c r="J4" s="293">
        <v>74.0</v>
      </c>
      <c r="K4" s="293">
        <v>86.0</v>
      </c>
      <c r="L4" s="293">
        <v>98.0</v>
      </c>
      <c r="M4" s="293">
        <v>110.0</v>
      </c>
      <c r="N4" s="293">
        <v>122.0</v>
      </c>
      <c r="O4" s="293">
        <v>134.0</v>
      </c>
      <c r="P4" s="293">
        <v>146.0</v>
      </c>
      <c r="Q4" s="293">
        <v>158.0</v>
      </c>
      <c r="R4" s="14"/>
      <c r="S4" s="14"/>
      <c r="T4" s="14"/>
      <c r="U4" s="14"/>
      <c r="V4" s="14"/>
      <c r="W4" s="14"/>
      <c r="X4" s="14"/>
      <c r="Y4" s="14"/>
      <c r="Z4" s="14"/>
      <c r="AA4" s="14"/>
      <c r="AB4" s="14"/>
      <c r="AC4" s="14"/>
      <c r="AD4" s="14"/>
      <c r="AE4" s="14"/>
      <c r="AF4" s="14"/>
      <c r="AG4" s="14"/>
      <c r="AH4" s="14"/>
      <c r="AI4" s="14"/>
      <c r="AJ4" s="14"/>
      <c r="AK4" s="14"/>
      <c r="AL4" s="14"/>
      <c r="AM4" s="14"/>
      <c r="AN4" s="14"/>
    </row>
    <row r="5">
      <c r="A5" s="1" t="s">
        <v>17</v>
      </c>
      <c r="B5" s="7" t="str">
        <f t="array" ref="B5">TOCOL(IF(IF(#REF!,D16:Q27,D3:Q14)=Indirect("Draft!"&amp;ADDRESS(IF(#REF!,17,16),#REF!+3)),D15:O15&amp;C16:C27,NA()),2)</f>
        <v>#REF!</v>
      </c>
      <c r="C5" s="1">
        <v>5.0</v>
      </c>
      <c r="D5" s="19">
        <v>3.0</v>
      </c>
      <c r="E5" s="19">
        <v>15.0</v>
      </c>
      <c r="F5" s="293">
        <v>27.0</v>
      </c>
      <c r="G5" s="293">
        <v>39.0</v>
      </c>
      <c r="H5" s="293">
        <v>51.0</v>
      </c>
      <c r="I5" s="293">
        <v>63.0</v>
      </c>
      <c r="J5" s="293">
        <v>75.0</v>
      </c>
      <c r="K5" s="293">
        <v>87.0</v>
      </c>
      <c r="L5" s="293">
        <v>99.0</v>
      </c>
      <c r="M5" s="293">
        <v>111.0</v>
      </c>
      <c r="N5" s="293">
        <v>123.0</v>
      </c>
      <c r="O5" s="293">
        <v>135.0</v>
      </c>
      <c r="P5" s="293">
        <v>147.0</v>
      </c>
      <c r="Q5" s="293">
        <v>159.0</v>
      </c>
      <c r="R5" s="14"/>
      <c r="S5" s="14"/>
      <c r="T5" s="14"/>
      <c r="U5" s="14"/>
      <c r="V5" s="14"/>
      <c r="W5" s="14"/>
      <c r="X5" s="14"/>
      <c r="Y5" s="14"/>
      <c r="Z5" s="14"/>
      <c r="AA5" s="14"/>
      <c r="AB5" s="14"/>
      <c r="AC5" s="14"/>
      <c r="AD5" s="14"/>
      <c r="AE5" s="14"/>
      <c r="AF5" s="14"/>
      <c r="AG5" s="14"/>
      <c r="AH5" s="14"/>
      <c r="AI5" s="14"/>
      <c r="AJ5" s="14"/>
      <c r="AK5" s="14"/>
      <c r="AL5" s="14"/>
      <c r="AM5" s="14"/>
      <c r="AN5" s="14"/>
    </row>
    <row r="6">
      <c r="A6" s="14"/>
      <c r="B6" s="14"/>
      <c r="C6" s="1">
        <v>6.0</v>
      </c>
      <c r="D6" s="19">
        <v>4.0</v>
      </c>
      <c r="E6" s="19">
        <v>16.0</v>
      </c>
      <c r="F6" s="293">
        <v>28.0</v>
      </c>
      <c r="G6" s="293">
        <v>40.0</v>
      </c>
      <c r="H6" s="293">
        <v>52.0</v>
      </c>
      <c r="I6" s="293">
        <v>64.0</v>
      </c>
      <c r="J6" s="293">
        <v>76.0</v>
      </c>
      <c r="K6" s="293">
        <v>88.0</v>
      </c>
      <c r="L6" s="293">
        <v>100.0</v>
      </c>
      <c r="M6" s="293">
        <v>112.0</v>
      </c>
      <c r="N6" s="293">
        <v>124.0</v>
      </c>
      <c r="O6" s="293">
        <v>136.0</v>
      </c>
      <c r="P6" s="293">
        <v>148.0</v>
      </c>
      <c r="Q6" s="293">
        <v>160.0</v>
      </c>
      <c r="R6" s="14"/>
      <c r="S6" s="14"/>
      <c r="T6" s="14"/>
      <c r="U6" s="14"/>
      <c r="V6" s="14"/>
      <c r="W6" s="14"/>
      <c r="X6" s="14"/>
      <c r="Y6" s="14"/>
      <c r="Z6" s="14"/>
      <c r="AA6" s="14"/>
      <c r="AB6" s="14"/>
      <c r="AC6" s="14"/>
      <c r="AD6" s="14"/>
      <c r="AE6" s="14"/>
      <c r="AF6" s="14"/>
      <c r="AG6" s="14"/>
      <c r="AH6" s="14"/>
      <c r="AI6" s="14"/>
      <c r="AJ6" s="14"/>
      <c r="AK6" s="14"/>
      <c r="AL6" s="14"/>
      <c r="AM6" s="14"/>
      <c r="AN6" s="14"/>
    </row>
    <row r="7">
      <c r="A7" s="14"/>
      <c r="B7" s="14"/>
      <c r="C7" s="1">
        <v>7.0</v>
      </c>
      <c r="D7" s="19">
        <v>5.0</v>
      </c>
      <c r="E7" s="19">
        <v>17.0</v>
      </c>
      <c r="F7" s="293">
        <v>29.0</v>
      </c>
      <c r="G7" s="293">
        <v>41.0</v>
      </c>
      <c r="H7" s="293">
        <v>53.0</v>
      </c>
      <c r="I7" s="293">
        <v>65.0</v>
      </c>
      <c r="J7" s="293">
        <v>77.0</v>
      </c>
      <c r="K7" s="293">
        <v>89.0</v>
      </c>
      <c r="L7" s="293">
        <v>101.0</v>
      </c>
      <c r="M7" s="293">
        <v>113.0</v>
      </c>
      <c r="N7" s="293">
        <v>125.0</v>
      </c>
      <c r="O7" s="293">
        <v>137.0</v>
      </c>
      <c r="P7" s="293">
        <v>149.0</v>
      </c>
      <c r="Q7" s="293">
        <v>161.0</v>
      </c>
      <c r="R7" s="14"/>
      <c r="S7" s="14"/>
      <c r="T7" s="14"/>
      <c r="U7" s="14"/>
      <c r="V7" s="14"/>
      <c r="W7" s="14"/>
      <c r="X7" s="14"/>
      <c r="Y7" s="14"/>
      <c r="Z7" s="14"/>
      <c r="AA7" s="14"/>
      <c r="AB7" s="14"/>
      <c r="AC7" s="14"/>
      <c r="AD7" s="14"/>
      <c r="AE7" s="14"/>
      <c r="AF7" s="14"/>
      <c r="AG7" s="14"/>
      <c r="AH7" s="14"/>
      <c r="AI7" s="14"/>
      <c r="AJ7" s="14"/>
      <c r="AK7" s="14"/>
      <c r="AL7" s="14"/>
      <c r="AM7" s="14"/>
      <c r="AN7" s="14"/>
    </row>
    <row r="8">
      <c r="A8" s="14"/>
      <c r="B8" s="14"/>
      <c r="C8" s="1">
        <v>8.0</v>
      </c>
      <c r="D8" s="19">
        <v>6.0</v>
      </c>
      <c r="E8" s="19">
        <v>18.0</v>
      </c>
      <c r="F8" s="293">
        <v>30.0</v>
      </c>
      <c r="G8" s="293">
        <v>42.0</v>
      </c>
      <c r="H8" s="293">
        <v>54.0</v>
      </c>
      <c r="I8" s="293">
        <v>66.0</v>
      </c>
      <c r="J8" s="293">
        <v>78.0</v>
      </c>
      <c r="K8" s="293">
        <v>90.0</v>
      </c>
      <c r="L8" s="293">
        <v>102.0</v>
      </c>
      <c r="M8" s="293">
        <v>114.0</v>
      </c>
      <c r="N8" s="293">
        <v>126.0</v>
      </c>
      <c r="O8" s="293">
        <v>138.0</v>
      </c>
      <c r="P8" s="293">
        <v>150.0</v>
      </c>
      <c r="Q8" s="293">
        <v>162.0</v>
      </c>
      <c r="R8" s="14"/>
      <c r="S8" s="14"/>
      <c r="T8" s="14"/>
      <c r="U8" s="14"/>
      <c r="V8" s="14"/>
      <c r="W8" s="14"/>
      <c r="X8" s="14"/>
      <c r="Y8" s="14"/>
      <c r="Z8" s="14"/>
      <c r="AA8" s="14"/>
      <c r="AB8" s="14"/>
      <c r="AC8" s="14"/>
      <c r="AD8" s="14"/>
      <c r="AE8" s="14"/>
      <c r="AF8" s="14"/>
      <c r="AG8" s="14"/>
      <c r="AH8" s="14"/>
      <c r="AI8" s="14"/>
      <c r="AJ8" s="14"/>
      <c r="AK8" s="14"/>
      <c r="AL8" s="14"/>
      <c r="AM8" s="14"/>
      <c r="AN8" s="14"/>
    </row>
    <row r="9">
      <c r="A9" s="14"/>
      <c r="B9" s="14"/>
      <c r="C9" s="1">
        <v>9.0</v>
      </c>
      <c r="D9" s="19">
        <v>7.0</v>
      </c>
      <c r="E9" s="19">
        <v>19.0</v>
      </c>
      <c r="F9" s="293">
        <v>31.0</v>
      </c>
      <c r="G9" s="293">
        <v>43.0</v>
      </c>
      <c r="H9" s="293">
        <v>55.0</v>
      </c>
      <c r="I9" s="293">
        <v>67.0</v>
      </c>
      <c r="J9" s="293">
        <v>79.0</v>
      </c>
      <c r="K9" s="293">
        <v>91.0</v>
      </c>
      <c r="L9" s="293">
        <v>103.0</v>
      </c>
      <c r="M9" s="293">
        <v>115.0</v>
      </c>
      <c r="N9" s="293">
        <v>127.0</v>
      </c>
      <c r="O9" s="293">
        <v>139.0</v>
      </c>
      <c r="P9" s="293">
        <v>151.0</v>
      </c>
      <c r="Q9" s="293">
        <v>163.0</v>
      </c>
      <c r="R9" s="14"/>
      <c r="S9" s="14"/>
      <c r="T9" s="14"/>
      <c r="U9" s="14"/>
      <c r="V9" s="14"/>
      <c r="W9" s="14"/>
      <c r="X9" s="14"/>
      <c r="Y9" s="14"/>
      <c r="Z9" s="14"/>
      <c r="AA9" s="14"/>
      <c r="AB9" s="14"/>
      <c r="AC9" s="14"/>
      <c r="AD9" s="14"/>
      <c r="AE9" s="14"/>
      <c r="AF9" s="14"/>
      <c r="AG9" s="14"/>
      <c r="AH9" s="14"/>
      <c r="AI9" s="14"/>
      <c r="AJ9" s="14"/>
      <c r="AK9" s="14"/>
      <c r="AL9" s="14"/>
      <c r="AM9" s="14"/>
      <c r="AN9" s="14"/>
    </row>
    <row r="10">
      <c r="A10" s="14"/>
      <c r="B10" s="14"/>
      <c r="C10" s="1">
        <v>10.0</v>
      </c>
      <c r="D10" s="19">
        <v>8.0</v>
      </c>
      <c r="E10" s="19">
        <v>20.0</v>
      </c>
      <c r="F10" s="293">
        <v>32.0</v>
      </c>
      <c r="G10" s="293">
        <v>44.0</v>
      </c>
      <c r="H10" s="293">
        <v>56.0</v>
      </c>
      <c r="I10" s="293">
        <v>68.0</v>
      </c>
      <c r="J10" s="293">
        <v>80.0</v>
      </c>
      <c r="K10" s="293">
        <v>92.0</v>
      </c>
      <c r="L10" s="293">
        <v>104.0</v>
      </c>
      <c r="M10" s="293">
        <v>116.0</v>
      </c>
      <c r="N10" s="293">
        <v>128.0</v>
      </c>
      <c r="O10" s="293">
        <v>140.0</v>
      </c>
      <c r="P10" s="293">
        <v>152.0</v>
      </c>
      <c r="Q10" s="293">
        <v>164.0</v>
      </c>
      <c r="R10" s="14"/>
      <c r="S10" s="14"/>
      <c r="T10" s="14"/>
      <c r="U10" s="14"/>
      <c r="V10" s="14"/>
      <c r="W10" s="14"/>
      <c r="X10" s="14"/>
      <c r="Y10" s="14"/>
      <c r="Z10" s="14"/>
      <c r="AA10" s="14"/>
      <c r="AB10" s="14"/>
      <c r="AC10" s="14"/>
      <c r="AD10" s="14"/>
      <c r="AE10" s="14"/>
      <c r="AF10" s="14"/>
      <c r="AG10" s="14"/>
      <c r="AH10" s="14"/>
      <c r="AI10" s="14"/>
      <c r="AJ10" s="14"/>
      <c r="AK10" s="14"/>
      <c r="AL10" s="14"/>
      <c r="AM10" s="14"/>
      <c r="AN10" s="14"/>
    </row>
    <row r="11">
      <c r="A11" s="14"/>
      <c r="B11" s="14"/>
      <c r="C11" s="1">
        <v>11.0</v>
      </c>
      <c r="D11" s="19">
        <v>9.0</v>
      </c>
      <c r="E11" s="19">
        <v>21.0</v>
      </c>
      <c r="F11" s="293">
        <v>33.0</v>
      </c>
      <c r="G11" s="293">
        <v>45.0</v>
      </c>
      <c r="H11" s="293">
        <v>57.0</v>
      </c>
      <c r="I11" s="293">
        <v>69.0</v>
      </c>
      <c r="J11" s="293">
        <v>81.0</v>
      </c>
      <c r="K11" s="293">
        <v>93.0</v>
      </c>
      <c r="L11" s="293">
        <v>105.0</v>
      </c>
      <c r="M11" s="293">
        <v>117.0</v>
      </c>
      <c r="N11" s="293">
        <v>129.0</v>
      </c>
      <c r="O11" s="293">
        <v>141.0</v>
      </c>
      <c r="P11" s="293">
        <v>153.0</v>
      </c>
      <c r="Q11" s="293">
        <v>165.0</v>
      </c>
      <c r="R11" s="14"/>
      <c r="S11" s="14"/>
      <c r="T11" s="14"/>
      <c r="U11" s="14"/>
      <c r="V11" s="14"/>
      <c r="W11" s="14"/>
      <c r="X11" s="14"/>
      <c r="Y11" s="14"/>
      <c r="Z11" s="14"/>
      <c r="AA11" s="14"/>
      <c r="AB11" s="14"/>
      <c r="AC11" s="14"/>
      <c r="AD11" s="14"/>
      <c r="AE11" s="14"/>
      <c r="AF11" s="14"/>
      <c r="AG11" s="14"/>
      <c r="AH11" s="14"/>
      <c r="AI11" s="14"/>
      <c r="AJ11" s="14"/>
      <c r="AK11" s="14"/>
      <c r="AL11" s="14"/>
      <c r="AM11" s="14"/>
      <c r="AN11" s="14"/>
    </row>
    <row r="12">
      <c r="A12" s="14"/>
      <c r="B12" s="14"/>
      <c r="C12" s="1">
        <v>12.0</v>
      </c>
      <c r="D12" s="19">
        <v>10.0</v>
      </c>
      <c r="E12" s="19">
        <v>22.0</v>
      </c>
      <c r="F12" s="293">
        <v>34.0</v>
      </c>
      <c r="G12" s="293">
        <v>46.0</v>
      </c>
      <c r="H12" s="293">
        <v>58.0</v>
      </c>
      <c r="I12" s="293">
        <v>70.0</v>
      </c>
      <c r="J12" s="293">
        <v>82.0</v>
      </c>
      <c r="K12" s="293">
        <v>94.0</v>
      </c>
      <c r="L12" s="293">
        <v>106.0</v>
      </c>
      <c r="M12" s="293">
        <v>118.0</v>
      </c>
      <c r="N12" s="293">
        <v>130.0</v>
      </c>
      <c r="O12" s="293">
        <v>142.0</v>
      </c>
      <c r="P12" s="293">
        <v>154.0</v>
      </c>
      <c r="Q12" s="293">
        <v>166.0</v>
      </c>
      <c r="R12" s="14"/>
      <c r="S12" s="14"/>
      <c r="T12" s="14"/>
      <c r="U12" s="14"/>
      <c r="V12" s="14"/>
      <c r="W12" s="14"/>
      <c r="X12" s="14"/>
      <c r="Y12" s="14"/>
      <c r="Z12" s="14"/>
      <c r="AA12" s="14"/>
      <c r="AB12" s="14"/>
      <c r="AC12" s="14"/>
      <c r="AD12" s="14"/>
      <c r="AE12" s="14"/>
      <c r="AF12" s="14"/>
      <c r="AG12" s="14"/>
      <c r="AH12" s="14"/>
      <c r="AI12" s="14"/>
      <c r="AJ12" s="14"/>
      <c r="AK12" s="14"/>
      <c r="AL12" s="14"/>
      <c r="AM12" s="14"/>
      <c r="AN12" s="14"/>
    </row>
    <row r="13">
      <c r="A13" s="14"/>
      <c r="B13" s="14"/>
      <c r="C13" s="1">
        <v>13.0</v>
      </c>
      <c r="D13" s="19">
        <v>11.0</v>
      </c>
      <c r="E13" s="19">
        <v>23.0</v>
      </c>
      <c r="F13" s="293">
        <v>35.0</v>
      </c>
      <c r="G13" s="293">
        <v>47.0</v>
      </c>
      <c r="H13" s="293">
        <v>59.0</v>
      </c>
      <c r="I13" s="293">
        <v>71.0</v>
      </c>
      <c r="J13" s="293">
        <v>83.0</v>
      </c>
      <c r="K13" s="293">
        <v>95.0</v>
      </c>
      <c r="L13" s="293">
        <v>107.0</v>
      </c>
      <c r="M13" s="293">
        <v>119.0</v>
      </c>
      <c r="N13" s="293">
        <v>131.0</v>
      </c>
      <c r="O13" s="293">
        <v>143.0</v>
      </c>
      <c r="P13" s="293">
        <v>155.0</v>
      </c>
      <c r="Q13" s="293">
        <v>167.0</v>
      </c>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c r="A14" s="14"/>
      <c r="B14" s="14"/>
      <c r="C14" s="1">
        <v>14.0</v>
      </c>
      <c r="D14" s="19">
        <v>12.0</v>
      </c>
      <c r="E14" s="19">
        <v>24.0</v>
      </c>
      <c r="F14" s="293">
        <v>36.0</v>
      </c>
      <c r="G14" s="293">
        <v>48.0</v>
      </c>
      <c r="H14" s="293">
        <v>60.0</v>
      </c>
      <c r="I14" s="293">
        <v>72.0</v>
      </c>
      <c r="J14" s="293">
        <v>84.0</v>
      </c>
      <c r="K14" s="293">
        <v>96.0</v>
      </c>
      <c r="L14" s="293">
        <v>108.0</v>
      </c>
      <c r="M14" s="293">
        <v>120.0</v>
      </c>
      <c r="N14" s="293">
        <v>132.0</v>
      </c>
      <c r="O14" s="293">
        <v>144.0</v>
      </c>
      <c r="P14" s="293">
        <v>156.0</v>
      </c>
      <c r="Q14" s="293">
        <v>168.0</v>
      </c>
      <c r="R14" s="14"/>
      <c r="S14" s="14"/>
      <c r="T14" s="14"/>
      <c r="U14" s="14"/>
      <c r="V14" s="14"/>
      <c r="W14" s="14"/>
      <c r="X14" s="14"/>
      <c r="Y14" s="14"/>
      <c r="Z14" s="14"/>
      <c r="AA14" s="14"/>
      <c r="AB14" s="14"/>
      <c r="AC14" s="14"/>
      <c r="AD14" s="14"/>
      <c r="AE14" s="14"/>
      <c r="AF14" s="14"/>
      <c r="AG14" s="14"/>
      <c r="AH14" s="14"/>
      <c r="AI14" s="14"/>
      <c r="AJ14" s="14"/>
      <c r="AK14" s="14"/>
      <c r="AL14" s="14"/>
      <c r="AM14" s="14"/>
      <c r="AN14" s="14"/>
    </row>
    <row r="15">
      <c r="A15" s="14"/>
      <c r="B15" s="14"/>
      <c r="C15" s="14"/>
      <c r="D15" s="1" t="s">
        <v>1831</v>
      </c>
      <c r="E15" s="1" t="s">
        <v>1832</v>
      </c>
      <c r="F15" s="1" t="s">
        <v>1387</v>
      </c>
      <c r="G15" s="1" t="s">
        <v>1379</v>
      </c>
      <c r="H15" s="1" t="s">
        <v>1384</v>
      </c>
      <c r="I15" s="1" t="s">
        <v>1833</v>
      </c>
      <c r="J15" s="1" t="s">
        <v>1834</v>
      </c>
      <c r="K15" s="1" t="s">
        <v>1835</v>
      </c>
      <c r="L15" s="1" t="s">
        <v>1442</v>
      </c>
      <c r="M15" s="1" t="s">
        <v>1373</v>
      </c>
      <c r="N15" s="1" t="s">
        <v>1836</v>
      </c>
      <c r="O15" s="1" t="s">
        <v>1837</v>
      </c>
      <c r="P15" s="1" t="s">
        <v>1838</v>
      </c>
      <c r="Q15" s="1" t="s">
        <v>1839</v>
      </c>
      <c r="R15" s="14"/>
      <c r="S15" s="14"/>
      <c r="T15" s="14"/>
      <c r="U15" s="14"/>
      <c r="V15" s="14"/>
      <c r="W15" s="14"/>
      <c r="X15" s="14"/>
      <c r="Y15" s="14"/>
      <c r="Z15" s="14"/>
      <c r="AA15" s="14"/>
      <c r="AB15" s="14"/>
      <c r="AC15" s="14"/>
      <c r="AD15" s="14"/>
      <c r="AE15" s="14"/>
      <c r="AF15" s="14"/>
      <c r="AG15" s="14"/>
      <c r="AH15" s="14"/>
      <c r="AI15" s="14"/>
      <c r="AJ15" s="14"/>
      <c r="AK15" s="14"/>
      <c r="AL15" s="14"/>
      <c r="AM15" s="14"/>
      <c r="AN15" s="14"/>
    </row>
    <row r="16">
      <c r="A16" s="14"/>
      <c r="B16" s="1"/>
      <c r="C16" s="1">
        <v>3.0</v>
      </c>
      <c r="D16" s="19">
        <v>1.0</v>
      </c>
      <c r="E16" s="19">
        <v>13.0</v>
      </c>
      <c r="F16" s="293">
        <v>36.0</v>
      </c>
      <c r="G16" s="293">
        <v>48.0</v>
      </c>
      <c r="H16" s="293">
        <v>60.0</v>
      </c>
      <c r="I16" s="293">
        <v>72.0</v>
      </c>
      <c r="J16" s="293">
        <v>84.0</v>
      </c>
      <c r="K16" s="293">
        <v>96.0</v>
      </c>
      <c r="L16" s="293">
        <v>108.0</v>
      </c>
      <c r="M16" s="293">
        <v>120.0</v>
      </c>
      <c r="N16" s="293">
        <v>132.0</v>
      </c>
      <c r="O16" s="293">
        <v>144.0</v>
      </c>
      <c r="P16" s="293">
        <v>156.0</v>
      </c>
      <c r="Q16" s="293">
        <v>168.0</v>
      </c>
      <c r="R16" s="14"/>
      <c r="S16" s="14"/>
      <c r="T16" s="14"/>
      <c r="U16" s="14"/>
      <c r="V16" s="14"/>
      <c r="W16" s="14"/>
      <c r="X16" s="14"/>
      <c r="Y16" s="14"/>
      <c r="Z16" s="14"/>
      <c r="AA16" s="14"/>
      <c r="AB16" s="14"/>
      <c r="AC16" s="14"/>
      <c r="AD16" s="14"/>
      <c r="AE16" s="14"/>
      <c r="AF16" s="14"/>
      <c r="AG16" s="14"/>
      <c r="AH16" s="14"/>
      <c r="AI16" s="14"/>
      <c r="AJ16" s="14"/>
      <c r="AK16" s="14"/>
      <c r="AL16" s="14"/>
      <c r="AM16" s="14"/>
      <c r="AN16" s="14"/>
    </row>
    <row r="17">
      <c r="A17" s="14"/>
      <c r="B17" s="14"/>
      <c r="C17" s="1">
        <v>4.0</v>
      </c>
      <c r="D17" s="19">
        <v>2.0</v>
      </c>
      <c r="E17" s="19">
        <v>14.0</v>
      </c>
      <c r="F17" s="293">
        <v>35.0</v>
      </c>
      <c r="G17" s="293">
        <v>47.0</v>
      </c>
      <c r="H17" s="293">
        <v>59.0</v>
      </c>
      <c r="I17" s="293">
        <v>71.0</v>
      </c>
      <c r="J17" s="293">
        <v>83.0</v>
      </c>
      <c r="K17" s="293">
        <v>95.0</v>
      </c>
      <c r="L17" s="293">
        <v>107.0</v>
      </c>
      <c r="M17" s="293">
        <v>119.0</v>
      </c>
      <c r="N17" s="293">
        <v>131.0</v>
      </c>
      <c r="O17" s="293">
        <v>143.0</v>
      </c>
      <c r="P17" s="293">
        <v>155.0</v>
      </c>
      <c r="Q17" s="293">
        <v>167.0</v>
      </c>
      <c r="R17" s="14"/>
      <c r="S17" s="14"/>
      <c r="T17" s="14"/>
      <c r="U17" s="14"/>
      <c r="V17" s="14"/>
      <c r="W17" s="14"/>
      <c r="X17" s="14"/>
      <c r="Y17" s="14"/>
      <c r="Z17" s="14"/>
      <c r="AA17" s="14"/>
      <c r="AB17" s="14"/>
      <c r="AC17" s="14"/>
      <c r="AD17" s="14"/>
      <c r="AE17" s="14"/>
      <c r="AF17" s="14"/>
      <c r="AG17" s="14"/>
      <c r="AH17" s="14"/>
      <c r="AI17" s="14"/>
      <c r="AJ17" s="14"/>
      <c r="AK17" s="14"/>
      <c r="AL17" s="14"/>
      <c r="AM17" s="14"/>
      <c r="AN17" s="14"/>
    </row>
    <row r="18">
      <c r="A18" s="14"/>
      <c r="B18" s="14"/>
      <c r="C18" s="1">
        <v>5.0</v>
      </c>
      <c r="D18" s="19">
        <v>3.0</v>
      </c>
      <c r="E18" s="19">
        <v>15.0</v>
      </c>
      <c r="F18" s="293">
        <v>34.0</v>
      </c>
      <c r="G18" s="293">
        <v>46.0</v>
      </c>
      <c r="H18" s="293">
        <v>58.0</v>
      </c>
      <c r="I18" s="293">
        <v>70.0</v>
      </c>
      <c r="J18" s="293">
        <v>82.0</v>
      </c>
      <c r="K18" s="293">
        <v>94.0</v>
      </c>
      <c r="L18" s="293">
        <v>106.0</v>
      </c>
      <c r="M18" s="293">
        <v>118.0</v>
      </c>
      <c r="N18" s="293">
        <v>130.0</v>
      </c>
      <c r="O18" s="293">
        <v>142.0</v>
      </c>
      <c r="P18" s="293">
        <v>154.0</v>
      </c>
      <c r="Q18" s="293">
        <v>166.0</v>
      </c>
      <c r="R18" s="14"/>
      <c r="S18" s="14"/>
      <c r="T18" s="14"/>
      <c r="U18" s="14"/>
      <c r="V18" s="14"/>
      <c r="W18" s="14"/>
      <c r="X18" s="14"/>
      <c r="Y18" s="14"/>
      <c r="Z18" s="14"/>
      <c r="AA18" s="14"/>
      <c r="AB18" s="14"/>
      <c r="AC18" s="14"/>
      <c r="AD18" s="14"/>
      <c r="AE18" s="14"/>
      <c r="AF18" s="14"/>
      <c r="AG18" s="14"/>
      <c r="AH18" s="14"/>
      <c r="AI18" s="14"/>
      <c r="AJ18" s="14"/>
      <c r="AK18" s="14"/>
      <c r="AL18" s="14"/>
      <c r="AM18" s="14"/>
      <c r="AN18" s="14"/>
    </row>
    <row r="19">
      <c r="A19" s="14"/>
      <c r="B19" s="14"/>
      <c r="C19" s="1">
        <v>6.0</v>
      </c>
      <c r="D19" s="19">
        <v>4.0</v>
      </c>
      <c r="E19" s="19">
        <v>16.0</v>
      </c>
      <c r="F19" s="293">
        <v>33.0</v>
      </c>
      <c r="G19" s="293">
        <v>45.0</v>
      </c>
      <c r="H19" s="293">
        <v>57.0</v>
      </c>
      <c r="I19" s="293">
        <v>69.0</v>
      </c>
      <c r="J19" s="293">
        <v>81.0</v>
      </c>
      <c r="K19" s="293">
        <v>93.0</v>
      </c>
      <c r="L19" s="293">
        <v>105.0</v>
      </c>
      <c r="M19" s="293">
        <v>117.0</v>
      </c>
      <c r="N19" s="293">
        <v>129.0</v>
      </c>
      <c r="O19" s="293">
        <v>141.0</v>
      </c>
      <c r="P19" s="293">
        <v>153.0</v>
      </c>
      <c r="Q19" s="293">
        <v>165.0</v>
      </c>
      <c r="R19" s="14"/>
      <c r="S19" s="14"/>
      <c r="T19" s="14"/>
      <c r="U19" s="14"/>
      <c r="V19" s="14"/>
      <c r="W19" s="14"/>
      <c r="X19" s="14"/>
      <c r="Y19" s="14"/>
      <c r="Z19" s="14"/>
      <c r="AA19" s="14"/>
      <c r="AB19" s="14"/>
      <c r="AC19" s="14"/>
      <c r="AD19" s="14"/>
      <c r="AE19" s="14"/>
      <c r="AF19" s="14"/>
      <c r="AG19" s="14"/>
      <c r="AH19" s="14"/>
      <c r="AI19" s="14"/>
      <c r="AJ19" s="14"/>
      <c r="AK19" s="14"/>
      <c r="AL19" s="14"/>
      <c r="AM19" s="14"/>
      <c r="AN19" s="14"/>
    </row>
    <row r="20">
      <c r="A20" s="14"/>
      <c r="B20" s="14"/>
      <c r="C20" s="1">
        <v>7.0</v>
      </c>
      <c r="D20" s="19">
        <v>5.0</v>
      </c>
      <c r="E20" s="19">
        <v>17.0</v>
      </c>
      <c r="F20" s="293">
        <v>32.0</v>
      </c>
      <c r="G20" s="293">
        <v>44.0</v>
      </c>
      <c r="H20" s="293">
        <v>56.0</v>
      </c>
      <c r="I20" s="293">
        <v>68.0</v>
      </c>
      <c r="J20" s="293">
        <v>80.0</v>
      </c>
      <c r="K20" s="293">
        <v>92.0</v>
      </c>
      <c r="L20" s="293">
        <v>104.0</v>
      </c>
      <c r="M20" s="293">
        <v>116.0</v>
      </c>
      <c r="N20" s="293">
        <v>128.0</v>
      </c>
      <c r="O20" s="293">
        <v>140.0</v>
      </c>
      <c r="P20" s="293">
        <v>152.0</v>
      </c>
      <c r="Q20" s="293">
        <v>164.0</v>
      </c>
      <c r="R20" s="14"/>
      <c r="S20" s="14"/>
      <c r="T20" s="14"/>
      <c r="U20" s="14"/>
      <c r="V20" s="14"/>
      <c r="W20" s="14"/>
      <c r="X20" s="14"/>
      <c r="Y20" s="14"/>
      <c r="Z20" s="14"/>
      <c r="AA20" s="14"/>
      <c r="AB20" s="14"/>
      <c r="AC20" s="14"/>
      <c r="AD20" s="14"/>
      <c r="AE20" s="14"/>
      <c r="AF20" s="14"/>
      <c r="AG20" s="14"/>
      <c r="AH20" s="14"/>
      <c r="AI20" s="14"/>
      <c r="AJ20" s="14"/>
      <c r="AK20" s="14"/>
      <c r="AL20" s="14"/>
      <c r="AM20" s="14"/>
      <c r="AN20" s="14"/>
    </row>
    <row r="21">
      <c r="A21" s="14"/>
      <c r="B21" s="14"/>
      <c r="C21" s="1">
        <v>8.0</v>
      </c>
      <c r="D21" s="19">
        <v>6.0</v>
      </c>
      <c r="E21" s="19">
        <v>18.0</v>
      </c>
      <c r="F21" s="293">
        <v>31.0</v>
      </c>
      <c r="G21" s="293">
        <v>43.0</v>
      </c>
      <c r="H21" s="293">
        <v>55.0</v>
      </c>
      <c r="I21" s="293">
        <v>67.0</v>
      </c>
      <c r="J21" s="293">
        <v>79.0</v>
      </c>
      <c r="K21" s="293">
        <v>91.0</v>
      </c>
      <c r="L21" s="293">
        <v>103.0</v>
      </c>
      <c r="M21" s="293">
        <v>115.0</v>
      </c>
      <c r="N21" s="293">
        <v>127.0</v>
      </c>
      <c r="O21" s="293">
        <v>139.0</v>
      </c>
      <c r="P21" s="293">
        <v>151.0</v>
      </c>
      <c r="Q21" s="293">
        <v>163.0</v>
      </c>
      <c r="R21" s="14"/>
      <c r="S21" s="14"/>
      <c r="T21" s="14"/>
      <c r="U21" s="14"/>
      <c r="V21" s="14"/>
      <c r="W21" s="14"/>
      <c r="X21" s="14"/>
      <c r="Y21" s="14"/>
      <c r="Z21" s="14"/>
      <c r="AA21" s="14"/>
      <c r="AB21" s="14"/>
      <c r="AC21" s="14"/>
      <c r="AD21" s="14"/>
      <c r="AE21" s="14"/>
      <c r="AF21" s="14"/>
      <c r="AG21" s="14"/>
      <c r="AH21" s="14"/>
      <c r="AI21" s="14"/>
      <c r="AJ21" s="14"/>
      <c r="AK21" s="14"/>
      <c r="AL21" s="14"/>
      <c r="AM21" s="14"/>
      <c r="AN21" s="14"/>
    </row>
    <row r="22">
      <c r="A22" s="14"/>
      <c r="B22" s="14"/>
      <c r="C22" s="1">
        <v>9.0</v>
      </c>
      <c r="D22" s="19">
        <v>7.0</v>
      </c>
      <c r="E22" s="19">
        <v>19.0</v>
      </c>
      <c r="F22" s="293">
        <v>30.0</v>
      </c>
      <c r="G22" s="293">
        <v>42.0</v>
      </c>
      <c r="H22" s="293">
        <v>54.0</v>
      </c>
      <c r="I22" s="293">
        <v>66.0</v>
      </c>
      <c r="J22" s="293">
        <v>78.0</v>
      </c>
      <c r="K22" s="293">
        <v>90.0</v>
      </c>
      <c r="L22" s="293">
        <v>102.0</v>
      </c>
      <c r="M22" s="293">
        <v>114.0</v>
      </c>
      <c r="N22" s="293">
        <v>126.0</v>
      </c>
      <c r="O22" s="293">
        <v>138.0</v>
      </c>
      <c r="P22" s="293">
        <v>150.0</v>
      </c>
      <c r="Q22" s="293">
        <v>162.0</v>
      </c>
      <c r="R22" s="14"/>
      <c r="S22" s="14"/>
      <c r="T22" s="14"/>
      <c r="U22" s="14"/>
      <c r="V22" s="14"/>
      <c r="W22" s="14"/>
      <c r="X22" s="14"/>
      <c r="Y22" s="14"/>
      <c r="Z22" s="14"/>
      <c r="AA22" s="14"/>
      <c r="AB22" s="14"/>
      <c r="AC22" s="14"/>
      <c r="AD22" s="14"/>
      <c r="AE22" s="14"/>
      <c r="AF22" s="14"/>
      <c r="AG22" s="14"/>
      <c r="AH22" s="14"/>
      <c r="AI22" s="14"/>
      <c r="AJ22" s="14"/>
      <c r="AK22" s="14"/>
      <c r="AL22" s="14"/>
      <c r="AM22" s="14"/>
      <c r="AN22" s="14"/>
    </row>
    <row r="23">
      <c r="A23" s="14"/>
      <c r="B23" s="14"/>
      <c r="C23" s="1">
        <v>10.0</v>
      </c>
      <c r="D23" s="19">
        <v>8.0</v>
      </c>
      <c r="E23" s="19">
        <v>20.0</v>
      </c>
      <c r="F23" s="293">
        <v>29.0</v>
      </c>
      <c r="G23" s="293">
        <v>41.0</v>
      </c>
      <c r="H23" s="293">
        <v>53.0</v>
      </c>
      <c r="I23" s="293">
        <v>65.0</v>
      </c>
      <c r="J23" s="293">
        <v>77.0</v>
      </c>
      <c r="K23" s="293">
        <v>89.0</v>
      </c>
      <c r="L23" s="293">
        <v>101.0</v>
      </c>
      <c r="M23" s="293">
        <v>113.0</v>
      </c>
      <c r="N23" s="293">
        <v>125.0</v>
      </c>
      <c r="O23" s="293">
        <v>137.0</v>
      </c>
      <c r="P23" s="293">
        <v>149.0</v>
      </c>
      <c r="Q23" s="293">
        <v>161.0</v>
      </c>
      <c r="R23" s="14"/>
      <c r="S23" s="14"/>
      <c r="T23" s="14"/>
      <c r="U23" s="14"/>
      <c r="V23" s="14"/>
      <c r="W23" s="14"/>
      <c r="X23" s="14"/>
      <c r="Y23" s="14"/>
      <c r="Z23" s="14"/>
      <c r="AA23" s="14"/>
      <c r="AB23" s="14"/>
      <c r="AC23" s="14"/>
      <c r="AD23" s="14"/>
      <c r="AE23" s="14"/>
      <c r="AF23" s="14"/>
      <c r="AG23" s="14"/>
      <c r="AH23" s="14"/>
      <c r="AI23" s="14"/>
      <c r="AJ23" s="14"/>
      <c r="AK23" s="14"/>
      <c r="AL23" s="14"/>
      <c r="AM23" s="14"/>
      <c r="AN23" s="14"/>
    </row>
    <row r="24">
      <c r="A24" s="14"/>
      <c r="B24" s="14"/>
      <c r="C24" s="1">
        <v>11.0</v>
      </c>
      <c r="D24" s="19">
        <v>9.0</v>
      </c>
      <c r="E24" s="19">
        <v>21.0</v>
      </c>
      <c r="F24" s="293">
        <v>28.0</v>
      </c>
      <c r="G24" s="293">
        <v>40.0</v>
      </c>
      <c r="H24" s="293">
        <v>52.0</v>
      </c>
      <c r="I24" s="293">
        <v>64.0</v>
      </c>
      <c r="J24" s="293">
        <v>76.0</v>
      </c>
      <c r="K24" s="293">
        <v>88.0</v>
      </c>
      <c r="L24" s="293">
        <v>100.0</v>
      </c>
      <c r="M24" s="293">
        <v>112.0</v>
      </c>
      <c r="N24" s="293">
        <v>124.0</v>
      </c>
      <c r="O24" s="293">
        <v>136.0</v>
      </c>
      <c r="P24" s="293">
        <v>148.0</v>
      </c>
      <c r="Q24" s="293">
        <v>160.0</v>
      </c>
      <c r="R24" s="14"/>
      <c r="S24" s="14"/>
      <c r="T24" s="14"/>
      <c r="U24" s="14"/>
      <c r="V24" s="14"/>
      <c r="W24" s="14"/>
      <c r="X24" s="14"/>
      <c r="Y24" s="14"/>
      <c r="Z24" s="14"/>
      <c r="AA24" s="14"/>
      <c r="AB24" s="14"/>
      <c r="AC24" s="14"/>
      <c r="AD24" s="14"/>
      <c r="AE24" s="14"/>
      <c r="AF24" s="14"/>
      <c r="AG24" s="14"/>
      <c r="AH24" s="14"/>
      <c r="AI24" s="14"/>
      <c r="AJ24" s="14"/>
      <c r="AK24" s="14"/>
      <c r="AL24" s="14"/>
      <c r="AM24" s="14"/>
      <c r="AN24" s="14"/>
    </row>
    <row r="25">
      <c r="A25" s="14"/>
      <c r="B25" s="14"/>
      <c r="C25" s="1">
        <v>12.0</v>
      </c>
      <c r="D25" s="19">
        <v>10.0</v>
      </c>
      <c r="E25" s="19">
        <v>22.0</v>
      </c>
      <c r="F25" s="293">
        <v>27.0</v>
      </c>
      <c r="G25" s="293">
        <v>39.0</v>
      </c>
      <c r="H25" s="293">
        <v>51.0</v>
      </c>
      <c r="I25" s="293">
        <v>63.0</v>
      </c>
      <c r="J25" s="293">
        <v>75.0</v>
      </c>
      <c r="K25" s="293">
        <v>87.0</v>
      </c>
      <c r="L25" s="293">
        <v>99.0</v>
      </c>
      <c r="M25" s="293">
        <v>111.0</v>
      </c>
      <c r="N25" s="293">
        <v>123.0</v>
      </c>
      <c r="O25" s="293">
        <v>135.0</v>
      </c>
      <c r="P25" s="293">
        <v>147.0</v>
      </c>
      <c r="Q25" s="293">
        <v>159.0</v>
      </c>
      <c r="R25" s="14"/>
      <c r="S25" s="14"/>
      <c r="T25" s="14"/>
      <c r="U25" s="14"/>
      <c r="V25" s="14"/>
      <c r="W25" s="14"/>
      <c r="X25" s="14"/>
      <c r="Y25" s="14"/>
      <c r="Z25" s="14"/>
      <c r="AA25" s="14"/>
      <c r="AB25" s="14"/>
      <c r="AC25" s="14"/>
      <c r="AD25" s="14"/>
      <c r="AE25" s="14"/>
      <c r="AF25" s="14"/>
      <c r="AG25" s="14"/>
      <c r="AH25" s="14"/>
      <c r="AI25" s="14"/>
      <c r="AJ25" s="14"/>
      <c r="AK25" s="14"/>
      <c r="AL25" s="14"/>
      <c r="AM25" s="14"/>
      <c r="AN25" s="14"/>
    </row>
    <row r="26">
      <c r="A26" s="14"/>
      <c r="B26" s="14"/>
      <c r="C26" s="1">
        <v>13.0</v>
      </c>
      <c r="D26" s="19">
        <v>11.0</v>
      </c>
      <c r="E26" s="19">
        <v>23.0</v>
      </c>
      <c r="F26" s="293">
        <v>26.0</v>
      </c>
      <c r="G26" s="293">
        <v>38.0</v>
      </c>
      <c r="H26" s="293">
        <v>50.0</v>
      </c>
      <c r="I26" s="293">
        <v>62.0</v>
      </c>
      <c r="J26" s="293">
        <v>74.0</v>
      </c>
      <c r="K26" s="293">
        <v>86.0</v>
      </c>
      <c r="L26" s="293">
        <v>98.0</v>
      </c>
      <c r="M26" s="293">
        <v>110.0</v>
      </c>
      <c r="N26" s="293">
        <v>122.0</v>
      </c>
      <c r="O26" s="293">
        <v>134.0</v>
      </c>
      <c r="P26" s="293">
        <v>146.0</v>
      </c>
      <c r="Q26" s="293">
        <v>158.0</v>
      </c>
      <c r="R26" s="14"/>
      <c r="S26" s="14"/>
      <c r="T26" s="14"/>
      <c r="U26" s="14"/>
      <c r="V26" s="14"/>
      <c r="W26" s="14"/>
      <c r="X26" s="14"/>
      <c r="Y26" s="14"/>
      <c r="Z26" s="14"/>
      <c r="AA26" s="14"/>
      <c r="AB26" s="14"/>
      <c r="AC26" s="14"/>
      <c r="AD26" s="14"/>
      <c r="AE26" s="14"/>
      <c r="AF26" s="14"/>
      <c r="AG26" s="14"/>
      <c r="AH26" s="14"/>
      <c r="AI26" s="14"/>
      <c r="AJ26" s="14"/>
      <c r="AK26" s="14"/>
      <c r="AL26" s="14"/>
      <c r="AM26" s="14"/>
      <c r="AN26" s="14"/>
    </row>
    <row r="27">
      <c r="A27" s="14"/>
      <c r="B27" s="14"/>
      <c r="C27" s="1">
        <v>14.0</v>
      </c>
      <c r="D27" s="19">
        <v>12.0</v>
      </c>
      <c r="E27" s="19">
        <v>24.0</v>
      </c>
      <c r="F27" s="293">
        <v>25.0</v>
      </c>
      <c r="G27" s="293">
        <v>37.0</v>
      </c>
      <c r="H27" s="293">
        <v>49.0</v>
      </c>
      <c r="I27" s="293">
        <v>61.0</v>
      </c>
      <c r="J27" s="293">
        <v>73.0</v>
      </c>
      <c r="K27" s="293">
        <v>85.0</v>
      </c>
      <c r="L27" s="293">
        <v>97.0</v>
      </c>
      <c r="M27" s="293">
        <v>109.0</v>
      </c>
      <c r="N27" s="293">
        <v>121.0</v>
      </c>
      <c r="O27" s="293">
        <v>133.0</v>
      </c>
      <c r="P27" s="293">
        <v>145.0</v>
      </c>
      <c r="Q27" s="293">
        <v>157.0</v>
      </c>
      <c r="R27" s="14"/>
      <c r="S27" s="14"/>
      <c r="T27" s="14"/>
      <c r="U27" s="14"/>
      <c r="V27" s="14"/>
      <c r="W27" s="14"/>
      <c r="X27" s="14"/>
      <c r="Y27" s="14"/>
      <c r="Z27" s="14"/>
      <c r="AA27" s="14"/>
      <c r="AB27" s="14"/>
      <c r="AC27" s="14"/>
      <c r="AD27" s="14"/>
      <c r="AE27" s="14"/>
      <c r="AF27" s="14"/>
      <c r="AG27" s="14"/>
      <c r="AH27" s="14"/>
      <c r="AI27" s="14"/>
      <c r="AJ27" s="14"/>
      <c r="AK27" s="14"/>
      <c r="AL27" s="14"/>
      <c r="AM27" s="14"/>
      <c r="AN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row>
  </sheetData>
  <conditionalFormatting sqref="H6">
    <cfRule type="expression" dxfId="0" priority="1">
      <formula>(A7=TRUE)</formula>
    </cfRule>
  </conditionalFormatting>
  <conditionalFormatting sqref="F6">
    <cfRule type="expression" dxfId="0" priority="2">
      <formula>(A7=TRUE)</formula>
    </cfRule>
  </conditionalFormatting>
  <conditionalFormatting sqref="G11">
    <cfRule type="expression" dxfId="0" priority="3">
      <formula>(A7=TRUE)</formula>
    </cfRule>
  </conditionalFormatting>
  <conditionalFormatting sqref="K11">
    <cfRule type="expression" dxfId="0" priority="4">
      <formula>(A7=TRUE)</formula>
    </cfRule>
  </conditionalFormatting>
  <conditionalFormatting sqref="L6">
    <cfRule type="expression" dxfId="0" priority="5">
      <formula>(A7=TRUE)</formula>
    </cfRule>
  </conditionalFormatting>
  <conditionalFormatting sqref="M11">
    <cfRule type="expression" dxfId="0" priority="6">
      <formula>(A7=TRUE)</formula>
    </cfRule>
  </conditionalFormatting>
  <conditionalFormatting sqref="I11">
    <cfRule type="expression" dxfId="0" priority="7">
      <formula>(A7=TRUE)</formula>
    </cfRule>
  </conditionalFormatting>
  <conditionalFormatting sqref="O11">
    <cfRule type="expression" dxfId="0" priority="8">
      <formula>(A7=TRUE)</formula>
    </cfRule>
  </conditionalFormatting>
  <conditionalFormatting sqref="N6">
    <cfRule type="expression" dxfId="0" priority="9">
      <formula>(A7=TRUE)</formula>
    </cfRule>
  </conditionalFormatting>
  <conditionalFormatting sqref="D3 D6 D9 D12">
    <cfRule type="expression" dxfId="0" priority="10">
      <formula>(A4=TRUE)</formula>
    </cfRule>
  </conditionalFormatting>
  <conditionalFormatting sqref="J6">
    <cfRule type="expression" dxfId="0" priority="11">
      <formula>(A7=TRUE)</formula>
    </cfRule>
  </conditionalFormatting>
  <conditionalFormatting sqref="E11">
    <cfRule type="expression" dxfId="0" priority="12">
      <formula>(A7=TRUE)</formula>
    </cfRule>
  </conditionalFormatting>
  <conditionalFormatting sqref="E14">
    <cfRule type="expression" dxfId="0" priority="13">
      <formula>(A4=TRUE)</formula>
    </cfRule>
  </conditionalFormatting>
  <conditionalFormatting sqref="D6">
    <cfRule type="expression" dxfId="0" priority="14">
      <formula>(A7=TRUE)</formula>
    </cfRule>
  </conditionalFormatting>
  <conditionalFormatting sqref="D16 D19 D22 D25">
    <cfRule type="expression" dxfId="0" priority="15">
      <formula>(A17=TRUE)</formula>
    </cfRule>
  </conditionalFormatting>
  <conditionalFormatting sqref="D19">
    <cfRule type="expression" dxfId="0" priority="16">
      <formula>(A20=TRUE)</formula>
    </cfRule>
  </conditionalFormatting>
  <conditionalFormatting sqref="E24">
    <cfRule type="expression" dxfId="0" priority="17">
      <formula>(A20=TRUE)</formula>
    </cfRule>
  </conditionalFormatting>
  <conditionalFormatting sqref="F19">
    <cfRule type="expression" dxfId="0" priority="18">
      <formula>(A20=TRUE)</formula>
    </cfRule>
  </conditionalFormatting>
  <conditionalFormatting sqref="P6 N19 P19">
    <cfRule type="expression" dxfId="0" priority="19">
      <formula>(C7=TRUE)</formula>
    </cfRule>
  </conditionalFormatting>
  <conditionalFormatting sqref="H19">
    <cfRule type="expression" dxfId="0" priority="20">
      <formula>(A20=TRUE)</formula>
    </cfRule>
  </conditionalFormatting>
  <conditionalFormatting sqref="J19">
    <cfRule type="expression" dxfId="0" priority="21">
      <formula>(A20=TRUE)</formula>
    </cfRule>
  </conditionalFormatting>
  <conditionalFormatting sqref="L19">
    <cfRule type="expression" dxfId="0" priority="22">
      <formula>(A20=TRUE)</formula>
    </cfRule>
  </conditionalFormatting>
  <conditionalFormatting sqref="G24">
    <cfRule type="expression" dxfId="0" priority="23">
      <formula>(A20=TRUE)</formula>
    </cfRule>
  </conditionalFormatting>
  <conditionalFormatting sqref="I24">
    <cfRule type="expression" dxfId="0" priority="24">
      <formula>(A20=TRUE)</formula>
    </cfRule>
  </conditionalFormatting>
  <conditionalFormatting sqref="K24">
    <cfRule type="expression" dxfId="0" priority="25">
      <formula>(A20=TRUE)</formula>
    </cfRule>
  </conditionalFormatting>
  <conditionalFormatting sqref="M24">
    <cfRule type="expression" dxfId="0" priority="26">
      <formula>(A20=TRUE)</formula>
    </cfRule>
  </conditionalFormatting>
  <conditionalFormatting sqref="Q11 O24 Q24">
    <cfRule type="expression" dxfId="0" priority="27">
      <formula>(C7=TRUE)</formula>
    </cfRule>
  </conditionalFormatting>
  <conditionalFormatting sqref="E27">
    <cfRule type="expression" dxfId="0" priority="28">
      <formula>(A17=TRUE)</formula>
    </cfRule>
  </conditionalFormatting>
  <conditionalFormatting sqref="F3 H3 P3 Q4 F5 H5 P5 Q6 F7 H7 P7 Q8 F9 H9 P9 Q10 F11 H11 P11 Q12 F13 H13 P13 G14 I14 Q14 J16 L16 N16 P16 Q17 P18 Q19 P20 Q21 P22 Q23 P24 Q25 P26 K27 M27 O27 Q27">
    <cfRule type="expression" dxfId="0" priority="29">
      <formula>($C$3=TRUE)</formula>
    </cfRule>
  </conditionalFormatting>
  <conditionalFormatting sqref="J3 L3 N3 J5 L5 N5 J7 L7 N7 J9 L9 N9 J11 L11 N11 J13 L13 N13 K14 M14 O14">
    <cfRule type="expression" dxfId="0" priority="30">
      <formula>($C$3=TRUE)</formula>
    </cfRule>
  </conditionalFormatting>
  <conditionalFormatting sqref="D2 F2 H2 J2 L2 N2 P2 Q3 D4:D5 F4:F15 H4:H15 J4:J15 L4:L15 N4 P4 B5 Q5 N6 P6 D7 Q7 B8 N8 P8 D9:D11 Q9 N10 P10 B11 Q11 N12 P12 D13 E13:E14 G13:G14 I13:I14 K13:K14 M13:M14 O13 Q13 B14:C14 N14:N15 P14:P15 D15 Q16 D17 F17 H17 J17 L17 N17 P17 Q18 P19 D20 Q20 P21 Q22 D23 P23 Q24 P25 D26:E26 G26 I26 K26 M26 O26 Q26 P27">
    <cfRule type="expression" dxfId="0" priority="31">
      <formula>($C$4=TRUE)</formula>
    </cfRule>
  </conditionalFormatting>
  <conditionalFormatting sqref="D5 F5 H5 J5 L5 N5 P5 D8 D11 E12 G12 I12 K12 M12 O12 Q12 D14 D18 F18 H18 J18 L18 N18 P18 D21 D24 E25 G25 I25 K25 M25 O25 Q25 D27">
    <cfRule type="expression" dxfId="1" priority="32">
      <formula>($E$4=TRUE)</formula>
    </cfRule>
  </conditionalFormatting>
  <conditionalFormatting sqref="D7 F7 H7 J7 L7 N7 P7 E10 G10 I10 K10 M10 O10 Q10 D20 F20 H20 J20 L20 N20 P20 E23 G23 I23 K23 M23 O23 Q23">
    <cfRule type="expression" dxfId="0" priority="33">
      <formula>($E$6=TRUE)</formula>
    </cfRule>
  </conditionalFormatting>
  <conditionalFormatting sqref="D8 F8 H8 J8 L8 N8 P8 E9 G9 I9 K9 M9 O9 Q9 D21 F21 H21 J21 L21 N21 P21 E22 G22 I22 K22 M22 O22 Q22">
    <cfRule type="expression" dxfId="0" priority="34">
      <formula>($E$7=TRUE)</formula>
    </cfRule>
  </conditionalFormatting>
  <conditionalFormatting sqref="E8 G8 I8 K8 M8 O8 Q8 D9 F9 H9 J9 L9 N9 P9 E21 G21 I21 K21 M21 O21 Q21 D22 F22 H22 J22 L22 N22 P22">
    <cfRule type="expression" dxfId="1" priority="35">
      <formula>($E$8=TRUE)</formula>
    </cfRule>
  </conditionalFormatting>
  <conditionalFormatting sqref="E7 G7 I7 K7 M7 O7 Q7 D10 F10 H10 J10 L10 N10 P10 E20 G20 I20 K20 M20 O20 Q20 D23 F23 H23 J23 L23 N23 P23">
    <cfRule type="expression" dxfId="0" priority="36">
      <formula>($E$9=TRUE)</formula>
    </cfRule>
  </conditionalFormatting>
  <conditionalFormatting sqref="E6 G6 I6 K6 M6 O6 Q6 D11 F11 H11 J11 L11 N11 P11 E19 G19 I19 K19 M19 O19 Q19 D24 F24 H24 J24 L24 N24 P24">
    <cfRule type="expression" dxfId="0" priority="37">
      <formula>($E$10=TRUE)</formula>
    </cfRule>
  </conditionalFormatting>
  <conditionalFormatting sqref="E5 G5 I5 K5 M5 O5 Q5 D12 F12 H12 J12 L12 N12 P12 F16 E18 G18 I18 K18 M18 O18 Q18 F19 F22 D25 F25 H25 J25 L25 N25 P25">
    <cfRule type="expression" dxfId="0" priority="38">
      <formula>($E$11=TRUE)</formula>
    </cfRule>
  </conditionalFormatting>
  <conditionalFormatting sqref="P3 E4 G4 I4 K4 M4 O4 Q4 C5 P5 E6 G6 I6 K6 M6 O6 Q6 C7 P7 E8 G8 I8 K8 M8 O8 Q8 C9 P9 E10 G10 I10 K10 M10 O10 Q10 C11 P11 E12 G12 I12 K12 M12 O12 Q12 C13:D13 F13 H13 J13 L13 N13 P13 E14 G14 I14 K14 M14 O14 Q14 H16:H27 J16:J27 L16:L27 N16 P16 E17:E28 F17 G17:G28 I17:I28 K17:K28 M17:M28 O17 Q17 C18:D18 N18 P18 F19:F21 O19 Q19 C20 N20 P20 D21 O21 Q21 C22 N22 P22 F23 O23 Q23 C24:D24 N24 P24 F25:F27 O25 Q25 C26 D26:D27 N26 P26 B27 O27 Q27 C28">
    <cfRule type="expression" dxfId="0" priority="39">
      <formula>($E$12=TRUE)</formula>
    </cfRule>
  </conditionalFormatting>
  <conditionalFormatting sqref="E3 G3 I3 K3 M3 O3 Q3 C4 P4 E5 G5 I5 K5 M5 O5 Q5 C6 P6 E7 G7 I7 K7 M7 O7 Q7 C8 P8 E9 G9 I9 K9 M9 O9 Q9 C10 P10 E11 G11 I11 K11 M11 O11 Q11 C12 P12 E13 G13 I13 K13 M13 O13 Q13 C14:D14 F14 H14 J14 L14 N14 P14 E16:E27 G16:G27 I16:I27 K16:K27 M16:M27 O16 Q16 C17 H17:H28 J17:J28 L17:L28 N17 P17 F18 O18 Q18 C19:D19 N19 P19 F20:F22 O20 Q20 C21 N21 P21 D22 O22 Q22 C23 N23 P23 F24 O24 Q24 C25:D25 N25 P25 F26:F28 O26 Q26 C27 D27:D28 N27 P27 B28">
    <cfRule type="expression" dxfId="0" priority="40">
      <formula>($E$13=TRUE)</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5"/>
      <c r="C4" s="285" t="s">
        <v>149</v>
      </c>
      <c r="D4" s="285" t="s">
        <v>10</v>
      </c>
      <c r="E4" s="294" t="s">
        <v>109</v>
      </c>
      <c r="F4" s="285" t="s">
        <v>110</v>
      </c>
      <c r="G4" s="285" t="s">
        <v>12</v>
      </c>
      <c r="H4" s="285" t="s">
        <v>13</v>
      </c>
      <c r="I4" s="285" t="s">
        <v>14</v>
      </c>
      <c r="J4" s="285" t="s">
        <v>8</v>
      </c>
      <c r="K4" s="285" t="s">
        <v>9</v>
      </c>
      <c r="L4" s="285" t="s">
        <v>15</v>
      </c>
      <c r="M4" s="285" t="s">
        <v>221</v>
      </c>
      <c r="N4" s="285"/>
      <c r="O4" s="285"/>
      <c r="P4" s="285"/>
      <c r="Q4" s="285"/>
      <c r="R4" s="285"/>
      <c r="S4" s="285"/>
      <c r="T4" s="285"/>
      <c r="U4" s="285"/>
      <c r="V4" s="285"/>
      <c r="W4" s="285"/>
      <c r="X4" s="285"/>
      <c r="Y4" s="285" t="s">
        <v>1842</v>
      </c>
      <c r="Z4" s="285" t="s">
        <v>1843</v>
      </c>
    </row>
    <row r="5">
      <c r="B5" s="295" t="str">
        <f>Draft!C3</f>
        <v>#REF!</v>
      </c>
      <c r="C5" s="286">
        <v>1.0</v>
      </c>
      <c r="D5" s="282">
        <f>((IF(ISBLANK(Draft!D3),0,VLOOKUP(Draft!D3, 'Final Update'!A4:L1000,2,FALSE)+(IF(ISBLANK(Draft!E14),0,VLOOKUP(Draft!E14, 'Final Update'!A4:L1000,2,FALSE)+(IF(ISBLANK(Draft!F3),0,VLOOKUP(Draft!F3, 'Final Update'!A4:L1000,2,FALSE)+(IF(ISBLANK(Draft!G14),0,VLOOKUP(Draft!G14, 'Final Update'!A4:L1000,2,FALSE)+(IF(ISBLANK(Draft!H3),0,VLOOKUP(Draft!H3, 'Final Update'!A4:L1000,2,FALSE)+(IF(ISBLANK(Draft!I14),0,VLOOKUP(Draft!I14, 'Final Update'!A4:L1000,2,FALSE)+(IF(ISBLANK(Draft!J3),0,VLOOKUP(Draft!J3, 'Final Update'!A4:L1000,2,FALSE)+(IF(ISBLANK(Draft!K14),0,VLOOKUP(Draft!K14, 'Final Update'!A4:L1000,2,FALSE)+(IF(ISBLANK(Draft!L3),0,VLOOKUP(Draft!L3, 'Final Update'!A4:L1000,2,FALSE)+(IF(ISBLANK(Draft!M14),0,VLOOKUP(Draft!M14, 'Final Update'!A4:L1000,2,FALSE)+IF(ISBLANK(Draft!N3),0,VLOOKUP(Draft!N3, 'Final Update'!A4:L1000,2,FALSE)+IF(ISBLANK(Draft!O14),0,VLOOKUP(Draft!O14, 'Final Update'!A4:L1000,2,FALSE))))))))))))))))))))))))</f>
        <v>0</v>
      </c>
      <c r="E5" s="282">
        <f>((IF(ISBLANK(Draft!D3),0,VLOOKUP(Draft!D3, 'Final Update'!A4:L1000,3,FALSE)+(IF(ISBLANK(Draft!E14),0,VLOOKUP(Draft!E14, 'Final Update'!A4:L1000,3,FALSE)+(IF(ISBLANK(Draft!F3),0,VLOOKUP(Draft!F3, 'Final Update'!A4:L1000,3,FALSE)+(IF(ISBLANK(Draft!G14),0,VLOOKUP(Draft!G14, 'Final Update'!A4:L1000,3,FALSE)+(IF(ISBLANK(Draft!H3),0,VLOOKUP(Draft!H3, 'Final Update'!A4:L1000,3,FALSE)+(IF(ISBLANK(Draft!I14),0,VLOOKUP(Draft!I14, 'Final Update'!A4:L1000,3,FALSE)+(IF(ISBLANK(Draft!J3),0,VLOOKUP(Draft!J3, 'Final Update'!A4:L1000,3,FALSE)+(IF(ISBLANK(Draft!K14),0,VLOOKUP(Draft!K14, 'Final Update'!A4:L1000,3,FALSE)+(IF(ISBLANK(Draft!L3),0,VLOOKUP(Draft!L3, 'Final Update'!A4:L1000,3,FALSE)+(IF(ISBLANK(Draft!M14),0,VLOOKUP(Draft!M14, 'Final Update'!A4:L1000,3,FALSE)+IF(ISBLANK(Draft!N3),0,VLOOKUP(Draft!N3, 'Final Update'!A4:L1000,3,FALSE)+IF(ISBLANK(Draft!O14),0,VLOOKUP(Draft!O14, 'Final Update'!A4:L1000,3,FALSE))))))))))))))))))))))))</f>
        <v>0</v>
      </c>
      <c r="F5" s="282">
        <f>((IF(ISBLANK(Draft!D3),0,VLOOKUP(Draft!D3, 'Final Update'!A4:L1000,4,FALSE)+(IF(ISBLANK(Draft!E14),0,VLOOKUP(Draft!E14, 'Final Update'!A4:L1000,4,FALSE)+(IF(ISBLANK(Draft!F3),0,VLOOKUP(Draft!F3, 'Final Update'!A4:L1000,4,FALSE)+(IF(ISBLANK(Draft!G14),0,VLOOKUP(Draft!G14, 'Final Update'!A4:L1000,4,FALSE)+(IF(ISBLANK(Draft!H3),0,VLOOKUP(Draft!H3, 'Final Update'!A4:L1000,4,FALSE)+(IF(ISBLANK(Draft!I14),0,VLOOKUP(Draft!I14, 'Final Update'!A4:L1000,4,FALSE)+(IF(ISBLANK(Draft!J3),0,VLOOKUP(Draft!J3, 'Final Update'!A4:L1000,4,FALSE)+(IF(ISBLANK(Draft!K14),0,VLOOKUP(Draft!K14, 'Final Update'!A4:L1000,4,FALSE)+(IF(ISBLANK(Draft!L3),0,VLOOKUP(Draft!L3, 'Final Update'!A4:L1000,4,FALSE)+(IF(ISBLANK(Draft!M14),0,VLOOKUP(Draft!M14, 'Final Update'!A4:L1000,4,FALSE)+IF(ISBLANK(Draft!N3),0,VLOOKUP(Draft!N3, 'Final Update'!A4:L1000,4,FALSE)+IF(ISBLANK(Draft!O14),0,VLOOKUP(Draft!O14, 'Final Update'!A4:L1000,4,FALSE))))))))))))))))))))))))</f>
        <v>0</v>
      </c>
      <c r="G5" s="282">
        <f>((IF(ISBLANK(Draft!D3),0,VLOOKUP(Draft!D3, 'Final Update'!A4:L1000,5,FALSE)+(IF(ISBLANK(Draft!E14),0,VLOOKUP(Draft!E14, 'Final Update'!A4:L1000,5,FALSE)+(IF(ISBLANK(Draft!F3),0,VLOOKUP(Draft!F3, 'Final Update'!A4:L1000,5,FALSE)+(IF(ISBLANK(Draft!G14),0,VLOOKUP(Draft!G14, 'Final Update'!A4:L1000,5,FALSE)+(IF(ISBLANK(Draft!H3),0,VLOOKUP(Draft!H3, 'Final Update'!A4:L1000,5,FALSE)+(IF(ISBLANK(Draft!I14),0,VLOOKUP(Draft!I14, 'Final Update'!A4:L1000,5,FALSE)+(IF(ISBLANK(Draft!J3),0,VLOOKUP(Draft!J3, 'Final Update'!A4:L1000,5,FALSE)+(IF(ISBLANK(Draft!K14),0,VLOOKUP(Draft!K14, 'Final Update'!A4:L1000,5,FALSE)+(IF(ISBLANK(Draft!L3),0,VLOOKUP(Draft!L3, 'Final Update'!A4:L1000,5,FALSE)+(IF(ISBLANK(Draft!M14),0,VLOOKUP(Draft!M14, 'Final Update'!A4:L1000,5,FALSE)+IF(ISBLANK(Draft!N3),0,VLOOKUP(Draft!N3, 'Final Update'!A4:L1000,5,FALSE)+IF(ISBLANK(Draft!O14),0,VLOOKUP(Draft!O14, 'Final Update'!A4:L1000,5,FALSE))))))))))))))))))))))))</f>
        <v>0</v>
      </c>
      <c r="H5" s="282">
        <f>((IF(ISBLANK(Draft!D3),0,VLOOKUP(Draft!D3, 'Final Update'!A4:L1000,6,FALSE)+(IF(ISBLANK(Draft!E14),0,VLOOKUP(Draft!E14, 'Final Update'!A4:L1000,6,FALSE)+(IF(ISBLANK(Draft!F3),0,VLOOKUP(Draft!F3, 'Final Update'!A4:L1000,6,FALSE)+(IF(ISBLANK(Draft!G14),0,VLOOKUP(Draft!G14, 'Final Update'!A4:L1000,6,FALSE)+(IF(ISBLANK(Draft!H3),0,VLOOKUP(Draft!H3, 'Final Update'!A4:L1000,6,FALSE)+(IF(ISBLANK(Draft!I14),0,VLOOKUP(Draft!I14, 'Final Update'!A4:L1000,6,FALSE)+(IF(ISBLANK(Draft!J3),0,VLOOKUP(Draft!J3, 'Final Update'!A4:L1000,6,FALSE)+(IF(ISBLANK(Draft!K14),0,VLOOKUP(Draft!K14, 'Final Update'!A4:L1000,6,FALSE)+(IF(ISBLANK(Draft!L3),0,VLOOKUP(Draft!L3, 'Final Update'!A4:L1000,6,FALSE)+(IF(ISBLANK(Draft!M14),0,VLOOKUP(Draft!M14, 'Final Update'!A4:L1000,6,FALSE)+IF(ISBLANK(Draft!N3),0,VLOOKUP(Draft!N3, 'Final Update'!A4:L1000,6,FALSE)+IF(ISBLANK(Draft!O14),0,VLOOKUP(Draft!O14, 'Final Update'!A4:L1000,6,FALSE))))))))))))))))))))))))</f>
        <v>0</v>
      </c>
      <c r="I5" s="282">
        <f>((IF(ISBLANK(Draft!D3),0,VLOOKUP(Draft!D3, 'Final Update'!A4:L1000,7,FALSE)+(IF(ISBLANK(Draft!E14),0,VLOOKUP(Draft!E14, 'Final Update'!A4:L1000,7,FALSE)+(IF(ISBLANK(Draft!F3),0,VLOOKUP(Draft!F3, 'Final Update'!A4:L1000,7,FALSE)+(IF(ISBLANK(Draft!G14),0,VLOOKUP(Draft!G14, 'Final Update'!A4:L1000,7,FALSE)+(IF(ISBLANK(Draft!H3),0,VLOOKUP(Draft!H3, 'Final Update'!A4:L1000,7,FALSE)+(IF(ISBLANK(Draft!I14),0,VLOOKUP(Draft!I14, 'Final Update'!A4:L1000,7,FALSE)+(IF(ISBLANK(Draft!J3),0,VLOOKUP(Draft!J3, 'Final Update'!A4:L1000,7,FALSE)+(IF(ISBLANK(Draft!K14),0,VLOOKUP(Draft!K14, 'Final Update'!A4:L1000,7,FALSE)+(IF(ISBLANK(Draft!L3),0,VLOOKUP(Draft!L3, 'Final Update'!A4:L1000,7,FALSE)+(IF(ISBLANK(Draft!M14),0,VLOOKUP(Draft!M14, 'Final Update'!A4:L1000,7,FALSE)+IF(ISBLANK(Draft!N3),0,VLOOKUP(Draft!N3, 'Final Update'!A4:L1000,7,FALSE)+IF(ISBLANK(Draft!O14),0,VLOOKUP(Draft!O14, 'Final Update'!A4:L1000,7,FALSE))))))))))))))))))))))))</f>
        <v>0</v>
      </c>
      <c r="J5" s="286">
        <f>((IF(ISBLANK(Draft!D3),0,VLOOKUP(Draft!D3, 'Final Update'!A4:L1000,8,FALSE)+(IF(ISBLANK(Draft!E14),0,VLOOKUP(Draft!E14, 'Final Update'!A4:L1000,8,FALSE)+(IF(ISBLANK(Draft!F3),0,VLOOKUP(Draft!F3, 'Final Update'!A4:L1000,8,FALSE)+(IF(ISBLANK(Draft!G14),0,VLOOKUP(Draft!G14, 'Final Update'!A4:L1000,8,FALSE)+(IF(ISBLANK(Draft!H3),0,VLOOKUP(Draft!H3, 'Final Update'!A4:L1000,8,FALSE)+(IF(ISBLANK(Draft!I14),0,VLOOKUP(Draft!I14, 'Final Update'!A4:L1000,8,FALSE)+(IF(ISBLANK(Draft!J3),0,VLOOKUP(Draft!J3, 'Final Update'!A4:L1000,8,FALSE)+(IF(ISBLANK(Draft!K14),0,VLOOKUP(Draft!K14, 'Final Update'!A4:L1000,8,FALSE)+(IF(ISBLANK(Draft!L3),0,VLOOKUP(Draft!L3, 'Final Update'!A4:L1000,8,FALSE)+(IF(ISBLANK(Draft!M14),0,VLOOKUP(Draft!M14, 'Final Update'!A4:L1000,8,FALSE)+IF(ISBLANK(Draft!N3),0,VLOOKUP(Draft!N3, 'Final Update'!A4:L1000,8,FALSE)+IF(ISBLANK(Draft!O14),0,VLOOKUP(Draft!O14, 'Final Update'!A4:L1000,8,FALSE))))))))))))))))))))))))</f>
        <v>0</v>
      </c>
      <c r="K5" s="282">
        <f>((IF(ISBLANK(Draft!D3),0,VLOOKUP(Draft!D3, 'Final Update'!A4:L1000,10,FALSE)+(IF(ISBLANK(Draft!E14),0,VLOOKUP(Draft!E14, 'Final Update'!A4:L1000,10,FALSE)+(IF(ISBLANK(Draft!F3),0,VLOOKUP(Draft!F3, 'Final Update'!A4:L1000,10,FALSE)+(IF(ISBLANK(Draft!G14),0,VLOOKUP(Draft!G14, 'Final Update'!A4:L1000,10,FALSE)+(IF(ISBLANK(Draft!H3),0,VLOOKUP(Draft!H3, 'Final Update'!A4:L1000,10,FALSE)+(IF(ISBLANK(Draft!I14),0,VLOOKUP(Draft!I14, 'Final Update'!A4:L1000,10,FALSE)+(IF(ISBLANK(Draft!J3),0,VLOOKUP(Draft!J3, 'Final Update'!A4:L1000,10,FALSE)+(IF(ISBLANK(Draft!K14),0,VLOOKUP(Draft!K14, 'Final Update'!A4:L1000,10,FALSE)+(IF(ISBLANK(Draft!L3),0,VLOOKUP(Draft!L3, 'Final Update'!A4:L1000,10,FALSE)+(IF(ISBLANK(Draft!M14),0,VLOOKUP(Draft!M14, 'Final Update'!A4:L1000,10,FALSE)+IF(ISBLANK(Draft!N3),0,VLOOKUP(Draft!N3, 'Final Update'!A4:L1000,10,FALSE)+IF(ISBLANK(Draft!O14),0,VLOOKUP(Draft!O14, 'Final Update'!A4:L1000,10,FALSE))))))))))))))))))))))))</f>
        <v>0</v>
      </c>
      <c r="L5" s="282">
        <f>((IF(ISBLANK(Draft!D3),0,VLOOKUP(Draft!D3, 'Final Update'!A4:L1000,12,FALSE)+(IF(ISBLANK(Draft!E14),0,VLOOKUP(Draft!E14, 'Final Update'!A4:L1000,12,FALSE)+(IF(ISBLANK(Draft!F3),0,VLOOKUP(Draft!F3, 'Final Update'!A4:L1000,12,FALSE)+(IF(ISBLANK(Draft!G14),0,VLOOKUP(Draft!G14, 'Final Update'!A4:L1000,12,FALSE)+(IF(ISBLANK(Draft!H3),0,VLOOKUP(Draft!H3, 'Final Update'!A4:L1000,12,FALSE)+(IF(ISBLANK(Draft!I14),0,VLOOKUP(Draft!I14, 'Final Update'!A4:L1000,12,FALSE)+(IF(ISBLANK(Draft!J3),0,VLOOKUP(Draft!J3, 'Final Update'!A4:L1000,12,FALSE)+(IF(ISBLANK(Draft!K14),0,VLOOKUP(Draft!K14, 'Final Update'!A4:L1000,12,FALSE)+(IF(ISBLANK(Draft!L3),0,VLOOKUP(Draft!L3, 'Final Update'!A4:L1000,12,FALSE)+(IF(ISBLANK(Draft!M14),0,VLOOKUP(Draft!M14, 'Final Update'!A4:L1000,12,FALSE)+IF(ISBLANK(Draft!N3),0,VLOOKUP(Draft!N3, 'Final Update'!A4:L1000,12,FALSE)+IF(ISBLANK(Draft!O14),0,VLOOKUP(Draft!O14, 'Final Update'!A4:L1000,12,FALSE))))))))))))))))))))))))</f>
        <v>0</v>
      </c>
      <c r="M5" s="296">
        <f t="array" ref="M5">if(M$3=$C5,"-", countif(indirect(address(row($C$4)+ VLOOKUP(M$3,$C$5:$C$16,1),COLUMN($D$4))):indirect(address(row($C$4)+ VLOOKUP(M$3,$C$5:$C$16,1),COLUMN($L$4)))&gt;indirect(address(row($C5),COLUMN($D$4))):indirect(address(row($C5),COLUMN($L$4))),TRUE()))</f>
        <v>0</v>
      </c>
      <c r="N5" s="296">
        <f t="array" ref="N5">if(N$3=$C5,"-", countif(indirect(address(row($C$4)+ VLOOKUP(N$3,$C$5:$C$16,1),COLUMN($D$4))):indirect(address(row($C$4)+ VLOOKUP(N$3,$C$5:$C$16,1),COLUMN($L$4)))&gt;indirect(address(row($C5),COLUMN($D$4))):indirect(address(row($C5),COLUMN($L$4))),TRUE()))</f>
        <v>0</v>
      </c>
      <c r="O5" s="296">
        <f t="array" ref="O5">if(O$3=$C5,"-", countif(indirect(address(row($C$4)+ VLOOKUP(O$3,$C$5:$C$16,1),COLUMN($D$4))):indirect(address(row($C$4)+ VLOOKUP(O$3,$C$5:$C$16,1),COLUMN($L$4)))&gt;indirect(address(row($C5),COLUMN($D$4))):indirect(address(row($C5),COLUMN($L$4))),TRUE()))</f>
        <v>0</v>
      </c>
      <c r="P5" s="296">
        <f t="array" ref="P5">if(P$3=$C5,"-", countif(indirect(address(row($C$4)+ VLOOKUP(P$3,$C$5:$C$16,1),COLUMN($D$4))):indirect(address(row($C$4)+ VLOOKUP(P$3,$C$5:$C$16,1),COLUMN($L$4)))&gt;indirect(address(row($C5),COLUMN($D$4))):indirect(address(row($C5),COLUMN($L$4))),TRUE()))</f>
        <v>0</v>
      </c>
      <c r="Q5" s="296">
        <f t="array" ref="Q5">if(Q$3=$C5,"-", countif(indirect(address(row($C$4)+ VLOOKUP(Q$3,$C$5:$C$16,1),COLUMN($D$4))):indirect(address(row($C$4)+ VLOOKUP(Q$3,$C$5:$C$16,1),COLUMN($L$4)))&gt;indirect(address(row($C5),COLUMN($D$4))):indirect(address(row($C5),COLUMN($L$4))),TRUE()))</f>
        <v>0</v>
      </c>
      <c r="R5" s="296">
        <f t="array" ref="R5">if(R$3=$C5,"-", countif(indirect(address(row($C$4)+ VLOOKUP(R$3,$C$5:$C$16,1),COLUMN($D$4))):indirect(address(row($C$4)+ VLOOKUP(R$3,$C$5:$C$16,1),COLUMN($L$4)))&gt;indirect(address(row($C5),COLUMN($D$4))):indirect(address(row($C5),COLUMN($L$4))),TRUE()))</f>
        <v>0</v>
      </c>
      <c r="S5" s="296">
        <f t="array" ref="S5">if(S$3=$C5,"-", countif(indirect(address(row($C$4)+ VLOOKUP(S$3,$C$5:$C$16,1),COLUMN($D$4))):indirect(address(row($C$4)+ VLOOKUP(S$3,$C$5:$C$16,1),COLUMN($L$4)))&gt;indirect(address(row($C5),COLUMN($D$4))):indirect(address(row($C5),COLUMN($L$4))),TRUE()))</f>
        <v>0</v>
      </c>
      <c r="T5" s="296">
        <f t="array" ref="T5">if(T$3=$C5,"-", countif(indirect(address(row($C$4)+ VLOOKUP(T$3,$C$5:$C$16,1),COLUMN($D$4))):indirect(address(row($C$4)+ VLOOKUP(T$3,$C$5:$C$16,1),COLUMN($L$4)))&gt;indirect(address(row($C5),COLUMN($D$4))):indirect(address(row($C5),COLUMN($L$4))),TRUE()))</f>
        <v>0</v>
      </c>
      <c r="U5" s="296">
        <f t="array" ref="U5">if(U$3=$C5,"-", countif(indirect(address(row($C$4)+ VLOOKUP(U$3,$C$5:$C$16,1),COLUMN($D$4))):indirect(address(row($C$4)+ VLOOKUP(U$3,$C$5:$C$16,1),COLUMN($L$4)))&gt;indirect(address(row($C5),COLUMN($D$4))):indirect(address(row($C5),COLUMN($L$4))),TRUE()))</f>
        <v>0</v>
      </c>
      <c r="V5" s="296">
        <f t="array" ref="V5">if(V$3=$C5,"-", countif(indirect(address(row($C$4)+ VLOOKUP(V$3,$C$5:$C$16,1),COLUMN($D$4))):indirect(address(row($C$4)+ VLOOKUP(V$3,$C$5:$C$16,1),COLUMN($L$4)))&gt;indirect(address(row($C5),COLUMN($D$4))):indirect(address(row($C5),COLUMN($L$4))),TRUE()))</f>
        <v>0</v>
      </c>
      <c r="W5" s="296">
        <f t="array" ref="W5">if(W$3=$C5,"-", countif(indirect(address(row($C$4)+ VLOOKUP(W$3,$C$5:$C$16,1),COLUMN($D$4))):indirect(address(row($C$4)+ VLOOKUP(W$3,$C$5:$C$16,1),COLUMN($L$4)))&gt;indirect(address(row($C5),COLUMN($D$4))):indirect(address(row($C5),COLUMN($L$4))),TRUE()))</f>
        <v>0</v>
      </c>
      <c r="X5" s="296">
        <f t="array" ref="X5">if(X$3=$C5,"-", countif(indirect(address(row($C$4)+ VLOOKUP(X$3,$C$5:$C$16,1),COLUMN($D$4))):indirect(address(row($C$4)+ VLOOKUP(X$3,$C$5:$C$16,1),COLUMN($L$4)))&gt;indirect(address(row($C5),COLUMN($D$4))):indirect(address(row($C5),COLUMN($L$4))),TRUE()))</f>
        <v>0</v>
      </c>
      <c r="Y5" s="296">
        <f t="array" ref="Y5">if(D$1=$C5,"-", countif(indirect(address(row($C$4)+ VLOOKUP(D$1,$C$5:$C$16,1),COLUMN($D$4))):indirect(address(row($C$4)+ VLOOKUP(D$1,$C$5:$C$16,1),COLUMN($L$4)))&gt;indirect(address(row($C5),COLUMN($D$4))):indirect(address(row($C5),COLUMN($L$4))),TRUE()))</f>
        <v>0</v>
      </c>
      <c r="Z5" s="297">
        <f>SUM(M$5:M$16)/99</f>
        <v>0</v>
      </c>
    </row>
    <row r="6">
      <c r="B6" s="295" t="str">
        <f>Draft!C4</f>
        <v>#REF!</v>
      </c>
      <c r="C6" s="286">
        <v>2.0</v>
      </c>
      <c r="D6" s="282">
        <f>((IF(ISBLANK(Draft!D4),0,VLOOKUP(Draft!D4, 'Final Update'!A4:L1000,2,FALSE)+(IF(ISBLANK(Draft!E13),0,VLOOKUP(Draft!E13, 'Final Update'!A4:L1000,2,FALSE)+(IF(ISBLANK(Draft!F4),0,VLOOKUP(Draft!F4, 'Final Update'!A4:L1000,2,FALSE)+(IF(ISBLANK(Draft!G13),0,VLOOKUP(Draft!G13, 'Final Update'!A4:L1000,2,FALSE)+(IF(ISBLANK(Draft!H4),0,VLOOKUP(Draft!H4, 'Final Update'!A4:L1000,2,FALSE)+(IF(ISBLANK(Draft!I13),0,VLOOKUP(Draft!I13, 'Final Update'!A4:L1000,2,FALSE)+(IF(ISBLANK(Draft!J4),0,VLOOKUP(Draft!J4, 'Final Update'!A4:L1000,2,FALSE)+(IF(ISBLANK(Draft!K13),0,VLOOKUP(Draft!K13, 'Final Update'!A4:L1000,2,FALSE)+(IF(ISBLANK(Draft!L4),0,VLOOKUP(Draft!L4, 'Final Update'!A4:L1000,2,FALSE)+(IF(ISBLANK(Draft!M13),0,VLOOKUP(Draft!M13, 'Final Update'!A4:L1000,2,FALSE)+IF(ISBLANK(Draft!N4),0,VLOOKUP(Draft!N4, 'Final Update'!A4:L1000,2,FALSE)+IF(ISBLANK(Draft!O13),0,VLOOKUP(Draft!O13, 'Final Update'!A4:L1000,2,FALSE))))))))))))))))))))))))</f>
        <v>0</v>
      </c>
      <c r="E6" s="282">
        <f>((IF(ISBLANK(Draft!D4),0,VLOOKUP(Draft!D4, 'Final Update'!A4:L1000,3,FALSE)+(IF(ISBLANK(Draft!E13),0,VLOOKUP(Draft!E13, 'Final Update'!A4:L1000,3,FALSE)+(IF(ISBLANK(Draft!F4),0,VLOOKUP(Draft!F4, 'Final Update'!A4:L1000,3,FALSE)+(IF(ISBLANK(Draft!G13),0,VLOOKUP(Draft!G13, 'Final Update'!A4:L1000,3,FALSE)+(IF(ISBLANK(Draft!H4),0,VLOOKUP(Draft!H4, 'Final Update'!A4:L1000,3,FALSE)+(IF(ISBLANK(Draft!I13),0,VLOOKUP(Draft!I13, 'Final Update'!A4:L1000,3,FALSE)+(IF(ISBLANK(Draft!J4),0,VLOOKUP(Draft!J4, 'Final Update'!A4:L1000,3,FALSE)+(IF(ISBLANK(Draft!K13),0,VLOOKUP(Draft!K13, 'Final Update'!A4:L1000,3,FALSE)+(IF(ISBLANK(Draft!L4),0,VLOOKUP(Draft!L4, 'Final Update'!A4:L1000,3,FALSE)+(IF(ISBLANK(Draft!M13),0,VLOOKUP(Draft!M13, 'Final Update'!A4:L1000,3,FALSE)+IF(ISBLANK(Draft!N4),0,VLOOKUP(Draft!N4, 'Final Update'!A4:L1000,3,FALSE)+IF(ISBLANK(Draft!O13),0,VLOOKUP(Draft!O13, 'Final Update'!A4:L1000,3,FALSE))))))))))))))))))))))))</f>
        <v>0</v>
      </c>
      <c r="F6" s="282">
        <f>((IF(ISBLANK(Draft!D4),0,VLOOKUP(Draft!D4, 'Final Update'!A4:L1000,4,FALSE)+(IF(ISBLANK(Draft!E13),0,VLOOKUP(Draft!E13, 'Final Update'!A4:L1000,4,FALSE)+(IF(ISBLANK(Draft!F4),0,VLOOKUP(Draft!F4, 'Final Update'!A4:L1000,4,FALSE)+(IF(ISBLANK(Draft!G13),0,VLOOKUP(Draft!G13, 'Final Update'!A4:L1000,4,FALSE)+(IF(ISBLANK(Draft!H4),0,VLOOKUP(Draft!H4, 'Final Update'!A4:L1000,4,FALSE)+(IF(ISBLANK(Draft!I13),0,VLOOKUP(Draft!I13, 'Final Update'!A4:L1000,4,FALSE)+(IF(ISBLANK(Draft!J4),0,VLOOKUP(Draft!J4, 'Final Update'!A4:L1000,4,FALSE)+(IF(ISBLANK(Draft!K13),0,VLOOKUP(Draft!K13, 'Final Update'!A4:L1000,4,FALSE)+(IF(ISBLANK(Draft!L4),0,VLOOKUP(Draft!L4, 'Final Update'!A4:L1000,4,FALSE)+(IF(ISBLANK(Draft!M13),0,VLOOKUP(Draft!M13, 'Final Update'!A4:L1000,4,FALSE)+IF(ISBLANK(Draft!N4),0,VLOOKUP(Draft!N4, 'Final Update'!A4:L1000,4,FALSE)+IF(ISBLANK(Draft!O13),0,VLOOKUP(Draft!O13, 'Final Update'!A4:L1000,4,FALSE))))))))))))))))))))))))</f>
        <v>0</v>
      </c>
      <c r="G6" s="282">
        <f>((IF(ISBLANK(Draft!D4),0,VLOOKUP(Draft!D4, 'Final Update'!A4:L1000,5,FALSE)+(IF(ISBLANK(Draft!E13),0,VLOOKUP(Draft!E13, 'Final Update'!A4:L1000,5,FALSE)+(IF(ISBLANK(Draft!F4),0,VLOOKUP(Draft!F4, 'Final Update'!A4:L1000,5,FALSE)+(IF(ISBLANK(Draft!G13),0,VLOOKUP(Draft!G13, 'Final Update'!A4:L1000,5,FALSE)+(IF(ISBLANK(Draft!H4),0,VLOOKUP(Draft!H4, 'Final Update'!A4:L1000,5,FALSE)+(IF(ISBLANK(Draft!I13),0,VLOOKUP(Draft!I13, 'Final Update'!A4:L1000,5,FALSE)+(IF(ISBLANK(Draft!J4),0,VLOOKUP(Draft!J4, 'Final Update'!A4:L1000,5,FALSE)+(IF(ISBLANK(Draft!K13),0,VLOOKUP(Draft!K13, 'Final Update'!A4:L1000,5,FALSE)+(IF(ISBLANK(Draft!L4),0,VLOOKUP(Draft!L4, 'Final Update'!A4:L1000,5,FALSE)+(IF(ISBLANK(Draft!M13),0,VLOOKUP(Draft!M13, 'Final Update'!A4:L1000,5,FALSE)+IF(ISBLANK(Draft!N4),0,VLOOKUP(Draft!N4, 'Final Update'!A4:L1000,5,FALSE)+IF(ISBLANK(Draft!O13),0,VLOOKUP(Draft!O13, 'Final Update'!A4:L1000,5,FALSE))))))))))))))))))))))))</f>
        <v>0</v>
      </c>
      <c r="H6" s="282">
        <f>((IF(ISBLANK(Draft!D4),0,VLOOKUP(Draft!D4, 'Final Update'!A4:L1000,6,FALSE)+(IF(ISBLANK(Draft!E13),0,VLOOKUP(Draft!E13, 'Final Update'!A4:L1000,6,FALSE)+(IF(ISBLANK(Draft!F4),0,VLOOKUP(Draft!F4, 'Final Update'!A4:L1000,6,FALSE)+(IF(ISBLANK(Draft!G13),0,VLOOKUP(Draft!G13, 'Final Update'!A4:L1000,6,FALSE)+(IF(ISBLANK(Draft!H4),0,VLOOKUP(Draft!H4, 'Final Update'!A4:L1000,6,FALSE)+(IF(ISBLANK(Draft!I13),0,VLOOKUP(Draft!I13, 'Final Update'!A4:L1000,6,FALSE)+(IF(ISBLANK(Draft!J4),0,VLOOKUP(Draft!J4, 'Final Update'!A4:L1000,6,FALSE)+(IF(ISBLANK(Draft!K13),0,VLOOKUP(Draft!K13, 'Final Update'!A4:L1000,6,FALSE)+(IF(ISBLANK(Draft!L4),0,VLOOKUP(Draft!L4, 'Final Update'!A4:L1000,6,FALSE)+(IF(ISBLANK(Draft!M13),0,VLOOKUP(Draft!M13, 'Final Update'!A4:L1000,6,FALSE)+IF(ISBLANK(Draft!N4),0,VLOOKUP(Draft!N4, 'Final Update'!A4:L1000,6,FALSE)+IF(ISBLANK(Draft!O13),0,VLOOKUP(Draft!O13, 'Final Update'!A4:L1000,6,FALSE))))))))))))))))))))))))</f>
        <v>0</v>
      </c>
      <c r="I6" s="282">
        <f>((IF(ISBLANK(Draft!D4),0,VLOOKUP(Draft!D4, 'Final Update'!A4:L1000,7,FALSE)+(IF(ISBLANK(Draft!E13),0,VLOOKUP(Draft!E13, 'Final Update'!A4:L1000,7,FALSE)+(IF(ISBLANK(Draft!F4),0,VLOOKUP(Draft!F4, 'Final Update'!A4:L1000,7,FALSE)+(IF(ISBLANK(Draft!G13),0,VLOOKUP(Draft!G13, 'Final Update'!A4:L1000,7,FALSE)+(IF(ISBLANK(Draft!H4),0,VLOOKUP(Draft!H4, 'Final Update'!A4:L1000,7,FALSE)+(IF(ISBLANK(Draft!I13),0,VLOOKUP(Draft!I13, 'Final Update'!A4:L1000,7,FALSE)+(IF(ISBLANK(Draft!J4),0,VLOOKUP(Draft!J4, 'Final Update'!A4:L1000,7,FALSE)+(IF(ISBLANK(Draft!K13),0,VLOOKUP(Draft!K13, 'Final Update'!A4:L1000,7,FALSE)+(IF(ISBLANK(Draft!L4),0,VLOOKUP(Draft!L4, 'Final Update'!A4:L1000,7,FALSE)+(IF(ISBLANK(Draft!M13),0,VLOOKUP(Draft!M13, 'Final Update'!A4:L1000,7,FALSE)+IF(ISBLANK(Draft!N4),0,VLOOKUP(Draft!N4, 'Final Update'!A4:L1000,7,FALSE)+IF(ISBLANK(Draft!O13),0,VLOOKUP(Draft!O13, 'Final Update'!A4:L1000,7,FALSE))))))))))))))))))))))))</f>
        <v>0</v>
      </c>
      <c r="J6" s="282">
        <f>((IF(ISBLANK(Draft!D4),0,VLOOKUP(Draft!D4, 'Final Update'!A4:L1000,8,FALSE)+(IF(ISBLANK(Draft!E13),0,VLOOKUP(Draft!E13, 'Final Update'!A4:L1000,8,FALSE)+(IF(ISBLANK(Draft!F4),0,VLOOKUP(Draft!F4, 'Final Update'!A4:L1000,8,FALSE)+(IF(ISBLANK(Draft!G13),0,VLOOKUP(Draft!G13, 'Final Update'!A4:L1000,8,FALSE)+(IF(ISBLANK(Draft!H4),0,VLOOKUP(Draft!H4, 'Final Update'!A4:L1000,8,FALSE)+(IF(ISBLANK(Draft!I13),0,VLOOKUP(Draft!I13, 'Final Update'!A4:L1000,8,FALSE)+(IF(ISBLANK(Draft!J4),0,VLOOKUP(Draft!J4, 'Final Update'!A4:L1000,8,FALSE)+(IF(ISBLANK(Draft!K13),0,VLOOKUP(Draft!K13, 'Final Update'!A4:L1000,8,FALSE)+(IF(ISBLANK(Draft!L4),0,VLOOKUP(Draft!L4, 'Final Update'!A4:L1000,8,FALSE)+(IF(ISBLANK(Draft!M13),0,VLOOKUP(Draft!M13, 'Final Update'!A4:L1000,8,FALSE)+IF(ISBLANK(Draft!N4),0,VLOOKUP(Draft!N4, 'Final Update'!A4:L1000,8,FALSE)+IF(ISBLANK(Draft!O13),0,VLOOKUP(Draft!O13, 'Final Update'!A4:L1000,8,FALSE))))))))))))))))))))))))</f>
        <v>0</v>
      </c>
      <c r="K6" s="282">
        <f>((IF(ISBLANK(Draft!D4),0,VLOOKUP(Draft!D4, 'Final Update'!A4:L1000,10,FALSE)+(IF(ISBLANK(Draft!E13),0,VLOOKUP(Draft!E13, 'Final Update'!A4:L1000,10,FALSE)+(IF(ISBLANK(Draft!F4),0,VLOOKUP(Draft!F4, 'Final Update'!A4:L1000,10,FALSE)+(IF(ISBLANK(Draft!G13),0,VLOOKUP(Draft!G13, 'Final Update'!A4:L1000,10,FALSE)+(IF(ISBLANK(Draft!H4),0,VLOOKUP(Draft!H4, 'Final Update'!A4:L1000,10,FALSE)+(IF(ISBLANK(Draft!I13),0,VLOOKUP(Draft!I13, 'Final Update'!A4:L1000,10,FALSE)+(IF(ISBLANK(Draft!J4),0,VLOOKUP(Draft!J4, 'Final Update'!A4:L1000,10,FALSE)+(IF(ISBLANK(Draft!K13),0,VLOOKUP(Draft!K13, 'Final Update'!A4:L1000,10,FALSE)+(IF(ISBLANK(Draft!L4),0,VLOOKUP(Draft!L4, 'Final Update'!A4:L1000,10,FALSE)+(IF(ISBLANK(Draft!M13),0,VLOOKUP(Draft!M13, 'Final Update'!A4:L1000,10,FALSE)+IF(ISBLANK(Draft!N4),0,VLOOKUP(Draft!N4, 'Final Update'!A4:L1000,10,FALSE)+IF(ISBLANK(Draft!O13),0,VLOOKUP(Draft!O13, 'Final Update'!A4:L1000,10,FALSE))))))))))))))))))))))))</f>
        <v>0</v>
      </c>
      <c r="L6" s="282">
        <f>((IF(ISBLANK(Draft!D4),0,VLOOKUP(Draft!D4, 'Final Update'!A4:L1000,12,FALSE)+(IF(ISBLANK(Draft!E13),0,VLOOKUP(Draft!E13, 'Final Update'!A4:L1000,12,FALSE)+(IF(ISBLANK(Draft!F4),0,VLOOKUP(Draft!F4, 'Final Update'!A4:L1000,12,FALSE)+(IF(ISBLANK(Draft!G13),0,VLOOKUP(Draft!G13, 'Final Update'!A4:L1000,12,FALSE)+(IF(ISBLANK(Draft!H4),0,VLOOKUP(Draft!H4, 'Final Update'!A4:L1000,12,FALSE)+(IF(ISBLANK(Draft!I13),0,VLOOKUP(Draft!I13, 'Final Update'!A4:L1000,12,FALSE)+(IF(ISBLANK(Draft!J4),0,VLOOKUP(Draft!J4, 'Final Update'!A4:L1000,12,FALSE)+(IF(ISBLANK(Draft!K13),0,VLOOKUP(Draft!K13, 'Final Update'!A4:L1000,12,FALSE)+(IF(ISBLANK(Draft!L4),0,VLOOKUP(Draft!L4, 'Final Update'!A4:L1000,12,FALSE)+(IF(ISBLANK(Draft!M13),0,VLOOKUP(Draft!M13, 'Final Update'!A4:L1000,12,FALSE)+IF(ISBLANK(Draft!N4),0,VLOOKUP(Draft!N4, 'Final Update'!A4:L1000,12,FALSE)+IF(ISBLANK(Draft!O13),0,VLOOKUP(Draft!O13, 'Final Update'!A4:L1000,12,FALSE))))))))))))))))))))))))</f>
        <v>0</v>
      </c>
      <c r="M6" s="296">
        <f t="array" ref="M6">if(M$3=$C6,"-", countif(indirect(address(row($C$4)+ VLOOKUP(M$3,$C$5:$C$16,1),COLUMN($D$4))):indirect(address(row($C$4)+ VLOOKUP(M$3,$C$5:$C$16,1),COLUMN($L$4)))&gt;indirect(address(row($C6),COLUMN($D$4))):indirect(address(row($C6),COLUMN($L$4))),TRUE()))</f>
        <v>0</v>
      </c>
      <c r="N6" s="296">
        <f t="array" ref="N6">if(N$3=$C6,"-", countif(indirect(address(row($C$4)+ VLOOKUP(N$3,$C$5:$C$16,1),COLUMN($D$4))):indirect(address(row($C$4)+ VLOOKUP(N$3,$C$5:$C$16,1),COLUMN($L$4)))&gt;indirect(address(row($C6),COLUMN($D$4))):indirect(address(row($C6),COLUMN($L$4))),TRUE()))</f>
        <v>0</v>
      </c>
      <c r="O6" s="296">
        <f t="array" ref="O6">if(O$3=$C6,"-", countif(indirect(address(row($C$4)+ VLOOKUP(O$3,$C$5:$C$16,1),COLUMN($D$4))):indirect(address(row($C$4)+ VLOOKUP(O$3,$C$5:$C$16,1),COLUMN($L$4)))&gt;indirect(address(row($C6),COLUMN($D$4))):indirect(address(row($C6),COLUMN($L$4))),TRUE()))</f>
        <v>0</v>
      </c>
      <c r="P6" s="296">
        <f t="array" ref="P6">if(P$3=$C6,"-", countif(indirect(address(row($C$4)+ VLOOKUP(P$3,$C$5:$C$16,1),COLUMN($D$4))):indirect(address(row($C$4)+ VLOOKUP(P$3,$C$5:$C$16,1),COLUMN($L$4)))&gt;indirect(address(row($C6),COLUMN($D$4))):indirect(address(row($C6),COLUMN($L$4))),TRUE()))</f>
        <v>0</v>
      </c>
      <c r="Q6" s="296">
        <f t="array" ref="Q6">if(Q$3=$C6,"-", countif(indirect(address(row($C$4)+ VLOOKUP(Q$3,$C$5:$C$16,1),COLUMN($D$4))):indirect(address(row($C$4)+ VLOOKUP(Q$3,$C$5:$C$16,1),COLUMN($L$4)))&gt;indirect(address(row($C6),COLUMN($D$4))):indirect(address(row($C6),COLUMN($L$4))),TRUE()))</f>
        <v>0</v>
      </c>
      <c r="R6" s="296">
        <f t="array" ref="R6">if(R$3=$C6,"-", countif(indirect(address(row($C$4)+ VLOOKUP(R$3,$C$5:$C$16,1),COLUMN($D$4))):indirect(address(row($C$4)+ VLOOKUP(R$3,$C$5:$C$16,1),COLUMN($L$4)))&gt;indirect(address(row($C6),COLUMN($D$4))):indirect(address(row($C6),COLUMN($L$4))),TRUE()))</f>
        <v>0</v>
      </c>
      <c r="S6" s="296">
        <f t="array" ref="S6">if(S$3=$C6,"-", countif(indirect(address(row($C$4)+ VLOOKUP(S$3,$C$5:$C$16,1),COLUMN($D$4))):indirect(address(row($C$4)+ VLOOKUP(S$3,$C$5:$C$16,1),COLUMN($L$4)))&gt;indirect(address(row($C6),COLUMN($D$4))):indirect(address(row($C6),COLUMN($L$4))),TRUE()))</f>
        <v>0</v>
      </c>
      <c r="T6" s="296">
        <f t="array" ref="T6">if(T$3=$C6,"-", countif(indirect(address(row($C$4)+ VLOOKUP(T$3,$C$5:$C$16,1),COLUMN($D$4))):indirect(address(row($C$4)+ VLOOKUP(T$3,$C$5:$C$16,1),COLUMN($L$4)))&gt;indirect(address(row($C6),COLUMN($D$4))):indirect(address(row($C6),COLUMN($L$4))),TRUE()))</f>
        <v>0</v>
      </c>
      <c r="U6" s="296">
        <f t="array" ref="U6">if(U$3=$C6,"-", countif(indirect(address(row($C$4)+ VLOOKUP(U$3,$C$5:$C$16,1),COLUMN($D$4))):indirect(address(row($C$4)+ VLOOKUP(U$3,$C$5:$C$16,1),COLUMN($L$4)))&gt;indirect(address(row($C6),COLUMN($D$4))):indirect(address(row($C6),COLUMN($L$4))),TRUE()))</f>
        <v>0</v>
      </c>
      <c r="V6" s="296">
        <f t="array" ref="V6">if(V$3=$C6,"-", countif(indirect(address(row($C$4)+ VLOOKUP(V$3,$C$5:$C$16,1),COLUMN($D$4))):indirect(address(row($C$4)+ VLOOKUP(V$3,$C$5:$C$16,1),COLUMN($L$4)))&gt;indirect(address(row($C6),COLUMN($D$4))):indirect(address(row($C6),COLUMN($L$4))),TRUE()))</f>
        <v>0</v>
      </c>
      <c r="W6" s="296">
        <f t="array" ref="W6">if(W$3=$C6,"-", countif(indirect(address(row($C$4)+ VLOOKUP(W$3,$C$5:$C$16,1),COLUMN($D$4))):indirect(address(row($C$4)+ VLOOKUP(W$3,$C$5:$C$16,1),COLUMN($L$4)))&gt;indirect(address(row($C6),COLUMN($D$4))):indirect(address(row($C6),COLUMN($L$4))),TRUE()))</f>
        <v>0</v>
      </c>
      <c r="X6" s="296">
        <f t="array" ref="X6">if(X$3=$C6,"-", countif(indirect(address(row($C$4)+ VLOOKUP(X$3,$C$5:$C$16,1),COLUMN($D$4))):indirect(address(row($C$4)+ VLOOKUP(X$3,$C$5:$C$16,1),COLUMN($L$4)))&gt;indirect(address(row($C6),COLUMN($D$4))):indirect(address(row($C6),COLUMN($L$4))),TRUE()))</f>
        <v>0</v>
      </c>
      <c r="Y6" s="296">
        <f t="array" ref="Y6">if(D$1=$C6,"-", countif(indirect(address(row($C$4)+ VLOOKUP(D$1,$C$5:$C$16,1),COLUMN($D$4))):indirect(address(row($C$4)+ VLOOKUP(D$1,$C$5:$C$16,1),COLUMN($L$4)))&gt;indirect(address(row($C6),COLUMN($D$4))):indirect(address(row($C6),COLUMN($L$4))),TRUE()))</f>
        <v>0</v>
      </c>
      <c r="Z6" s="297">
        <f>SUM(N$5:N$16)/99</f>
        <v>0</v>
      </c>
    </row>
    <row r="7">
      <c r="B7" s="295" t="str">
        <f>Draft!C5</f>
        <v>#REF!</v>
      </c>
      <c r="C7" s="286">
        <v>3.0</v>
      </c>
      <c r="D7" s="282">
        <f>((IF(ISBLANK(Draft!D5),0,VLOOKUP(Draft!D5, 'Final Update'!A4:L1000,2,FALSE)+(IF(ISBLANK(Draft!E12),0,VLOOKUP(Draft!E12, 'Final Update'!A4:L1000,2,FALSE)+(IF(ISBLANK(Draft!F5),0,VLOOKUP(Draft!F5, 'Final Update'!A4:L1000,2,FALSE)+(IF(ISBLANK(Draft!G12),0,VLOOKUP(Draft!G12, 'Final Update'!A4:L1000,2,FALSE)+(IF(ISBLANK(Draft!H5),0,VLOOKUP(Draft!H5, 'Final Update'!A4:L1000,2,FALSE)+(IF(ISBLANK(Draft!I12),0,VLOOKUP(Draft!I12, 'Final Update'!A4:L1000,2,FALSE)+(IF(ISBLANK(Draft!J5),0,VLOOKUP(Draft!J5, 'Final Update'!A4:L1000,2,FALSE)+(IF(ISBLANK(Draft!K12),0,VLOOKUP(Draft!K12, 'Final Update'!A4:L1000,2,FALSE)+(IF(ISBLANK(Draft!L5),0,VLOOKUP(Draft!L5, 'Final Update'!A4:L1000,2,FALSE)+(IF(ISBLANK(Draft!M12),0,VLOOKUP(Draft!M12, 'Final Update'!A4:L1000,2,FALSE)+IF(ISBLANK(Draft!N5),0,VLOOKUP(Draft!N5, 'Final Update'!A4:L1000,2,FALSE)+IF(ISBLANK(Draft!O12),0,VLOOKUP(Draft!O12, 'Final Update'!A4:L1000,2,FALSE))))))))))))))))))))))))</f>
        <v>0</v>
      </c>
      <c r="E7" s="282">
        <f>((IF(ISBLANK(Draft!D5),0,VLOOKUP(Draft!D5, 'Final Update'!A4:L1000,3,FALSE)+(IF(ISBLANK(Draft!E12),0,VLOOKUP(Draft!E12, 'Final Update'!A4:L1000,3,FALSE)+(IF(ISBLANK(Draft!F5),0,VLOOKUP(Draft!F5, 'Final Update'!A4:L1000,3,FALSE)+(IF(ISBLANK(Draft!G12),0,VLOOKUP(Draft!G12, 'Final Update'!A4:L1000,3,FALSE)+(IF(ISBLANK(Draft!H5),0,VLOOKUP(Draft!H5, 'Final Update'!A4:L1000,3,FALSE)+(IF(ISBLANK(Draft!I12),0,VLOOKUP(Draft!I12, 'Final Update'!A4:L1000,3,FALSE)+(IF(ISBLANK(Draft!J5),0,VLOOKUP(Draft!J5, 'Final Update'!A4:L1000,3,FALSE)+(IF(ISBLANK(Draft!K12),0,VLOOKUP(Draft!K12, 'Final Update'!A4:L1000,3,FALSE)+(IF(ISBLANK(Draft!L5),0,VLOOKUP(Draft!L5, 'Final Update'!A4:L1000,3,FALSE)+(IF(ISBLANK(Draft!M12),0,VLOOKUP(Draft!M12, 'Final Update'!A4:L1000,3,FALSE)+IF(ISBLANK(Draft!N5),0,VLOOKUP(Draft!N5, 'Final Update'!A4:L1000,3,FALSE)+IF(ISBLANK(Draft!O12),0,VLOOKUP(Draft!O12, 'Final Update'!A4:L1000,3,FALSE))))))))))))))))))))))))</f>
        <v>0</v>
      </c>
      <c r="F7" s="282">
        <f>((IF(ISBLANK(Draft!D5),0,VLOOKUP(Draft!D5, 'Final Update'!A4:L1000,4,FALSE)+(IF(ISBLANK(Draft!E12),0,VLOOKUP(Draft!E12, 'Final Update'!A4:L1000,4,FALSE)+(IF(ISBLANK(Draft!F5),0,VLOOKUP(Draft!F5, 'Final Update'!A4:L1000,4,FALSE)+(IF(ISBLANK(Draft!G12),0,VLOOKUP(Draft!G12, 'Final Update'!A4:L1000,4,FALSE)+(IF(ISBLANK(Draft!H5),0,VLOOKUP(Draft!H5, 'Final Update'!A4:L1000,4,FALSE)+(IF(ISBLANK(Draft!I12),0,VLOOKUP(Draft!I12, 'Final Update'!A4:L1000,4,FALSE)+(IF(ISBLANK(Draft!J5),0,VLOOKUP(Draft!J5, 'Final Update'!A4:L1000,4,FALSE)+(IF(ISBLANK(Draft!K12),0,VLOOKUP(Draft!K12, 'Final Update'!A4:L1000,4,FALSE)+(IF(ISBLANK(Draft!L5),0,VLOOKUP(Draft!L5, 'Final Update'!A4:L1000,4,FALSE)+(IF(ISBLANK(Draft!M12),0,VLOOKUP(Draft!M12, 'Final Update'!A4:L1000,4,FALSE)+IF(ISBLANK(Draft!N5),0,VLOOKUP(Draft!N5, 'Final Update'!A4:L1000,4,FALSE)+IF(ISBLANK(Draft!O12),0,VLOOKUP(Draft!O12, 'Final Update'!A4:L1000,4,FALSE))))))))))))))))))))))))</f>
        <v>0</v>
      </c>
      <c r="G7" s="282">
        <f>((IF(ISBLANK(Draft!D5),0,VLOOKUP(Draft!D5, 'Final Update'!A4:L1000,5,FALSE)+(IF(ISBLANK(Draft!E12),0,VLOOKUP(Draft!E12, 'Final Update'!A4:L1000,5,FALSE)+(IF(ISBLANK(Draft!F5),0,VLOOKUP(Draft!F5, 'Final Update'!A4:L1000,5,FALSE)+(IF(ISBLANK(Draft!G12),0,VLOOKUP(Draft!G12, 'Final Update'!A4:L1000,5,FALSE)+(IF(ISBLANK(Draft!H5),0,VLOOKUP(Draft!H5, 'Final Update'!A4:L1000,5,FALSE)+(IF(ISBLANK(Draft!I12),0,VLOOKUP(Draft!I12, 'Final Update'!A4:L1000,5,FALSE)+(IF(ISBLANK(Draft!J5),0,VLOOKUP(Draft!J5, 'Final Update'!A4:L1000,5,FALSE)+(IF(ISBLANK(Draft!K12),0,VLOOKUP(Draft!K12, 'Final Update'!A4:L1000,5,FALSE)+(IF(ISBLANK(Draft!L5),0,VLOOKUP(Draft!L5, 'Final Update'!A4:L1000,5,FALSE)+(IF(ISBLANK(Draft!M12),0,VLOOKUP(Draft!M12, 'Final Update'!A4:L1000,5,FALSE)+IF(ISBLANK(Draft!N5),0,VLOOKUP(Draft!N5, 'Final Update'!A4:L1000,5,FALSE)+IF(ISBLANK(Draft!O12),0,VLOOKUP(Draft!O12, 'Final Update'!A4:L1000,5,FALSE))))))))))))))))))))))))</f>
        <v>0</v>
      </c>
      <c r="H7" s="282">
        <f>((IF(ISBLANK(Draft!D5),0,VLOOKUP(Draft!D5, 'Final Update'!A4:L1000,6,FALSE)+(IF(ISBLANK(Draft!E12),0,VLOOKUP(Draft!E12, 'Final Update'!A4:L1000,6,FALSE)+(IF(ISBLANK(Draft!F5),0,VLOOKUP(Draft!F5, 'Final Update'!A4:L1000,6,FALSE)+(IF(ISBLANK(Draft!G12),0,VLOOKUP(Draft!G12, 'Final Update'!A4:L1000,6,FALSE)+(IF(ISBLANK(Draft!H5),0,VLOOKUP(Draft!H5, 'Final Update'!A4:L1000,6,FALSE)+(IF(ISBLANK(Draft!I12),0,VLOOKUP(Draft!I12, 'Final Update'!A4:L1000,6,FALSE)+(IF(ISBLANK(Draft!J5),0,VLOOKUP(Draft!J5, 'Final Update'!A4:L1000,6,FALSE)+(IF(ISBLANK(Draft!K12),0,VLOOKUP(Draft!K12, 'Final Update'!A4:L1000,6,FALSE)+(IF(ISBLANK(Draft!L5),0,VLOOKUP(Draft!L5, 'Final Update'!A4:L1000,6,FALSE)+(IF(ISBLANK(Draft!M12),0,VLOOKUP(Draft!M12, 'Final Update'!A4:L1000,6,FALSE)+IF(ISBLANK(Draft!N5),0,VLOOKUP(Draft!N5, 'Final Update'!A4:L1000,6,FALSE)+IF(ISBLANK(Draft!O12),0,VLOOKUP(Draft!O12, 'Final Update'!A4:L1000,6,FALSE))))))))))))))))))))))))</f>
        <v>0</v>
      </c>
      <c r="I7" s="282">
        <f>((IF(ISBLANK(Draft!D5),0,VLOOKUP(Draft!D5, 'Final Update'!A4:L1000,7,FALSE)+(IF(ISBLANK(Draft!E12),0,VLOOKUP(Draft!E12, 'Final Update'!A4:L1000,7,FALSE)+(IF(ISBLANK(Draft!F5),0,VLOOKUP(Draft!F5, 'Final Update'!A4:L1000,7,FALSE)+(IF(ISBLANK(Draft!G12),0,VLOOKUP(Draft!G12, 'Final Update'!A4:L1000,7,FALSE)+(IF(ISBLANK(Draft!H5),0,VLOOKUP(Draft!H5, 'Final Update'!A4:L1000,7,FALSE)+(IF(ISBLANK(Draft!I12),0,VLOOKUP(Draft!I12, 'Final Update'!A4:L1000,7,FALSE)+(IF(ISBLANK(Draft!J5),0,VLOOKUP(Draft!J5, 'Final Update'!A4:L1000,7,FALSE)+(IF(ISBLANK(Draft!K12),0,VLOOKUP(Draft!K12, 'Final Update'!A4:L1000,7,FALSE)+(IF(ISBLANK(Draft!L5),0,VLOOKUP(Draft!L5, 'Final Update'!A4:L1000,7,FALSE)+(IF(ISBLANK(Draft!M12),0,VLOOKUP(Draft!M12, 'Final Update'!A4:L1000,7,FALSE)+IF(ISBLANK(Draft!N5),0,VLOOKUP(Draft!N5, 'Final Update'!A4:L1000,7,FALSE)+IF(ISBLANK(Draft!O12),0,VLOOKUP(Draft!O12, 'Final Update'!A4:L1000,7,FALSE))))))))))))))))))))))))</f>
        <v>0</v>
      </c>
      <c r="J7" s="282">
        <f>((IF(ISBLANK(Draft!D5),0,VLOOKUP(Draft!D5, 'Final Update'!A4:L1000,8,FALSE)+(IF(ISBLANK(Draft!E12),0,VLOOKUP(Draft!E12, 'Final Update'!A4:L1000,8,FALSE)+(IF(ISBLANK(Draft!F5),0,VLOOKUP(Draft!F5, 'Final Update'!A4:L1000,8,FALSE)+(IF(ISBLANK(Draft!G12),0,VLOOKUP(Draft!G12, 'Final Update'!A4:L1000,8,FALSE)+(IF(ISBLANK(Draft!H5),0,VLOOKUP(Draft!H5, 'Final Update'!A4:L1000,8,FALSE)+(IF(ISBLANK(Draft!I12),0,VLOOKUP(Draft!I12, 'Final Update'!A4:L1000,8,FALSE)+(IF(ISBLANK(Draft!J5),0,VLOOKUP(Draft!J5, 'Final Update'!A4:L1000,8,FALSE)+(IF(ISBLANK(Draft!K12),0,VLOOKUP(Draft!K12, 'Final Update'!A4:L1000,8,FALSE)+(IF(ISBLANK(Draft!L5),0,VLOOKUP(Draft!L5, 'Final Update'!A4:L1000,8,FALSE)+(IF(ISBLANK(Draft!M12),0,VLOOKUP(Draft!M12, 'Final Update'!A4:L1000,8,FALSE)+IF(ISBLANK(Draft!N5),0,VLOOKUP(Draft!N5, 'Final Update'!A4:L1000,8,FALSE)+IF(ISBLANK(Draft!O12),0,VLOOKUP(Draft!O12, 'Final Update'!A4:L1000,8,FALSE))))))))))))))))))))))))</f>
        <v>0</v>
      </c>
      <c r="K7" s="282">
        <f>((IF(ISBLANK(Draft!D5),0,VLOOKUP(Draft!D5, 'Final Update'!A4:L1000,10,FALSE)+(IF(ISBLANK(Draft!E12),0,VLOOKUP(Draft!E12, 'Final Update'!A4:L1000,10,FALSE)+(IF(ISBLANK(Draft!F5),0,VLOOKUP(Draft!F5, 'Final Update'!A4:L1000,10,FALSE)+(IF(ISBLANK(Draft!G12),0,VLOOKUP(Draft!G12, 'Final Update'!A4:L1000,10,FALSE)+(IF(ISBLANK(Draft!H5),0,VLOOKUP(Draft!H5, 'Final Update'!A4:L1000,10,FALSE)+(IF(ISBLANK(Draft!I12),0,VLOOKUP(Draft!I12, 'Final Update'!A4:L1000,10,FALSE)+(IF(ISBLANK(Draft!J5),0,VLOOKUP(Draft!J5, 'Final Update'!A4:L1000,10,FALSE)+(IF(ISBLANK(Draft!K12),0,VLOOKUP(Draft!K12, 'Final Update'!A4:L1000,10,FALSE)+(IF(ISBLANK(Draft!L5),0,VLOOKUP(Draft!L5, 'Final Update'!A4:L1000,10,FALSE)+(IF(ISBLANK(Draft!M12),0,VLOOKUP(Draft!M12, 'Final Update'!A4:L1000,10,FALSE)+IF(ISBLANK(Draft!N5),0,VLOOKUP(Draft!N5, 'Final Update'!A4:L1000,10,FALSE)+IF(ISBLANK(Draft!O12),0,VLOOKUP(Draft!O12, 'Final Update'!A4:L1000,10,FALSE))))))))))))))))))))))))</f>
        <v>0</v>
      </c>
      <c r="L7" s="282">
        <f>((IF(ISBLANK(Draft!D5),0,VLOOKUP(Draft!D5, 'Final Update'!A4:L1000,12,FALSE)+(IF(ISBLANK(Draft!E12),0,VLOOKUP(Draft!E12, 'Final Update'!A4:L1000,12,FALSE)+(IF(ISBLANK(Draft!F5),0,VLOOKUP(Draft!F5, 'Final Update'!A4:L1000,12,FALSE)+(IF(ISBLANK(Draft!G12),0,VLOOKUP(Draft!G12, 'Final Update'!A4:L1000,12,FALSE)+(IF(ISBLANK(Draft!H5),0,VLOOKUP(Draft!H5, 'Final Update'!A4:L1000,12,FALSE)+(IF(ISBLANK(Draft!I12),0,VLOOKUP(Draft!I12, 'Final Update'!A4:L1000,12,FALSE)+(IF(ISBLANK(Draft!J5),0,VLOOKUP(Draft!J5, 'Final Update'!A4:L1000,12,FALSE)+(IF(ISBLANK(Draft!K12),0,VLOOKUP(Draft!K12, 'Final Update'!A4:L1000,12,FALSE)+(IF(ISBLANK(Draft!L5),0,VLOOKUP(Draft!L5, 'Final Update'!A4:L1000,12,FALSE)+(IF(ISBLANK(Draft!M12),0,VLOOKUP(Draft!M12, 'Final Update'!A4:L1000,12,FALSE)+IF(ISBLANK(Draft!N5),0,VLOOKUP(Draft!N5, 'Final Update'!A4:L1000,12,FALSE)+IF(ISBLANK(Draft!O12),0,VLOOKUP(Draft!O12, 'Final Update'!A4:L1000,12,FALSE))))))))))))))))))))))))</f>
        <v>0</v>
      </c>
      <c r="M7" s="296">
        <f t="array" ref="M7">if(M$3=$C7,"-", countif(indirect(address(row($C$4)+ VLOOKUP(M$3,$C$5:$C$16,1),COLUMN($D$4))):indirect(address(row($C$4)+ VLOOKUP(M$3,$C$5:$C$16,1),COLUMN($L$4)))&gt;indirect(address(row($C7),COLUMN($D$4))):indirect(address(row($C7),COLUMN($L$4))),TRUE()))</f>
        <v>0</v>
      </c>
      <c r="N7" s="296">
        <f t="array" ref="N7">if(N$3=$C7,"-", countif(indirect(address(row($C$4)+ VLOOKUP(N$3,$C$5:$C$16,1),COLUMN($D$4))):indirect(address(row($C$4)+ VLOOKUP(N$3,$C$5:$C$16,1),COLUMN($L$4)))&gt;indirect(address(row($C7),COLUMN($D$4))):indirect(address(row($C7),COLUMN($L$4))),TRUE()))</f>
        <v>0</v>
      </c>
      <c r="O7" s="296">
        <f t="array" ref="O7">if(O$3=$C7,"-", countif(indirect(address(row($C$4)+ VLOOKUP(O$3,$C$5:$C$16,1),COLUMN($D$4))):indirect(address(row($C$4)+ VLOOKUP(O$3,$C$5:$C$16,1),COLUMN($L$4)))&gt;indirect(address(row($C7),COLUMN($D$4))):indirect(address(row($C7),COLUMN($L$4))),TRUE()))</f>
        <v>0</v>
      </c>
      <c r="P7" s="296">
        <f t="array" ref="P7">if(P$3=$C7,"-", countif(indirect(address(row($C$4)+ VLOOKUP(P$3,$C$5:$C$16,1),COLUMN($D$4))):indirect(address(row($C$4)+ VLOOKUP(P$3,$C$5:$C$16,1),COLUMN($L$4)))&gt;indirect(address(row($C7),COLUMN($D$4))):indirect(address(row($C7),COLUMN($L$4))),TRUE()))</f>
        <v>0</v>
      </c>
      <c r="Q7" s="296">
        <f t="array" ref="Q7">if(Q$3=$C7,"-", countif(indirect(address(row($C$4)+ VLOOKUP(Q$3,$C$5:$C$16,1),COLUMN($D$4))):indirect(address(row($C$4)+ VLOOKUP(Q$3,$C$5:$C$16,1),COLUMN($L$4)))&gt;indirect(address(row($C7),COLUMN($D$4))):indirect(address(row($C7),COLUMN($L$4))),TRUE()))</f>
        <v>0</v>
      </c>
      <c r="R7" s="296">
        <f t="array" ref="R7">if(R$3=$C7,"-", countif(indirect(address(row($C$4)+ VLOOKUP(R$3,$C$5:$C$16,1),COLUMN($D$4))):indirect(address(row($C$4)+ VLOOKUP(R$3,$C$5:$C$16,1),COLUMN($L$4)))&gt;indirect(address(row($C7),COLUMN($D$4))):indirect(address(row($C7),COLUMN($L$4))),TRUE()))</f>
        <v>0</v>
      </c>
      <c r="S7" s="296">
        <f t="array" ref="S7">if(S$3=$C7,"-", countif(indirect(address(row($C$4)+ VLOOKUP(S$3,$C$5:$C$16,1),COLUMN($D$4))):indirect(address(row($C$4)+ VLOOKUP(S$3,$C$5:$C$16,1),COLUMN($L$4)))&gt;indirect(address(row($C7),COLUMN($D$4))):indirect(address(row($C7),COLUMN($L$4))),TRUE()))</f>
        <v>0</v>
      </c>
      <c r="T7" s="296">
        <f t="array" ref="T7">if(T$3=$C7,"-", countif(indirect(address(row($C$4)+ VLOOKUP(T$3,$C$5:$C$16,1),COLUMN($D$4))):indirect(address(row($C$4)+ VLOOKUP(T$3,$C$5:$C$16,1),COLUMN($L$4)))&gt;indirect(address(row($C7),COLUMN($D$4))):indirect(address(row($C7),COLUMN($L$4))),TRUE()))</f>
        <v>0</v>
      </c>
      <c r="U7" s="296">
        <f t="array" ref="U7">if(U$3=$C7,"-", countif(indirect(address(row($C$4)+ VLOOKUP(U$3,$C$5:$C$16,1),COLUMN($D$4))):indirect(address(row($C$4)+ VLOOKUP(U$3,$C$5:$C$16,1),COLUMN($L$4)))&gt;indirect(address(row($C7),COLUMN($D$4))):indirect(address(row($C7),COLUMN($L$4))),TRUE()))</f>
        <v>0</v>
      </c>
      <c r="V7" s="296">
        <f t="array" ref="V7">if(V$3=$C7,"-", countif(indirect(address(row($C$4)+ VLOOKUP(V$3,$C$5:$C$16,1),COLUMN($D$4))):indirect(address(row($C$4)+ VLOOKUP(V$3,$C$5:$C$16,1),COLUMN($L$4)))&gt;indirect(address(row($C7),COLUMN($D$4))):indirect(address(row($C7),COLUMN($L$4))),TRUE()))</f>
        <v>0</v>
      </c>
      <c r="W7" s="296">
        <f t="array" ref="W7">if(W$3=$C7,"-", countif(indirect(address(row($C$4)+ VLOOKUP(W$3,$C$5:$C$16,1),COLUMN($D$4))):indirect(address(row($C$4)+ VLOOKUP(W$3,$C$5:$C$16,1),COLUMN($L$4)))&gt;indirect(address(row($C7),COLUMN($D$4))):indirect(address(row($C7),COLUMN($L$4))),TRUE()))</f>
        <v>0</v>
      </c>
      <c r="X7" s="296">
        <f t="array" ref="X7">if(X$3=$C7,"-", countif(indirect(address(row($C$4)+ VLOOKUP(X$3,$C$5:$C$16,1),COLUMN($D$4))):indirect(address(row($C$4)+ VLOOKUP(X$3,$C$5:$C$16,1),COLUMN($L$4)))&gt;indirect(address(row($C7),COLUMN($D$4))):indirect(address(row($C7),COLUMN($L$4))),TRUE()))</f>
        <v>0</v>
      </c>
      <c r="Y7" s="296">
        <f t="array" ref="Y7">if(D$1=$C7,"-", countif(indirect(address(row($C$4)+ VLOOKUP(D$1,$C$5:$C$16,1),COLUMN($D$4))):indirect(address(row($C$4)+ VLOOKUP(D$1,$C$5:$C$16,1),COLUMN($L$4)))&gt;indirect(address(row($C7),COLUMN($D$4))):indirect(address(row($C7),COLUMN($L$4))),TRUE()))</f>
        <v>0</v>
      </c>
      <c r="Z7" s="297">
        <f>SUM(O$5:O$16)/99</f>
        <v>0</v>
      </c>
    </row>
    <row r="8">
      <c r="B8" s="295" t="str">
        <f>Draft!C6</f>
        <v>#REF!</v>
      </c>
      <c r="C8" s="286">
        <v>4.0</v>
      </c>
      <c r="D8" s="282">
        <f>((IF(ISBLANK(Draft!D6),0,VLOOKUP(Draft!D6, 'Final Update'!A4:L1000,2,FALSE)+(IF(ISBLANK(Draft!E11),0,VLOOKUP(Draft!E11, 'Final Update'!A4:L1000,2,FALSE)+(IF(ISBLANK(Draft!F6),0,VLOOKUP(Draft!F6, 'Final Update'!A4:L1000,2,FALSE)+(IF(ISBLANK(Draft!G11),0,VLOOKUP(Draft!G11, 'Final Update'!A4:L1000,2,FALSE)+(IF(ISBLANK(Draft!H6),0,VLOOKUP(Draft!H6, 'Final Update'!A4:L1000,2,FALSE)+(IF(ISBLANK(Draft!I11),0,VLOOKUP(Draft!I11, 'Final Update'!A4:L1000,2,FALSE)+(IF(ISBLANK(Draft!J6),0,VLOOKUP(Draft!J6, 'Final Update'!A4:L1000,2,FALSE)+(IF(ISBLANK(Draft!K11),0,VLOOKUP(Draft!K11, 'Final Update'!A4:L1000,2,FALSE)+(IF(ISBLANK(Draft!L6),0,VLOOKUP(Draft!L6, 'Final Update'!A4:L1000,2,FALSE)+(IF(ISBLANK(Draft!M11),0,VLOOKUP(Draft!M11, 'Final Update'!A4:L1000,2,FALSE)+IF(ISBLANK(Draft!N6),0,VLOOKUP(Draft!N6, 'Final Update'!A4:L1000,2,FALSE)+IF(ISBLANK(Draft!O11),0,VLOOKUP(Draft!O11, 'Final Update'!A4:L1000,2,FALSE))))))))))))))))))))))))</f>
        <v>0</v>
      </c>
      <c r="E8" s="282">
        <f>((IF(ISBLANK(Draft!D6),0,VLOOKUP(Draft!D6, 'Final Update'!A4:L1000,3,FALSE)+(IF(ISBLANK(Draft!E11),0,VLOOKUP(Draft!E11, 'Final Update'!A4:L1000,3,FALSE)+(IF(ISBLANK(Draft!F6),0,VLOOKUP(Draft!F6, 'Final Update'!A4:L1000,3,FALSE)+(IF(ISBLANK(Draft!G11),0,VLOOKUP(Draft!G11, 'Final Update'!A4:L1000,3,FALSE)+(IF(ISBLANK(Draft!H6),0,VLOOKUP(Draft!H6, 'Final Update'!A4:L1000,3,FALSE)+(IF(ISBLANK(Draft!I11),0,VLOOKUP(Draft!I11, 'Final Update'!A4:L1000,3,FALSE)+(IF(ISBLANK(Draft!J6),0,VLOOKUP(Draft!J6, 'Final Update'!A4:L1000,3,FALSE)+(IF(ISBLANK(Draft!K11),0,VLOOKUP(Draft!K11, 'Final Update'!A4:L1000,3,FALSE)+(IF(ISBLANK(Draft!L6),0,VLOOKUP(Draft!L6, 'Final Update'!A4:L1000,3,FALSE)+(IF(ISBLANK(Draft!M11),0,VLOOKUP(Draft!M11, 'Final Update'!A4:L1000,3,FALSE)+IF(ISBLANK(Draft!N6),0,VLOOKUP(Draft!N6, 'Final Update'!A4:L1000,3,FALSE)+IF(ISBLANK(Draft!O11),0,VLOOKUP(Draft!O11, 'Final Update'!A4:L1000,3,FALSE))))))))))))))))))))))))</f>
        <v>0</v>
      </c>
      <c r="F8" s="282">
        <f>((IF(ISBLANK(Draft!D6),0,VLOOKUP(Draft!D6, 'Final Update'!A4:L1000,4,FALSE)+(IF(ISBLANK(Draft!E11),0,VLOOKUP(Draft!E11, 'Final Update'!A4:L1000,4,FALSE)+(IF(ISBLANK(Draft!F6),0,VLOOKUP(Draft!F6, 'Final Update'!A4:L1000,4,FALSE)+(IF(ISBLANK(Draft!G11),0,VLOOKUP(Draft!G11, 'Final Update'!A4:L1000,4,FALSE)+(IF(ISBLANK(Draft!H6),0,VLOOKUP(Draft!H6, 'Final Update'!A4:L1000,4,FALSE)+(IF(ISBLANK(Draft!I11),0,VLOOKUP(Draft!I11, 'Final Update'!A4:L1000,4,FALSE)+(IF(ISBLANK(Draft!J6),0,VLOOKUP(Draft!J6, 'Final Update'!A4:L1000,4,FALSE)+(IF(ISBLANK(Draft!K11),0,VLOOKUP(Draft!K11, 'Final Update'!A4:L1000,4,FALSE)+(IF(ISBLANK(Draft!L6),0,VLOOKUP(Draft!L6, 'Final Update'!A4:L1000,4,FALSE)+(IF(ISBLANK(Draft!M11),0,VLOOKUP(Draft!M11, 'Final Update'!A4:L1000,4,FALSE)+IF(ISBLANK(Draft!N6),0,VLOOKUP(Draft!N6, 'Final Update'!A4:L1000,4,FALSE)+IF(ISBLANK(Draft!O11),0,VLOOKUP(Draft!O11, 'Final Update'!A4:L1000,4,FALSE))))))))))))))))))))))))</f>
        <v>0</v>
      </c>
      <c r="G8" s="282">
        <f>((IF(ISBLANK(Draft!D6),0,VLOOKUP(Draft!D6, 'Final Update'!A4:L1000,5,FALSE)+(IF(ISBLANK(Draft!E11),0,VLOOKUP(Draft!E11, 'Final Update'!A4:L1000,5,FALSE)+(IF(ISBLANK(Draft!F6),0,VLOOKUP(Draft!F6, 'Final Update'!A4:L1000,5,FALSE)+(IF(ISBLANK(Draft!G11),0,VLOOKUP(Draft!G11, 'Final Update'!A4:L1000,5,FALSE)+(IF(ISBLANK(Draft!H6),0,VLOOKUP(Draft!H6, 'Final Update'!A4:L1000,5,FALSE)+(IF(ISBLANK(Draft!I11),0,VLOOKUP(Draft!I11, 'Final Update'!A4:L1000,5,FALSE)+(IF(ISBLANK(Draft!J6),0,VLOOKUP(Draft!J6, 'Final Update'!A4:L1000,5,FALSE)+(IF(ISBLANK(Draft!K11),0,VLOOKUP(Draft!K11, 'Final Update'!A4:L1000,5,FALSE)+(IF(ISBLANK(Draft!L6),0,VLOOKUP(Draft!L6, 'Final Update'!A4:L1000,5,FALSE)+(IF(ISBLANK(Draft!M11),0,VLOOKUP(Draft!M11, 'Final Update'!A4:L1000,5,FALSE)+IF(ISBLANK(Draft!N6),0,VLOOKUP(Draft!N6, 'Final Update'!A4:L1000,5,FALSE)+IF(ISBLANK(Draft!O11),0,VLOOKUP(Draft!O11, 'Final Update'!A4:L1000,5,FALSE))))))))))))))))))))))))</f>
        <v>0</v>
      </c>
      <c r="H8" s="282">
        <f>((IF(ISBLANK(Draft!D6),0,VLOOKUP(Draft!D6, 'Final Update'!A4:L1000,6,FALSE)+(IF(ISBLANK(Draft!E11),0,VLOOKUP(Draft!E11, 'Final Update'!A4:L1000,6,FALSE)+(IF(ISBLANK(Draft!F6),0,VLOOKUP(Draft!F6, 'Final Update'!A4:L1000,6,FALSE)+(IF(ISBLANK(Draft!G11),0,VLOOKUP(Draft!G11, 'Final Update'!A4:L1000,6,FALSE)+(IF(ISBLANK(Draft!H6),0,VLOOKUP(Draft!H6, 'Final Update'!A4:L1000,6,FALSE)+(IF(ISBLANK(Draft!I11),0,VLOOKUP(Draft!I11, 'Final Update'!A4:L1000,6,FALSE)+(IF(ISBLANK(Draft!J6),0,VLOOKUP(Draft!J6, 'Final Update'!A4:L1000,6,FALSE)+(IF(ISBLANK(Draft!K11),0,VLOOKUP(Draft!K11, 'Final Update'!A4:L1000,6,FALSE)+(IF(ISBLANK(Draft!L6),0,VLOOKUP(Draft!L6, 'Final Update'!A4:L1000,6,FALSE)+(IF(ISBLANK(Draft!M11),0,VLOOKUP(Draft!M11, 'Final Update'!A4:L1000,6,FALSE)+IF(ISBLANK(Draft!N6),0,VLOOKUP(Draft!N6, 'Final Update'!A4:L1000,6,FALSE)+IF(ISBLANK(Draft!O11),0,VLOOKUP(Draft!O11, 'Final Update'!A4:L1000,6,FALSE))))))))))))))))))))))))</f>
        <v>0</v>
      </c>
      <c r="I8" s="282">
        <f>((IF(ISBLANK(Draft!D6),0,VLOOKUP(Draft!D6, 'Final Update'!A4:L1000,7,FALSE)+(IF(ISBLANK(Draft!E11),0,VLOOKUP(Draft!E11, 'Final Update'!A4:L1000,7,FALSE)+(IF(ISBLANK(Draft!F6),0,VLOOKUP(Draft!F6, 'Final Update'!A4:L1000,7,FALSE)+(IF(ISBLANK(Draft!G11),0,VLOOKUP(Draft!G11, 'Final Update'!A4:L1000,7,FALSE)+(IF(ISBLANK(Draft!H6),0,VLOOKUP(Draft!H6, 'Final Update'!A4:L1000,7,FALSE)+(IF(ISBLANK(Draft!I11),0,VLOOKUP(Draft!I11, 'Final Update'!A4:L1000,7,FALSE)+(IF(ISBLANK(Draft!J6),0,VLOOKUP(Draft!J6, 'Final Update'!A4:L1000,7,FALSE)+(IF(ISBLANK(Draft!K11),0,VLOOKUP(Draft!K11, 'Final Update'!A4:L1000,7,FALSE)+(IF(ISBLANK(Draft!L6),0,VLOOKUP(Draft!L6, 'Final Update'!A4:L1000,7,FALSE)+(IF(ISBLANK(Draft!M11),0,VLOOKUP(Draft!M11, 'Final Update'!A4:L1000,7,FALSE)+IF(ISBLANK(Draft!N6),0,VLOOKUP(Draft!N6, 'Final Update'!A4:L1000,7,FALSE)+IF(ISBLANK(Draft!O11),0,VLOOKUP(Draft!O11, 'Final Update'!A4:L1000,7,FALSE))))))))))))))))))))))))</f>
        <v>0</v>
      </c>
      <c r="J8" s="282">
        <f>((IF(ISBLANK(Draft!D6),0,VLOOKUP(Draft!D6, 'Final Update'!A4:L1000,8,FALSE)+(IF(ISBLANK(Draft!E11),0,VLOOKUP(Draft!E11, 'Final Update'!A4:L1000,8,FALSE)+(IF(ISBLANK(Draft!F6),0,VLOOKUP(Draft!F6, 'Final Update'!A4:L1000,8,FALSE)+(IF(ISBLANK(Draft!G11),0,VLOOKUP(Draft!G11, 'Final Update'!A4:L1000,8,FALSE)+(IF(ISBLANK(Draft!H6),0,VLOOKUP(Draft!H6, 'Final Update'!A4:L1000,8,FALSE)+(IF(ISBLANK(Draft!I11),0,VLOOKUP(Draft!I11, 'Final Update'!A4:L1000,8,FALSE)+(IF(ISBLANK(Draft!J6),0,VLOOKUP(Draft!J6, 'Final Update'!A4:L1000,8,FALSE)+(IF(ISBLANK(Draft!K11),0,VLOOKUP(Draft!K11, 'Final Update'!A4:L1000,8,FALSE)+(IF(ISBLANK(Draft!L6),0,VLOOKUP(Draft!L6, 'Final Update'!A4:L1000,8,FALSE)+(IF(ISBLANK(Draft!M11),0,VLOOKUP(Draft!M11, 'Final Update'!A4:L1000,8,FALSE)+IF(ISBLANK(Draft!N6),0,VLOOKUP(Draft!N6, 'Final Update'!A4:L1000,8,FALSE)+IF(ISBLANK(Draft!O11),0,VLOOKUP(Draft!O11, 'Final Update'!A4:L1000,8,FALSE))))))))))))))))))))))))</f>
        <v>0</v>
      </c>
      <c r="K8" s="282">
        <f>((IF(ISBLANK(Draft!D6),0,VLOOKUP(Draft!D6, 'Final Update'!A4:L1000,10,FALSE)+(IF(ISBLANK(Draft!E11),0,VLOOKUP(Draft!E11, 'Final Update'!A4:L1000,10,FALSE)+(IF(ISBLANK(Draft!F6),0,VLOOKUP(Draft!F6, 'Final Update'!A4:L1000,10,FALSE)+(IF(ISBLANK(Draft!G11),0,VLOOKUP(Draft!G11, 'Final Update'!A4:L1000,10,FALSE)+(IF(ISBLANK(Draft!H6),0,VLOOKUP(Draft!H6, 'Final Update'!A4:L1000,10,FALSE)+(IF(ISBLANK(Draft!I11),0,VLOOKUP(Draft!I11, 'Final Update'!A4:L1000,10,FALSE)+(IF(ISBLANK(Draft!J6),0,VLOOKUP(Draft!J6, 'Final Update'!A4:L1000,10,FALSE)+(IF(ISBLANK(Draft!K11),0,VLOOKUP(Draft!K11, 'Final Update'!A4:L1000,10,FALSE)+(IF(ISBLANK(Draft!L6),0,VLOOKUP(Draft!L6, 'Final Update'!A4:L1000,10,FALSE)+(IF(ISBLANK(Draft!M11),0,VLOOKUP(Draft!M11, 'Final Update'!A4:L1000,10,FALSE)+IF(ISBLANK(Draft!N6),0,VLOOKUP(Draft!N6, 'Final Update'!A4:L1000,10,FALSE)+IF(ISBLANK(Draft!O11),0,VLOOKUP(Draft!O11, 'Final Update'!A4:L1000,10,FALSE))))))))))))))))))))))))</f>
        <v>0</v>
      </c>
      <c r="L8" s="282">
        <f>((IF(ISBLANK(Draft!D6),0,VLOOKUP(Draft!D6, 'Final Update'!A4:L1000,12,FALSE)+(IF(ISBLANK(Draft!E11),0,VLOOKUP(Draft!E11, 'Final Update'!A4:L1000,12,FALSE)+(IF(ISBLANK(Draft!F6),0,VLOOKUP(Draft!F6, 'Final Update'!A4:L1000,12,FALSE)+(IF(ISBLANK(Draft!G11),0,VLOOKUP(Draft!G11, 'Final Update'!A4:L1000,12,FALSE)+(IF(ISBLANK(Draft!H6),0,VLOOKUP(Draft!H6, 'Final Update'!A4:L1000,12,FALSE)+(IF(ISBLANK(Draft!I11),0,VLOOKUP(Draft!I11, 'Final Update'!A4:L1000,12,FALSE)+(IF(ISBLANK(Draft!J6),0,VLOOKUP(Draft!J6, 'Final Update'!A4:L1000,12,FALSE)+(IF(ISBLANK(Draft!K11),0,VLOOKUP(Draft!K11, 'Final Update'!A4:L1000,12,FALSE)+(IF(ISBLANK(Draft!L6),0,VLOOKUP(Draft!L6, 'Final Update'!A4:L1000,12,FALSE)+(IF(ISBLANK(Draft!M11),0,VLOOKUP(Draft!M11, 'Final Update'!A4:L1000,12,FALSE)+IF(ISBLANK(Draft!N6),0,VLOOKUP(Draft!N6, 'Final Update'!A4:L1000,12,FALSE)+IF(ISBLANK(Draft!O11),0,VLOOKUP(Draft!O11, 'Final Update'!A4:L1000,12,FALSE))))))))))))))))))))))))</f>
        <v>0</v>
      </c>
      <c r="M8" s="296">
        <f t="array" ref="M8">if(M$3=$C8,"-", countif(indirect(address(row($C$4)+ VLOOKUP(M$3,$C$5:$C$16,1),COLUMN($D$4))):indirect(address(row($C$4)+ VLOOKUP(M$3,$C$5:$C$16,1),COLUMN($L$4)))&gt;indirect(address(row($C8),COLUMN($D$4))):indirect(address(row($C8),COLUMN($L$4))),TRUE()))</f>
        <v>0</v>
      </c>
      <c r="N8" s="296">
        <f t="array" ref="N8">if(N$3=$C8,"-", countif(indirect(address(row($C$4)+ VLOOKUP(N$3,$C$5:$C$16,1),COLUMN($D$4))):indirect(address(row($C$4)+ VLOOKUP(N$3,$C$5:$C$16,1),COLUMN($L$4)))&gt;indirect(address(row($C8),COLUMN($D$4))):indirect(address(row($C8),COLUMN($L$4))),TRUE()))</f>
        <v>0</v>
      </c>
      <c r="O8" s="296">
        <f t="array" ref="O8">if(O$3=$C8,"-", countif(indirect(address(row($C$4)+ VLOOKUP(O$3,$C$5:$C$16,1),COLUMN($D$4))):indirect(address(row($C$4)+ VLOOKUP(O$3,$C$5:$C$16,1),COLUMN($L$4)))&gt;indirect(address(row($C8),COLUMN($D$4))):indirect(address(row($C8),COLUMN($L$4))),TRUE()))</f>
        <v>0</v>
      </c>
      <c r="P8" s="296">
        <f t="array" ref="P8">if(P$3=$C8,"-", countif(indirect(address(row($C$4)+ VLOOKUP(P$3,$C$5:$C$16,1),COLUMN($D$4))):indirect(address(row($C$4)+ VLOOKUP(P$3,$C$5:$C$16,1),COLUMN($L$4)))&gt;indirect(address(row($C8),COLUMN($D$4))):indirect(address(row($C8),COLUMN($L$4))),TRUE()))</f>
        <v>0</v>
      </c>
      <c r="Q8" s="296">
        <f t="array" ref="Q8">if(Q$3=$C8,"-", countif(indirect(address(row($C$4)+ VLOOKUP(Q$3,$C$5:$C$16,1),COLUMN($D$4))):indirect(address(row($C$4)+ VLOOKUP(Q$3,$C$5:$C$16,1),COLUMN($L$4)))&gt;indirect(address(row($C8),COLUMN($D$4))):indirect(address(row($C8),COLUMN($L$4))),TRUE()))</f>
        <v>0</v>
      </c>
      <c r="R8" s="296">
        <f t="array" ref="R8">if(R$3=$C8,"-", countif(indirect(address(row($C$4)+ VLOOKUP(R$3,$C$5:$C$16,1),COLUMN($D$4))):indirect(address(row($C$4)+ VLOOKUP(R$3,$C$5:$C$16,1),COLUMN($L$4)))&gt;indirect(address(row($C8),COLUMN($D$4))):indirect(address(row($C8),COLUMN($L$4))),TRUE()))</f>
        <v>0</v>
      </c>
      <c r="S8" s="296">
        <f t="array" ref="S8">if(S$3=$C8,"-", countif(indirect(address(row($C$4)+ VLOOKUP(S$3,$C$5:$C$16,1),COLUMN($D$4))):indirect(address(row($C$4)+ VLOOKUP(S$3,$C$5:$C$16,1),COLUMN($L$4)))&gt;indirect(address(row($C8),COLUMN($D$4))):indirect(address(row($C8),COLUMN($L$4))),TRUE()))</f>
        <v>0</v>
      </c>
      <c r="T8" s="296">
        <f t="array" ref="T8">if(T$3=$C8,"-", countif(indirect(address(row($C$4)+ VLOOKUP(T$3,$C$5:$C$16,1),COLUMN($D$4))):indirect(address(row($C$4)+ VLOOKUP(T$3,$C$5:$C$16,1),COLUMN($L$4)))&gt;indirect(address(row($C8),COLUMN($D$4))):indirect(address(row($C8),COLUMN($L$4))),TRUE()))</f>
        <v>0</v>
      </c>
      <c r="U8" s="296">
        <f t="array" ref="U8">if(U$3=$C8,"-", countif(indirect(address(row($C$4)+ VLOOKUP(U$3,$C$5:$C$16,1),COLUMN($D$4))):indirect(address(row($C$4)+ VLOOKUP(U$3,$C$5:$C$16,1),COLUMN($L$4)))&gt;indirect(address(row($C8),COLUMN($D$4))):indirect(address(row($C8),COLUMN($L$4))),TRUE()))</f>
        <v>0</v>
      </c>
      <c r="V8" s="296">
        <f t="array" ref="V8">if(V$3=$C8,"-", countif(indirect(address(row($C$4)+ VLOOKUP(V$3,$C$5:$C$16,1),COLUMN($D$4))):indirect(address(row($C$4)+ VLOOKUP(V$3,$C$5:$C$16,1),COLUMN($L$4)))&gt;indirect(address(row($C8),COLUMN($D$4))):indirect(address(row($C8),COLUMN($L$4))),TRUE()))</f>
        <v>0</v>
      </c>
      <c r="W8" s="296">
        <f t="array" ref="W8">if(W$3=$C8,"-", countif(indirect(address(row($C$4)+ VLOOKUP(W$3,$C$5:$C$16,1),COLUMN($D$4))):indirect(address(row($C$4)+ VLOOKUP(W$3,$C$5:$C$16,1),COLUMN($L$4)))&gt;indirect(address(row($C8),COLUMN($D$4))):indirect(address(row($C8),COLUMN($L$4))),TRUE()))</f>
        <v>0</v>
      </c>
      <c r="X8" s="296">
        <f t="array" ref="X8">if(X$3=$C8,"-", countif(indirect(address(row($C$4)+ VLOOKUP(X$3,$C$5:$C$16,1),COLUMN($D$4))):indirect(address(row($C$4)+ VLOOKUP(X$3,$C$5:$C$16,1),COLUMN($L$4)))&gt;indirect(address(row($C8),COLUMN($D$4))):indirect(address(row($C8),COLUMN($L$4))),TRUE()))</f>
        <v>0</v>
      </c>
      <c r="Y8" s="296">
        <f t="array" ref="Y8">if(D$1=$C8,"-", countif(indirect(address(row($C$4)+ VLOOKUP(D$1,$C$5:$C$16,1),COLUMN($D$4))):indirect(address(row($C$4)+ VLOOKUP(D$1,$C$5:$C$16,1),COLUMN($L$4)))&gt;indirect(address(row($C8),COLUMN($D$4))):indirect(address(row($C8),COLUMN($L$4))),TRUE()))</f>
        <v>0</v>
      </c>
      <c r="Z8" s="297">
        <f>SUM(P$5:P$16)/99</f>
        <v>0</v>
      </c>
    </row>
    <row r="9">
      <c r="B9" s="295" t="str">
        <f>Draft!C7</f>
        <v>#REF!</v>
      </c>
      <c r="C9" s="286">
        <v>5.0</v>
      </c>
      <c r="D9" s="282">
        <f>((IF(ISBLANK(Draft!D7),0,VLOOKUP(Draft!D7, 'Final Update'!A4:L1000,2,FALSE)+(IF(ISBLANK(Draft!E10),0,VLOOKUP(Draft!E10, 'Final Update'!A4:L1000,2,FALSE)+(IF(ISBLANK(Draft!F7),0,VLOOKUP(Draft!F7, 'Final Update'!A4:L1000,2,FALSE)+(IF(ISBLANK(Draft!G10),0,VLOOKUP(Draft!G10, 'Final Update'!A4:L1000,2,FALSE)+(IF(ISBLANK(Draft!H7),0,VLOOKUP(Draft!H7, 'Final Update'!A4:L1000,2,FALSE)+(IF(ISBLANK(Draft!I10),0,VLOOKUP(Draft!I10, 'Final Update'!A4:L1000,2,FALSE)+(IF(ISBLANK(Draft!J7),0,VLOOKUP(Draft!J7, 'Final Update'!A4:L1000,2,FALSE)+(IF(ISBLANK(Draft!K10),0,VLOOKUP(Draft!K10, 'Final Update'!A4:L1000,2,FALSE)+(IF(ISBLANK(Draft!L7),0,VLOOKUP(Draft!L7, 'Final Update'!A4:L1000,2,FALSE)+(IF(ISBLANK(Draft!M10),0,VLOOKUP(Draft!M10, 'Final Update'!A4:L1000,2,FALSE)+IF(ISBLANK(Draft!N7),0,VLOOKUP(Draft!N7, 'Final Update'!A4:L1000,2,FALSE)+IF(ISBLANK(Draft!O10),0,VLOOKUP(Draft!O10, 'Final Update'!A4:L1000,2,FALSE))))))))))))))))))))))))</f>
        <v>0</v>
      </c>
      <c r="E9" s="282">
        <f>((IF(ISBLANK(Draft!D7),0,VLOOKUP(Draft!D7, 'Final Update'!A4:L1000,3,FALSE)+(IF(ISBLANK(Draft!E10),0,VLOOKUP(Draft!E10, 'Final Update'!A4:L1000,3,FALSE)+(IF(ISBLANK(Draft!F7),0,VLOOKUP(Draft!F7, 'Final Update'!A4:L1000,3,FALSE)+(IF(ISBLANK(Draft!G10),0,VLOOKUP(Draft!G10, 'Final Update'!A4:L1000,3,FALSE)+(IF(ISBLANK(Draft!H7),0,VLOOKUP(Draft!H7, 'Final Update'!A4:L1000,3,FALSE)+(IF(ISBLANK(Draft!I10),0,VLOOKUP(Draft!I10, 'Final Update'!A4:L1000,3,FALSE)+(IF(ISBLANK(Draft!J7),0,VLOOKUP(Draft!J7, 'Final Update'!A4:L1000,3,FALSE)+(IF(ISBLANK(Draft!K10),0,VLOOKUP(Draft!K10, 'Final Update'!A4:L1000,3,FALSE)+(IF(ISBLANK(Draft!L7),0,VLOOKUP(Draft!L7, 'Final Update'!A4:L1000,3,FALSE)+(IF(ISBLANK(Draft!M10),0,VLOOKUP(Draft!M10, 'Final Update'!A4:L1000,3,FALSE)+IF(ISBLANK(Draft!N7),0,VLOOKUP(Draft!N7, 'Final Update'!A4:L1000,3,FALSE)+IF(ISBLANK(Draft!O10),0,VLOOKUP(Draft!O10, 'Final Update'!A4:L1000,3,FALSE))))))))))))))))))))))))</f>
        <v>0</v>
      </c>
      <c r="F9" s="282">
        <f>((IF(ISBLANK(Draft!D7),0,VLOOKUP(Draft!D7, 'Final Update'!A4:L1000,4,FALSE)+(IF(ISBLANK(Draft!E10),0,VLOOKUP(Draft!E10, 'Final Update'!A4:L1000,4,FALSE)+(IF(ISBLANK(Draft!F7),0,VLOOKUP(Draft!F7, 'Final Update'!A4:L1000,4,FALSE)+(IF(ISBLANK(Draft!G10),0,VLOOKUP(Draft!G10, 'Final Update'!A4:L1000,4,FALSE)+(IF(ISBLANK(Draft!H7),0,VLOOKUP(Draft!H7, 'Final Update'!A4:L1000,4,FALSE)+(IF(ISBLANK(Draft!I10),0,VLOOKUP(Draft!I10, 'Final Update'!A4:L1000,4,FALSE)+(IF(ISBLANK(Draft!J7),0,VLOOKUP(Draft!J7, 'Final Update'!A4:L1000,4,FALSE)+(IF(ISBLANK(Draft!K10),0,VLOOKUP(Draft!K10, 'Final Update'!A4:L1000,4,FALSE)+(IF(ISBLANK(Draft!L7),0,VLOOKUP(Draft!L7, 'Final Update'!A4:L1000,4,FALSE)+(IF(ISBLANK(Draft!M10),0,VLOOKUP(Draft!M10, 'Final Update'!A4:L1000,4,FALSE)+IF(ISBLANK(Draft!N7),0,VLOOKUP(Draft!N7, 'Final Update'!A4:L1000,4,FALSE)+IF(ISBLANK(Draft!O10),0,VLOOKUP(Draft!O10, 'Final Update'!A4:L1000,4,FALSE))))))))))))))))))))))))</f>
        <v>0</v>
      </c>
      <c r="G9" s="282">
        <f>((IF(ISBLANK(Draft!D7),0,VLOOKUP(Draft!D7, 'Final Update'!A4:L1000,5,FALSE)+(IF(ISBLANK(Draft!E10),0,VLOOKUP(Draft!E10, 'Final Update'!A4:L1000,5,FALSE)+(IF(ISBLANK(Draft!F7),0,VLOOKUP(Draft!F7, 'Final Update'!A4:L1000,5,FALSE)+(IF(ISBLANK(Draft!G10),0,VLOOKUP(Draft!G10, 'Final Update'!A4:L1000,5,FALSE)+(IF(ISBLANK(Draft!H7),0,VLOOKUP(Draft!H7, 'Final Update'!A4:L1000,5,FALSE)+(IF(ISBLANK(Draft!I10),0,VLOOKUP(Draft!I10, 'Final Update'!A4:L1000,5,FALSE)+(IF(ISBLANK(Draft!J7),0,VLOOKUP(Draft!J7, 'Final Update'!A4:L1000,5,FALSE)+(IF(ISBLANK(Draft!K10),0,VLOOKUP(Draft!K10, 'Final Update'!A4:L1000,5,FALSE)+(IF(ISBLANK(Draft!L7),0,VLOOKUP(Draft!L7, 'Final Update'!A4:L1000,5,FALSE)+(IF(ISBLANK(Draft!M10),0,VLOOKUP(Draft!M10, 'Final Update'!A4:L1000,5,FALSE)+IF(ISBLANK(Draft!N7),0,VLOOKUP(Draft!N7, 'Final Update'!A4:L1000,5,FALSE)+IF(ISBLANK(Draft!O10),0,VLOOKUP(Draft!O10, 'Final Update'!A4:L1000,5,FALSE))))))))))))))))))))))))</f>
        <v>0</v>
      </c>
      <c r="H9" s="282">
        <f>((IF(ISBLANK(Draft!D7),0,VLOOKUP(Draft!D7, 'Final Update'!A4:L1000,6,FALSE)+(IF(ISBLANK(Draft!E10),0,VLOOKUP(Draft!E10, 'Final Update'!A4:L1000,6,FALSE)+(IF(ISBLANK(Draft!F7),0,VLOOKUP(Draft!F7, 'Final Update'!A4:L1000,6,FALSE)+(IF(ISBLANK(Draft!G10),0,VLOOKUP(Draft!G10, 'Final Update'!A4:L1000,6,FALSE)+(IF(ISBLANK(Draft!H7),0,VLOOKUP(Draft!H7, 'Final Update'!A4:L1000,6,FALSE)+(IF(ISBLANK(Draft!I10),0,VLOOKUP(Draft!I10, 'Final Update'!A4:L1000,6,FALSE)+(IF(ISBLANK(Draft!J7),0,VLOOKUP(Draft!J7, 'Final Update'!A4:L1000,6,FALSE)+(IF(ISBLANK(Draft!K10),0,VLOOKUP(Draft!K10, 'Final Update'!A4:L1000,6,FALSE)+(IF(ISBLANK(Draft!L7),0,VLOOKUP(Draft!L7, 'Final Update'!A4:L1000,6,FALSE)+(IF(ISBLANK(Draft!M10),0,VLOOKUP(Draft!M10, 'Final Update'!A4:L1000,6,FALSE)+IF(ISBLANK(Draft!N7),0,VLOOKUP(Draft!N7, 'Final Update'!A4:L1000,6,FALSE)+IF(ISBLANK(Draft!O10),0,VLOOKUP(Draft!O10, 'Final Update'!A4:L1000,6,FALSE))))))))))))))))))))))))</f>
        <v>0</v>
      </c>
      <c r="I9" s="282">
        <f>((IF(ISBLANK(Draft!D7),0,VLOOKUP(Draft!D7, 'Final Update'!A4:L1000,7,FALSE)+(IF(ISBLANK(Draft!E10),0,VLOOKUP(Draft!E10, 'Final Update'!A4:L1000,7,FALSE)+(IF(ISBLANK(Draft!F7),0,VLOOKUP(Draft!F7, 'Final Update'!A4:L1000,7,FALSE)+(IF(ISBLANK(Draft!G10),0,VLOOKUP(Draft!G10, 'Final Update'!A4:L1000,7,FALSE)+(IF(ISBLANK(Draft!H7),0,VLOOKUP(Draft!H7, 'Final Update'!A4:L1000,7,FALSE)+(IF(ISBLANK(Draft!I10),0,VLOOKUP(Draft!I10, 'Final Update'!A4:L1000,7,FALSE)+(IF(ISBLANK(Draft!J7),0,VLOOKUP(Draft!J7, 'Final Update'!A4:L1000,7,FALSE)+(IF(ISBLANK(Draft!K10),0,VLOOKUP(Draft!K10, 'Final Update'!A4:L1000,7,FALSE)+(IF(ISBLANK(Draft!L7),0,VLOOKUP(Draft!L7, 'Final Update'!A4:L1000,7,FALSE)+(IF(ISBLANK(Draft!M10),0,VLOOKUP(Draft!M10, 'Final Update'!A4:L1000,7,FALSE)+IF(ISBLANK(Draft!N7),0,VLOOKUP(Draft!N7, 'Final Update'!A4:L1000,7,FALSE)+IF(ISBLANK(Draft!O10),0,VLOOKUP(Draft!O10, 'Final Update'!A4:L1000,7,FALSE))))))))))))))))))))))))</f>
        <v>0</v>
      </c>
      <c r="J9" s="282">
        <f>((IF(ISBLANK(Draft!D7),0,VLOOKUP(Draft!D7, 'Final Update'!A4:L1000,8,FALSE)+(IF(ISBLANK(Draft!E10),0,VLOOKUP(Draft!E10, 'Final Update'!A4:L1000,8,FALSE)+(IF(ISBLANK(Draft!F7),0,VLOOKUP(Draft!F7, 'Final Update'!A4:L1000,8,FALSE)+(IF(ISBLANK(Draft!G10),0,VLOOKUP(Draft!G10, 'Final Update'!A4:L1000,8,FALSE)+(IF(ISBLANK(Draft!H7),0,VLOOKUP(Draft!H7, 'Final Update'!A4:L1000,8,FALSE)+(IF(ISBLANK(Draft!I10),0,VLOOKUP(Draft!I10, 'Final Update'!A4:L1000,8,FALSE)+(IF(ISBLANK(Draft!J7),0,VLOOKUP(Draft!J7, 'Final Update'!A4:L1000,8,FALSE)+(IF(ISBLANK(Draft!K10),0,VLOOKUP(Draft!K10, 'Final Update'!A4:L1000,8,FALSE)+(IF(ISBLANK(Draft!L7),0,VLOOKUP(Draft!L7, 'Final Update'!A4:L1000,8,FALSE)+(IF(ISBLANK(Draft!M10),0,VLOOKUP(Draft!M10, 'Final Update'!A4:L1000,8,FALSE)+IF(ISBLANK(Draft!N7),0,VLOOKUP(Draft!N7, 'Final Update'!A4:L1000,8,FALSE)+IF(ISBLANK(Draft!O10),0,VLOOKUP(Draft!O10, 'Final Update'!A4:L1000,7,FALSE))))))))))))))))))))))))</f>
        <v>0</v>
      </c>
      <c r="K9" s="282">
        <f>((IF(ISBLANK(Draft!D7),0,VLOOKUP(Draft!D7, 'Final Update'!A4:L1000,10,FALSE)+(IF(ISBLANK(Draft!E10),0,VLOOKUP(Draft!E10, 'Final Update'!A4:L1000,10,FALSE)+(IF(ISBLANK(Draft!F7),0,VLOOKUP(Draft!F7, 'Final Update'!A4:L1000,10,FALSE)+(IF(ISBLANK(Draft!G10),0,VLOOKUP(Draft!G10, 'Final Update'!A4:L1000,10,FALSE)+(IF(ISBLANK(Draft!H7),0,VLOOKUP(Draft!H7, 'Final Update'!A4:L1000,10,FALSE)+(IF(ISBLANK(Draft!I10),0,VLOOKUP(Draft!I10, 'Final Update'!A4:L1000,10,FALSE)+(IF(ISBLANK(Draft!J7),0,VLOOKUP(Draft!J7, 'Final Update'!A4:L1000,10,FALSE)+(IF(ISBLANK(Draft!K10),0,VLOOKUP(Draft!K10, 'Final Update'!A4:L1000,10,FALSE)+(IF(ISBLANK(Draft!L7),0,VLOOKUP(Draft!L7, 'Final Update'!A4:L1000,10,FALSE)+(IF(ISBLANK(Draft!M10),0,VLOOKUP(Draft!M10, 'Final Update'!A4:L1000,10,FALSE)+IF(ISBLANK(Draft!N7),0,VLOOKUP(Draft!N7, 'Final Update'!A4:L1000,10,FALSE)+IF(ISBLANK(Draft!O10),0,VLOOKUP(Draft!O10, 'Final Update'!A4:L1000,10,FALSE))))))))))))))))))))))))</f>
        <v>0</v>
      </c>
      <c r="L9" s="282">
        <f>((IF(ISBLANK(Draft!D7),0,VLOOKUP(Draft!D7, 'Final Update'!A4:L1000,12,FALSE)+(IF(ISBLANK(Draft!E10),0,VLOOKUP(Draft!E10, 'Final Update'!A4:L1000,12,FALSE)+(IF(ISBLANK(Draft!F7),0,VLOOKUP(Draft!F7, 'Final Update'!A4:L1000,12,FALSE)+(IF(ISBLANK(Draft!G10),0,VLOOKUP(Draft!G10, 'Final Update'!A4:L1000,12,FALSE)+(IF(ISBLANK(Draft!H7),0,VLOOKUP(Draft!H7, 'Final Update'!A4:L1000,12,FALSE)+(IF(ISBLANK(Draft!I10),0,VLOOKUP(Draft!I10, 'Final Update'!A4:L1000,12,FALSE)+(IF(ISBLANK(Draft!J7),0,VLOOKUP(Draft!J7, 'Final Update'!A4:L1000,12,FALSE)+(IF(ISBLANK(Draft!K10),0,VLOOKUP(Draft!K10, 'Final Update'!A4:L1000,12,FALSE)+(IF(ISBLANK(Draft!L7),0,VLOOKUP(Draft!L7, 'Final Update'!A4:L1000,12,FALSE)+(IF(ISBLANK(Draft!M10),0,VLOOKUP(Draft!M10, 'Final Update'!A4:L1000,12,FALSE)+IF(ISBLANK(Draft!N7),0,VLOOKUP(Draft!N7, 'Final Update'!A4:L1000,12,FALSE)+IF(ISBLANK(Draft!O10),0,VLOOKUP(Draft!O10, 'Final Update'!A4:L1000,12,FALSE))))))))))))))))))))))))</f>
        <v>0</v>
      </c>
      <c r="M9" s="296">
        <f t="array" ref="M9">if(M$3=$C9,"-", countif(indirect(address(row($C$4)+ VLOOKUP(M$3,$C$5:$C$16,1),COLUMN($D$4))):indirect(address(row($C$4)+ VLOOKUP(M$3,$C$5:$C$16,1),COLUMN($L$4)))&gt;indirect(address(row($C9),COLUMN($D$4))):indirect(address(row($C9),COLUMN($L$4))),TRUE()))</f>
        <v>0</v>
      </c>
      <c r="N9" s="296">
        <f t="array" ref="N9">if(N$3=$C9,"-", countif(indirect(address(row($C$4)+ VLOOKUP(N$3,$C$5:$C$16,1),COLUMN($D$4))):indirect(address(row($C$4)+ VLOOKUP(N$3,$C$5:$C$16,1),COLUMN($L$4)))&gt;indirect(address(row($C9),COLUMN($D$4))):indirect(address(row($C9),COLUMN($L$4))),TRUE()))</f>
        <v>0</v>
      </c>
      <c r="O9" s="296">
        <f t="array" ref="O9">if(O$3=$C9,"-", countif(indirect(address(row($C$4)+ VLOOKUP(O$3,$C$5:$C$16,1),COLUMN($D$4))):indirect(address(row($C$4)+ VLOOKUP(O$3,$C$5:$C$16,1),COLUMN($L$4)))&gt;indirect(address(row($C9),COLUMN($D$4))):indirect(address(row($C9),COLUMN($L$4))),TRUE()))</f>
        <v>0</v>
      </c>
      <c r="P9" s="296">
        <f t="array" ref="P9">if(P$3=$C9,"-", countif(indirect(address(row($C$4)+ VLOOKUP(P$3,$C$5:$C$16,1),COLUMN($D$4))):indirect(address(row($C$4)+ VLOOKUP(P$3,$C$5:$C$16,1),COLUMN($L$4)))&gt;indirect(address(row($C9),COLUMN($D$4))):indirect(address(row($C9),COLUMN($L$4))),TRUE()))</f>
        <v>0</v>
      </c>
      <c r="Q9" s="296">
        <f t="array" ref="Q9">if(Q$3=$C9,"-", countif(indirect(address(row($C$4)+ VLOOKUP(Q$3,$C$5:$C$16,1),COLUMN($D$4))):indirect(address(row($C$4)+ VLOOKUP(Q$3,$C$5:$C$16,1),COLUMN($L$4)))&gt;indirect(address(row($C9),COLUMN($D$4))):indirect(address(row($C9),COLUMN($L$4))),TRUE()))</f>
        <v>0</v>
      </c>
      <c r="R9" s="296">
        <f t="array" ref="R9">if(R$3=$C9,"-", countif(indirect(address(row($C$4)+ VLOOKUP(R$3,$C$5:$C$16,1),COLUMN($D$4))):indirect(address(row($C$4)+ VLOOKUP(R$3,$C$5:$C$16,1),COLUMN($L$4)))&gt;indirect(address(row($C9),COLUMN($D$4))):indirect(address(row($C9),COLUMN($L$4))),TRUE()))</f>
        <v>0</v>
      </c>
      <c r="S9" s="296">
        <f t="array" ref="S9">if(S$3=$C9,"-", countif(indirect(address(row($C$4)+ VLOOKUP(S$3,$C$5:$C$16,1),COLUMN($D$4))):indirect(address(row($C$4)+ VLOOKUP(S$3,$C$5:$C$16,1),COLUMN($L$4)))&gt;indirect(address(row($C9),COLUMN($D$4))):indirect(address(row($C9),COLUMN($L$4))),TRUE()))</f>
        <v>0</v>
      </c>
      <c r="T9" s="296">
        <f t="array" ref="T9">if(T$3=$C9,"-", countif(indirect(address(row($C$4)+ VLOOKUP(T$3,$C$5:$C$16,1),COLUMN($D$4))):indirect(address(row($C$4)+ VLOOKUP(T$3,$C$5:$C$16,1),COLUMN($L$4)))&gt;indirect(address(row($C9),COLUMN($D$4))):indirect(address(row($C9),COLUMN($L$4))),TRUE()))</f>
        <v>0</v>
      </c>
      <c r="U9" s="296">
        <f t="array" ref="U9">if(U$3=$C9,"-", countif(indirect(address(row($C$4)+ VLOOKUP(U$3,$C$5:$C$16,1),COLUMN($D$4))):indirect(address(row($C$4)+ VLOOKUP(U$3,$C$5:$C$16,1),COLUMN($L$4)))&gt;indirect(address(row($C9),COLUMN($D$4))):indirect(address(row($C9),COLUMN($L$4))),TRUE()))</f>
        <v>0</v>
      </c>
      <c r="V9" s="296">
        <f t="array" ref="V9">if(V$3=$C9,"-", countif(indirect(address(row($C$4)+ VLOOKUP(V$3,$C$5:$C$16,1),COLUMN($D$4))):indirect(address(row($C$4)+ VLOOKUP(V$3,$C$5:$C$16,1),COLUMN($L$4)))&gt;indirect(address(row($C9),COLUMN($D$4))):indirect(address(row($C9),COLUMN($L$4))),TRUE()))</f>
        <v>0</v>
      </c>
      <c r="W9" s="296">
        <f t="array" ref="W9">if(W$3=$C9,"-", countif(indirect(address(row($C$4)+ VLOOKUP(W$3,$C$5:$C$16,1),COLUMN($D$4))):indirect(address(row($C$4)+ VLOOKUP(W$3,$C$5:$C$16,1),COLUMN($L$4)))&gt;indirect(address(row($C9),COLUMN($D$4))):indirect(address(row($C9),COLUMN($L$4))),TRUE()))</f>
        <v>0</v>
      </c>
      <c r="X9" s="296">
        <f t="array" ref="X9">if(X$3=$C9,"-", countif(indirect(address(row($C$4)+ VLOOKUP(X$3,$C$5:$C$16,1),COLUMN($D$4))):indirect(address(row($C$4)+ VLOOKUP(X$3,$C$5:$C$16,1),COLUMN($L$4)))&gt;indirect(address(row($C9),COLUMN($D$4))):indirect(address(row($C9),COLUMN($L$4))),TRUE()))</f>
        <v>0</v>
      </c>
      <c r="Y9" s="296">
        <f t="array" ref="Y9">if(D$1=$C9,"-", countif(indirect(address(row($C$4)+ VLOOKUP(D$1,$C$5:$C$16,1),COLUMN($D$4))):indirect(address(row($C$4)+ VLOOKUP(D$1,$C$5:$C$16,1),COLUMN($L$4)))&gt;indirect(address(row($C9),COLUMN($D$4))):indirect(address(row($C9),COLUMN($L$4))),TRUE()))</f>
        <v>0</v>
      </c>
      <c r="Z9" s="297">
        <f>SUM(Q$5:Q$16)/99</f>
        <v>0</v>
      </c>
    </row>
    <row r="10">
      <c r="B10" s="295" t="str">
        <f>Draft!C8</f>
        <v>#REF!</v>
      </c>
      <c r="C10" s="286">
        <v>6.0</v>
      </c>
      <c r="D10" s="328">
        <f>((IF(ISBLANK(Draft!D8),0,VLOOKUP(Draft!D8, 'Final Update'!A4:L1000,2,FALSE)+(IF(ISBLANK(Draft!E9),0,VLOOKUP(Draft!E9, 'Final Update'!A4:L1000,2,FALSE)+(IF(ISBLANK(Draft!F8),0,VLOOKUP(Draft!F8, 'Final Update'!A4:L1000,2,FALSE)+(IF(ISBLANK(Draft!G9),0,VLOOKUP(Draft!G9, 'Final Update'!A4:L1000,2,FALSE)+(IF(ISBLANK(Draft!H8),0,VLOOKUP(Draft!H8, 'Final Update'!A4:L1000,2,FALSE)+(IF(ISBLANK(Draft!I9),0,VLOOKUP(Draft!I9, 'Final Update'!A4:L1000,2,FALSE)+(IF(ISBLANK(Draft!J8),0,VLOOKUP(Draft!J8, 'Final Update'!A4:L1000,2,FALSE)+(IF(ISBLANK(Draft!K9),0,VLOOKUP(Draft!K9, 'Final Update'!A4:L1000,2,FALSE)+(IF(ISBLANK(Draft!L8),0,VLOOKUP(Draft!L8, 'Final Update'!A4:L1000,2,FALSE)+(IF(ISBLANK(Draft!M9),0,VLOOKUP(Draft!M9, 'Final Update'!A4:L1000,2,FALSE)+IF(ISBLANK(Draft!N8),0,VLOOKUP(Draft!N8, 'Final Update'!A4:L1000,2,FALSE)+IF(ISBLANK(Draft!O9),0,VLOOKUP(Draft!O9, 'Final Update'!A4:L1000,2,FALSE))))))))))))))))))))))))</f>
        <v>0</v>
      </c>
      <c r="E10" s="282">
        <f>((IF(ISBLANK(Draft!D8),0,VLOOKUP(Draft!D8, 'Final Update'!A4:L1000,3,FALSE)+(IF(ISBLANK(Draft!E9),0,VLOOKUP(Draft!E9, 'Final Update'!A4:L1000,3,FALSE)+(IF(ISBLANK(Draft!F8),0,VLOOKUP(Draft!F8, 'Final Update'!A4:L1000,3,FALSE)+(IF(ISBLANK(Draft!G9),0,VLOOKUP(Draft!G9, 'Final Update'!A4:L1000,3,FALSE)+(IF(ISBLANK(Draft!H8),0,VLOOKUP(Draft!H8, 'Final Update'!A4:L1000,3,FALSE)+(IF(ISBLANK(Draft!I9),0,VLOOKUP(Draft!I9, 'Final Update'!A4:L1000,3,FALSE)+(IF(ISBLANK(Draft!J8),0,VLOOKUP(Draft!J8, 'Final Update'!A4:L1000,3,FALSE)+(IF(ISBLANK(Draft!K9),0,VLOOKUP(Draft!K9, 'Final Update'!A4:L1000,3,FALSE)+(IF(ISBLANK(Draft!L8),0,VLOOKUP(Draft!L8, 'Final Update'!A4:L1000,3,FALSE)+(IF(ISBLANK(Draft!M9),0,VLOOKUP(Draft!M9, 'Final Update'!A4:L1000,3,FALSE)+IF(ISBLANK(Draft!N8),0,VLOOKUP(Draft!N8, 'Final Update'!A4:L1000,3,FALSE)+IF(ISBLANK(Draft!O9),0,VLOOKUP(Draft!O9, 'Final Update'!A4:L1000,3,FALSE))))))))))))))))))))))))</f>
        <v>0</v>
      </c>
      <c r="F10" s="282">
        <f>((IF(ISBLANK(Draft!D8),0,VLOOKUP(Draft!D8, 'Final Update'!A4:L1000,4,FALSE)+(IF(ISBLANK(Draft!E9),0,VLOOKUP(Draft!E9, 'Final Update'!A4:L1000,4,FALSE)+(IF(ISBLANK(Draft!F8),0,VLOOKUP(Draft!F8, 'Final Update'!A4:L1000,4,FALSE)+(IF(ISBLANK(Draft!G9),0,VLOOKUP(Draft!G9, 'Final Update'!A4:L1000,4,FALSE)+(IF(ISBLANK(Draft!H8),0,VLOOKUP(Draft!H8, 'Final Update'!A4:L1000,4,FALSE)+(IF(ISBLANK(Draft!I9),0,VLOOKUP(Draft!I9, 'Final Update'!A4:L1000,4,FALSE)+(IF(ISBLANK(Draft!J8),0,VLOOKUP(Draft!J8, 'Final Update'!A4:L1000,4,FALSE)+(IF(ISBLANK(Draft!K9),0,VLOOKUP(Draft!K9, 'Final Update'!A4:L1000,4,FALSE)+(IF(ISBLANK(Draft!L8),0,VLOOKUP(Draft!L8, 'Final Update'!A4:L1000,4,FALSE)+(IF(ISBLANK(Draft!M9),0,VLOOKUP(Draft!M9, 'Final Update'!A4:L1000,4,FALSE)+IF(ISBLANK(Draft!N8),0,VLOOKUP(Draft!N8, 'Final Update'!A4:L1000,4,FALSE)+IF(ISBLANK(Draft!O9),0,VLOOKUP(Draft!O9, 'Final Update'!A4:L1000,4,FALSE))))))))))))))))))))))))</f>
        <v>0</v>
      </c>
      <c r="G10" s="286">
        <f>((IF(ISBLANK(Draft!D8),0,VLOOKUP(Draft!D8, 'Final Update'!A4:L1000,5,FALSE)+(IF(ISBLANK(Draft!E9),0,VLOOKUP(Draft!E9, 'Final Update'!A4:L1000,5,FALSE)+(IF(ISBLANK(Draft!F8),0,VLOOKUP(Draft!F8, 'Final Update'!A4:L1000,5,FALSE)+(IF(ISBLANK(Draft!G9),0,VLOOKUP(Draft!G9, 'Final Update'!A4:L1000,5,FALSE)+(IF(ISBLANK(Draft!H8),0,VLOOKUP(Draft!H8, 'Final Update'!A4:L1000,5,FALSE)+(IF(ISBLANK(Draft!I9),0,VLOOKUP(Draft!I9, 'Final Update'!A4:L1000,5,FALSE)+(IF(ISBLANK(Draft!J8),0,VLOOKUP(Draft!J8, 'Final Update'!A4:L1000,5,FALSE)+(IF(ISBLANK(Draft!K9),0,VLOOKUP(Draft!K9, 'Final Update'!A4:L1000,5,FALSE)+(IF(ISBLANK(Draft!L8),0,VLOOKUP(Draft!L8, 'Final Update'!A4:L1000,5,FALSE)+(IF(ISBLANK(Draft!M9),0,VLOOKUP(Draft!M9, 'Final Update'!A4:L1000,5,FALSE)+IF(ISBLANK(Draft!N8),0,VLOOKUP(Draft!N8, 'Final Update'!A4:L1000,5,FALSE)+IF(ISBLANK(Draft!O9),0,VLOOKUP(Draft!O9, 'Final Update'!A4:L1000,5,FALSE))))))))))))))))))))))))</f>
        <v>0</v>
      </c>
      <c r="H10" s="282">
        <f>((IF(ISBLANK(Draft!D8),0,VLOOKUP(Draft!D8, 'Final Update'!A4:L1000,6,FALSE)+(IF(ISBLANK(Draft!E9),0,VLOOKUP(Draft!E9, 'Final Update'!A4:L1000,6,FALSE)+(IF(ISBLANK(Draft!F8),0,VLOOKUP(Draft!F8, 'Final Update'!A4:L1000,6,FALSE)+(IF(ISBLANK(Draft!G9),0,VLOOKUP(Draft!G9, 'Final Update'!A4:L1000,6,FALSE)+(IF(ISBLANK(Draft!H8),0,VLOOKUP(Draft!H8, 'Final Update'!A4:L1000,6,FALSE)+(IF(ISBLANK(Draft!I9),0,VLOOKUP(Draft!I9, 'Final Update'!A4:L1000,6,FALSE)+(IF(ISBLANK(Draft!J8),0,VLOOKUP(Draft!J8, 'Final Update'!A4:L1000,6,FALSE)+(IF(ISBLANK(Draft!K9),0,VLOOKUP(Draft!K9, 'Final Update'!A4:L1000,6,FALSE)+(IF(ISBLANK(Draft!L8),0,VLOOKUP(Draft!L8, 'Final Update'!A4:L1000,6,FALSE)+(IF(ISBLANK(Draft!M9),0,VLOOKUP(Draft!M9, 'Final Update'!A4:L1000,6,FALSE)+IF(ISBLANK(Draft!N8),0,VLOOKUP(Draft!N8, 'Final Update'!A4:L1000,6,FALSE)+IF(ISBLANK(Draft!O9),0,VLOOKUP(Draft!O9, 'Final Update'!A4:L1000,6,FALSE))))))))))))))))))))))))</f>
        <v>0</v>
      </c>
      <c r="I10" s="282">
        <f>((IF(ISBLANK(Draft!D8),0,VLOOKUP(Draft!D8, 'Final Update'!A4:L1000,7,FALSE)+(IF(ISBLANK(Draft!E9),0,VLOOKUP(Draft!E9, 'Final Update'!A4:L1000,7,FALSE)+(IF(ISBLANK(Draft!F8),0,VLOOKUP(Draft!F8, 'Final Update'!A4:L1000,7,FALSE)+(IF(ISBLANK(Draft!G9),0,VLOOKUP(Draft!G9, 'Final Update'!A4:L1000,7,FALSE)+(IF(ISBLANK(Draft!H8),0,VLOOKUP(Draft!H8, 'Final Update'!A4:L1000,7,FALSE)+(IF(ISBLANK(Draft!I9),0,VLOOKUP(Draft!I9, 'Final Update'!A4:L1000,7,FALSE)+(IF(ISBLANK(Draft!J8),0,VLOOKUP(Draft!J8, 'Final Update'!A4:L1000,7,FALSE)+(IF(ISBLANK(Draft!K9),0,VLOOKUP(Draft!K9, 'Final Update'!A4:L1000,7,FALSE)+(IF(ISBLANK(Draft!L8),0,VLOOKUP(Draft!L8, 'Final Update'!A4:L1000,7,FALSE)+(IF(ISBLANK(Draft!M9),0,VLOOKUP(Draft!M9, 'Final Update'!A4:L1000,7,FALSE)+IF(ISBLANK(Draft!N8),0,VLOOKUP(Draft!N8, 'Final Update'!A4:L1000,7,FALSE)+IF(ISBLANK(Draft!O9),0,VLOOKUP(Draft!O9, 'Final Update'!A4:L1000,7,FALSE))))))))))))))))))))))))</f>
        <v>0</v>
      </c>
      <c r="J10" s="282">
        <f>((IF(ISBLANK(Draft!D8),0,VLOOKUP(Draft!D8, 'Final Update'!A4:L1000,8,FALSE)+(IF(ISBLANK(Draft!E9),0,VLOOKUP(Draft!E9, 'Final Update'!A4:L1000,8,FALSE)+(IF(ISBLANK(Draft!F8),0,VLOOKUP(Draft!F8, 'Final Update'!A4:L1000,8,FALSE)+(IF(ISBLANK(Draft!G9),0,VLOOKUP(Draft!G9, 'Final Update'!A4:L1000,8,FALSE)+(IF(ISBLANK(Draft!H8),0,VLOOKUP(Draft!H8, 'Final Update'!A4:L1000,8,FALSE)+(IF(ISBLANK(Draft!I9),0,VLOOKUP(Draft!I9, 'Final Update'!A4:L1000,8,FALSE)+(IF(ISBLANK(Draft!J8),0,VLOOKUP(Draft!J8, 'Final Update'!A4:L1000,8,FALSE)+(IF(ISBLANK(Draft!K9),0,VLOOKUP(Draft!K9, 'Final Update'!A4:L1000,8,FALSE)+(IF(ISBLANK(Draft!L8),0,VLOOKUP(Draft!L8, 'Final Update'!A4:L1000,8,FALSE)+(IF(ISBLANK(Draft!M9),0,VLOOKUP(Draft!M9, 'Final Update'!A4:L1000,8,FALSE)+IF(ISBLANK(Draft!N8),0,VLOOKUP(Draft!N8, 'Final Update'!A4:L1000,8,FALSE)+IF(ISBLANK(Draft!O9),0,VLOOKUP(Draft!O9, 'Final Update'!A4:L1000,8,FALSE))))))))))))))))))))))))</f>
        <v>0</v>
      </c>
      <c r="K10" s="282">
        <f>((IF(ISBLANK(Draft!D8),0,VLOOKUP(Draft!D8, 'Final Update'!A4:L1000,10,FALSE)+(IF(ISBLANK(Draft!E9),0,VLOOKUP(Draft!E9, 'Final Update'!A4:L1000,10,FALSE)+(IF(ISBLANK(Draft!F8),0,VLOOKUP(Draft!F8, 'Final Update'!A4:L1000,10,FALSE)+(IF(ISBLANK(Draft!G9),0,VLOOKUP(Draft!G9, 'Final Update'!A4:L1000,10,FALSE)+(IF(ISBLANK(Draft!H8),0,VLOOKUP(Draft!H8, 'Final Update'!A4:L1000,10,FALSE)+(IF(ISBLANK(Draft!I9),0,VLOOKUP(Draft!I9, 'Final Update'!A4:L1000,10,FALSE)+(IF(ISBLANK(Draft!J8),0,VLOOKUP(Draft!J8, 'Final Update'!A4:L1000,10,FALSE)+(IF(ISBLANK(Draft!K9),0,VLOOKUP(Draft!K9, 'Final Update'!A4:L1000,10,FALSE)+(IF(ISBLANK(Draft!L8),0,VLOOKUP(Draft!L8, 'Final Update'!A4:L1000,10,FALSE)+(IF(ISBLANK(Draft!M9),0,VLOOKUP(Draft!M9, 'Final Update'!A4:L1000,10,FALSE)+IF(ISBLANK(Draft!N8),0,VLOOKUP(Draft!N8, 'Final Update'!A4:L1000,10,FALSE)+IF(ISBLANK(Draft!O9),0,VLOOKUP(Draft!O9, 'Final Update'!A4:L1000,10,FALSE))))))))))))))))))))))))</f>
        <v>0</v>
      </c>
      <c r="L10" s="286">
        <f>((IF(ISBLANK(Draft!D8),0,VLOOKUP(Draft!D8, 'Final Update'!A4:L1000,12,FALSE)+(IF(ISBLANK(Draft!E9),0,VLOOKUP(Draft!E9, 'Final Update'!A4:L1000,12,FALSE)+(IF(ISBLANK(Draft!F8),0,VLOOKUP(Draft!F8, 'Final Update'!A4:L1000,12,FALSE)+(IF(ISBLANK(Draft!G9),0,VLOOKUP(Draft!G9, 'Final Update'!A4:L1000,12,FALSE)+(IF(ISBLANK(Draft!H8),0,VLOOKUP(Draft!H8, 'Final Update'!A4:L1000,12,FALSE)+(IF(ISBLANK(Draft!I9),0,VLOOKUP(Draft!I9, 'Final Update'!A4:L1000,12,FALSE)+(IF(ISBLANK(Draft!J8),0,VLOOKUP(Draft!J8, 'Final Update'!A4:L1000,12,FALSE)+(IF(ISBLANK(Draft!K9),0,VLOOKUP(Draft!K9, 'Final Update'!A4:L1000,12,FALSE)+(IF(ISBLANK(Draft!L8),0,VLOOKUP(Draft!L8, 'Final Update'!A4:L1000,12,FALSE)+(IF(ISBLANK(Draft!M9),0,VLOOKUP(Draft!M9, 'Final Update'!A4:L1000,12,FALSE)+IF(ISBLANK(Draft!N8),0,VLOOKUP(Draft!N8, 'Final Update'!A4:L1000,12,FALSE)+IF(ISBLANK(Draft!O9),0,VLOOKUP(Draft!O9, 'Final Update'!A4:L1000,12,FALSE))))))))))))))))))))))))</f>
        <v>0</v>
      </c>
      <c r="M10" s="296">
        <f t="array" ref="M10">if(M$3=$C10,"-", countif(indirect(address(row($C$4)+ VLOOKUP(M$3,$C$5:$C$16,1),COLUMN($D$4))):indirect(address(row($C$4)+ VLOOKUP(M$3,$C$5:$C$16,1),COLUMN($L$4)))&gt;indirect(address(row($C10),COLUMN($D$4))):indirect(address(row($C10),COLUMN($L$4))),TRUE()))</f>
        <v>0</v>
      </c>
      <c r="N10" s="296">
        <f t="array" ref="N10">if(N$3=$C10,"-", countif(indirect(address(row($C$4)+ VLOOKUP(N$3,$C$5:$C$16,1),COLUMN($D$4))):indirect(address(row($C$4)+ VLOOKUP(N$3,$C$5:$C$16,1),COLUMN($L$4)))&gt;indirect(address(row($C10),COLUMN($D$4))):indirect(address(row($C10),COLUMN($L$4))),TRUE()))</f>
        <v>0</v>
      </c>
      <c r="O10" s="296">
        <f t="array" ref="O10">if(O$3=$C10,"-", countif(indirect(address(row($C$4)+ VLOOKUP(O$3,$C$5:$C$16,1),COLUMN($D$4))):indirect(address(row($C$4)+ VLOOKUP(O$3,$C$5:$C$16,1),COLUMN($L$4)))&gt;indirect(address(row($C10),COLUMN($D$4))):indirect(address(row($C10),COLUMN($L$4))),TRUE()))</f>
        <v>0</v>
      </c>
      <c r="P10" s="296">
        <f t="array" ref="P10">if(P$3=$C10,"-", countif(indirect(address(row($C$4)+ VLOOKUP(P$3,$C$5:$C$16,1),COLUMN($D$4))):indirect(address(row($C$4)+ VLOOKUP(P$3,$C$5:$C$16,1),COLUMN($L$4)))&gt;indirect(address(row($C10),COLUMN($D$4))):indirect(address(row($C10),COLUMN($L$4))),TRUE()))</f>
        <v>0</v>
      </c>
      <c r="Q10" s="296">
        <f t="array" ref="Q10">if(Q$3=$C10,"-", countif(indirect(address(row($C$4)+ VLOOKUP(Q$3,$C$5:$C$16,1),COLUMN($D$4))):indirect(address(row($C$4)+ VLOOKUP(Q$3,$C$5:$C$16,1),COLUMN($L$4)))&gt;indirect(address(row($C10),COLUMN($D$4))):indirect(address(row($C10),COLUMN($L$4))),TRUE()))</f>
        <v>0</v>
      </c>
      <c r="R10" s="296">
        <f t="array" ref="R10">if(R$3=$C10,"-", countif(indirect(address(row($C$4)+ VLOOKUP(R$3,$C$5:$C$16,1),COLUMN($D$4))):indirect(address(row($C$4)+ VLOOKUP(R$3,$C$5:$C$16,1),COLUMN($L$4)))&gt;indirect(address(row($C10),COLUMN($D$4))):indirect(address(row($C10),COLUMN($L$4))),TRUE()))</f>
        <v>0</v>
      </c>
      <c r="S10" s="296">
        <f t="array" ref="S10">if(S$3=$C10,"-", countif(indirect(address(row($C$4)+ VLOOKUP(S$3,$C$5:$C$16,1),COLUMN($D$4))):indirect(address(row($C$4)+ VLOOKUP(S$3,$C$5:$C$16,1),COLUMN($L$4)))&gt;indirect(address(row($C10),COLUMN($D$4))):indirect(address(row($C10),COLUMN($L$4))),TRUE()))</f>
        <v>0</v>
      </c>
      <c r="T10" s="296">
        <f t="array" ref="T10">if(T$3=$C10,"-", countif(indirect(address(row($C$4)+ VLOOKUP(T$3,$C$5:$C$16,1),COLUMN($D$4))):indirect(address(row($C$4)+ VLOOKUP(T$3,$C$5:$C$16,1),COLUMN($L$4)))&gt;indirect(address(row($C10),COLUMN($D$4))):indirect(address(row($C10),COLUMN($L$4))),TRUE()))</f>
        <v>0</v>
      </c>
      <c r="U10" s="296">
        <f t="array" ref="U10">if(U$3=$C10,"-", countif(indirect(address(row($C$4)+ VLOOKUP(U$3,$C$5:$C$16,1),COLUMN($D$4))):indirect(address(row($C$4)+ VLOOKUP(U$3,$C$5:$C$16,1),COLUMN($L$4)))&gt;indirect(address(row($C10),COLUMN($D$4))):indirect(address(row($C10),COLUMN($L$4))),TRUE()))</f>
        <v>0</v>
      </c>
      <c r="V10" s="296">
        <f t="array" ref="V10">if(V$3=$C10,"-", countif(indirect(address(row($C$4)+ VLOOKUP(V$3,$C$5:$C$16,1),COLUMN($D$4))):indirect(address(row($C$4)+ VLOOKUP(V$3,$C$5:$C$16,1),COLUMN($L$4)))&gt;indirect(address(row($C10),COLUMN($D$4))):indirect(address(row($C10),COLUMN($L$4))),TRUE()))</f>
        <v>0</v>
      </c>
      <c r="W10" s="296">
        <f t="array" ref="W10">if(W$3=$C10,"-", countif(indirect(address(row($C$4)+ VLOOKUP(W$3,$C$5:$C$16,1),COLUMN($D$4))):indirect(address(row($C$4)+ VLOOKUP(W$3,$C$5:$C$16,1),COLUMN($L$4)))&gt;indirect(address(row($C10),COLUMN($D$4))):indirect(address(row($C10),COLUMN($L$4))),TRUE()))</f>
        <v>0</v>
      </c>
      <c r="X10" s="296">
        <f t="array" ref="X10">if(X$3=$C10,"-", countif(indirect(address(row($C$4)+ VLOOKUP(X$3,$C$5:$C$16,1),COLUMN($D$4))):indirect(address(row($C$4)+ VLOOKUP(X$3,$C$5:$C$16,1),COLUMN($L$4)))&gt;indirect(address(row($C10),COLUMN($D$4))):indirect(address(row($C10),COLUMN($L$4))),TRUE()))</f>
        <v>0</v>
      </c>
      <c r="Y10" s="296">
        <f t="array" ref="Y10">if(D$1=$C10,"-", countif(indirect(address(row($C$4)+ VLOOKUP(D$1,$C$5:$C$16,1),COLUMN($D$4))):indirect(address(row($C$4)+ VLOOKUP(D$1,$C$5:$C$16,1),COLUMN($L$4)))&gt;indirect(address(row($C10),COLUMN($D$4))):indirect(address(row($C10),COLUMN($L$4))),TRUE()))</f>
        <v>0</v>
      </c>
      <c r="Z10" s="297">
        <f>SUM(R$5:R$16)/99</f>
        <v>0</v>
      </c>
    </row>
    <row r="11">
      <c r="B11" s="295" t="str">
        <f>Draft!C9</f>
        <v>#REF!</v>
      </c>
      <c r="C11" s="286">
        <v>7.0</v>
      </c>
      <c r="D11" s="282">
        <f>((IF(ISBLANK(Draft!D9),0,VLOOKUP(Draft!D9, 'Final Update'!A4:L1000,2,FALSE)+(IF(ISBLANK(Draft!E8),0,VLOOKUP(Draft!E8, 'Final Update'!A4:L1000,2,FALSE)+(IF(ISBLANK(Draft!F9),0,VLOOKUP(Draft!F9, 'Final Update'!A4:L1000,2,FALSE)+(IF(ISBLANK(Draft!G8),0,VLOOKUP(Draft!G8, 'Final Update'!A4:L1000,2,FALSE)+(IF(ISBLANK(Draft!H9),0,VLOOKUP(Draft!H9, 'Final Update'!A4:L1000,2,FALSE)+(IF(ISBLANK(Draft!I8),0,VLOOKUP(Draft!I8, 'Final Update'!A4:L1000,2,FALSE)+(IF(ISBLANK(Draft!J9),0,VLOOKUP(Draft!J9, 'Final Update'!A4:L1000,2,FALSE)+(IF(ISBLANK(Draft!K8),0,VLOOKUP(Draft!K8, 'Final Update'!A4:L1000,2,FALSE)+(IF(ISBLANK(Draft!L9),0,VLOOKUP(Draft!L9, 'Final Update'!A4:L1000,2,FALSE)+(IF(ISBLANK(Draft!M8),0,VLOOKUP(Draft!M8, 'Final Update'!A4:L1000,2,FALSE)+IF(ISBLANK(Draft!N9),0,VLOOKUP(Draft!N9, 'Final Update'!A4:L1000,2,FALSE)+IF(ISBLANK(Draft!O8),0,VLOOKUP(Draft!O8, 'Final Update'!A4:L1000,2,FALSE))))))))))))))))))))))))</f>
        <v>0</v>
      </c>
      <c r="E11" s="282">
        <f>((IF(ISBLANK(Draft!D9),0,VLOOKUP(Draft!D9, 'Final Update'!A4:L1000,3,FALSE)+(IF(ISBLANK(Draft!E8),0,VLOOKUP(Draft!E8, 'Final Update'!A4:L1000,3,FALSE)+(IF(ISBLANK(Draft!F9),0,VLOOKUP(Draft!F9, 'Final Update'!A4:L1000,3,FALSE)+(IF(ISBLANK(Draft!G8),0,VLOOKUP(Draft!G8, 'Final Update'!A4:L1000,3,FALSE)+(IF(ISBLANK(Draft!H9),0,VLOOKUP(Draft!H9, 'Final Update'!A4:L1000,3,FALSE)+(IF(ISBLANK(Draft!I8),0,VLOOKUP(Draft!I8, 'Final Update'!A4:L1000,3,FALSE)+(IF(ISBLANK(Draft!J9),0,VLOOKUP(Draft!J9, 'Final Update'!A4:L1000,3,FALSE)+(IF(ISBLANK(Draft!K8),0,VLOOKUP(Draft!K8, 'Final Update'!A4:L1000,3,FALSE)+(IF(ISBLANK(Draft!L9),0,VLOOKUP(Draft!L9, 'Final Update'!A4:L1000,3,FALSE)+(IF(ISBLANK(Draft!M8),0,VLOOKUP(Draft!M8, 'Final Update'!A4:L1000,3,FALSE)+IF(ISBLANK(Draft!N9),0,VLOOKUP(Draft!N9, 'Final Update'!A4:L1000,3,FALSE)+IF(ISBLANK(Draft!O8),0,VLOOKUP(Draft!O8, 'Final Update'!A4:L1000,3,FALSE))))))))))))))))))))))))</f>
        <v>0</v>
      </c>
      <c r="F11" s="282">
        <f>((IF(ISBLANK(Draft!D9),0,VLOOKUP(Draft!D9, 'Final Update'!A4:L1000,4,FALSE)+(IF(ISBLANK(Draft!E8),0,VLOOKUP(Draft!E8, 'Final Update'!A4:L1000,4,FALSE)+(IF(ISBLANK(Draft!F9),0,VLOOKUP(Draft!F9, 'Final Update'!A4:L1000,4,FALSE)+(IF(ISBLANK(Draft!G8),0,VLOOKUP(Draft!G8, 'Final Update'!A4:L1000,4,FALSE)+(IF(ISBLANK(Draft!H9),0,VLOOKUP(Draft!H9, 'Final Update'!A4:L1000,4,FALSE)+(IF(ISBLANK(Draft!I8),0,VLOOKUP(Draft!I8, 'Final Update'!A4:L1000,4,FALSE)+(IF(ISBLANK(Draft!J9),0,VLOOKUP(Draft!J9, 'Final Update'!A4:L1000,4,FALSE)+(IF(ISBLANK(Draft!K8),0,VLOOKUP(Draft!K8, 'Final Update'!A4:L1000,4,FALSE)+(IF(ISBLANK(Draft!L9),0,VLOOKUP(Draft!L9, 'Final Update'!A4:L1000,4,FALSE)+(IF(ISBLANK(Draft!M8),0,VLOOKUP(Draft!M8, 'Final Update'!A4:L1000,4,FALSE)+IF(ISBLANK(Draft!N9),0,VLOOKUP(Draft!N9, 'Final Update'!A4:L1000,4,FALSE)+IF(ISBLANK(Draft!O8),0,VLOOKUP(Draft!O8, 'Final Update'!A4:L1000,4,FALSE))))))))))))))))))))))))</f>
        <v>0</v>
      </c>
      <c r="G11" s="282">
        <f>((IF(ISBLANK(Draft!D9),0,VLOOKUP(Draft!D9, 'Final Update'!A4:L1000,5,FALSE)+(IF(ISBLANK(Draft!E8),0,VLOOKUP(Draft!E8, 'Final Update'!A4:L1000,5,FALSE)+(IF(ISBLANK(Draft!F9),0,VLOOKUP(Draft!F9, 'Final Update'!A4:L1000,5,FALSE)+(IF(ISBLANK(Draft!G8),0,VLOOKUP(Draft!G8, 'Final Update'!A4:L1000,5,FALSE)+(IF(ISBLANK(Draft!H9),0,VLOOKUP(Draft!H9, 'Final Update'!A4:L1000,5,FALSE)+(IF(ISBLANK(Draft!I8),0,VLOOKUP(Draft!I8, 'Final Update'!A4:L1000,5,FALSE)+(IF(ISBLANK(Draft!J9),0,VLOOKUP(Draft!J9, 'Final Update'!A4:L1000,5,FALSE)+(IF(ISBLANK(Draft!K8),0,VLOOKUP(Draft!K8, 'Final Update'!A4:L1000,5,FALSE)+(IF(ISBLANK(Draft!L9),0,VLOOKUP(Draft!L9, 'Final Update'!A4:L1000,5,FALSE)+(IF(ISBLANK(Draft!M8),0,VLOOKUP(Draft!M8, 'Final Update'!A4:L1000,5,FALSE)+IF(ISBLANK(Draft!N9),0,VLOOKUP(Draft!N9, 'Final Update'!A4:L1000,5,FALSE)+IF(ISBLANK(Draft!O8),0,VLOOKUP(Draft!O8, 'Final Update'!A4:L1000,5,FALSE))))))))))))))))))))))))</f>
        <v>0</v>
      </c>
      <c r="H11" s="282">
        <f>((IF(ISBLANK(Draft!D9),0,VLOOKUP(Draft!D9, 'Final Update'!A4:L1000,6,FALSE)+(IF(ISBLANK(Draft!E8),0,VLOOKUP(Draft!E8, 'Final Update'!A4:L1000,6,FALSE)+(IF(ISBLANK(Draft!F9),0,VLOOKUP(Draft!F9, 'Final Update'!A4:L1000,6,FALSE)+(IF(ISBLANK(Draft!G8),0,VLOOKUP(Draft!G8, 'Final Update'!A4:L1000,6,FALSE)+(IF(ISBLANK(Draft!H9),0,VLOOKUP(Draft!H9, 'Final Update'!A4:L1000,6,FALSE)+(IF(ISBLANK(Draft!I8),0,VLOOKUP(Draft!I8, 'Final Update'!A4:L1000,6,FALSE)+(IF(ISBLANK(Draft!J9),0,VLOOKUP(Draft!J9, 'Final Update'!A4:L1000,6,FALSE)+(IF(ISBLANK(Draft!K8),0,VLOOKUP(Draft!K8, 'Final Update'!A4:L1000,6,FALSE)+(IF(ISBLANK(Draft!L9),0,VLOOKUP(Draft!L9, 'Final Update'!A4:L1000,6,FALSE)+(IF(ISBLANK(Draft!M8),0,VLOOKUP(Draft!M8, 'Final Update'!A4:L1000,6,FALSE)+IF(ISBLANK(Draft!N9),0,VLOOKUP(Draft!N9, 'Final Update'!A4:L1000,6,FALSE)+IF(ISBLANK(Draft!O8),0,VLOOKUP(Draft!O8, 'Final Update'!A4:L1000,6,FALSE))))))))))))))))))))))))</f>
        <v>0</v>
      </c>
      <c r="I11" s="282">
        <f>((IF(ISBLANK(Draft!D9),0,VLOOKUP(Draft!D9, 'Final Update'!A4:L1000,7,FALSE)+(IF(ISBLANK(Draft!E8),0,VLOOKUP(Draft!E8, 'Final Update'!A4:L1000,7,FALSE)+(IF(ISBLANK(Draft!F9),0,VLOOKUP(Draft!F9, 'Final Update'!A4:L1000,7,FALSE)+(IF(ISBLANK(Draft!G8),0,VLOOKUP(Draft!G8, 'Final Update'!A4:L1000,7,FALSE)+(IF(ISBLANK(Draft!H9),0,VLOOKUP(Draft!H9, 'Final Update'!A4:L1000,7,FALSE)+(IF(ISBLANK(Draft!I8),0,VLOOKUP(Draft!I8, 'Final Update'!A4:L1000,7,FALSE)+(IF(ISBLANK(Draft!J9),0,VLOOKUP(Draft!J9, 'Final Update'!A4:L1000,7,FALSE)+(IF(ISBLANK(Draft!K8),0,VLOOKUP(Draft!K8, 'Final Update'!A4:L1000,7,FALSE)+(IF(ISBLANK(Draft!L9),0,VLOOKUP(Draft!L9, 'Final Update'!A4:L1000,7,FALSE)+(IF(ISBLANK(Draft!M8),0,VLOOKUP(Draft!M8, 'Final Update'!A4:L1000,7,FALSE)+IF(ISBLANK(Draft!N9),0,VLOOKUP(Draft!N9, 'Final Update'!A4:L1000,7,FALSE)+IF(ISBLANK(Draft!O8),0,VLOOKUP(Draft!O8, 'Final Update'!A4:L1000,7,FALSE))))))))))))))))))))))))</f>
        <v>0</v>
      </c>
      <c r="J11" s="286">
        <f>((IF(ISBLANK(Draft!D9),0,VLOOKUP(Draft!D9, 'Final Update'!A4:L1000,8,FALSE)+(IF(ISBLANK(Draft!E8),0,VLOOKUP(Draft!E8, 'Final Update'!A4:L1000,8,FALSE)+(IF(ISBLANK(Draft!F9),0,VLOOKUP(Draft!F9, 'Final Update'!A4:L1000,8,FALSE)+(IF(ISBLANK(Draft!G8),0,VLOOKUP(Draft!G8, 'Final Update'!A4:L1000,8,FALSE)+(IF(ISBLANK(Draft!H9),0,VLOOKUP(Draft!H9, 'Final Update'!A4:L1000,8,FALSE)+(IF(ISBLANK(Draft!I8),0,VLOOKUP(Draft!I8, 'Final Update'!A4:L1000,8,FALSE)+(IF(ISBLANK(Draft!J9),0,VLOOKUP(Draft!J9, 'Final Update'!A4:L1000,8,FALSE)+(IF(ISBLANK(Draft!K8),0,VLOOKUP(Draft!K8, 'Final Update'!A4:L1000,8,FALSE)+(IF(ISBLANK(Draft!L9),0,VLOOKUP(Draft!L9, 'Final Update'!A4:L1000,8,FALSE)+(IF(ISBLANK(Draft!M8),0,VLOOKUP(Draft!M8, 'Final Update'!A4:L1000,8,FALSE)+IF(ISBLANK(Draft!N9),0,VLOOKUP(Draft!N9, 'Final Update'!A4:L1000,8,FALSE)+IF(ISBLANK(Draft!O8),0,VLOOKUP(Draft!O8, 'Final Update'!A4:L1000,8,FALSE))))))))))))))))))))))))</f>
        <v>0</v>
      </c>
      <c r="K11" s="282">
        <f>((IF(ISBLANK(Draft!D9),0,VLOOKUP(Draft!D9, 'Final Update'!A4:L1000,10,FALSE)+(IF(ISBLANK(Draft!E8),0,VLOOKUP(Draft!E8, 'Final Update'!A4:L1000,10,FALSE)+(IF(ISBLANK(Draft!F9),0,VLOOKUP(Draft!F9, 'Final Update'!A4:L1000,10,FALSE)+(IF(ISBLANK(Draft!G8),0,VLOOKUP(Draft!G8, 'Final Update'!A4:L1000,10,FALSE)+(IF(ISBLANK(Draft!H9),0,VLOOKUP(Draft!H9, 'Final Update'!A4:L1000,10,FALSE)+(IF(ISBLANK(Draft!I8),0,VLOOKUP(Draft!I8, 'Final Update'!A4:L1000,10,FALSE)+(IF(ISBLANK(Draft!J9),0,VLOOKUP(Draft!J9, 'Final Update'!A4:L1000,10,FALSE)+(IF(ISBLANK(Draft!K8),0,VLOOKUP(Draft!K8, 'Final Update'!A4:L1000,10,FALSE)+(IF(ISBLANK(Draft!L9),0,VLOOKUP(Draft!L9, 'Final Update'!A4:L1000,10,FALSE)+(IF(ISBLANK(Draft!M8),0,VLOOKUP(Draft!M8, 'Final Update'!A4:L1000,10,FALSE)+IF(ISBLANK(Draft!N9),0,VLOOKUP(Draft!N9, 'Final Update'!A4:L1000,10,FALSE)+IF(ISBLANK(Draft!O8),0,VLOOKUP(Draft!O8, 'Final Update'!A4:L1000,10,FALSE))))))))))))))))))))))))</f>
        <v>0</v>
      </c>
      <c r="L11" s="282">
        <f>((IF(ISBLANK(Draft!D9),0,VLOOKUP(Draft!D9, 'Final Update'!A4:L1000,12,FALSE)+(IF(ISBLANK(Draft!E8),0,VLOOKUP(Draft!E8, 'Final Update'!A4:L1000,12,FALSE)+(IF(ISBLANK(Draft!F9),0,VLOOKUP(Draft!F9, 'Final Update'!A4:L1000,12,FALSE)+(IF(ISBLANK(Draft!G8),0,VLOOKUP(Draft!G8, 'Final Update'!A4:L1000,12,FALSE)+(IF(ISBLANK(Draft!H9),0,VLOOKUP(Draft!H9, 'Final Update'!A4:L1000,12,FALSE)+(IF(ISBLANK(Draft!I8),0,VLOOKUP(Draft!I8, 'Final Update'!A4:L1000,12,FALSE)+(IF(ISBLANK(Draft!J9),0,VLOOKUP(Draft!J9, 'Final Update'!A4:L1000,12,FALSE)+(IF(ISBLANK(Draft!K8),0,VLOOKUP(Draft!K8, 'Final Update'!A4:L1000,12,FALSE)+(IF(ISBLANK(Draft!L9),0,VLOOKUP(Draft!L9, 'Final Update'!A4:L1000,12,FALSE)+(IF(ISBLANK(Draft!M8),0,VLOOKUP(Draft!M8, 'Final Update'!A4:L1000,12,FALSE)+IF(ISBLANK(Draft!N9),0,VLOOKUP(Draft!N9, 'Final Update'!A4:L1000,12,FALSE)+IF(ISBLANK(Draft!O8),0,VLOOKUP(Draft!O8, 'Final Update'!A4:L1000,12,FALSE))))))))))))))))))))))))</f>
        <v>0</v>
      </c>
      <c r="M11" s="296">
        <f t="array" ref="M11">if(M$3=$C11,"-", countif(indirect(address(row($C$4)+ VLOOKUP(M$3,$C$5:$C$16,1),COLUMN($D$4))):indirect(address(row($C$4)+ VLOOKUP(M$3,$C$5:$C$16,1),COLUMN($L$4)))&gt;indirect(address(row($C11),COLUMN($D$4))):indirect(address(row($C11),COLUMN($L$4))),TRUE()))</f>
        <v>0</v>
      </c>
      <c r="N11" s="296">
        <f t="array" ref="N11">if(N$3=$C11,"-", countif(indirect(address(row($C$4)+ VLOOKUP(N$3,$C$5:$C$16,1),COLUMN($D$4))):indirect(address(row($C$4)+ VLOOKUP(N$3,$C$5:$C$16,1),COLUMN($L$4)))&gt;indirect(address(row($C11),COLUMN($D$4))):indirect(address(row($C11),COLUMN($L$4))),TRUE()))</f>
        <v>0</v>
      </c>
      <c r="O11" s="296">
        <f t="array" ref="O11">if(O$3=$C11,"-", countif(indirect(address(row($C$4)+ VLOOKUP(O$3,$C$5:$C$16,1),COLUMN($D$4))):indirect(address(row($C$4)+ VLOOKUP(O$3,$C$5:$C$16,1),COLUMN($L$4)))&gt;indirect(address(row($C11),COLUMN($D$4))):indirect(address(row($C11),COLUMN($L$4))),TRUE()))</f>
        <v>0</v>
      </c>
      <c r="P11" s="296">
        <f t="array" ref="P11">if(P$3=$C11,"-", countif(indirect(address(row($C$4)+ VLOOKUP(P$3,$C$5:$C$16,1),COLUMN($D$4))):indirect(address(row($C$4)+ VLOOKUP(P$3,$C$5:$C$16,1),COLUMN($L$4)))&gt;indirect(address(row($C11),COLUMN($D$4))):indirect(address(row($C11),COLUMN($L$4))),TRUE()))</f>
        <v>0</v>
      </c>
      <c r="Q11" s="296">
        <f t="array" ref="Q11">if(Q$3=$C11,"-", countif(indirect(address(row($C$4)+ VLOOKUP(Q$3,$C$5:$C$16,1),COLUMN($D$4))):indirect(address(row($C$4)+ VLOOKUP(Q$3,$C$5:$C$16,1),COLUMN($L$4)))&gt;indirect(address(row($C11),COLUMN($D$4))):indirect(address(row($C11),COLUMN($L$4))),TRUE()))</f>
        <v>0</v>
      </c>
      <c r="R11" s="296">
        <f t="array" ref="R11">if(R$3=$C11,"-", countif(indirect(address(row($C$4)+ VLOOKUP(R$3,$C$5:$C$16,1),COLUMN($D$4))):indirect(address(row($C$4)+ VLOOKUP(R$3,$C$5:$C$16,1),COLUMN($L$4)))&gt;indirect(address(row($C11),COLUMN($D$4))):indirect(address(row($C11),COLUMN($L$4))),TRUE()))</f>
        <v>0</v>
      </c>
      <c r="S11" s="296">
        <f t="array" ref="S11">if(S$3=$C11,"-", countif(indirect(address(row($C$4)+ VLOOKUP(S$3,$C$5:$C$16,1),COLUMN($D$4))):indirect(address(row($C$4)+ VLOOKUP(S$3,$C$5:$C$16,1),COLUMN($L$4)))&gt;indirect(address(row($C11),COLUMN($D$4))):indirect(address(row($C11),COLUMN($L$4))),TRUE()))</f>
        <v>0</v>
      </c>
      <c r="T11" s="296">
        <f t="array" ref="T11">if(T$3=$C11,"-", countif(indirect(address(row($C$4)+ VLOOKUP(T$3,$C$5:$C$16,1),COLUMN($D$4))):indirect(address(row($C$4)+ VLOOKUP(T$3,$C$5:$C$16,1),COLUMN($L$4)))&gt;indirect(address(row($C11),COLUMN($D$4))):indirect(address(row($C11),COLUMN($L$4))),TRUE()))</f>
        <v>0</v>
      </c>
      <c r="U11" s="296">
        <f t="array" ref="U11">if(U$3=$C11,"-", countif(indirect(address(row($C$4)+ VLOOKUP(U$3,$C$5:$C$16,1),COLUMN($D$4))):indirect(address(row($C$4)+ VLOOKUP(U$3,$C$5:$C$16,1),COLUMN($L$4)))&gt;indirect(address(row($C11),COLUMN($D$4))):indirect(address(row($C11),COLUMN($L$4))),TRUE()))</f>
        <v>0</v>
      </c>
      <c r="V11" s="296">
        <f t="array" ref="V11">if(V$3=$C11,"-", countif(indirect(address(row($C$4)+ VLOOKUP(V$3,$C$5:$C$16,1),COLUMN($D$4))):indirect(address(row($C$4)+ VLOOKUP(V$3,$C$5:$C$16,1),COLUMN($L$4)))&gt;indirect(address(row($C11),COLUMN($D$4))):indirect(address(row($C11),COLUMN($L$4))),TRUE()))</f>
        <v>0</v>
      </c>
      <c r="W11" s="296">
        <f t="array" ref="W11">if(W$3=$C11,"-", countif(indirect(address(row($C$4)+ VLOOKUP(W$3,$C$5:$C$16,1),COLUMN($D$4))):indirect(address(row($C$4)+ VLOOKUP(W$3,$C$5:$C$16,1),COLUMN($L$4)))&gt;indirect(address(row($C11),COLUMN($D$4))):indirect(address(row($C11),COLUMN($L$4))),TRUE()))</f>
        <v>0</v>
      </c>
      <c r="X11" s="296">
        <f t="array" ref="X11">if(X$3=$C11,"-", countif(indirect(address(row($C$4)+ VLOOKUP(X$3,$C$5:$C$16,1),COLUMN($D$4))):indirect(address(row($C$4)+ VLOOKUP(X$3,$C$5:$C$16,1),COLUMN($L$4)))&gt;indirect(address(row($C11),COLUMN($D$4))):indirect(address(row($C11),COLUMN($L$4))),TRUE()))</f>
        <v>0</v>
      </c>
      <c r="Y11" s="296">
        <f t="array" ref="Y11">if(D$1=$C11,"-", countif(indirect(address(row($C$4)+ VLOOKUP(D$1,$C$5:$C$16,1),COLUMN($D$4))):indirect(address(row($C$4)+ VLOOKUP(D$1,$C$5:$C$16,1),COLUMN($L$4)))&gt;indirect(address(row($C11),COLUMN($D$4))):indirect(address(row($C11),COLUMN($L$4))),TRUE()))</f>
        <v>0</v>
      </c>
      <c r="Z11" s="297">
        <f>SUM(S$5:S$16)/99</f>
        <v>0</v>
      </c>
    </row>
    <row r="12">
      <c r="B12" s="295" t="str">
        <f>Draft!C10</f>
        <v>#REF!</v>
      </c>
      <c r="C12" s="286">
        <v>8.0</v>
      </c>
      <c r="D12" s="282">
        <f>((IF(ISBLANK(Draft!D10),0,VLOOKUP(Draft!D10, 'Final Update'!A4:L1000,2,FALSE)+(IF(ISBLANK(Draft!E7),0,VLOOKUP(Draft!E7, 'Final Update'!A4:L1000,2,FALSE)+(IF(ISBLANK(Draft!F10),0,VLOOKUP(Draft!F10, 'Final Update'!A4:L1000,2,FALSE)+(IF(ISBLANK(Draft!G7),0,VLOOKUP(Draft!G7, 'Final Update'!A4:L1000,2,FALSE)+(IF(ISBLANK(Draft!H10),0,VLOOKUP(Draft!H10, 'Final Update'!A4:L1000,2,FALSE)+(IF(ISBLANK(Draft!I7),0,VLOOKUP(Draft!I7, 'Final Update'!A4:L1000,2,FALSE)+(IF(ISBLANK(Draft!J10),0,VLOOKUP(Draft!J10, 'Final Update'!A4:L1000,2,FALSE)+(IF(ISBLANK(Draft!K7),0,VLOOKUP(Draft!K7, 'Final Update'!A4:L1000,2,FALSE)+(IF(ISBLANK(Draft!L10),0,VLOOKUP(Draft!L10, 'Final Update'!A4:L1000,2,FALSE)+(IF(ISBLANK(Draft!M7),0,VLOOKUP(Draft!M7, 'Final Update'!A4:L1000,2,FALSE)+IF(ISBLANK(Draft!N10),0,VLOOKUP(Draft!N10, 'Final Update'!A4:L1000,2,FALSE)+IF(ISBLANK(Draft!O7),0,VLOOKUP(Draft!O7, 'Final Update'!A4:L1000,2,FALSE))))))))))))))))))))))))</f>
        <v>0</v>
      </c>
      <c r="E12" s="282">
        <f>((IF(ISBLANK(Draft!D10),0,VLOOKUP(Draft!D10, 'Final Update'!A4:L1000,3,FALSE)+(IF(ISBLANK(Draft!E7),0,VLOOKUP(Draft!E7, 'Final Update'!A4:L1000,3,FALSE)+(IF(ISBLANK(Draft!F10),0,VLOOKUP(Draft!F10, 'Final Update'!A4:L1000,3,FALSE)+(IF(ISBLANK(Draft!G7),0,VLOOKUP(Draft!G7, 'Final Update'!A4:L1000,3,FALSE)+(IF(ISBLANK(Draft!H10),0,VLOOKUP(Draft!H10, 'Final Update'!A4:L1000,3,FALSE)+(IF(ISBLANK(Draft!I7),0,VLOOKUP(Draft!I7, 'Final Update'!A4:L1000,3,FALSE)+(IF(ISBLANK(Draft!J10),0,VLOOKUP(Draft!J10, 'Final Update'!A4:L1000,3,FALSE)+(IF(ISBLANK(Draft!K7),0,VLOOKUP(Draft!K7, 'Final Update'!A4:L1000,3,FALSE)+(IF(ISBLANK(Draft!L10),0,VLOOKUP(Draft!L10, 'Final Update'!A4:L1000,3,FALSE)+(IF(ISBLANK(Draft!M7),0,VLOOKUP(Draft!M7, 'Final Update'!A4:L1000,3,FALSE)+IF(ISBLANK(Draft!N10),0,VLOOKUP(Draft!N10, 'Final Update'!A4:L1000,3,FALSE)+IF(ISBLANK(Draft!O7),0,VLOOKUP(Draft!O7, 'Final Update'!A4:L1000,3,FALSE))))))))))))))))))))))))</f>
        <v>0</v>
      </c>
      <c r="F12" s="282">
        <f>((IF(ISBLANK(Draft!D10),0,VLOOKUP(Draft!D10, 'Final Update'!A4:L1000,4,FALSE)+(IF(ISBLANK(Draft!E7),0,VLOOKUP(Draft!E7, 'Final Update'!A4:L1000,4,FALSE)+(IF(ISBLANK(Draft!F10),0,VLOOKUP(Draft!F10, 'Final Update'!A4:L1000,4,FALSE)+(IF(ISBLANK(Draft!G7),0,VLOOKUP(Draft!G7, 'Final Update'!A4:L1000,4,FALSE)+(IF(ISBLANK(Draft!H10),0,VLOOKUP(Draft!H10, 'Final Update'!A4:L1000,4,FALSE)+(IF(ISBLANK(Draft!I7),0,VLOOKUP(Draft!I7, 'Final Update'!A4:L1000,4,FALSE)+(IF(ISBLANK(Draft!J10),0,VLOOKUP(Draft!J10, 'Final Update'!A4:L1000,4,FALSE)+(IF(ISBLANK(Draft!K7),0,VLOOKUP(Draft!K7, 'Final Update'!A4:L1000,4,FALSE)+(IF(ISBLANK(Draft!L10),0,VLOOKUP(Draft!L10, 'Final Update'!A4:L1000,4,FALSE)+(IF(ISBLANK(Draft!M7),0,VLOOKUP(Draft!M7, 'Final Update'!A4:L1000,4,FALSE)+IF(ISBLANK(Draft!N10),0,VLOOKUP(Draft!N10, 'Final Update'!A4:L1000,4,FALSE)+IF(ISBLANK(Draft!O7),0,VLOOKUP(Draft!O7, 'Final Update'!A4:L1000,4,FALSE))))))))))))))))))))))))</f>
        <v>0</v>
      </c>
      <c r="G12" s="286">
        <f>((IF(ISBLANK(Draft!D10),0,VLOOKUP(Draft!D10, 'Final Update'!A4:L1000,5,FALSE)+(IF(ISBLANK(Draft!E7),0,VLOOKUP(Draft!E7, 'Final Update'!A4:L1000,5,FALSE)+(IF(ISBLANK(Draft!F10),0,VLOOKUP(Draft!F10, 'Final Update'!A4:L1000,5,FALSE)+(IF(ISBLANK(Draft!G7),0,VLOOKUP(Draft!G7, 'Final Update'!A4:L1000,5,FALSE)+(IF(ISBLANK(Draft!H10),0,VLOOKUP(Draft!H10, 'Final Update'!A4:L1000,5,FALSE)+(IF(ISBLANK(Draft!I7),0,VLOOKUP(Draft!I7, 'Final Update'!A4:L1000,5,FALSE)+(IF(ISBLANK(Draft!J10),0,VLOOKUP(Draft!J10, 'Final Update'!A4:L1000,5,FALSE)+(IF(ISBLANK(Draft!K7),0,VLOOKUP(Draft!K7, 'Final Update'!A4:L1000,5,FALSE)+(IF(ISBLANK(Draft!L10),0,VLOOKUP(Draft!L10, 'Final Update'!A4:L1000,5,FALSE)+(IF(ISBLANK(Draft!M7),0,VLOOKUP(Draft!M7, 'Final Update'!A4:L1000,5,FALSE)+IF(ISBLANK(Draft!N10),0,VLOOKUP(Draft!N10, 'Final Update'!A4:L1000,5,FALSE)+IF(ISBLANK(Draft!O7),0,VLOOKUP(Draft!O7, 'Final Update'!A4:L1000,5,FALSE))))))))))))))))))))))))</f>
        <v>0</v>
      </c>
      <c r="H12" s="282">
        <f>((IF(ISBLANK(Draft!D10),0,VLOOKUP(Draft!D10, 'Final Update'!A4:L1000,6,FALSE)+(IF(ISBLANK(Draft!E7),0,VLOOKUP(Draft!E7, 'Final Update'!A4:L1000,6,FALSE)+(IF(ISBLANK(Draft!F10),0,VLOOKUP(Draft!F10, 'Final Update'!A4:L1000,6,FALSE)+(IF(ISBLANK(Draft!G7),0,VLOOKUP(Draft!G7, 'Final Update'!A4:L1000,6,FALSE)+(IF(ISBLANK(Draft!H10),0,VLOOKUP(Draft!H10, 'Final Update'!A4:L1000,6,FALSE)+(IF(ISBLANK(Draft!I7),0,VLOOKUP(Draft!I7, 'Final Update'!A4:L1000,6,FALSE)+(IF(ISBLANK(Draft!J10),0,VLOOKUP(Draft!J10, 'Final Update'!A4:L1000,6,FALSE)+(IF(ISBLANK(Draft!K7),0,VLOOKUP(Draft!K7, 'Final Update'!A4:L1000,6,FALSE)+(IF(ISBLANK(Draft!L10),0,VLOOKUP(Draft!L10, 'Final Update'!A4:L1000,6,FALSE)+(IF(ISBLANK(Draft!M7),0,VLOOKUP(Draft!M7, 'Final Update'!A4:L1000,6,FALSE)+IF(ISBLANK(Draft!N10),0,VLOOKUP(Draft!N10, 'Final Update'!A4:L1000,6,FALSE)+IF(ISBLANK(Draft!O7),0,VLOOKUP(Draft!O7, 'Final Update'!A4:L1000,6,FALSE))))))))))))))))))))))))</f>
        <v>0</v>
      </c>
      <c r="I12" s="282">
        <f>((IF(ISBLANK(Draft!D10),0,VLOOKUP(Draft!D10, 'Final Update'!A4:L1000,7,FALSE)+(IF(ISBLANK(Draft!E7),0,VLOOKUP(Draft!E7, 'Final Update'!A4:L1000,7,FALSE)+(IF(ISBLANK(Draft!F10),0,VLOOKUP(Draft!F10, 'Final Update'!A4:L1000,7,FALSE)+(IF(ISBLANK(Draft!G7),0,VLOOKUP(Draft!G7, 'Final Update'!A4:L1000,7,FALSE)+(IF(ISBLANK(Draft!H10),0,VLOOKUP(Draft!H10, 'Final Update'!A4:L1000,7,FALSE)+(IF(ISBLANK(Draft!I7),0,VLOOKUP(Draft!I7, 'Final Update'!A4:L1000,7,FALSE)+(IF(ISBLANK(Draft!J10),0,VLOOKUP(Draft!J10, 'Final Update'!A4:L1000,7,FALSE)+(IF(ISBLANK(Draft!K7),0,VLOOKUP(Draft!K7, 'Final Update'!A4:L1000,7,FALSE)+(IF(ISBLANK(Draft!L10),0,VLOOKUP(Draft!L10, 'Final Update'!A4:L1000,7,FALSE)+(IF(ISBLANK(Draft!M7),0,VLOOKUP(Draft!M7, 'Final Update'!A4:L1000,7,FALSE)+IF(ISBLANK(Draft!N10),0,VLOOKUP(Draft!N10, 'Final Update'!A4:L1000,7,FALSE)+IF(ISBLANK(Draft!O7),0,VLOOKUP(Draft!O7, 'Final Update'!A4:L1000,7,FALSE))))))))))))))))))))))))</f>
        <v>0</v>
      </c>
      <c r="J12" s="282">
        <f>((IF(ISBLANK(Draft!D10),0,VLOOKUP(Draft!D10, 'Final Update'!A4:L1000,8,FALSE)+(IF(ISBLANK(Draft!E7),0,VLOOKUP(Draft!E7, 'Final Update'!A4:L1000,8,FALSE)+(IF(ISBLANK(Draft!F10),0,VLOOKUP(Draft!F10, 'Final Update'!A4:L1000,8,FALSE)+(IF(ISBLANK(Draft!G7),0,VLOOKUP(Draft!G7, 'Final Update'!A4:L1000,8,FALSE)+(IF(ISBLANK(Draft!H10),0,VLOOKUP(Draft!H10, 'Final Update'!A4:L1000,8,FALSE)+(IF(ISBLANK(Draft!I7),0,VLOOKUP(Draft!I7, 'Final Update'!A4:L1000,8,FALSE)+(IF(ISBLANK(Draft!J10),0,VLOOKUP(Draft!J10, 'Final Update'!A4:L1000,8,FALSE)+(IF(ISBLANK(Draft!K7),0,VLOOKUP(Draft!K7, 'Final Update'!A4:L1000,8,FALSE)+(IF(ISBLANK(Draft!L10),0,VLOOKUP(Draft!L10, 'Final Update'!A4:L1000,8,FALSE)+(IF(ISBLANK(Draft!M7),0,VLOOKUP(Draft!M7, 'Final Update'!A4:L1000,8,FALSE)+IF(ISBLANK(Draft!N10),0,VLOOKUP(Draft!N10, 'Final Update'!A4:L1000,8,FALSE)+IF(ISBLANK(Draft!O7),0,VLOOKUP(Draft!O7, 'Final Update'!A4:L1000,8,FALSE))))))))))))))))))))))))</f>
        <v>0</v>
      </c>
      <c r="K12" s="282">
        <f>((IF(ISBLANK(Draft!D10),0,VLOOKUP(Draft!D10, 'Final Update'!A4:L1000,10,FALSE)+(IF(ISBLANK(Draft!E7),0,VLOOKUP(Draft!E7, 'Final Update'!A4:L1000,10,FALSE)+(IF(ISBLANK(Draft!F10),0,VLOOKUP(Draft!F10, 'Final Update'!A4:L1000,10,FALSE)+(IF(ISBLANK(Draft!G7),0,VLOOKUP(Draft!G7, 'Final Update'!A4:L1000,10,FALSE)+(IF(ISBLANK(Draft!H10),0,VLOOKUP(Draft!H10, 'Final Update'!A4:L1000,10,FALSE)+(IF(ISBLANK(Draft!I7),0,VLOOKUP(Draft!I7, 'Final Update'!A4:L1000,10,FALSE)+(IF(ISBLANK(Draft!J10),0,VLOOKUP(Draft!J10, 'Final Update'!A4:L1000,10,FALSE)+(IF(ISBLANK(Draft!K7),0,VLOOKUP(Draft!K7, 'Final Update'!A4:L1000,10,FALSE)+(IF(ISBLANK(Draft!L10),0,VLOOKUP(Draft!L10, 'Final Update'!A4:L1000,10,FALSE)+(IF(ISBLANK(Draft!M7),0,VLOOKUP(Draft!M7, 'Final Update'!A4:L1000,10,FALSE)+IF(ISBLANK(Draft!N10),0,VLOOKUP(Draft!N10, 'Final Update'!A4:L1000,10,FALSE)+IF(ISBLANK(Draft!O7),0,VLOOKUP(Draft!O7, 'Final Update'!A4:L1000,10,FALSE))))))))))))))))))))))))</f>
        <v>0</v>
      </c>
      <c r="L12" s="282">
        <f>((IF(ISBLANK(Draft!D10),0,VLOOKUP(Draft!D10, 'Final Update'!A4:L1000,12,FALSE)+(IF(ISBLANK(Draft!E7),0,VLOOKUP(Draft!E7, 'Final Update'!A4:L1000,12,FALSE)+(IF(ISBLANK(Draft!F10),0,VLOOKUP(Draft!F10, 'Final Update'!A4:L1000,12,FALSE)+(IF(ISBLANK(Draft!G7),0,VLOOKUP(Draft!G7, 'Final Update'!A4:L1000,12,FALSE)+(IF(ISBLANK(Draft!H10),0,VLOOKUP(Draft!H10, 'Final Update'!A4:L1000,12,FALSE)+(IF(ISBLANK(Draft!I7),0,VLOOKUP(Draft!I7, 'Final Update'!A4:L1000,12,FALSE)+(IF(ISBLANK(Draft!J10),0,VLOOKUP(Draft!J10, 'Final Update'!A4:L1000,12,FALSE)+(IF(ISBLANK(Draft!K7),0,VLOOKUP(Draft!K7, 'Final Update'!A4:L1000,12,FALSE)+(IF(ISBLANK(Draft!L10),0,VLOOKUP(Draft!L10, 'Final Update'!A4:L1000,12,FALSE)+(IF(ISBLANK(Draft!M7),0,VLOOKUP(Draft!M7, 'Final Update'!A4:L1000,12,FALSE)+IF(ISBLANK(Draft!N10),0,VLOOKUP(Draft!N10, 'Final Update'!A4:L1000,12,FALSE)+IF(ISBLANK(Draft!O7),0,VLOOKUP(Draft!O7, 'Final Update'!A4:L1000,12,FALSE))))))))))))))))))))))))</f>
        <v>0</v>
      </c>
      <c r="M12" s="296">
        <f t="array" ref="M12">if(M$3=$C12,"-", countif(indirect(address(row($C$4)+ VLOOKUP(M$3,$C$5:$C$16,1),COLUMN($D$4))):indirect(address(row($C$4)+ VLOOKUP(M$3,$C$5:$C$16,1),COLUMN($L$4)))&gt;indirect(address(row($C12),COLUMN($D$4))):indirect(address(row($C12),COLUMN($L$4))),TRUE()))</f>
        <v>0</v>
      </c>
      <c r="N12" s="296">
        <f t="array" ref="N12">if(N$3=$C12,"-", countif(indirect(address(row($C$4)+ VLOOKUP(N$3,$C$5:$C$16,1),COLUMN($D$4))):indirect(address(row($C$4)+ VLOOKUP(N$3,$C$5:$C$16,1),COLUMN($L$4)))&gt;indirect(address(row($C12),COLUMN($D$4))):indirect(address(row($C12),COLUMN($L$4))),TRUE()))</f>
        <v>0</v>
      </c>
      <c r="O12" s="296">
        <f t="array" ref="O12">if(O$3=$C12,"-", countif(indirect(address(row($C$4)+ VLOOKUP(O$3,$C$5:$C$16,1),COLUMN($D$4))):indirect(address(row($C$4)+ VLOOKUP(O$3,$C$5:$C$16,1),COLUMN($L$4)))&gt;indirect(address(row($C12),COLUMN($D$4))):indirect(address(row($C12),COLUMN($L$4))),TRUE()))</f>
        <v>0</v>
      </c>
      <c r="P12" s="296">
        <f t="array" ref="P12">if(P$3=$C12,"-", countif(indirect(address(row($C$4)+ VLOOKUP(P$3,$C$5:$C$16,1),COLUMN($D$4))):indirect(address(row($C$4)+ VLOOKUP(P$3,$C$5:$C$16,1),COLUMN($L$4)))&gt;indirect(address(row($C12),COLUMN($D$4))):indirect(address(row($C12),COLUMN($L$4))),TRUE()))</f>
        <v>0</v>
      </c>
      <c r="Q12" s="296">
        <f t="array" ref="Q12">if(Q$3=$C12,"-", countif(indirect(address(row($C$4)+ VLOOKUP(Q$3,$C$5:$C$16,1),COLUMN($D$4))):indirect(address(row($C$4)+ VLOOKUP(Q$3,$C$5:$C$16,1),COLUMN($L$4)))&gt;indirect(address(row($C12),COLUMN($D$4))):indirect(address(row($C12),COLUMN($L$4))),TRUE()))</f>
        <v>0</v>
      </c>
      <c r="R12" s="296">
        <f t="array" ref="R12">if(R$3=$C12,"-", countif(indirect(address(row($C$4)+ VLOOKUP(R$3,$C$5:$C$16,1),COLUMN($D$4))):indirect(address(row($C$4)+ VLOOKUP(R$3,$C$5:$C$16,1),COLUMN($L$4)))&gt;indirect(address(row($C12),COLUMN($D$4))):indirect(address(row($C12),COLUMN($L$4))),TRUE()))</f>
        <v>0</v>
      </c>
      <c r="S12" s="296">
        <f t="array" ref="S12">if(S$3=$C12,"-", countif(indirect(address(row($C$4)+ VLOOKUP(S$3,$C$5:$C$16,1),COLUMN($D$4))):indirect(address(row($C$4)+ VLOOKUP(S$3,$C$5:$C$16,1),COLUMN($L$4)))&gt;indirect(address(row($C12),COLUMN($D$4))):indirect(address(row($C12),COLUMN($L$4))),TRUE()))</f>
        <v>0</v>
      </c>
      <c r="T12" s="296">
        <f t="array" ref="T12">if(T$3=$C12,"-", countif(indirect(address(row($C$4)+ VLOOKUP(T$3,$C$5:$C$16,1),COLUMN($D$4))):indirect(address(row($C$4)+ VLOOKUP(T$3,$C$5:$C$16,1),COLUMN($L$4)))&gt;indirect(address(row($C12),COLUMN($D$4))):indirect(address(row($C12),COLUMN($L$4))),TRUE()))</f>
        <v>0</v>
      </c>
      <c r="U12" s="296">
        <f t="array" ref="U12">if(U$3=$C12,"-", countif(indirect(address(row($C$4)+ VLOOKUP(U$3,$C$5:$C$16,1),COLUMN($D$4))):indirect(address(row($C$4)+ VLOOKUP(U$3,$C$5:$C$16,1),COLUMN($L$4)))&gt;indirect(address(row($C12),COLUMN($D$4))):indirect(address(row($C12),COLUMN($L$4))),TRUE()))</f>
        <v>0</v>
      </c>
      <c r="V12" s="296">
        <f t="array" ref="V12">if(V$3=$C12,"-", countif(indirect(address(row($C$4)+ VLOOKUP(V$3,$C$5:$C$16,1),COLUMN($D$4))):indirect(address(row($C$4)+ VLOOKUP(V$3,$C$5:$C$16,1),COLUMN($L$4)))&gt;indirect(address(row($C12),COLUMN($D$4))):indirect(address(row($C12),COLUMN($L$4))),TRUE()))</f>
        <v>0</v>
      </c>
      <c r="W12" s="296">
        <f t="array" ref="W12">if(W$3=$C12,"-", countif(indirect(address(row($C$4)+ VLOOKUP(W$3,$C$5:$C$16,1),COLUMN($D$4))):indirect(address(row($C$4)+ VLOOKUP(W$3,$C$5:$C$16,1),COLUMN($L$4)))&gt;indirect(address(row($C12),COLUMN($D$4))):indirect(address(row($C12),COLUMN($L$4))),TRUE()))</f>
        <v>0</v>
      </c>
      <c r="X12" s="296">
        <f t="array" ref="X12">if(X$3=$C12,"-", countif(indirect(address(row($C$4)+ VLOOKUP(X$3,$C$5:$C$16,1),COLUMN($D$4))):indirect(address(row($C$4)+ VLOOKUP(X$3,$C$5:$C$16,1),COLUMN($L$4)))&gt;indirect(address(row($C12),COLUMN($D$4))):indirect(address(row($C12),COLUMN($L$4))),TRUE()))</f>
        <v>0</v>
      </c>
      <c r="Y12" s="296">
        <f t="array" ref="Y12">if(D$1=$C12,"-", countif(indirect(address(row($C$4)+ VLOOKUP(D$1,$C$5:$C$16,1),COLUMN($D$4))):indirect(address(row($C$4)+ VLOOKUP(D$1,$C$5:$C$16,1),COLUMN($L$4)))&gt;indirect(address(row($C12),COLUMN($D$4))):indirect(address(row($C12),COLUMN($L$4))),TRUE()))</f>
        <v>0</v>
      </c>
      <c r="Z12" s="297">
        <f>SUM(T$5:T$16)/99</f>
        <v>0</v>
      </c>
    </row>
    <row r="13">
      <c r="B13" s="295" t="str">
        <f>Draft!C11</f>
        <v>#REF!</v>
      </c>
      <c r="C13" s="286">
        <v>9.0</v>
      </c>
      <c r="D13" s="282">
        <f>((IF(ISBLANK(Draft!D11),0,VLOOKUP(Draft!D11, 'Final Update'!A4:L1000,2,FALSE)+(IF(ISBLANK(Draft!E6),0,VLOOKUP(Draft!E6, 'Final Update'!A4:L1000,2,FALSE)+(IF(ISBLANK(Draft!F11),0,VLOOKUP(Draft!F11, 'Final Update'!A4:L1000,2,FALSE)+(IF(ISBLANK(Draft!G6),0,VLOOKUP(Draft!G6, 'Final Update'!A4:L1000,2,FALSE)+(IF(ISBLANK(Draft!H11),0,VLOOKUP(Draft!H11, 'Final Update'!A4:L1000,2,FALSE)+(IF(ISBLANK(Draft!I6),0,VLOOKUP(Draft!I6, 'Final Update'!A4:L1000,2,FALSE)+(IF(ISBLANK(Draft!J11),0,VLOOKUP(Draft!J11, 'Final Update'!A4:L1000,2,FALSE)+(IF(ISBLANK(Draft!K6),0,VLOOKUP(Draft!K6, 'Final Update'!A4:L1000,2,FALSE)+(IF(ISBLANK(Draft!L11),0,VLOOKUP(Draft!L11, 'Final Update'!A4:L1000,2,FALSE)+(IF(ISBLANK(Draft!M6),0,VLOOKUP(Draft!M6, 'Final Update'!A4:L1000,2,FALSE)+IF(ISBLANK(Draft!N11),0,VLOOKUP(Draft!N11, 'Final Update'!A4:L1000,2,FALSE)+IF(ISBLANK(Draft!O6),0,VLOOKUP(Draft!O6, 'Final Update'!A4:L1000,2,FALSE))))))))))))))))))))))))</f>
        <v>0</v>
      </c>
      <c r="E13" s="282">
        <f>((IF(ISBLANK(Draft!D11),0,VLOOKUP(Draft!D11, 'Final Update'!A4:L1000,3,FALSE)+(IF(ISBLANK(Draft!E6),0,VLOOKUP(Draft!E6, 'Final Update'!A4:L1000,3,FALSE)+(IF(ISBLANK(Draft!F11),0,VLOOKUP(Draft!F11, 'Final Update'!A4:L1000,3,FALSE)+(IF(ISBLANK(Draft!G6),0,VLOOKUP(Draft!G6, 'Final Update'!A4:L1000,3,FALSE)+(IF(ISBLANK(Draft!H11),0,VLOOKUP(Draft!H11, 'Final Update'!A4:L1000,3,FALSE)+(IF(ISBLANK(Draft!I6),0,VLOOKUP(Draft!I6, 'Final Update'!A4:L1000,3,FALSE)+(IF(ISBLANK(Draft!J11),0,VLOOKUP(Draft!J11, 'Final Update'!A4:L1000,3,FALSE)+(IF(ISBLANK(Draft!K6),0,VLOOKUP(Draft!K6, 'Final Update'!A4:L1000,3,FALSE)+(IF(ISBLANK(Draft!L11),0,VLOOKUP(Draft!L11, 'Final Update'!A4:L1000,3,FALSE)+(IF(ISBLANK(Draft!M6),0,VLOOKUP(Draft!M6, 'Final Update'!A4:L1000,3,FALSE)+IF(ISBLANK(Draft!N11),0,VLOOKUP(Draft!N11, 'Final Update'!A4:L1000,3,FALSE)+IF(ISBLANK(Draft!O6),0,VLOOKUP(Draft!O6, 'Final Update'!A4:L1000,3,FALSE))))))))))))))))))))))))</f>
        <v>0</v>
      </c>
      <c r="F13" s="282">
        <f>((IF(ISBLANK(Draft!D11),0,VLOOKUP(Draft!D11, 'Final Update'!A4:L1000,4,FALSE)+(IF(ISBLANK(Draft!E6),0,VLOOKUP(Draft!E6, 'Final Update'!A4:L1000,4,FALSE)+(IF(ISBLANK(Draft!F11),0,VLOOKUP(Draft!F11, 'Final Update'!A4:L1000,4,FALSE)+(IF(ISBLANK(Draft!G6),0,VLOOKUP(Draft!G6, 'Final Update'!A4:L1000,4,FALSE)+(IF(ISBLANK(Draft!H11),0,VLOOKUP(Draft!H11, 'Final Update'!A4:L1000,4,FALSE)+(IF(ISBLANK(Draft!I6),0,VLOOKUP(Draft!I6, 'Final Update'!A4:L1000,4,FALSE)+(IF(ISBLANK(Draft!J11),0,VLOOKUP(Draft!J11, 'Final Update'!A4:L1000,4,FALSE)+(IF(ISBLANK(Draft!K6),0,VLOOKUP(Draft!K6, 'Final Update'!A4:L1000,4,FALSE)+(IF(ISBLANK(Draft!L11),0,VLOOKUP(Draft!L11, 'Final Update'!A4:L1000,4,FALSE)+(IF(ISBLANK(Draft!M6),0,VLOOKUP(Draft!M6, 'Final Update'!A4:L1000,4,FALSE)+IF(ISBLANK(Draft!N11),0,VLOOKUP(Draft!N11, 'Final Update'!A4:L1000,4,FALSE)+IF(ISBLANK(Draft!O6),0,VLOOKUP(Draft!O6, 'Final Update'!A4:L1000,4,FALSE))))))))))))))))))))))))</f>
        <v>0</v>
      </c>
      <c r="G13" s="282">
        <f>((IF(ISBLANK(Draft!D11),0,VLOOKUP(Draft!D11, 'Final Update'!A4:L1000,5,FALSE)+(IF(ISBLANK(Draft!E6),0,VLOOKUP(Draft!E6, 'Final Update'!A4:L1000,5,FALSE)+(IF(ISBLANK(Draft!F11),0,VLOOKUP(Draft!F11, 'Final Update'!A4:L1000,5,FALSE)+(IF(ISBLANK(Draft!G6),0,VLOOKUP(Draft!G6, 'Final Update'!A4:L1000,5,FALSE)+(IF(ISBLANK(Draft!H11),0,VLOOKUP(Draft!H11, 'Final Update'!A4:L1000,5,FALSE)+(IF(ISBLANK(Draft!I6),0,VLOOKUP(Draft!I6, 'Final Update'!A4:L1000,5,FALSE)+(IF(ISBLANK(Draft!J11),0,VLOOKUP(Draft!J11, 'Final Update'!A4:L1000,5,FALSE)+(IF(ISBLANK(Draft!K6),0,VLOOKUP(Draft!K6, 'Final Update'!A4:L1000,5,FALSE)+(IF(ISBLANK(Draft!L11),0,VLOOKUP(Draft!L11, 'Final Update'!A4:L1000,5,FALSE)+(IF(ISBLANK(Draft!M6),0,VLOOKUP(Draft!M6, 'Final Update'!A4:L1000,5,FALSE)+IF(ISBLANK(Draft!N11),0,VLOOKUP(Draft!N11, 'Final Update'!A4:L1000,5,FALSE)+IF(ISBLANK(Draft!O6),0,VLOOKUP(Draft!O6, 'Final Update'!A4:L1000,5,FALSE))))))))))))))))))))))))</f>
        <v>0</v>
      </c>
      <c r="H13" s="282">
        <f>((IF(ISBLANK(Draft!D11),0,VLOOKUP(Draft!D11, 'Final Update'!A4:L1000,6,FALSE)+(IF(ISBLANK(Draft!E6),0,VLOOKUP(Draft!E6, 'Final Update'!A4:L1000,6,FALSE)+(IF(ISBLANK(Draft!F11),0,VLOOKUP(Draft!F11, 'Final Update'!A4:L1000,6,FALSE)+(IF(ISBLANK(Draft!G6),0,VLOOKUP(Draft!G6, 'Final Update'!A4:L1000,6,FALSE)+(IF(ISBLANK(Draft!H11),0,VLOOKUP(Draft!H11, 'Final Update'!A4:L1000,6,FALSE)+(IF(ISBLANK(Draft!I6),0,VLOOKUP(Draft!I6, 'Final Update'!A4:L1000,6,FALSE)+(IF(ISBLANK(Draft!J11),0,VLOOKUP(Draft!J11, 'Final Update'!A4:L1000,6,FALSE)+(IF(ISBLANK(Draft!K6),0,VLOOKUP(Draft!K6, 'Final Update'!A4:L1000,6,FALSE)+(IF(ISBLANK(Draft!L11),0,VLOOKUP(Draft!L11, 'Final Update'!A4:L1000,6,FALSE)+(IF(ISBLANK(Draft!M6),0,VLOOKUP(Draft!M6, 'Final Update'!A4:L1000,6,FALSE)+IF(ISBLANK(Draft!N11),0,VLOOKUP(Draft!N11, 'Final Update'!A4:L1000,6,FALSE)+IF(ISBLANK(Draft!O6),0,VLOOKUP(Draft!O6, 'Final Update'!A4:L1000,6,FALSE))))))))))))))))))))))))</f>
        <v>0</v>
      </c>
      <c r="I13" s="282">
        <f>((IF(ISBLANK(Draft!D11),0,VLOOKUP(Draft!D11, 'Final Update'!A4:L1000,7,FALSE)+(IF(ISBLANK(Draft!E6),0,VLOOKUP(Draft!E6, 'Final Update'!A4:L1000,7,FALSE)+(IF(ISBLANK(Draft!F11),0,VLOOKUP(Draft!F11, 'Final Update'!A4:L1000,7,FALSE)+(IF(ISBLANK(Draft!G6),0,VLOOKUP(Draft!G6, 'Final Update'!A4:L1000,7,FALSE)+(IF(ISBLANK(Draft!H11),0,VLOOKUP(Draft!H11, 'Final Update'!A4:L1000,7,FALSE)+(IF(ISBLANK(Draft!I6),0,VLOOKUP(Draft!I6, 'Final Update'!A4:L1000,7,FALSE)+(IF(ISBLANK(Draft!J11),0,VLOOKUP(Draft!J11, 'Final Update'!A4:L1000,7,FALSE)+(IF(ISBLANK(Draft!K6),0,VLOOKUP(Draft!K6, 'Final Update'!A4:L1000,7,FALSE)+(IF(ISBLANK(Draft!L11),0,VLOOKUP(Draft!L11, 'Final Update'!A4:L1000,7,FALSE)+(IF(ISBLANK(Draft!M6),0,VLOOKUP(Draft!M6, 'Final Update'!A4:L1000,7,FALSE)+IF(ISBLANK(Draft!N11),0,VLOOKUP(Draft!N11, 'Final Update'!A4:L1000,7,FALSE)+IF(ISBLANK(Draft!O6),0,VLOOKUP(Draft!O6, 'Final Update'!A4:L1000,7,FALSE))))))))))))))))))))))))</f>
        <v>0</v>
      </c>
      <c r="J13" s="282">
        <f>((IF(ISBLANK(Draft!D11),0,VLOOKUP(Draft!D11, 'Final Update'!A4:L1000,8,FALSE)+(IF(ISBLANK(Draft!E6),0,VLOOKUP(Draft!E6, 'Final Update'!A4:L1000,8,FALSE)+(IF(ISBLANK(Draft!F11),0,VLOOKUP(Draft!F11, 'Final Update'!A4:L1000,8,FALSE)+(IF(ISBLANK(Draft!G6),0,VLOOKUP(Draft!G6, 'Final Update'!A4:L1000,8,FALSE)+(IF(ISBLANK(Draft!H11),0,VLOOKUP(Draft!H11, 'Final Update'!A4:L1000,8,FALSE)+(IF(ISBLANK(Draft!I6),0,VLOOKUP(Draft!I6, 'Final Update'!A4:L1000,8,FALSE)+(IF(ISBLANK(Draft!J11),0,VLOOKUP(Draft!J11, 'Final Update'!A4:L1000,8,FALSE)+(IF(ISBLANK(Draft!K6),0,VLOOKUP(Draft!K6, 'Final Update'!A4:L1000,8,FALSE)+(IF(ISBLANK(Draft!L11),0,VLOOKUP(Draft!L11, 'Final Update'!A4:L1000,8,FALSE)+(IF(ISBLANK(Draft!M6),0,VLOOKUP(Draft!M6, 'Final Update'!A4:L1000,8,FALSE)+IF(ISBLANK(Draft!N11),0,VLOOKUP(Draft!N11, 'Final Update'!A4:L1000,8,FALSE)+IF(ISBLANK(Draft!O6),0,VLOOKUP(Draft!O6, 'Final Update'!A4:L1000,8,FALSE))))))))))))))))))))))))</f>
        <v>0</v>
      </c>
      <c r="K13" s="282">
        <f>((IF(ISBLANK(Draft!D11),0,VLOOKUP(Draft!D11, 'Final Update'!A4:L1000,10,FALSE)+(IF(ISBLANK(Draft!E6),0,VLOOKUP(Draft!E6, 'Final Update'!A4:L1000,10,FALSE)+(IF(ISBLANK(Draft!F11),0,VLOOKUP(Draft!F11, 'Final Update'!A4:L1000,10,FALSE)+(IF(ISBLANK(Draft!G6),0,VLOOKUP(Draft!G6, 'Final Update'!A4:L1000,10,FALSE)+(IF(ISBLANK(Draft!H11),0,VLOOKUP(Draft!H11, 'Final Update'!A4:L1000,10,FALSE)+(IF(ISBLANK(Draft!I6),0,VLOOKUP(Draft!I6, 'Final Update'!A4:L1000,10,FALSE)+(IF(ISBLANK(Draft!J11),0,VLOOKUP(Draft!J11, 'Final Update'!A4:L1000,10,FALSE)+(IF(ISBLANK(Draft!K6),0,VLOOKUP(Draft!K6, 'Final Update'!A4:L1000,10,FALSE)+(IF(ISBLANK(Draft!L11),0,VLOOKUP(Draft!L11, 'Final Update'!A4:L1000,10,FALSE)+(IF(ISBLANK(Draft!M6),0,VLOOKUP(Draft!M6, 'Final Update'!A4:L1000,10,FALSE)+IF(ISBLANK(Draft!N11),0,VLOOKUP(Draft!N11, 'Final Update'!A4:L1000,10,FALSE)+IF(ISBLANK(Draft!O6),0,VLOOKUP(Draft!O6, 'Final Update'!A4:L1000,10,FALSE))))))))))))))))))))))))</f>
        <v>0</v>
      </c>
      <c r="L13" s="282">
        <f>((IF(ISBLANK(Draft!D11),0,VLOOKUP(Draft!D11, 'Final Update'!A4:L1000,12,FALSE)+(IF(ISBLANK(Draft!E6),0,VLOOKUP(Draft!E6, 'Final Update'!A4:L1000,12,FALSE)+(IF(ISBLANK(Draft!F11),0,VLOOKUP(Draft!F11, 'Final Update'!A4:L1000,12,FALSE)+(IF(ISBLANK(Draft!G6),0,VLOOKUP(Draft!G6, 'Final Update'!A4:L1000,12,FALSE)+(IF(ISBLANK(Draft!H11),0,VLOOKUP(Draft!H11, 'Final Update'!A4:L1000,12,FALSE)+(IF(ISBLANK(Draft!I6),0,VLOOKUP(Draft!I6, 'Final Update'!A4:L1000,12,FALSE)+(IF(ISBLANK(Draft!J11),0,VLOOKUP(Draft!J11, 'Final Update'!A4:L1000,12,FALSE)+(IF(ISBLANK(Draft!K6),0,VLOOKUP(Draft!K6, 'Final Update'!A4:L1000,12,FALSE)+(IF(ISBLANK(Draft!L11),0,VLOOKUP(Draft!L11, 'Final Update'!A4:L1000,12,FALSE)+(IF(ISBLANK(Draft!M6),0,VLOOKUP(Draft!M6, 'Final Update'!A4:L1000,12,FALSE)+IF(ISBLANK(Draft!N11),0,VLOOKUP(Draft!N11, 'Final Update'!A4:L1000,12,FALSE)+IF(ISBLANK(Draft!O6),0,VLOOKUP(Draft!O6, 'Final Update'!A4:L1000,12,FALSE))))))))))))))))))))))))</f>
        <v>0</v>
      </c>
      <c r="M13" s="296">
        <f t="array" ref="M13">if(M$3=$C13,"-", countif(indirect(address(row($C$4)+ VLOOKUP(M$3,$C$5:$C$16,1),COLUMN($D$4))):indirect(address(row($C$4)+ VLOOKUP(M$3,$C$5:$C$16,1),COLUMN($L$4)))&gt;indirect(address(row($C13),COLUMN($D$4))):indirect(address(row($C13),COLUMN($L$4))),TRUE()))</f>
        <v>0</v>
      </c>
      <c r="N13" s="296">
        <f t="array" ref="N13">if(N$3=$C13,"-", countif(indirect(address(row($C$4)+ VLOOKUP(N$3,$C$5:$C$16,1),COLUMN($D$4))):indirect(address(row($C$4)+ VLOOKUP(N$3,$C$5:$C$16,1),COLUMN($L$4)))&gt;indirect(address(row($C13),COLUMN($D$4))):indirect(address(row($C13),COLUMN($L$4))),TRUE()))</f>
        <v>0</v>
      </c>
      <c r="O13" s="296">
        <f t="array" ref="O13">if(O$3=$C13,"-", countif(indirect(address(row($C$4)+ VLOOKUP(O$3,$C$5:$C$16,1),COLUMN($D$4))):indirect(address(row($C$4)+ VLOOKUP(O$3,$C$5:$C$16,1),COLUMN($L$4)))&gt;indirect(address(row($C13),COLUMN($D$4))):indirect(address(row($C13),COLUMN($L$4))),TRUE()))</f>
        <v>0</v>
      </c>
      <c r="P13" s="296">
        <f t="array" ref="P13">if(P$3=$C13,"-", countif(indirect(address(row($C$4)+ VLOOKUP(P$3,$C$5:$C$16,1),COLUMN($D$4))):indirect(address(row($C$4)+ VLOOKUP(P$3,$C$5:$C$16,1),COLUMN($L$4)))&gt;indirect(address(row($C13),COLUMN($D$4))):indirect(address(row($C13),COLUMN($L$4))),TRUE()))</f>
        <v>0</v>
      </c>
      <c r="Q13" s="296">
        <f t="array" ref="Q13">if(Q$3=$C13,"-", countif(indirect(address(row($C$4)+ VLOOKUP(Q$3,$C$5:$C$16,1),COLUMN($D$4))):indirect(address(row($C$4)+ VLOOKUP(Q$3,$C$5:$C$16,1),COLUMN($L$4)))&gt;indirect(address(row($C13),COLUMN($D$4))):indirect(address(row($C13),COLUMN($L$4))),TRUE()))</f>
        <v>0</v>
      </c>
      <c r="R13" s="296">
        <f t="array" ref="R13">if(R$3=$C13,"-", countif(indirect(address(row($C$4)+ VLOOKUP(R$3,$C$5:$C$16,1),COLUMN($D$4))):indirect(address(row($C$4)+ VLOOKUP(R$3,$C$5:$C$16,1),COLUMN($L$4)))&gt;indirect(address(row($C13),COLUMN($D$4))):indirect(address(row($C13),COLUMN($L$4))),TRUE()))</f>
        <v>0</v>
      </c>
      <c r="S13" s="296">
        <f t="array" ref="S13">if(S$3=$C13,"-", countif(indirect(address(row($C$4)+ VLOOKUP(S$3,$C$5:$C$16,1),COLUMN($D$4))):indirect(address(row($C$4)+ VLOOKUP(S$3,$C$5:$C$16,1),COLUMN($L$4)))&gt;indirect(address(row($C13),COLUMN($D$4))):indirect(address(row($C13),COLUMN($L$4))),TRUE()))</f>
        <v>0</v>
      </c>
      <c r="T13" s="296">
        <f t="array" ref="T13">if(T$3=$C13,"-", countif(indirect(address(row($C$4)+ VLOOKUP(T$3,$C$5:$C$16,1),COLUMN($D$4))):indirect(address(row($C$4)+ VLOOKUP(T$3,$C$5:$C$16,1),COLUMN($L$4)))&gt;indirect(address(row($C13),COLUMN($D$4))):indirect(address(row($C13),COLUMN($L$4))),TRUE()))</f>
        <v>0</v>
      </c>
      <c r="U13" s="296">
        <f t="array" ref="U13">if(U$3=$C13,"-", countif(indirect(address(row($C$4)+ VLOOKUP(U$3,$C$5:$C$16,1),COLUMN($D$4))):indirect(address(row($C$4)+ VLOOKUP(U$3,$C$5:$C$16,1),COLUMN($L$4)))&gt;indirect(address(row($C13),COLUMN($D$4))):indirect(address(row($C13),COLUMN($L$4))),TRUE()))</f>
        <v>0</v>
      </c>
      <c r="V13" s="296">
        <f t="array" ref="V13">if(V$3=$C13,"-", countif(indirect(address(row($C$4)+ VLOOKUP(V$3,$C$5:$C$16,1),COLUMN($D$4))):indirect(address(row($C$4)+ VLOOKUP(V$3,$C$5:$C$16,1),COLUMN($L$4)))&gt;indirect(address(row($C13),COLUMN($D$4))):indirect(address(row($C13),COLUMN($L$4))),TRUE()))</f>
        <v>0</v>
      </c>
      <c r="W13" s="296">
        <f t="array" ref="W13">if(W$3=$C13,"-", countif(indirect(address(row($C$4)+ VLOOKUP(W$3,$C$5:$C$16,1),COLUMN($D$4))):indirect(address(row($C$4)+ VLOOKUP(W$3,$C$5:$C$16,1),COLUMN($L$4)))&gt;indirect(address(row($C13),COLUMN($D$4))):indirect(address(row($C13),COLUMN($L$4))),TRUE()))</f>
        <v>0</v>
      </c>
      <c r="X13" s="296">
        <f t="array" ref="X13">if(X$3=$C13,"-", countif(indirect(address(row($C$4)+ VLOOKUP(X$3,$C$5:$C$16,1),COLUMN($D$4))):indirect(address(row($C$4)+ VLOOKUP(X$3,$C$5:$C$16,1),COLUMN($L$4)))&gt;indirect(address(row($C13),COLUMN($D$4))):indirect(address(row($C13),COLUMN($L$4))),TRUE()))</f>
        <v>0</v>
      </c>
      <c r="Y13" s="296">
        <f t="array" ref="Y13">if(D$1=$C13,"-", countif(indirect(address(row($C$4)+ VLOOKUP(D$1,$C$5:$C$16,1),COLUMN($D$4))):indirect(address(row($C$4)+ VLOOKUP(D$1,$C$5:$C$16,1),COLUMN($L$4)))&gt;indirect(address(row($C13),COLUMN($D$4))):indirect(address(row($C13),COLUMN($L$4))),TRUE()))</f>
        <v>0</v>
      </c>
      <c r="Z13" s="297">
        <f>SUM(U$5:U$16)/99</f>
        <v>0</v>
      </c>
    </row>
    <row r="14">
      <c r="B14" s="295" t="str">
        <f>Draft!C12</f>
        <v>#REF!</v>
      </c>
      <c r="C14" s="286">
        <v>10.0</v>
      </c>
      <c r="D14" s="282">
        <f>((IF(ISBLANK(Draft!D12),0,VLOOKUP(Draft!D12, 'Final Update'!A4:L1000,2,FALSE)+(IF(ISBLANK(Draft!E5),0,VLOOKUP(Draft!E5, 'Final Update'!A4:L1000,2,FALSE)+(IF(ISBLANK(Draft!F12),0,VLOOKUP(Draft!F12, 'Final Update'!A4:L1000,2,FALSE)+(IF(ISBLANK(Draft!G5),0,VLOOKUP(Draft!G5, 'Final Update'!A4:L1000,2,FALSE)+(IF(ISBLANK(Draft!H12),0,VLOOKUP(Draft!H12, 'Final Update'!A4:L1000,2,FALSE)+(IF(ISBLANK(Draft!I5),0,VLOOKUP(Draft!I5, 'Final Update'!A4:L1000,2,FALSE)+(IF(ISBLANK(Draft!J12),0,VLOOKUP(Draft!J12, 'Final Update'!A4:L1000,2,FALSE)+(IF(ISBLANK(Draft!K5),0,VLOOKUP(Draft!K5, 'Final Update'!A4:L1000,2,FALSE)+(IF(ISBLANK(Draft!L12),0,VLOOKUP(Draft!L12, 'Final Update'!A4:L1000,2,FALSE)+(IF(ISBLANK(Draft!M5),0,VLOOKUP(Draft!M5, 'Final Update'!A4:L1000,2,FALSE)+IF(ISBLANK(Draft!N12),0,VLOOKUP(Draft!N12, 'Final Update'!A4:L1000,2,FALSE)+IF(ISBLANK(Draft!O5),0,VLOOKUP(Draft!O5, 'Final Update'!A4:L1000,2,FALSE))))))))))))))))))))))))</f>
        <v>0</v>
      </c>
      <c r="E14" s="282">
        <f>((IF(ISBLANK(Draft!D12),0,VLOOKUP(Draft!D12, 'Final Update'!A4:L1000,3,FALSE)+(IF(ISBLANK(Draft!E5),0,VLOOKUP(Draft!E5, 'Final Update'!A4:L1000,3,FALSE)+(IF(ISBLANK(Draft!F12),0,VLOOKUP(Draft!F12, 'Final Update'!A4:L1000,3,FALSE)+(IF(ISBLANK(Draft!G5),0,VLOOKUP(Draft!G5, 'Final Update'!A4:L1000,3,FALSE)+(IF(ISBLANK(Draft!H12),0,VLOOKUP(Draft!H12, 'Final Update'!A4:L1000,3,FALSE)+(IF(ISBLANK(Draft!I5),0,VLOOKUP(Draft!I5, 'Final Update'!A4:L1000,3,FALSE)+(IF(ISBLANK(Draft!J12),0,VLOOKUP(Draft!J12, 'Final Update'!A4:L1000,3,FALSE)+(IF(ISBLANK(Draft!K5),0,VLOOKUP(Draft!K5, 'Final Update'!A4:L1000,3,FALSE)+(IF(ISBLANK(Draft!L12),0,VLOOKUP(Draft!L12, 'Final Update'!A4:L1000,3,FALSE)+(IF(ISBLANK(Draft!M5),0,VLOOKUP(Draft!M5, 'Final Update'!A4:L1000,3,FALSE)+IF(ISBLANK(Draft!N12),0,VLOOKUP(Draft!N12, 'Final Update'!A4:L1000,3,FALSE)+IF(ISBLANK(Draft!O5),0,VLOOKUP(Draft!O5, 'Final Update'!A4:L1000,3,FALSE))))))))))))))))))))))))</f>
        <v>0</v>
      </c>
      <c r="F14" s="282">
        <f>((IF(ISBLANK(Draft!D12),0,VLOOKUP(Draft!D12, 'Final Update'!A4:L1000,4,FALSE)+(IF(ISBLANK(Draft!E5),0,VLOOKUP(Draft!E5, 'Final Update'!A4:L1000,4,FALSE)+(IF(ISBLANK(Draft!F12),0,VLOOKUP(Draft!F12, 'Final Update'!A4:L1000,4,FALSE)+(IF(ISBLANK(Draft!G5),0,VLOOKUP(Draft!G5, 'Final Update'!A4:L1000,4,FALSE)+(IF(ISBLANK(Draft!H12),0,VLOOKUP(Draft!H12, 'Final Update'!A4:L1000,4,FALSE)+(IF(ISBLANK(Draft!I5),0,VLOOKUP(Draft!I5, 'Final Update'!A4:L1000,4,FALSE)+(IF(ISBLANK(Draft!J12),0,VLOOKUP(Draft!J12, 'Final Update'!A4:L1000,4,FALSE)+(IF(ISBLANK(Draft!K5),0,VLOOKUP(Draft!K5, 'Final Update'!A4:L1000,4,FALSE)+(IF(ISBLANK(Draft!L12),0,VLOOKUP(Draft!L12, 'Final Update'!A4:L1000,4,FALSE)+(IF(ISBLANK(Draft!M5),0,VLOOKUP(Draft!M5, 'Final Update'!A4:L1000,4,FALSE)+IF(ISBLANK(Draft!N12),0,VLOOKUP(Draft!N12, 'Final Update'!A4:L1000,4,FALSE)+IF(ISBLANK(Draft!O5),0,VLOOKUP(Draft!O5, 'Final Update'!A4:L1000,4,FALSE))))))))))))))))))))))))</f>
        <v>0</v>
      </c>
      <c r="G14" s="282">
        <f>((IF(ISBLANK(Draft!D12),0,VLOOKUP(Draft!D12, 'Final Update'!A4:L1000,5,FALSE)+(IF(ISBLANK(Draft!E5),0,VLOOKUP(Draft!E5, 'Final Update'!A4:L1000,5,FALSE)+(IF(ISBLANK(Draft!F12),0,VLOOKUP(Draft!F12, 'Final Update'!A4:L1000,5,FALSE)+(IF(ISBLANK(Draft!G5),0,VLOOKUP(Draft!G5, 'Final Update'!A4:L1000,5,FALSE)+(IF(ISBLANK(Draft!H12),0,VLOOKUP(Draft!H12, 'Final Update'!A4:L1000,5,FALSE)+(IF(ISBLANK(Draft!I5),0,VLOOKUP(Draft!I5, 'Final Update'!A4:L1000,5,FALSE)+(IF(ISBLANK(Draft!J12),0,VLOOKUP(Draft!J12, 'Final Update'!A4:L1000,5,FALSE)+(IF(ISBLANK(Draft!K5),0,VLOOKUP(Draft!K5, 'Final Update'!A4:L1000,5,FALSE)+(IF(ISBLANK(Draft!L12),0,VLOOKUP(Draft!L12, 'Final Update'!A4:L1000,5,FALSE)+(IF(ISBLANK(Draft!M5),0,VLOOKUP(Draft!M5, 'Final Update'!A4:L1000,5,FALSE)+IF(ISBLANK(Draft!N12),0,VLOOKUP(Draft!N12, 'Final Update'!A4:L1000,5,FALSE)+IF(ISBLANK(Draft!O5),0,VLOOKUP(Draft!O5, 'Final Update'!A4:L1000,5,FALSE))))))))))))))))))))))))</f>
        <v>0</v>
      </c>
      <c r="H14" s="282">
        <f>((IF(ISBLANK(Draft!D12),0,VLOOKUP(Draft!D12, 'Final Update'!A4:L1000,6,FALSE)+(IF(ISBLANK(Draft!E5),0,VLOOKUP(Draft!E5, 'Final Update'!A4:L1000,6,FALSE)+(IF(ISBLANK(Draft!F12),0,VLOOKUP(Draft!F12, 'Final Update'!A4:L1000,6,FALSE)+(IF(ISBLANK(Draft!G5),0,VLOOKUP(Draft!G5, 'Final Update'!A4:L1000,6,FALSE)+(IF(ISBLANK(Draft!H12),0,VLOOKUP(Draft!H12, 'Final Update'!A4:L1000,6,FALSE)+(IF(ISBLANK(Draft!I5),0,VLOOKUP(Draft!I5, 'Final Update'!A4:L1000,6,FALSE)+(IF(ISBLANK(Draft!J12),0,VLOOKUP(Draft!J12, 'Final Update'!A4:L1000,6,FALSE)+(IF(ISBLANK(Draft!K5),0,VLOOKUP(Draft!K5, 'Final Update'!A4:L1000,6,FALSE)+(IF(ISBLANK(Draft!L12),0,VLOOKUP(Draft!L12, 'Final Update'!A4:L1000,6,FALSE)+(IF(ISBLANK(Draft!M5),0,VLOOKUP(Draft!M5, 'Final Update'!A4:L1000,6,FALSE)+IF(ISBLANK(Draft!N12),0,VLOOKUP(Draft!N12, 'Final Update'!A4:L1000,6,FALSE)+IF(ISBLANK(Draft!O5),0,VLOOKUP(Draft!O5, 'Final Update'!A4:L1000,6,FALSE))))))))))))))))))))))))</f>
        <v>0</v>
      </c>
      <c r="I14" s="282">
        <f>((IF(ISBLANK(Draft!D12),0,VLOOKUP(Draft!D12, 'Final Update'!A4:L1000,7,FALSE)+(IF(ISBLANK(Draft!E5),0,VLOOKUP(Draft!E5, 'Final Update'!A4:L1000,7,FALSE)+(IF(ISBLANK(Draft!F12),0,VLOOKUP(Draft!F12, 'Final Update'!A4:L1000,7,FALSE)+(IF(ISBLANK(Draft!G5),0,VLOOKUP(Draft!G5, 'Final Update'!A4:L1000,7,FALSE)+(IF(ISBLANK(Draft!H12),0,VLOOKUP(Draft!H12, 'Final Update'!A4:L1000,7,FALSE)+(IF(ISBLANK(Draft!I5),0,VLOOKUP(Draft!I5, 'Final Update'!A4:L1000,7,FALSE)+(IF(ISBLANK(Draft!J12),0,VLOOKUP(Draft!J12, 'Final Update'!A4:L1000,7,FALSE)+(IF(ISBLANK(Draft!K5),0,VLOOKUP(Draft!K5, 'Final Update'!A4:L1000,7,FALSE)+(IF(ISBLANK(Draft!L12),0,VLOOKUP(Draft!L12, 'Final Update'!A4:L1000,7,FALSE)+(IF(ISBLANK(Draft!M5),0,VLOOKUP(Draft!M5, 'Final Update'!A4:L1000,7,FALSE)+IF(ISBLANK(Draft!N12),0,VLOOKUP(Draft!N12, 'Final Update'!A4:L1000,7,FALSE)+IF(ISBLANK(Draft!O5),0,VLOOKUP(Draft!O5, 'Final Update'!A4:L1000,7,FALSE))))))))))))))))))))))))</f>
        <v>0</v>
      </c>
      <c r="J14" s="282">
        <f>((IF(ISBLANK(Draft!D12),0,VLOOKUP(Draft!D12, 'Final Update'!A4:L1000,8,FALSE)+(IF(ISBLANK(Draft!E5),0,VLOOKUP(Draft!E5, 'Final Update'!A4:L1000,8,FALSE)+(IF(ISBLANK(Draft!F12),0,VLOOKUP(Draft!F12, 'Final Update'!A4:L1000,8,FALSE)+(IF(ISBLANK(Draft!G5),0,VLOOKUP(Draft!G5, 'Final Update'!A4:L1000,8,FALSE)+(IF(ISBLANK(Draft!H12),0,VLOOKUP(Draft!H12, 'Final Update'!A4:L1000,8,FALSE)+(IF(ISBLANK(Draft!I5),0,VLOOKUP(Draft!I5, 'Final Update'!A4:L1000,8,FALSE)+(IF(ISBLANK(Draft!J12),0,VLOOKUP(Draft!J12, 'Final Update'!A4:L1000,8,FALSE)+(IF(ISBLANK(Draft!K5),0,VLOOKUP(Draft!K5, 'Final Update'!A4:L1000,8,FALSE)+(IF(ISBLANK(Draft!L12),0,VLOOKUP(Draft!L12, 'Final Update'!A4:L1000,8,FALSE)+(IF(ISBLANK(Draft!M5),0,VLOOKUP(Draft!M5, 'Final Update'!A4:L1000,8,FALSE)+IF(ISBLANK(Draft!N12),0,VLOOKUP(Draft!N12, 'Final Update'!A4:L1000,8,FALSE)+IF(ISBLANK(Draft!O5),0,VLOOKUP(Draft!O5, 'Final Update'!A4:L1000,8,FALSE))))))))))))))))))))))))</f>
        <v>0</v>
      </c>
      <c r="K14" s="282">
        <f>((IF(ISBLANK(Draft!D12),0,VLOOKUP(Draft!D12, 'Final Update'!A4:L1000,10,FALSE)+(IF(ISBLANK(Draft!E5),0,VLOOKUP(Draft!E5, 'Final Update'!A4:L1000,10,FALSE)+(IF(ISBLANK(Draft!F12),0,VLOOKUP(Draft!F12, 'Final Update'!A4:L1000,10,FALSE)+(IF(ISBLANK(Draft!G5),0,VLOOKUP(Draft!G5, 'Final Update'!A4:L1000,10,FALSE)+(IF(ISBLANK(Draft!H12),0,VLOOKUP(Draft!H12, 'Final Update'!A4:L1000,10,FALSE)+(IF(ISBLANK(Draft!I5),0,VLOOKUP(Draft!I5, 'Final Update'!A4:L1000,10,FALSE)+(IF(ISBLANK(Draft!J12),0,VLOOKUP(Draft!J12, 'Final Update'!A4:L1000,10,FALSE)+(IF(ISBLANK(Draft!K5),0,VLOOKUP(Draft!K5, 'Final Update'!A4:L1000,10,FALSE)+(IF(ISBLANK(Draft!L12),0,VLOOKUP(Draft!L12, 'Final Update'!A4:L1000,10,FALSE)+(IF(ISBLANK(Draft!M5),0,VLOOKUP(Draft!M5, 'Final Update'!A4:L1000,10,FALSE)+IF(ISBLANK(Draft!N12),0,VLOOKUP(Draft!N12, 'Final Update'!A4:L1000,10,FALSE)+IF(ISBLANK(Draft!O5),0,VLOOKUP(Draft!O5, 'Final Update'!A4:L1000,7,FALSE))))))))))))))))))))))))</f>
        <v>0</v>
      </c>
      <c r="L14" s="282">
        <f>((IF(ISBLANK(Draft!D12),0,VLOOKUP(Draft!D12, 'Final Update'!A4:L1000,12,FALSE)+(IF(ISBLANK(Draft!E5),0,VLOOKUP(Draft!E5, 'Final Update'!A4:L1000,12,FALSE)+(IF(ISBLANK(Draft!F12),0,VLOOKUP(Draft!F12, 'Final Update'!A4:L1000,12,FALSE)+(IF(ISBLANK(Draft!G5),0,VLOOKUP(Draft!G5, 'Final Update'!A4:L1000,12,FALSE)+(IF(ISBLANK(Draft!H12),0,VLOOKUP(Draft!H12, 'Final Update'!A4:L1000,12,FALSE)+(IF(ISBLANK(Draft!I5),0,VLOOKUP(Draft!I5, 'Final Update'!A4:L1000,12,FALSE)+(IF(ISBLANK(Draft!J12),0,VLOOKUP(Draft!J12, 'Final Update'!A4:L1000,12,FALSE)+(IF(ISBLANK(Draft!K5),0,VLOOKUP(Draft!K5, 'Final Update'!A4:L1000,12,FALSE)+(IF(ISBLANK(Draft!L12),0,VLOOKUP(Draft!L12, 'Final Update'!A4:L1000,12,FALSE)+(IF(ISBLANK(Draft!M5),0,VLOOKUP(Draft!M5, 'Final Update'!A4:L1000,12,FALSE)+IF(ISBLANK(Draft!N12),0,VLOOKUP(Draft!N12, 'Final Update'!A4:L1000,12,FALSE)+IF(ISBLANK(Draft!O5),0,VLOOKUP(Draft!O5, 'Final Update'!A4:L1000,12,FALSE))))))))))))))))))))))))</f>
        <v>0</v>
      </c>
      <c r="M14" s="296">
        <f t="array" ref="M14">if(M$3=$C14,"-", countif(indirect(address(row($C$4)+ VLOOKUP(M$3,$C$5:$C$16,1),COLUMN($D$4))):indirect(address(row($C$4)+ VLOOKUP(M$3,$C$5:$C$16,1),COLUMN($L$4)))&gt;indirect(address(row($C14),COLUMN($D$4))):indirect(address(row($C14),COLUMN($L$4))),TRUE()))</f>
        <v>0</v>
      </c>
      <c r="N14" s="296">
        <f t="array" ref="N14">if(N$3=$C14,"-", countif(indirect(address(row($C$4)+ VLOOKUP(N$3,$C$5:$C$16,1),COLUMN($D$4))):indirect(address(row($C$4)+ VLOOKUP(N$3,$C$5:$C$16,1),COLUMN($L$4)))&gt;indirect(address(row($C14),COLUMN($D$4))):indirect(address(row($C14),COLUMN($L$4))),TRUE()))</f>
        <v>0</v>
      </c>
      <c r="O14" s="296">
        <f t="array" ref="O14">if(O$3=$C14,"-", countif(indirect(address(row($C$4)+ VLOOKUP(O$3,$C$5:$C$16,1),COLUMN($D$4))):indirect(address(row($C$4)+ VLOOKUP(O$3,$C$5:$C$16,1),COLUMN($L$4)))&gt;indirect(address(row($C14),COLUMN($D$4))):indirect(address(row($C14),COLUMN($L$4))),TRUE()))</f>
        <v>0</v>
      </c>
      <c r="P14" s="296">
        <f t="array" ref="P14">if(P$3=$C14,"-", countif(indirect(address(row($C$4)+ VLOOKUP(P$3,$C$5:$C$16,1),COLUMN($D$4))):indirect(address(row($C$4)+ VLOOKUP(P$3,$C$5:$C$16,1),COLUMN($L$4)))&gt;indirect(address(row($C14),COLUMN($D$4))):indirect(address(row($C14),COLUMN($L$4))),TRUE()))</f>
        <v>0</v>
      </c>
      <c r="Q14" s="296">
        <f t="array" ref="Q14">if(Q$3=$C14,"-", countif(indirect(address(row($C$4)+ VLOOKUP(Q$3,$C$5:$C$16,1),COLUMN($D$4))):indirect(address(row($C$4)+ VLOOKUP(Q$3,$C$5:$C$16,1),COLUMN($L$4)))&gt;indirect(address(row($C14),COLUMN($D$4))):indirect(address(row($C14),COLUMN($L$4))),TRUE()))</f>
        <v>0</v>
      </c>
      <c r="R14" s="296">
        <f t="array" ref="R14">if(R$3=$C14,"-", countif(indirect(address(row($C$4)+ VLOOKUP(R$3,$C$5:$C$16,1),COLUMN($D$4))):indirect(address(row($C$4)+ VLOOKUP(R$3,$C$5:$C$16,1),COLUMN($L$4)))&gt;indirect(address(row($C14),COLUMN($D$4))):indirect(address(row($C14),COLUMN($L$4))),TRUE()))</f>
        <v>0</v>
      </c>
      <c r="S14" s="296">
        <f t="array" ref="S14">if(S$3=$C14,"-", countif(indirect(address(row($C$4)+ VLOOKUP(S$3,$C$5:$C$16,1),COLUMN($D$4))):indirect(address(row($C$4)+ VLOOKUP(S$3,$C$5:$C$16,1),COLUMN($L$4)))&gt;indirect(address(row($C14),COLUMN($D$4))):indirect(address(row($C14),COLUMN($L$4))),TRUE()))</f>
        <v>0</v>
      </c>
      <c r="T14" s="296">
        <f t="array" ref="T14">if(T$3=$C14,"-", countif(indirect(address(row($C$4)+ VLOOKUP(T$3,$C$5:$C$16,1),COLUMN($D$4))):indirect(address(row($C$4)+ VLOOKUP(T$3,$C$5:$C$16,1),COLUMN($L$4)))&gt;indirect(address(row($C14),COLUMN($D$4))):indirect(address(row($C14),COLUMN($L$4))),TRUE()))</f>
        <v>0</v>
      </c>
      <c r="U14" s="296">
        <f t="array" ref="U14">if(U$3=$C14,"-", countif(indirect(address(row($C$4)+ VLOOKUP(U$3,$C$5:$C$16,1),COLUMN($D$4))):indirect(address(row($C$4)+ VLOOKUP(U$3,$C$5:$C$16,1),COLUMN($L$4)))&gt;indirect(address(row($C14),COLUMN($D$4))):indirect(address(row($C14),COLUMN($L$4))),TRUE()))</f>
        <v>0</v>
      </c>
      <c r="V14" s="296">
        <f t="array" ref="V14">if(V$3=$C14,"-", countif(indirect(address(row($C$4)+ VLOOKUP(V$3,$C$5:$C$16,1),COLUMN($D$4))):indirect(address(row($C$4)+ VLOOKUP(V$3,$C$5:$C$16,1),COLUMN($L$4)))&gt;indirect(address(row($C14),COLUMN($D$4))):indirect(address(row($C14),COLUMN($L$4))),TRUE()))</f>
        <v>0</v>
      </c>
      <c r="W14" s="296">
        <f t="array" ref="W14">if(W$3=$C14,"-", countif(indirect(address(row($C$4)+ VLOOKUP(W$3,$C$5:$C$16,1),COLUMN($D$4))):indirect(address(row($C$4)+ VLOOKUP(W$3,$C$5:$C$16,1),COLUMN($L$4)))&gt;indirect(address(row($C14),COLUMN($D$4))):indirect(address(row($C14),COLUMN($L$4))),TRUE()))</f>
        <v>0</v>
      </c>
      <c r="X14" s="296">
        <f t="array" ref="X14">if(X$3=$C14,"-", countif(indirect(address(row($C$4)+ VLOOKUP(X$3,$C$5:$C$16,1),COLUMN($D$4))):indirect(address(row($C$4)+ VLOOKUP(X$3,$C$5:$C$16,1),COLUMN($L$4)))&gt;indirect(address(row($C14),COLUMN($D$4))):indirect(address(row($C14),COLUMN($L$4))),TRUE()))</f>
        <v>0</v>
      </c>
      <c r="Y14" s="296">
        <f t="array" ref="Y14">if(D$1=$C14,"-", countif(indirect(address(row($C$4)+ VLOOKUP(D$1,$C$5:$C$16,1),COLUMN($D$4))):indirect(address(row($C$4)+ VLOOKUP(D$1,$C$5:$C$16,1),COLUMN($L$4)))&gt;indirect(address(row($C14),COLUMN($D$4))):indirect(address(row($C14),COLUMN($L$4))),TRUE()))</f>
        <v>0</v>
      </c>
      <c r="Z14" s="297">
        <f>SUM(V$5:V$16)/99</f>
        <v>0</v>
      </c>
    </row>
    <row r="15">
      <c r="B15" s="295" t="str">
        <f>Draft!C13</f>
        <v>#REF!</v>
      </c>
      <c r="C15" s="286">
        <v>11.0</v>
      </c>
      <c r="D15" s="282">
        <f>((IF(ISBLANK(Draft!D13),0,VLOOKUP(Draft!D13, 'Final Update'!A4:L1000,2,FALSE)+(IF(ISBLANK(Draft!E4),0,VLOOKUP(Draft!E4, 'Final Update'!A4:L1000,2,FALSE)+(IF(ISBLANK(Draft!F13),0,VLOOKUP(Draft!F13, 'Final Update'!A4:L1000,2,FALSE)+(IF(ISBLANK(Draft!G4),0,VLOOKUP(Draft!G4, 'Final Update'!A4:L1000,2,FALSE)+(IF(ISBLANK(Draft!H13),0,VLOOKUP(Draft!H13, 'Final Update'!A4:L1000,2,FALSE)+(IF(ISBLANK(Draft!I4),0,VLOOKUP(Draft!I4, 'Final Update'!A4:L1000,2,FALSE)+(IF(ISBLANK(Draft!J13),0,VLOOKUP(Draft!J13, 'Final Update'!A4:L1000,2,FALSE)+(IF(ISBLANK(Draft!K4),0,VLOOKUP(Draft!K4, 'Final Update'!A4:L1000,2,FALSE)+(IF(ISBLANK(Draft!L13),0,VLOOKUP(Draft!L13, 'Final Update'!A4:L1000,2,FALSE)+(IF(ISBLANK(Draft!M4),0,VLOOKUP(Draft!M4, 'Final Update'!A4:L1000,2,FALSE)+IF(ISBLANK(Draft!N13),0,VLOOKUP(Draft!N13, 'Final Update'!A4:L1000,2,FALSE)+IF(ISBLANK(Draft!O4),0,VLOOKUP(Draft!O4, 'Final Update'!A4:L1000,2,FALSE))))))))))))))))))))))))</f>
        <v>0</v>
      </c>
      <c r="E15" s="282">
        <f>((IF(ISBLANK(Draft!D13),0,VLOOKUP(Draft!D13, 'Final Update'!A4:L1000,3,FALSE)+(IF(ISBLANK(Draft!E4),0,VLOOKUP(Draft!E4, 'Final Update'!A4:L1000,3,FALSE)+(IF(ISBLANK(Draft!F13),0,VLOOKUP(Draft!F13, 'Final Update'!A4:L1000,3,FALSE)+(IF(ISBLANK(Draft!G4),0,VLOOKUP(Draft!G4, 'Final Update'!A4:L1000,3,FALSE)+(IF(ISBLANK(Draft!H13),0,VLOOKUP(Draft!H13, 'Final Update'!A4:L1000,3,FALSE)+(IF(ISBLANK(Draft!I4),0,VLOOKUP(Draft!I4, 'Final Update'!A4:L1000,3,FALSE)+(IF(ISBLANK(Draft!J13),0,VLOOKUP(Draft!J13, 'Final Update'!A4:L1000,3,FALSE)+(IF(ISBLANK(Draft!K4),0,VLOOKUP(Draft!K4, 'Final Update'!A4:L1000,3,FALSE)+(IF(ISBLANK(Draft!L13),0,VLOOKUP(Draft!L13, 'Final Update'!A4:L1000,3,FALSE)+(IF(ISBLANK(Draft!M4),0,VLOOKUP(Draft!M4, 'Final Update'!A4:L1000,3,FALSE)+IF(ISBLANK(Draft!N13),0,VLOOKUP(Draft!N13, 'Final Update'!A4:L1000,3,FALSE)+IF(ISBLANK(Draft!O4),0,VLOOKUP(Draft!O4, 'Final Update'!A4:L1000,3,FALSE))))))))))))))))))))))))</f>
        <v>0</v>
      </c>
      <c r="F15" s="282">
        <f>((IF(ISBLANK(Draft!D13),0,VLOOKUP(Draft!D13, 'Final Update'!A4:L1000,4,FALSE)+(IF(ISBLANK(Draft!E4),0,VLOOKUP(Draft!E4, 'Final Update'!A4:L1000,4,FALSE)+(IF(ISBLANK(Draft!F13),0,VLOOKUP(Draft!F13, 'Final Update'!A4:L1000,4,FALSE)+(IF(ISBLANK(Draft!G4),0,VLOOKUP(Draft!G4, 'Final Update'!A4:L1000,4,FALSE)+(IF(ISBLANK(Draft!H13),0,VLOOKUP(Draft!H13, 'Final Update'!A4:L1000,4,FALSE)+(IF(ISBLANK(Draft!I4),0,VLOOKUP(Draft!I4, 'Final Update'!A4:L1000,4,FALSE)+(IF(ISBLANK(Draft!J13),0,VLOOKUP(Draft!J13, 'Final Update'!A4:L1000,4,FALSE)+(IF(ISBLANK(Draft!K4),0,VLOOKUP(Draft!K4, 'Final Update'!A4:L1000,4,FALSE)+(IF(ISBLANK(Draft!L13),0,VLOOKUP(Draft!L13, 'Final Update'!A4:L1000,4,FALSE)+(IF(ISBLANK(Draft!M4),0,VLOOKUP(Draft!M4, 'Final Update'!A4:L1000,4,FALSE)+IF(ISBLANK(Draft!N13),0,VLOOKUP(Draft!N13, 'Final Update'!A4:L1000,4,FALSE)+IF(ISBLANK(Draft!O4),0,VLOOKUP(Draft!O4, 'Final Update'!A4:L1000,4,FALSE))))))))))))))))))))))))</f>
        <v>0</v>
      </c>
      <c r="G15" s="282">
        <f>((IF(ISBLANK(Draft!D13),0,VLOOKUP(Draft!D13, 'Final Update'!A4:L1000,5,FALSE)+(IF(ISBLANK(Draft!E4),0,VLOOKUP(Draft!E4, 'Final Update'!A4:L1000,5,FALSE)+(IF(ISBLANK(Draft!F13),0,VLOOKUP(Draft!F13, 'Final Update'!A4:L1000,5,FALSE)+(IF(ISBLANK(Draft!G4),0,VLOOKUP(Draft!G4, 'Final Update'!A4:L1000,5,FALSE)+(IF(ISBLANK(Draft!H13),0,VLOOKUP(Draft!H13, 'Final Update'!A4:L1000,5,FALSE)+(IF(ISBLANK(Draft!I4),0,VLOOKUP(Draft!I4, 'Final Update'!A4:L1000,5,FALSE)+(IF(ISBLANK(Draft!J13),0,VLOOKUP(Draft!J13, 'Final Update'!A4:L1000,5,FALSE)+(IF(ISBLANK(Draft!K4),0,VLOOKUP(Draft!K4, 'Final Update'!A4:L1000,5,FALSE)+(IF(ISBLANK(Draft!L13),0,VLOOKUP(Draft!L13, 'Final Update'!A4:L1000,5,FALSE)+(IF(ISBLANK(Draft!M4),0,VLOOKUP(Draft!M4, 'Final Update'!A4:L1000,5,FALSE)+IF(ISBLANK(Draft!N13),0,VLOOKUP(Draft!N13, 'Final Update'!A4:L1000,5,FALSE)+IF(ISBLANK(Draft!O4),0,VLOOKUP(Draft!O4, 'Final Update'!A4:L1000,5,FALSE))))))))))))))))))))))))</f>
        <v>0</v>
      </c>
      <c r="H15" s="282">
        <f>((IF(ISBLANK(Draft!D13),0,VLOOKUP(Draft!D13, 'Final Update'!A4:L1000,6,FALSE)+(IF(ISBLANK(Draft!E4),0,VLOOKUP(Draft!E4, 'Final Update'!A4:L1000,6,FALSE)+(IF(ISBLANK(Draft!F13),0,VLOOKUP(Draft!F13, 'Final Update'!A4:L1000,6,FALSE)+(IF(ISBLANK(Draft!G4),0,VLOOKUP(Draft!G4, 'Final Update'!A4:L1000,6,FALSE)+(IF(ISBLANK(Draft!H13),0,VLOOKUP(Draft!H13, 'Final Update'!A4:L1000,6,FALSE)+(IF(ISBLANK(Draft!I4),0,VLOOKUP(Draft!I4, 'Final Update'!A4:L1000,6,FALSE)+(IF(ISBLANK(Draft!J13),0,VLOOKUP(Draft!J13, 'Final Update'!A4:L1000,6,FALSE)+(IF(ISBLANK(Draft!K4),0,VLOOKUP(Draft!K4, 'Final Update'!A4:L1000,6,FALSE)+(IF(ISBLANK(Draft!L13),0,VLOOKUP(Draft!L13, 'Final Update'!A4:L1000,6,FALSE)+(IF(ISBLANK(Draft!M4),0,VLOOKUP(Draft!M4, 'Final Update'!A4:L1000,6,FALSE)+IF(ISBLANK(Draft!N13),0,VLOOKUP(Draft!N13, 'Final Update'!A4:L1000,6,FALSE)+IF(ISBLANK(Draft!O4),0,VLOOKUP(Draft!O4, 'Final Update'!A4:L1000,6,FALSE))))))))))))))))))))))))</f>
        <v>0</v>
      </c>
      <c r="I15" s="282">
        <f>((IF(ISBLANK(Draft!D13),0,VLOOKUP(Draft!D13, 'Final Update'!A4:L1000,7,FALSE)+(IF(ISBLANK(Draft!E4),0,VLOOKUP(Draft!E4, 'Final Update'!A4:L1000,7,FALSE)+(IF(ISBLANK(Draft!F13),0,VLOOKUP(Draft!F13, 'Final Update'!A4:L1000,7,FALSE)+(IF(ISBLANK(Draft!G4),0,VLOOKUP(Draft!G4, 'Final Update'!A4:L1000,7,FALSE)+(IF(ISBLANK(Draft!H13),0,VLOOKUP(Draft!H13, 'Final Update'!A4:L1000,7,FALSE)+(IF(ISBLANK(Draft!I4),0,VLOOKUP(Draft!I4, 'Final Update'!A4:L1000,7,FALSE)+(IF(ISBLANK(Draft!J13),0,VLOOKUP(Draft!J13, 'Final Update'!A4:L1000,7,FALSE)+(IF(ISBLANK(Draft!K4),0,VLOOKUP(Draft!K4, 'Final Update'!A4:L1000,7,FALSE)+(IF(ISBLANK(Draft!L13),0,VLOOKUP(Draft!L13, 'Final Update'!A4:L1000,7,FALSE)+(IF(ISBLANK(Draft!M4),0,VLOOKUP(Draft!M4, 'Final Update'!A4:L1000,7,FALSE)+IF(ISBLANK(Draft!N13),0,VLOOKUP(Draft!N13, 'Final Update'!A4:L1000,7,FALSE)+IF(ISBLANK(Draft!O4),0,VLOOKUP(Draft!O4, 'Final Update'!A4:L1000,7,FALSE))))))))))))))))))))))))</f>
        <v>0</v>
      </c>
      <c r="J15" s="282">
        <f>((IF(ISBLANK(Draft!D13),0,VLOOKUP(Draft!D13, 'Final Update'!A4:L1000,8,FALSE)+(IF(ISBLANK(Draft!E4),0,VLOOKUP(Draft!E4, 'Final Update'!A4:L1000,8,FALSE)+(IF(ISBLANK(Draft!F13),0,VLOOKUP(Draft!F13, 'Final Update'!A4:L1000,8,FALSE)+(IF(ISBLANK(Draft!G4),0,VLOOKUP(Draft!G4, 'Final Update'!A4:L1000,8,FALSE)+(IF(ISBLANK(Draft!H13),0,VLOOKUP(Draft!H13, 'Final Update'!A4:L1000,8,FALSE)+(IF(ISBLANK(Draft!I4),0,VLOOKUP(Draft!I4, 'Final Update'!A4:L1000,8,FALSE)+(IF(ISBLANK(Draft!J13),0,VLOOKUP(Draft!J13, 'Final Update'!A4:L1000,8,FALSE)+(IF(ISBLANK(Draft!K4),0,VLOOKUP(Draft!K4, 'Final Update'!A4:L1000,8,FALSE)+(IF(ISBLANK(Draft!L13),0,VLOOKUP(Draft!L13, 'Final Update'!A4:L1000,8,FALSE)+(IF(ISBLANK(Draft!M4),0,VLOOKUP(Draft!M4, 'Final Update'!A4:L1000,8,FALSE)+IF(ISBLANK(Draft!N13),0,VLOOKUP(Draft!N13, 'Final Update'!A4:L1000,8,FALSE)+IF(ISBLANK(Draft!O4),0,VLOOKUP(Draft!O4, 'Final Update'!A4:L1000,8,FALSE))))))))))))))))))))))))</f>
        <v>0</v>
      </c>
      <c r="K15" s="282">
        <f>((IF(ISBLANK(Draft!D13),0,VLOOKUP(Draft!D13, 'Final Update'!A4:L1000,10,FALSE)+(IF(ISBLANK(Draft!E4),0,VLOOKUP(Draft!E4, 'Final Update'!A4:L1000,10,FALSE)+(IF(ISBLANK(Draft!F13),0,VLOOKUP(Draft!F13, 'Final Update'!A4:L1000,10,FALSE)+(IF(ISBLANK(Draft!G4),0,VLOOKUP(Draft!G4, 'Final Update'!A4:L1000,10,FALSE)+(IF(ISBLANK(Draft!H13),0,VLOOKUP(Draft!H13, 'Final Update'!A4:L1000,10,FALSE)+(IF(ISBLANK(Draft!I4),0,VLOOKUP(Draft!I4, 'Final Update'!A4:L1000,10,FALSE)+(IF(ISBLANK(Draft!J13),0,VLOOKUP(Draft!J13, 'Final Update'!A4:L1000,10,FALSE)+(IF(ISBLANK(Draft!K4),0,VLOOKUP(Draft!K4, 'Final Update'!A4:L1000,10,FALSE)+(IF(ISBLANK(Draft!L13),0,VLOOKUP(Draft!L13, 'Final Update'!A4:L1000,10,FALSE)+(IF(ISBLANK(Draft!M4),0,VLOOKUP(Draft!M4, 'Final Update'!A4:L1000,10,FALSE)+IF(ISBLANK(Draft!N13),0,VLOOKUP(Draft!N13, 'Final Update'!A4:L1000,10,FALSE)+IF(ISBLANK(Draft!O4),0,VLOOKUP(Draft!O4, 'Final Update'!A4:L1000,10,FALSE))))))))))))))))))))))))</f>
        <v>0</v>
      </c>
      <c r="L15" s="282">
        <f>((IF(ISBLANK(Draft!D13),0,VLOOKUP(Draft!D13, 'Final Update'!A4:L1000,12,FALSE)+(IF(ISBLANK(Draft!E4),0,VLOOKUP(Draft!E4, 'Final Update'!A4:L1000,12,FALSE)+(IF(ISBLANK(Draft!F13),0,VLOOKUP(Draft!F13, 'Final Update'!A4:L1000,12,FALSE)+(IF(ISBLANK(Draft!G4),0,VLOOKUP(Draft!G4, 'Final Update'!A4:L1000,12,FALSE)+(IF(ISBLANK(Draft!H13),0,VLOOKUP(Draft!H13, 'Final Update'!A4:L1000,12,FALSE)+(IF(ISBLANK(Draft!I4),0,VLOOKUP(Draft!I4, 'Final Update'!A4:L1000,12,FALSE)+(IF(ISBLANK(Draft!J13),0,VLOOKUP(Draft!J13, 'Final Update'!A4:L1000,12,FALSE)+(IF(ISBLANK(Draft!K4),0,VLOOKUP(Draft!K4, 'Final Update'!A4:L1000,12,FALSE)+(IF(ISBLANK(Draft!L13),0,VLOOKUP(Draft!L13, 'Final Update'!A4:L1000,12,FALSE)+(IF(ISBLANK(Draft!M4),0,VLOOKUP(Draft!M4, 'Final Update'!A4:L1000,12,FALSE)+IF(ISBLANK(Draft!N13),0,VLOOKUP(Draft!N13, 'Final Update'!A4:L1000,12,FALSE)+IF(ISBLANK(Draft!O4),0,VLOOKUP(Draft!O4, 'Final Update'!A4:L1000,12,FALSE))))))))))))))))))))))))</f>
        <v>0</v>
      </c>
      <c r="M15" s="296">
        <f t="array" ref="M15">if(M$3=$C15,"-", countif(indirect(address(row($C$4)+ VLOOKUP(M$3,$C$5:$C$16,1),COLUMN($D$4))):indirect(address(row($C$4)+ VLOOKUP(M$3,$C$5:$C$16,1),COLUMN($L$4)))&gt;indirect(address(row($C15),COLUMN($D$4))):indirect(address(row($C15),COLUMN($L$4))),TRUE()))</f>
        <v>0</v>
      </c>
      <c r="N15" s="296">
        <f t="array" ref="N15">if(N$3=$C15,"-", countif(indirect(address(row($C$4)+ VLOOKUP(N$3,$C$5:$C$16,1),COLUMN($D$4))):indirect(address(row($C$4)+ VLOOKUP(N$3,$C$5:$C$16,1),COLUMN($L$4)))&gt;indirect(address(row($C15),COLUMN($D$4))):indirect(address(row($C15),COLUMN($L$4))),TRUE()))</f>
        <v>0</v>
      </c>
      <c r="O15" s="296">
        <f t="array" ref="O15">if(O$3=$C15,"-", countif(indirect(address(row($C$4)+ VLOOKUP(O$3,$C$5:$C$16,1),COLUMN($D$4))):indirect(address(row($C$4)+ VLOOKUP(O$3,$C$5:$C$16,1),COLUMN($L$4)))&gt;indirect(address(row($C15),COLUMN($D$4))):indirect(address(row($C15),COLUMN($L$4))),TRUE()))</f>
        <v>0</v>
      </c>
      <c r="P15" s="296">
        <f t="array" ref="P15">if(P$3=$C15,"-", countif(indirect(address(row($C$4)+ VLOOKUP(P$3,$C$5:$C$16,1),COLUMN($D$4))):indirect(address(row($C$4)+ VLOOKUP(P$3,$C$5:$C$16,1),COLUMN($L$4)))&gt;indirect(address(row($C15),COLUMN($D$4))):indirect(address(row($C15),COLUMN($L$4))),TRUE()))</f>
        <v>0</v>
      </c>
      <c r="Q15" s="296">
        <f t="array" ref="Q15">if(Q$3=$C15,"-", countif(indirect(address(row($C$4)+ VLOOKUP(Q$3,$C$5:$C$16,1),COLUMN($D$4))):indirect(address(row($C$4)+ VLOOKUP(Q$3,$C$5:$C$16,1),COLUMN($L$4)))&gt;indirect(address(row($C15),COLUMN($D$4))):indirect(address(row($C15),COLUMN($L$4))),TRUE()))</f>
        <v>0</v>
      </c>
      <c r="R15" s="296">
        <f t="array" ref="R15">if(R$3=$C15,"-", countif(indirect(address(row($C$4)+ VLOOKUP(R$3,$C$5:$C$16,1),COLUMN($D$4))):indirect(address(row($C$4)+ VLOOKUP(R$3,$C$5:$C$16,1),COLUMN($L$4)))&gt;indirect(address(row($C15),COLUMN($D$4))):indirect(address(row($C15),COLUMN($L$4))),TRUE()))</f>
        <v>0</v>
      </c>
      <c r="S15" s="296">
        <f t="array" ref="S15">if(S$3=$C15,"-", countif(indirect(address(row($C$4)+ VLOOKUP(S$3,$C$5:$C$16,1),COLUMN($D$4))):indirect(address(row($C$4)+ VLOOKUP(S$3,$C$5:$C$16,1),COLUMN($L$4)))&gt;indirect(address(row($C15),COLUMN($D$4))):indirect(address(row($C15),COLUMN($L$4))),TRUE()))</f>
        <v>0</v>
      </c>
      <c r="T15" s="296">
        <f t="array" ref="T15">if(T$3=$C15,"-", countif(indirect(address(row($C$4)+ VLOOKUP(T$3,$C$5:$C$16,1),COLUMN($D$4))):indirect(address(row($C$4)+ VLOOKUP(T$3,$C$5:$C$16,1),COLUMN($L$4)))&gt;indirect(address(row($C15),COLUMN($D$4))):indirect(address(row($C15),COLUMN($L$4))),TRUE()))</f>
        <v>0</v>
      </c>
      <c r="U15" s="296">
        <f t="array" ref="U15">if(U$3=$C15,"-", countif(indirect(address(row($C$4)+ VLOOKUP(U$3,$C$5:$C$16,1),COLUMN($D$4))):indirect(address(row($C$4)+ VLOOKUP(U$3,$C$5:$C$16,1),COLUMN($L$4)))&gt;indirect(address(row($C15),COLUMN($D$4))):indirect(address(row($C15),COLUMN($L$4))),TRUE()))</f>
        <v>0</v>
      </c>
      <c r="V15" s="296">
        <f t="array" ref="V15">if(V$3=$C15,"-", countif(indirect(address(row($C$4)+ VLOOKUP(V$3,$C$5:$C$16,1),COLUMN($D$4))):indirect(address(row($C$4)+ VLOOKUP(V$3,$C$5:$C$16,1),COLUMN($L$4)))&gt;indirect(address(row($C15),COLUMN($D$4))):indirect(address(row($C15),COLUMN($L$4))),TRUE()))</f>
        <v>0</v>
      </c>
      <c r="W15" s="296">
        <f t="array" ref="W15">if(W$3=$C15,"-", countif(indirect(address(row($C$4)+ VLOOKUP(W$3,$C$5:$C$16,1),COLUMN($D$4))):indirect(address(row($C$4)+ VLOOKUP(W$3,$C$5:$C$16,1),COLUMN($L$4)))&gt;indirect(address(row($C15),COLUMN($D$4))):indirect(address(row($C15),COLUMN($L$4))),TRUE()))</f>
        <v>0</v>
      </c>
      <c r="X15" s="296">
        <f t="array" ref="X15">if(X$3=$C15,"-", countif(indirect(address(row($C$4)+ VLOOKUP(X$3,$C$5:$C$16,1),COLUMN($D$4))):indirect(address(row($C$4)+ VLOOKUP(X$3,$C$5:$C$16,1),COLUMN($L$4)))&gt;indirect(address(row($C15),COLUMN($D$4))):indirect(address(row($C15),COLUMN($L$4))),TRUE()))</f>
        <v>0</v>
      </c>
      <c r="Y15" s="296">
        <f t="array" ref="Y15">if(D$1=$C15,"-", countif(indirect(address(row($C$4)+ VLOOKUP(D$1,$C$5:$C$16,1),COLUMN($D$4))):indirect(address(row($C$4)+ VLOOKUP(D$1,$C$5:$C$16,1),COLUMN($L$4)))&gt;indirect(address(row($C15),COLUMN($D$4))):indirect(address(row($C15),COLUMN($L$4))),TRUE()))</f>
        <v>0</v>
      </c>
      <c r="Z15" s="297">
        <f>SUM(W$5:W$16)/99</f>
        <v>0</v>
      </c>
    </row>
    <row r="16">
      <c r="B16" s="295" t="str">
        <f>Draft!C14</f>
        <v>#REF!</v>
      </c>
      <c r="C16" s="286">
        <v>12.0</v>
      </c>
      <c r="D16" s="282">
        <f>((IF(ISBLANK(Draft!D14),0,VLOOKUP(Draft!D14, 'Final Update'!A4:L1000,2,FALSE)+(IF(ISBLANK(Draft!E3),0,VLOOKUP(Draft!E3, 'Final Update'!A4:L1000,2,FALSE)+(IF(ISBLANK(Draft!F14),0,VLOOKUP(Draft!F14, 'Final Update'!A4:L1000,2,FALSE)+(IF(ISBLANK(Draft!G3),0,VLOOKUP(Draft!G3, 'Final Update'!A4:L1000,2,FALSE)+(IF(ISBLANK(Draft!H14),0,VLOOKUP(Draft!H14, 'Final Update'!A4:L1000,2,FALSE)+(IF(ISBLANK(Draft!I3),0,VLOOKUP(Draft!I3, 'Final Update'!A4:L1000,2,FALSE)+(IF(ISBLANK(Draft!J14),0,VLOOKUP(Draft!J14, 'Final Update'!A4:L1000,2,FALSE)+(IF(ISBLANK(Draft!K3),0,VLOOKUP(Draft!K3, 'Final Update'!A4:L1000,2,FALSE)+(IF(ISBLANK(Draft!L14),0,VLOOKUP(Draft!L14, 'Final Update'!A4:L1000,2,FALSE)+(IF(ISBLANK(Draft!M3),0,VLOOKUP(Draft!M3, 'Final Update'!A4:L1000,2,FALSE)+IF(ISBLANK(Draft!N14),0,VLOOKUP(Draft!N14, 'Final Update'!A4:L1000,2,FALSE)+IF(ISBLANK(Draft!O3),0,VLOOKUP(Draft!O3, 'Final Update'!A4:L1000,2,FALSE))))))))))))))))))))))))</f>
        <v>0</v>
      </c>
      <c r="E16" s="282">
        <f>((IF(ISBLANK(Draft!D14),0,VLOOKUP(Draft!D14, 'Final Update'!A4:L1000,3,FALSE)+(IF(ISBLANK(Draft!E3),0,VLOOKUP(Draft!E3, 'Final Update'!A4:L1000,3,FALSE)+(IF(ISBLANK(Draft!F14),0,VLOOKUP(Draft!F14, 'Final Update'!A4:L1000,3,FALSE)+(IF(ISBLANK(Draft!G3),0,VLOOKUP(Draft!G3, 'Final Update'!A4:L1000,3,FALSE)+(IF(ISBLANK(Draft!H14),0,VLOOKUP(Draft!H14, 'Final Update'!A4:L1000,3,FALSE)+(IF(ISBLANK(Draft!I3),0,VLOOKUP(Draft!I3, 'Final Update'!A4:L1000,3,FALSE)+(IF(ISBLANK(Draft!J14),0,VLOOKUP(Draft!J14, 'Final Update'!A4:L1000,3,FALSE)+(IF(ISBLANK(Draft!K3),0,VLOOKUP(Draft!K3, 'Final Update'!A4:L1000,3,FALSE)+(IF(ISBLANK(Draft!L14),0,VLOOKUP(Draft!L14, 'Final Update'!A4:L1000,3,FALSE)+(IF(ISBLANK(Draft!M3),0,VLOOKUP(Draft!M3, 'Final Update'!A4:L1000,3,FALSE)+IF(ISBLANK(Draft!N14),0,VLOOKUP(Draft!N14, 'Final Update'!A4:L1000,3,FALSE)+IF(ISBLANK(Draft!O3),0,VLOOKUP(Draft!O3, 'Final Update'!A4:L1000,3,FALSE))))))))))))))))))))))))</f>
        <v>0</v>
      </c>
      <c r="F16" s="282">
        <f>((IF(ISBLANK(Draft!D14),0,VLOOKUP(Draft!D14, 'Final Update'!A4:L1000,4,FALSE)+(IF(ISBLANK(Draft!E3),0,VLOOKUP(Draft!E3, 'Final Update'!A4:L1000,4,FALSE)+(IF(ISBLANK(Draft!F14),0,VLOOKUP(Draft!F14, 'Final Update'!A4:L1000,4,FALSE)+(IF(ISBLANK(Draft!G3),0,VLOOKUP(Draft!G3, 'Final Update'!A4:L1000,4,FALSE)+(IF(ISBLANK(Draft!H14),0,VLOOKUP(Draft!H14, 'Final Update'!A4:L1000,4,FALSE)+(IF(ISBLANK(Draft!I3),0,VLOOKUP(Draft!I3, 'Final Update'!A4:L1000,4,FALSE)+(IF(ISBLANK(Draft!J14),0,VLOOKUP(Draft!J14, 'Final Update'!A4:L1000,4,FALSE)+(IF(ISBLANK(Draft!K3),0,VLOOKUP(Draft!K3, 'Final Update'!A4:L1000,4,FALSE)+(IF(ISBLANK(Draft!L14),0,VLOOKUP(Draft!L14, 'Final Update'!A4:L1000,4,FALSE)+(IF(ISBLANK(Draft!M3),0,VLOOKUP(Draft!M3, 'Final Update'!A4:L1000,4,FALSE)+IF(ISBLANK(Draft!N14),0,VLOOKUP(Draft!N14, 'Final Update'!A4:L1000,4,FALSE)+IF(ISBLANK(Draft!O3),0,VLOOKUP(Draft!O3, 'Final Update'!A4:L1000,4,FALSE))))))))))))))))))))))))</f>
        <v>0</v>
      </c>
      <c r="G16" s="282">
        <f>((IF(ISBLANK(Draft!D14),0,VLOOKUP(Draft!D14, 'Final Update'!A4:L1000,5,FALSE)+(IF(ISBLANK(Draft!E3),0,VLOOKUP(Draft!E3, 'Final Update'!A4:L1000,5,FALSE)+(IF(ISBLANK(Draft!F14),0,VLOOKUP(Draft!F14, 'Final Update'!A4:L1000,5,FALSE)+(IF(ISBLANK(Draft!G3),0,VLOOKUP(Draft!G3, 'Final Update'!A4:L1000,5,FALSE)+(IF(ISBLANK(Draft!H14),0,VLOOKUP(Draft!H14, 'Final Update'!A4:L1000,5,FALSE)+(IF(ISBLANK(Draft!I3),0,VLOOKUP(Draft!I3, 'Final Update'!A4:L1000,5,FALSE)+(IF(ISBLANK(Draft!J14),0,VLOOKUP(Draft!J14, 'Final Update'!A4:L1000,5,FALSE)+(IF(ISBLANK(Draft!K3),0,VLOOKUP(Draft!K3, 'Final Update'!A4:L1000,5,FALSE)+(IF(ISBLANK(Draft!L14),0,VLOOKUP(Draft!L14, 'Final Update'!A4:L1000,5,FALSE)+(IF(ISBLANK(Draft!M3),0,VLOOKUP(Draft!M3, 'Final Update'!A4:L1000,5,FALSE)+IF(ISBLANK(Draft!N14),0,VLOOKUP(Draft!N14, 'Final Update'!A4:L1000,5,FALSE)+IF(ISBLANK(Draft!O3),0,VLOOKUP(Draft!O3, 'Final Update'!A4:L1000,5,FALSE))))))))))))))))))))))))</f>
        <v>0</v>
      </c>
      <c r="H16" s="282">
        <f>((IF(ISBLANK(Draft!D14),0,VLOOKUP(Draft!D14, 'Final Update'!A4:L1000,6,FALSE)+(IF(ISBLANK(Draft!E3),0,VLOOKUP(Draft!E3, 'Final Update'!A4:L1000,6,FALSE)+(IF(ISBLANK(Draft!F14),0,VLOOKUP(Draft!F14, 'Final Update'!A4:L1000,6,FALSE)+(IF(ISBLANK(Draft!G3),0,VLOOKUP(Draft!G3, 'Final Update'!A4:L1000,6,FALSE)+(IF(ISBLANK(Draft!H14),0,VLOOKUP(Draft!H14, 'Final Update'!A4:L1000,6,FALSE)+(IF(ISBLANK(Draft!I3),0,VLOOKUP(Draft!I3, 'Final Update'!A4:L1000,6,FALSE)+(IF(ISBLANK(Draft!J14),0,VLOOKUP(Draft!J14, 'Final Update'!A4:L1000,6,FALSE)+(IF(ISBLANK(Draft!K3),0,VLOOKUP(Draft!K3, 'Final Update'!A4:L1000,6,FALSE)+(IF(ISBLANK(Draft!L14),0,VLOOKUP(Draft!L14, 'Final Update'!A4:L1000,6,FALSE)+(IF(ISBLANK(Draft!M3),0,VLOOKUP(Draft!M3, 'Final Update'!A4:L1000,6,FALSE)+IF(ISBLANK(Draft!N14),0,VLOOKUP(Draft!N14, 'Final Update'!A4:L1000,6,FALSE)+IF(ISBLANK(Draft!O3),0,VLOOKUP(Draft!O3, 'Final Update'!A4:L1000,6,FALSE))))))))))))))))))))))))</f>
        <v>0</v>
      </c>
      <c r="I16" s="282">
        <f>((IF(ISBLANK(Draft!D14),0,VLOOKUP(Draft!D14, 'Final Update'!A4:L1000,7,FALSE)+(IF(ISBLANK(Draft!E3),0,VLOOKUP(Draft!E3, 'Final Update'!A4:L1000,7,FALSE)+(IF(ISBLANK(Draft!F14),0,VLOOKUP(Draft!F14, 'Final Update'!A4:L1000,7,FALSE)+(IF(ISBLANK(Draft!G3),0,VLOOKUP(Draft!G3, 'Final Update'!A4:L1000,7,FALSE)+(IF(ISBLANK(Draft!H14),0,VLOOKUP(Draft!H14, 'Final Update'!A4:L1000,7,FALSE)+(IF(ISBLANK(Draft!I3),0,VLOOKUP(Draft!I3, 'Final Update'!A4:L1000,7,FALSE)+(IF(ISBLANK(Draft!J14),0,VLOOKUP(Draft!J14, 'Final Update'!A4:L1000,7,FALSE)+(IF(ISBLANK(Draft!K3),0,VLOOKUP(Draft!K3, 'Final Update'!A4:L1000,7,FALSE)+(IF(ISBLANK(Draft!L14),0,VLOOKUP(Draft!L14, 'Final Update'!A4:L1000,7,FALSE)+(IF(ISBLANK(Draft!M3),0,VLOOKUP(Draft!M3, 'Final Update'!A4:L1000,7,FALSE)+IF(ISBLANK(Draft!N14),0,VLOOKUP(Draft!N14, 'Final Update'!A4:L1000,7,FALSE)+IF(ISBLANK(Draft!O3),0,VLOOKUP(Draft!O3, 'Final Update'!A4:L1000,7,FALSE))))))))))))))))))))))))</f>
        <v>0</v>
      </c>
      <c r="J16" s="282">
        <f>((IF(ISBLANK(Draft!D14),0,VLOOKUP(Draft!D14, 'Final Update'!A4:L1000,8,FALSE)+(IF(ISBLANK(Draft!E3),0,VLOOKUP(Draft!E3, 'Final Update'!A4:L1000,8,FALSE)+(IF(ISBLANK(Draft!F14),0,VLOOKUP(Draft!F14, 'Final Update'!A4:L1000,8,FALSE)+(IF(ISBLANK(Draft!G3),0,VLOOKUP(Draft!G3, 'Final Update'!A4:L1000,8,FALSE)+(IF(ISBLANK(Draft!H14),0,VLOOKUP(Draft!H14, 'Final Update'!A4:L1000,8,FALSE)+(IF(ISBLANK(Draft!I3),0,VLOOKUP(Draft!I3, 'Final Update'!A4:L1000,8,FALSE)+(IF(ISBLANK(Draft!J14),0,VLOOKUP(Draft!J14, 'Final Update'!A4:L1000,8,FALSE)+(IF(ISBLANK(Draft!K3),0,VLOOKUP(Draft!K3, 'Final Update'!A4:L1000,8,FALSE)+(IF(ISBLANK(Draft!L14),0,VLOOKUP(Draft!L14, 'Final Update'!A4:L1000,8,FALSE)+(IF(ISBLANK(Draft!M3),0,VLOOKUP(Draft!M3, 'Final Update'!A4:L1000,8,FALSE)+IF(ISBLANK(Draft!N14),0,VLOOKUP(Draft!N14, 'Final Update'!A4:L1000,8,FALSE)+IF(ISBLANK(Draft!O3),0,VLOOKUP(Draft!O3, 'Final Update'!A4:L1000,8,FALSE))))))))))))))))))))))))</f>
        <v>0</v>
      </c>
      <c r="K16" s="282">
        <f>((IF(ISBLANK(Draft!D14),0,VLOOKUP(Draft!D14, 'Final Update'!A4:L1000,10,FALSE)+(IF(ISBLANK(Draft!E3),0,VLOOKUP(Draft!E3, 'Final Update'!A4:L1000,10,FALSE)+(IF(ISBLANK(Draft!F14),0,VLOOKUP(Draft!F14, 'Final Update'!A4:L1000,10,FALSE)+(IF(ISBLANK(Draft!G3),0,VLOOKUP(Draft!G3, 'Final Update'!A4:L1000,10,FALSE)+(IF(ISBLANK(Draft!H14),0,VLOOKUP(Draft!H14, 'Final Update'!A4:L1000,10,FALSE)+(IF(ISBLANK(Draft!I3),0,VLOOKUP(Draft!I3, 'Final Update'!A4:L1000,10,FALSE)+(IF(ISBLANK(Draft!J14),0,VLOOKUP(Draft!J14, 'Final Update'!A4:L1000,10,FALSE)+(IF(ISBLANK(Draft!K3),0,VLOOKUP(Draft!K3, 'Final Update'!A4:L1000,10,FALSE)+(IF(ISBLANK(Draft!L14),0,VLOOKUP(Draft!L14, 'Final Update'!A4:L1000,10,FALSE)+(IF(ISBLANK(Draft!M3),0,VLOOKUP(Draft!M3, 'Final Update'!A4:L1000,10,FALSE)+IF(ISBLANK(Draft!N14),0,VLOOKUP(Draft!N14, 'Final Update'!A4:L1000,10,FALSE)+IF(ISBLANK(Draft!O3),0,VLOOKUP(Draft!O3, 'Final Update'!A4:L1000,10,FALSE))))))))))))))))))))))))</f>
        <v>0</v>
      </c>
      <c r="L16" s="282">
        <f>((IF(ISBLANK(Draft!D14),0,VLOOKUP(Draft!D14, 'Final Update'!A4:L1000,12,FALSE)+(IF(ISBLANK(Draft!E3),0,VLOOKUP(Draft!E3, 'Final Update'!A4:L1000,12,FALSE)+(IF(ISBLANK(Draft!F14),0,VLOOKUP(Draft!F14, 'Final Update'!A4:L1000,12,FALSE)+(IF(ISBLANK(Draft!G3),0,VLOOKUP(Draft!G3, 'Final Update'!A4:L1000,12,FALSE)+(IF(ISBLANK(Draft!H14),0,VLOOKUP(Draft!H14, 'Final Update'!A4:L1000,12,FALSE)+(IF(ISBLANK(Draft!I3),0,VLOOKUP(Draft!I3, 'Final Update'!A4:L1000,12,FALSE)+(IF(ISBLANK(Draft!J14),0,VLOOKUP(Draft!J14, 'Final Update'!A4:L1000,12,FALSE)+(IF(ISBLANK(Draft!K3),0,VLOOKUP(Draft!K3, 'Final Update'!A4:L1000,12,FALSE)+(IF(ISBLANK(Draft!L14),0,VLOOKUP(Draft!L14, 'Final Update'!A4:L1000,12,FALSE)+(IF(ISBLANK(Draft!M3),0,VLOOKUP(Draft!M3, 'Final Update'!A4:L1000,12,FALSE)+IF(ISBLANK(Draft!N14),0,VLOOKUP(Draft!N14, 'Final Update'!A4:L1000,12,FALSE)+IF(ISBLANK(Draft!O3),0,VLOOKUP(Draft!O3, 'Final Update'!A4:L1000,12,FALSE))))))))))))))))))))))))</f>
        <v>0</v>
      </c>
      <c r="M16" s="296">
        <f t="array" ref="M16">if(M$3=$C16,"-", countif(indirect(address(row($C$4)+ VLOOKUP(M$3,$C$5:$C$16,1),COLUMN($D$4))):indirect(address(row($C$4)+ VLOOKUP(M$3,$C$5:$C$16,1),COLUMN($L$4)))&gt;indirect(address(row($C16),COLUMN($D$4))):indirect(address(row($C16),COLUMN($L$4))),TRUE()))</f>
        <v>0</v>
      </c>
      <c r="N16" s="296">
        <f t="array" ref="N16">if(N$3=$C16,"-", countif(indirect(address(row($C$4)+ VLOOKUP(N$3,$C$5:$C$16,1),COLUMN($D$4))):indirect(address(row($C$4)+ VLOOKUP(N$3,$C$5:$C$16,1),COLUMN($L$4)))&gt;indirect(address(row($C16),COLUMN($D$4))):indirect(address(row($C16),COLUMN($L$4))),TRUE()))</f>
        <v>0</v>
      </c>
      <c r="O16" s="296">
        <f t="array" ref="O16">if(O$3=$C16,"-", countif(indirect(address(row($C$4)+ VLOOKUP(O$3,$C$5:$C$16,1),COLUMN($D$4))):indirect(address(row($C$4)+ VLOOKUP(O$3,$C$5:$C$16,1),COLUMN($L$4)))&gt;indirect(address(row($C16),COLUMN($D$4))):indirect(address(row($C16),COLUMN($L$4))),TRUE()))</f>
        <v>0</v>
      </c>
      <c r="P16" s="296">
        <f t="array" ref="P16">if(P$3=$C16,"-", countif(indirect(address(row($C$4)+ VLOOKUP(P$3,$C$5:$C$16,1),COLUMN($D$4))):indirect(address(row($C$4)+ VLOOKUP(P$3,$C$5:$C$16,1),COLUMN($L$4)))&gt;indirect(address(row($C16),COLUMN($D$4))):indirect(address(row($C16),COLUMN($L$4))),TRUE()))</f>
        <v>0</v>
      </c>
      <c r="Q16" s="296">
        <f t="array" ref="Q16">if(Q$3=$C16,"-", countif(indirect(address(row($C$4)+ VLOOKUP(Q$3,$C$5:$C$16,1),COLUMN($D$4))):indirect(address(row($C$4)+ VLOOKUP(Q$3,$C$5:$C$16,1),COLUMN($L$4)))&gt;indirect(address(row($C16),COLUMN($D$4))):indirect(address(row($C16),COLUMN($L$4))),TRUE()))</f>
        <v>0</v>
      </c>
      <c r="R16" s="296">
        <f t="array" ref="R16">if(R$3=$C16,"-", countif(indirect(address(row($C$4)+ VLOOKUP(R$3,$C$5:$C$16,1),COLUMN($D$4))):indirect(address(row($C$4)+ VLOOKUP(R$3,$C$5:$C$16,1),COLUMN($L$4)))&gt;indirect(address(row($C16),COLUMN($D$4))):indirect(address(row($C16),COLUMN($L$4))),TRUE()))</f>
        <v>0</v>
      </c>
      <c r="S16" s="296">
        <f t="array" ref="S16">if(S$3=$C16,"-", countif(indirect(address(row($C$4)+ VLOOKUP(S$3,$C$5:$C$16,1),COLUMN($D$4))):indirect(address(row($C$4)+ VLOOKUP(S$3,$C$5:$C$16,1),COLUMN($L$4)))&gt;indirect(address(row($C16),COLUMN($D$4))):indirect(address(row($C16),COLUMN($L$4))),TRUE()))</f>
        <v>0</v>
      </c>
      <c r="T16" s="296">
        <f t="array" ref="T16">if(T$3=$C16,"-", countif(indirect(address(row($C$4)+ VLOOKUP(T$3,$C$5:$C$16,1),COLUMN($D$4))):indirect(address(row($C$4)+ VLOOKUP(T$3,$C$5:$C$16,1),COLUMN($L$4)))&gt;indirect(address(row($C16),COLUMN($D$4))):indirect(address(row($C16),COLUMN($L$4))),TRUE()))</f>
        <v>0</v>
      </c>
      <c r="U16" s="296">
        <f t="array" ref="U16">if(U$3=$C16,"-", countif(indirect(address(row($C$4)+ VLOOKUP(U$3,$C$5:$C$16,1),COLUMN($D$4))):indirect(address(row($C$4)+ VLOOKUP(U$3,$C$5:$C$16,1),COLUMN($L$4)))&gt;indirect(address(row($C16),COLUMN($D$4))):indirect(address(row($C16),COLUMN($L$4))),TRUE()))</f>
        <v>0</v>
      </c>
      <c r="V16" s="296">
        <f t="array" ref="V16">if(V$3=$C16,"-", countif(indirect(address(row($C$4)+ VLOOKUP(V$3,$C$5:$C$16,1),COLUMN($D$4))):indirect(address(row($C$4)+ VLOOKUP(V$3,$C$5:$C$16,1),COLUMN($L$4)))&gt;indirect(address(row($C16),COLUMN($D$4))):indirect(address(row($C16),COLUMN($L$4))),TRUE()))</f>
        <v>0</v>
      </c>
      <c r="W16" s="296">
        <f t="array" ref="W16">if(W$3=$C16,"-", countif(indirect(address(row($C$4)+ VLOOKUP(W$3,$C$5:$C$16,1),COLUMN($D$4))):indirect(address(row($C$4)+ VLOOKUP(W$3,$C$5:$C$16,1),COLUMN($L$4)))&gt;indirect(address(row($C16),COLUMN($D$4))):indirect(address(row($C16),COLUMN($L$4))),TRUE()))</f>
        <v>0</v>
      </c>
      <c r="X16" s="296">
        <f t="array" ref="X16">if(X$3=$C16,"-", countif(indirect(address(row($C$4)+ VLOOKUP(X$3,$C$5:$C$16,1),COLUMN($D$4))):indirect(address(row($C$4)+ VLOOKUP(X$3,$C$5:$C$16,1),COLUMN($L$4)))&gt;indirect(address(row($C16),COLUMN($D$4))):indirect(address(row($C16),COLUMN($L$4))),TRUE()))</f>
        <v>0</v>
      </c>
      <c r="Y16" s="296">
        <f t="array" ref="Y16">if(D$1=$C16,"-", countif(indirect(address(row($C$4)+ VLOOKUP(D$1,$C$5:$C$16,1),COLUMN($D$4))):indirect(address(row($C$4)+ VLOOKUP(D$1,$C$5:$C$16,1),COLUMN($L$4)))&gt;indirect(address(row($C16),COLUMN($D$4))):indirect(address(row($C16),COLUMN($L$4))),TRUE()))</f>
        <v>0</v>
      </c>
      <c r="Z16" s="297">
        <f>SUM(X$5:X$16)/99</f>
        <v>0</v>
      </c>
    </row>
    <row r="19">
      <c r="D19" s="285" t="s">
        <v>10</v>
      </c>
      <c r="E19" s="294" t="s">
        <v>109</v>
      </c>
      <c r="F19" s="285" t="s">
        <v>110</v>
      </c>
      <c r="G19" s="285" t="s">
        <v>12</v>
      </c>
      <c r="H19" s="285" t="s">
        <v>13</v>
      </c>
      <c r="I19" s="285" t="s">
        <v>14</v>
      </c>
      <c r="J19" s="285" t="s">
        <v>8</v>
      </c>
      <c r="K19" s="285" t="s">
        <v>9</v>
      </c>
      <c r="L19" s="285" t="s">
        <v>15</v>
      </c>
    </row>
    <row r="20">
      <c r="C20" s="5" t="s">
        <v>2156</v>
      </c>
    </row>
    <row r="21">
      <c r="C21" s="5"/>
    </row>
    <row r="24">
      <c r="C24" s="5"/>
    </row>
    <row r="25">
      <c r="C25" s="5" t="s">
        <v>148</v>
      </c>
    </row>
    <row r="26">
      <c r="C26" s="5" t="s">
        <v>2157</v>
      </c>
    </row>
    <row r="31">
      <c r="C31" s="5" t="s">
        <v>148</v>
      </c>
    </row>
  </sheetData>
  <conditionalFormatting sqref="D5:L16">
    <cfRule type="cellIs" dxfId="2" priority="1" operator="equal">
      <formula>0</formula>
    </cfRule>
  </conditionalFormatting>
  <conditionalFormatting sqref="D5:L16">
    <cfRule type="colorScale" priority="2">
      <colorScale>
        <cfvo type="min"/>
        <cfvo type="formula" val="0"/>
        <cfvo type="max"/>
        <color rgb="FFFF0000"/>
        <color rgb="FFFFFFFF"/>
        <color rgb="FF00FF00"/>
      </colorScale>
    </cfRule>
  </conditionalFormatting>
  <conditionalFormatting sqref="Z5:Z16">
    <cfRule type="colorScale" priority="3">
      <colorScale>
        <cfvo type="min"/>
        <cfvo type="formula" val="0.5"/>
        <cfvo type="max"/>
        <color rgb="FFFF0000"/>
        <color rgb="FFFFFFFF"/>
        <color rgb="FF00FF00"/>
      </colorScale>
    </cfRule>
  </conditionalFormatting>
  <conditionalFormatting sqref="Y5:Y16">
    <cfRule type="colorScale" priority="4">
      <colorScale>
        <cfvo type="formula" val="2"/>
        <cfvo type="formula" val="4.5"/>
        <cfvo type="formula" val="8"/>
        <color rgb="FFFF0000"/>
        <color rgb="FFFFFFFF"/>
        <color rgb="FF00FF00"/>
      </colorScale>
    </cfRule>
  </conditionalFormatting>
  <dataValidations>
    <dataValidation type="list" allowBlank="1" sqref="C21:C24">
      <formula1>Trades!$C$6:$C$15</formula1>
    </dataValidation>
    <dataValidation type="list" allowBlank="1" sqref="C27:C30">
      <formula1>Trades!$C$7:$C$13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8" t="s">
        <v>1844</v>
      </c>
      <c r="C1" s="298" t="s">
        <v>1845</v>
      </c>
      <c r="E1" s="299">
        <f>+2.4</f>
        <v>2.4</v>
      </c>
      <c r="F1" s="300">
        <v>99.6</v>
      </c>
      <c r="R1" s="5" t="s">
        <v>46</v>
      </c>
      <c r="S1" s="5" t="s">
        <v>47</v>
      </c>
      <c r="T1" s="5" t="s">
        <v>48</v>
      </c>
      <c r="U1" s="5" t="s">
        <v>49</v>
      </c>
      <c r="V1" s="5" t="s">
        <v>34</v>
      </c>
    </row>
    <row r="2">
      <c r="A2" s="301" t="s">
        <v>1846</v>
      </c>
      <c r="B2" s="302" t="s">
        <v>3</v>
      </c>
      <c r="C2" s="301" t="s">
        <v>1847</v>
      </c>
      <c r="D2" s="303" t="s">
        <v>1848</v>
      </c>
      <c r="E2" s="304">
        <v>68.6</v>
      </c>
      <c r="F2" s="305">
        <f>+3.3</f>
        <v>3.3</v>
      </c>
      <c r="G2" s="304">
        <v>99.6</v>
      </c>
      <c r="R2" t="str">
        <f t="array" ref="R2:R1000">IF(ISNUMBER(SEARCH("PG", B2:B1000)), "PG", "")</f>
        <v/>
      </c>
      <c r="S2" s="276" t="str">
        <f t="array" ref="S2:S1000">IF(ISNUMBER(SEARCH("SG", B2:B1000)), "SG", "")</f>
        <v/>
      </c>
      <c r="T2" t="str">
        <f t="array" ref="T2:T1000">IF(ISNUMBER(SEARCH("SF", B2:B1000)), "SF", "")</f>
        <v/>
      </c>
      <c r="U2" s="276" t="str">
        <f t="array" ref="U2:U1000">IF(ISNUMBER(SEARCH("PF", B2:B1000)), "PF", "")</f>
        <v/>
      </c>
      <c r="V2" t="str">
        <f t="array" ref="V2:V1000">IF(ISNUMBER(SEARCH("C", B2:B1000)), "C", "")</f>
        <v/>
      </c>
      <c r="W2" t="str">
        <f t="shared" ref="W2:W500" si="1">R2&amp;S2&amp;T2&amp;U2&amp;V2</f>
        <v/>
      </c>
    </row>
    <row r="3">
      <c r="A3" s="306">
        <v>1.0</v>
      </c>
      <c r="B3" s="307" t="s">
        <v>1849</v>
      </c>
      <c r="C3" s="308"/>
      <c r="D3" s="308"/>
      <c r="E3" s="300">
        <v>63.0</v>
      </c>
      <c r="F3" s="299">
        <f>+0.3</f>
        <v>0.3</v>
      </c>
      <c r="G3" s="300">
        <v>99.6</v>
      </c>
      <c r="O3" t="str">
        <f>IFERROR(__xludf.DUMMYFUNCTION("regexextract(B3,""[\w]* [\w]*"")"),"Nikola Jokic")</f>
        <v>Nikola Jokic</v>
      </c>
      <c r="P3" t="str">
        <f t="shared" ref="P3:P500" si="2">SUBSTITUTE(O3,"DTD","")</f>
        <v>Nikola Jokic</v>
      </c>
      <c r="Q3" t="str">
        <f t="shared" ref="Q3:Q500" si="3">IF(RIGHT(P3,1)="O", LEFT(P3, LEN(P3)-1),P3)</f>
        <v>Nikola Jokic</v>
      </c>
      <c r="R3" t="s">
        <v>1850</v>
      </c>
      <c r="S3" s="276" t="s">
        <v>1850</v>
      </c>
      <c r="T3" t="s">
        <v>1850</v>
      </c>
      <c r="U3" t="s">
        <v>1850</v>
      </c>
      <c r="V3" t="s">
        <v>34</v>
      </c>
      <c r="W3" t="str">
        <f t="shared" si="1"/>
        <v>C</v>
      </c>
    </row>
    <row r="4">
      <c r="A4" s="309">
        <v>2.0</v>
      </c>
      <c r="B4" s="310" t="s">
        <v>1851</v>
      </c>
      <c r="C4" s="311"/>
      <c r="D4" s="312"/>
      <c r="E4" s="304">
        <v>66.6</v>
      </c>
      <c r="F4" s="305">
        <f>+1.8</f>
        <v>1.8</v>
      </c>
      <c r="G4" s="304">
        <v>99.6</v>
      </c>
      <c r="O4" t="str">
        <f>IFERROR(__xludf.DUMMYFUNCTION("regexextract(B4,""[\w]* [\w]*"")"),"Giannis AntetokounmpoDTD")</f>
        <v>Giannis AntetokounmpoDTD</v>
      </c>
      <c r="P4" t="str">
        <f t="shared" si="2"/>
        <v>Giannis Antetokounmpo</v>
      </c>
      <c r="Q4" t="str">
        <f t="shared" si="3"/>
        <v>Giannis Antetokounmp</v>
      </c>
      <c r="R4" t="s">
        <v>1850</v>
      </c>
      <c r="S4" s="276" t="s">
        <v>1850</v>
      </c>
      <c r="T4" t="s">
        <v>1850</v>
      </c>
      <c r="U4" t="s">
        <v>49</v>
      </c>
      <c r="V4" t="s">
        <v>1850</v>
      </c>
      <c r="W4" t="str">
        <f t="shared" si="1"/>
        <v>PF</v>
      </c>
    </row>
    <row r="5">
      <c r="A5" s="306">
        <v>3.0</v>
      </c>
      <c r="B5" s="307" t="s">
        <v>1852</v>
      </c>
      <c r="C5" s="308"/>
      <c r="D5" s="308"/>
      <c r="E5" s="300">
        <v>62.3</v>
      </c>
      <c r="F5" s="299">
        <f>+0.2</f>
        <v>0.2</v>
      </c>
      <c r="G5" s="300">
        <v>99.6</v>
      </c>
      <c r="O5" t="str">
        <f>IFERROR(__xludf.DUMMYFUNCTION("regexextract(B5,""[\w]* [\w]*"")"),"Luka Doncic")</f>
        <v>Luka Doncic</v>
      </c>
      <c r="P5" t="str">
        <f t="shared" si="2"/>
        <v>Luka Doncic</v>
      </c>
      <c r="Q5" t="str">
        <f t="shared" si="3"/>
        <v>Luka Doncic</v>
      </c>
      <c r="R5" t="s">
        <v>46</v>
      </c>
      <c r="S5" s="276" t="s">
        <v>1850</v>
      </c>
      <c r="T5" t="s">
        <v>1850</v>
      </c>
      <c r="U5" t="s">
        <v>1850</v>
      </c>
      <c r="V5" t="s">
        <v>34</v>
      </c>
      <c r="W5" t="str">
        <f t="shared" si="1"/>
        <v>PGC</v>
      </c>
    </row>
    <row r="6">
      <c r="A6" s="309">
        <v>4.0</v>
      </c>
      <c r="B6" s="310" t="s">
        <v>1853</v>
      </c>
      <c r="C6" s="311"/>
      <c r="D6" s="311"/>
      <c r="E6" s="304">
        <v>61.8</v>
      </c>
      <c r="F6" s="305">
        <f>+0.3</f>
        <v>0.3</v>
      </c>
      <c r="G6" s="304">
        <v>99.6</v>
      </c>
      <c r="O6" t="str">
        <f>IFERROR(__xludf.DUMMYFUNCTION("regexextract(B6,""[\w]* [\w]*"")"),"James Harden")</f>
        <v>James Harden</v>
      </c>
      <c r="P6" t="str">
        <f t="shared" si="2"/>
        <v>James Harden</v>
      </c>
      <c r="Q6" t="str">
        <f t="shared" si="3"/>
        <v>James Harden</v>
      </c>
      <c r="R6" t="s">
        <v>46</v>
      </c>
      <c r="S6" s="276" t="s">
        <v>47</v>
      </c>
      <c r="T6" t="s">
        <v>1850</v>
      </c>
      <c r="U6" t="s">
        <v>1850</v>
      </c>
      <c r="V6" t="s">
        <v>1850</v>
      </c>
      <c r="W6" t="str">
        <f t="shared" si="1"/>
        <v>PGSG</v>
      </c>
    </row>
    <row r="7">
      <c r="A7" s="306">
        <v>5.0</v>
      </c>
      <c r="B7" s="307" t="s">
        <v>1854</v>
      </c>
      <c r="C7" s="308"/>
      <c r="D7" s="308"/>
      <c r="E7" s="300">
        <v>62.6</v>
      </c>
      <c r="F7" s="299">
        <f t="shared" ref="F7:F8" si="4">+0.8</f>
        <v>0.8</v>
      </c>
      <c r="G7" s="300">
        <v>99.5</v>
      </c>
      <c r="O7" t="str">
        <f>IFERROR(__xludf.DUMMYFUNCTION("regexextract(B7,""[\w]* [\w]*"")"),"Anthony Towns")</f>
        <v>Anthony Towns</v>
      </c>
      <c r="P7" t="str">
        <f t="shared" si="2"/>
        <v>Anthony Towns</v>
      </c>
      <c r="Q7" t="str">
        <f t="shared" si="3"/>
        <v>Anthony Towns</v>
      </c>
      <c r="R7" t="s">
        <v>1850</v>
      </c>
      <c r="S7" s="276" t="s">
        <v>1850</v>
      </c>
      <c r="T7" t="s">
        <v>1850</v>
      </c>
      <c r="U7" t="s">
        <v>1850</v>
      </c>
      <c r="V7" t="s">
        <v>34</v>
      </c>
      <c r="W7" t="str">
        <f t="shared" si="1"/>
        <v>C</v>
      </c>
    </row>
    <row r="8">
      <c r="A8" s="309">
        <v>6.0</v>
      </c>
      <c r="B8" s="310" t="s">
        <v>1855</v>
      </c>
      <c r="C8" s="311"/>
      <c r="D8" s="312"/>
      <c r="E8" s="304">
        <v>51.1</v>
      </c>
      <c r="F8" s="305">
        <f t="shared" si="4"/>
        <v>0.8</v>
      </c>
      <c r="G8" s="304">
        <v>99.5</v>
      </c>
      <c r="O8" t="str">
        <f>IFERROR(__xludf.DUMMYFUNCTION("regexextract(B8,""[\w]* [\w]*"")"),"Bradley Beal")</f>
        <v>Bradley Beal</v>
      </c>
      <c r="P8" t="str">
        <f t="shared" si="2"/>
        <v>Bradley Beal</v>
      </c>
      <c r="Q8" t="str">
        <f t="shared" si="3"/>
        <v>Bradley Beal</v>
      </c>
      <c r="R8" t="s">
        <v>1850</v>
      </c>
      <c r="S8" s="276" t="s">
        <v>47</v>
      </c>
      <c r="T8" t="s">
        <v>1850</v>
      </c>
      <c r="U8" t="s">
        <v>1850</v>
      </c>
      <c r="V8" t="s">
        <v>1850</v>
      </c>
      <c r="W8" t="str">
        <f t="shared" si="1"/>
        <v>SG</v>
      </c>
    </row>
    <row r="9">
      <c r="A9" s="306">
        <v>7.0</v>
      </c>
      <c r="B9" s="307" t="s">
        <v>1856</v>
      </c>
      <c r="C9" s="308"/>
      <c r="D9" s="308"/>
      <c r="E9" s="300">
        <v>49.3</v>
      </c>
      <c r="F9" s="299">
        <f>+0.1</f>
        <v>0.1</v>
      </c>
      <c r="G9" s="300">
        <v>99.2</v>
      </c>
      <c r="O9" t="str">
        <f>IFERROR(__xludf.DUMMYFUNCTION("regexextract(B9,""[\w]* [\w]*"")"),"Damian Lillard")</f>
        <v>Damian Lillard</v>
      </c>
      <c r="P9" t="str">
        <f t="shared" si="2"/>
        <v>Damian Lillard</v>
      </c>
      <c r="Q9" t="str">
        <f t="shared" si="3"/>
        <v>Damian Lillard</v>
      </c>
      <c r="R9" t="s">
        <v>46</v>
      </c>
      <c r="S9" s="276" t="s">
        <v>1850</v>
      </c>
      <c r="T9" t="s">
        <v>1850</v>
      </c>
      <c r="U9" t="s">
        <v>1850</v>
      </c>
      <c r="V9" t="s">
        <v>1850</v>
      </c>
      <c r="W9" t="str">
        <f t="shared" si="1"/>
        <v>PG</v>
      </c>
    </row>
    <row r="10">
      <c r="A10" s="309">
        <v>8.0</v>
      </c>
      <c r="B10" s="310" t="s">
        <v>1857</v>
      </c>
      <c r="C10" s="311"/>
      <c r="D10" s="312"/>
      <c r="E10" s="304">
        <v>48.7</v>
      </c>
      <c r="F10" s="305">
        <f t="shared" ref="F10:F11" si="5">+0.4</f>
        <v>0.4</v>
      </c>
      <c r="G10" s="304">
        <v>99.6</v>
      </c>
      <c r="O10" t="str">
        <f>IFERROR(__xludf.DUMMYFUNCTION("regexextract(B10,""[\w]* [\w]*"")"),"Paul George")</f>
        <v>Paul George</v>
      </c>
      <c r="P10" t="str">
        <f t="shared" si="2"/>
        <v>Paul George</v>
      </c>
      <c r="Q10" t="str">
        <f t="shared" si="3"/>
        <v>Paul George</v>
      </c>
      <c r="R10" t="s">
        <v>1850</v>
      </c>
      <c r="S10" s="276" t="s">
        <v>47</v>
      </c>
      <c r="T10" t="s">
        <v>48</v>
      </c>
      <c r="U10" t="s">
        <v>1850</v>
      </c>
      <c r="V10" t="s">
        <v>34</v>
      </c>
      <c r="W10" t="str">
        <f t="shared" si="1"/>
        <v>SGSFC</v>
      </c>
    </row>
    <row r="11">
      <c r="A11" s="306">
        <v>9.0</v>
      </c>
      <c r="B11" s="307" t="s">
        <v>1858</v>
      </c>
      <c r="C11" s="308"/>
      <c r="D11" s="313"/>
      <c r="E11" s="300">
        <v>47.4</v>
      </c>
      <c r="F11" s="299">
        <f t="shared" si="5"/>
        <v>0.4</v>
      </c>
      <c r="G11" s="300">
        <v>99.5</v>
      </c>
      <c r="O11" t="str">
        <f>IFERROR(__xludf.DUMMYFUNCTION("regexextract(B11,""[\w]* [\w]*"")"),"Stephen Curry")</f>
        <v>Stephen Curry</v>
      </c>
      <c r="P11" t="str">
        <f t="shared" si="2"/>
        <v>Stephen Curry</v>
      </c>
      <c r="Q11" t="str">
        <f t="shared" si="3"/>
        <v>Stephen Curry</v>
      </c>
      <c r="R11" t="s">
        <v>46</v>
      </c>
      <c r="S11" s="276" t="s">
        <v>1850</v>
      </c>
      <c r="T11" t="s">
        <v>1850</v>
      </c>
      <c r="U11" t="s">
        <v>1850</v>
      </c>
      <c r="V11" t="s">
        <v>34</v>
      </c>
      <c r="W11" t="str">
        <f t="shared" si="1"/>
        <v>PGC</v>
      </c>
    </row>
    <row r="12">
      <c r="A12" s="309">
        <v>10.0</v>
      </c>
      <c r="B12" s="310" t="s">
        <v>1859</v>
      </c>
      <c r="C12" s="311"/>
      <c r="D12" s="311"/>
      <c r="E12" s="304">
        <v>46.8</v>
      </c>
      <c r="F12" s="314">
        <v>-0.1</v>
      </c>
      <c r="G12" s="304">
        <v>99.0</v>
      </c>
      <c r="O12" t="str">
        <f>IFERROR(__xludf.DUMMYFUNCTION("regexextract(B12,""[\w]* [\w]*"")"),"Jayson Tatum")</f>
        <v>Jayson Tatum</v>
      </c>
      <c r="P12" t="str">
        <f t="shared" si="2"/>
        <v>Jayson Tatum</v>
      </c>
      <c r="Q12" t="str">
        <f t="shared" si="3"/>
        <v>Jayson Tatum</v>
      </c>
      <c r="R12" t="s">
        <v>1850</v>
      </c>
      <c r="S12" s="276" t="s">
        <v>1850</v>
      </c>
      <c r="T12" t="s">
        <v>48</v>
      </c>
      <c r="U12" t="s">
        <v>49</v>
      </c>
      <c r="V12" t="s">
        <v>1850</v>
      </c>
      <c r="W12" t="str">
        <f t="shared" si="1"/>
        <v>SFPF</v>
      </c>
    </row>
    <row r="13">
      <c r="A13" s="306">
        <v>11.0</v>
      </c>
      <c r="B13" s="307" t="s">
        <v>1860</v>
      </c>
      <c r="C13" s="308"/>
      <c r="D13" s="308"/>
      <c r="E13" s="300">
        <v>45.8</v>
      </c>
      <c r="F13" s="299">
        <f>+0.3</f>
        <v>0.3</v>
      </c>
      <c r="G13" s="300">
        <v>99.5</v>
      </c>
      <c r="O13" t="str">
        <f>IFERROR(__xludf.DUMMYFUNCTION("regexextract(B13,""[\w]* [\w]*"")"),"Kevin Durant")</f>
        <v>Kevin Durant</v>
      </c>
      <c r="P13" t="str">
        <f t="shared" si="2"/>
        <v>Kevin Durant</v>
      </c>
      <c r="Q13" t="str">
        <f t="shared" si="3"/>
        <v>Kevin Durant</v>
      </c>
      <c r="R13" t="s">
        <v>1850</v>
      </c>
      <c r="S13" s="276" t="s">
        <v>1850</v>
      </c>
      <c r="T13" t="s">
        <v>48</v>
      </c>
      <c r="U13" t="s">
        <v>49</v>
      </c>
      <c r="V13" t="s">
        <v>1850</v>
      </c>
      <c r="W13" t="str">
        <f t="shared" si="1"/>
        <v>SFPF</v>
      </c>
    </row>
    <row r="14">
      <c r="A14" s="309">
        <v>12.0</v>
      </c>
      <c r="B14" s="310" t="s">
        <v>1861</v>
      </c>
      <c r="C14" s="311"/>
      <c r="D14" s="311"/>
      <c r="E14" s="304">
        <v>45.9</v>
      </c>
      <c r="F14" s="305">
        <f>+0.5</f>
        <v>0.5</v>
      </c>
      <c r="G14" s="304">
        <v>99.5</v>
      </c>
      <c r="O14" t="str">
        <f>IFERROR(__xludf.DUMMYFUNCTION("regexextract(B14,""[\w]* [\w]*"")"),"Nikola Vucevic")</f>
        <v>Nikola Vucevic</v>
      </c>
      <c r="P14" t="str">
        <f t="shared" si="2"/>
        <v>Nikola Vucevic</v>
      </c>
      <c r="Q14" t="str">
        <f t="shared" si="3"/>
        <v>Nikola Vucevic</v>
      </c>
      <c r="R14" t="s">
        <v>1850</v>
      </c>
      <c r="S14" s="276" t="s">
        <v>1850</v>
      </c>
      <c r="T14" t="s">
        <v>1850</v>
      </c>
      <c r="U14" t="s">
        <v>1850</v>
      </c>
      <c r="V14" t="s">
        <v>34</v>
      </c>
      <c r="W14" t="str">
        <f t="shared" si="1"/>
        <v>C</v>
      </c>
    </row>
    <row r="15">
      <c r="A15" s="306">
        <v>13.0</v>
      </c>
      <c r="B15" s="307" t="s">
        <v>1862</v>
      </c>
      <c r="C15" s="308"/>
      <c r="D15" s="313"/>
      <c r="E15" s="300">
        <v>45.4</v>
      </c>
      <c r="F15" s="315">
        <v>-0.6</v>
      </c>
      <c r="G15" s="300">
        <v>99.2</v>
      </c>
      <c r="O15" t="str">
        <f>IFERROR(__xludf.DUMMYFUNCTION("regexextract(B15,""[\w]* [\w]*"")"),"Zion WilliamsonO")</f>
        <v>Zion WilliamsonO</v>
      </c>
      <c r="P15" t="str">
        <f t="shared" si="2"/>
        <v>Zion WilliamsonO</v>
      </c>
      <c r="Q15" t="str">
        <f t="shared" si="3"/>
        <v>Zion Williamson</v>
      </c>
      <c r="R15" t="s">
        <v>1850</v>
      </c>
      <c r="S15" s="276" t="s">
        <v>1850</v>
      </c>
      <c r="T15" t="s">
        <v>1850</v>
      </c>
      <c r="U15" t="s">
        <v>49</v>
      </c>
      <c r="V15" t="s">
        <v>1850</v>
      </c>
      <c r="W15" t="str">
        <f t="shared" si="1"/>
        <v>PF</v>
      </c>
    </row>
    <row r="16">
      <c r="A16" s="309">
        <v>14.0</v>
      </c>
      <c r="B16" s="310" t="s">
        <v>1863</v>
      </c>
      <c r="C16" s="311"/>
      <c r="D16" s="311"/>
      <c r="E16" s="304">
        <v>31.9</v>
      </c>
      <c r="F16" s="314">
        <v>-2.8</v>
      </c>
      <c r="G16" s="304">
        <v>99.5</v>
      </c>
      <c r="O16" t="str">
        <f>IFERROR(__xludf.DUMMYFUNCTION("regexextract(B16,""[\w]* [\w]*"")"),"Aaron Fox")</f>
        <v>Aaron Fox</v>
      </c>
      <c r="P16" t="str">
        <f t="shared" si="2"/>
        <v>Aaron Fox</v>
      </c>
      <c r="Q16" t="str">
        <f t="shared" si="3"/>
        <v>Aaron Fox</v>
      </c>
      <c r="R16" t="s">
        <v>46</v>
      </c>
      <c r="S16" s="276" t="s">
        <v>1850</v>
      </c>
      <c r="T16" t="s">
        <v>1850</v>
      </c>
      <c r="U16" t="s">
        <v>1850</v>
      </c>
      <c r="V16" t="s">
        <v>34</v>
      </c>
      <c r="W16" t="str">
        <f t="shared" si="1"/>
        <v>PGC</v>
      </c>
    </row>
    <row r="17">
      <c r="A17" s="306">
        <v>15.0</v>
      </c>
      <c r="B17" s="307" t="s">
        <v>1864</v>
      </c>
      <c r="C17" s="308"/>
      <c r="D17" s="313"/>
      <c r="E17" s="300">
        <v>39.1</v>
      </c>
      <c r="F17" s="299">
        <f>+0.4</f>
        <v>0.4</v>
      </c>
      <c r="G17" s="300">
        <v>99.4</v>
      </c>
      <c r="O17" t="str">
        <f>IFERROR(__xludf.DUMMYFUNCTION("regexextract(B17,""[\w]* [\w]*"")"),"Joel Embiid")</f>
        <v>Joel Embiid</v>
      </c>
      <c r="P17" t="str">
        <f t="shared" si="2"/>
        <v>Joel Embiid</v>
      </c>
      <c r="Q17" t="str">
        <f t="shared" si="3"/>
        <v>Joel Embiid</v>
      </c>
      <c r="R17" t="s">
        <v>1850</v>
      </c>
      <c r="S17" s="276" t="s">
        <v>1850</v>
      </c>
      <c r="T17" t="s">
        <v>1850</v>
      </c>
      <c r="U17" t="s">
        <v>1850</v>
      </c>
      <c r="V17" t="s">
        <v>34</v>
      </c>
      <c r="W17" t="str">
        <f t="shared" si="1"/>
        <v>C</v>
      </c>
    </row>
    <row r="18">
      <c r="A18" s="309">
        <v>16.0</v>
      </c>
      <c r="B18" s="310" t="s">
        <v>1865</v>
      </c>
      <c r="C18" s="311"/>
      <c r="D18" s="311"/>
      <c r="E18" s="304">
        <v>32.9</v>
      </c>
      <c r="F18" s="314">
        <v>-1.0</v>
      </c>
      <c r="G18" s="304">
        <v>99.4</v>
      </c>
      <c r="O18" t="str">
        <f>IFERROR(__xludf.DUMMYFUNCTION("regexextract(B18,""[\w]* [\w]*"")"),"LeBron JamesO")</f>
        <v>LeBron JamesO</v>
      </c>
      <c r="P18" t="str">
        <f t="shared" si="2"/>
        <v>LeBron JamesO</v>
      </c>
      <c r="Q18" t="str">
        <f t="shared" si="3"/>
        <v>LeBron James</v>
      </c>
      <c r="R18" t="s">
        <v>46</v>
      </c>
      <c r="S18" s="276" t="s">
        <v>1850</v>
      </c>
      <c r="T18" t="s">
        <v>48</v>
      </c>
      <c r="U18" t="s">
        <v>49</v>
      </c>
      <c r="V18" t="s">
        <v>1850</v>
      </c>
      <c r="W18" t="str">
        <f t="shared" si="1"/>
        <v>PGSFPF</v>
      </c>
    </row>
    <row r="19">
      <c r="A19" s="306">
        <v>17.0</v>
      </c>
      <c r="B19" s="307" t="s">
        <v>1866</v>
      </c>
      <c r="C19" s="308"/>
      <c r="D19" s="308"/>
      <c r="E19" s="300">
        <v>40.2</v>
      </c>
      <c r="F19" s="315">
        <v>-0.8</v>
      </c>
      <c r="G19" s="300">
        <v>98.9</v>
      </c>
      <c r="O19" t="str">
        <f>IFERROR(__xludf.DUMMYFUNCTION("regexextract(B19,""[\w]* [\w]*"")"),"Trae Young")</f>
        <v>Trae Young</v>
      </c>
      <c r="P19" t="str">
        <f t="shared" si="2"/>
        <v>Trae Young</v>
      </c>
      <c r="Q19" t="str">
        <f t="shared" si="3"/>
        <v>Trae Young</v>
      </c>
      <c r="R19" t="s">
        <v>46</v>
      </c>
      <c r="S19" s="276" t="s">
        <v>1850</v>
      </c>
      <c r="T19" t="s">
        <v>1850</v>
      </c>
      <c r="U19" t="s">
        <v>1850</v>
      </c>
      <c r="V19" t="s">
        <v>1850</v>
      </c>
      <c r="W19" t="str">
        <f t="shared" si="1"/>
        <v>PG</v>
      </c>
    </row>
    <row r="20">
      <c r="A20" s="309">
        <v>18.0</v>
      </c>
      <c r="B20" s="310" t="s">
        <v>1867</v>
      </c>
      <c r="C20" s="311"/>
      <c r="D20" s="312"/>
      <c r="E20" s="304">
        <v>30.4</v>
      </c>
      <c r="F20" s="314">
        <v>-0.1</v>
      </c>
      <c r="G20" s="304">
        <v>99.5</v>
      </c>
      <c r="O20" t="str">
        <f>IFERROR(__xludf.DUMMYFUNCTION("regexextract(B20,""[\w]* [\w]*"")"),"Fred VanVleet")</f>
        <v>Fred VanVleet</v>
      </c>
      <c r="P20" t="str">
        <f t="shared" si="2"/>
        <v>Fred VanVleet</v>
      </c>
      <c r="Q20" t="str">
        <f t="shared" si="3"/>
        <v>Fred VanVleet</v>
      </c>
      <c r="R20" t="s">
        <v>46</v>
      </c>
      <c r="S20" s="276" t="s">
        <v>47</v>
      </c>
      <c r="T20" t="s">
        <v>1850</v>
      </c>
      <c r="U20" t="s">
        <v>1850</v>
      </c>
      <c r="V20" t="s">
        <v>1850</v>
      </c>
      <c r="W20" t="str">
        <f t="shared" si="1"/>
        <v>PGSG</v>
      </c>
    </row>
    <row r="21">
      <c r="A21" s="306">
        <v>19.0</v>
      </c>
      <c r="B21" s="307" t="s">
        <v>1868</v>
      </c>
      <c r="C21" s="308"/>
      <c r="D21" s="313"/>
      <c r="E21" s="300">
        <v>33.7</v>
      </c>
      <c r="F21" s="299">
        <f>+0.3</f>
        <v>0.3</v>
      </c>
      <c r="G21" s="300">
        <v>98.2</v>
      </c>
      <c r="O21" t="str">
        <f>IFERROR(__xludf.DUMMYFUNCTION("regexextract(B21,""[\w]* [\w]*"")"),"Donovan Mitchell")</f>
        <v>Donovan Mitchell</v>
      </c>
      <c r="P21" t="str">
        <f t="shared" si="2"/>
        <v>Donovan Mitchell</v>
      </c>
      <c r="Q21" t="str">
        <f t="shared" si="3"/>
        <v>Donovan Mitchell</v>
      </c>
      <c r="R21" t="s">
        <v>46</v>
      </c>
      <c r="S21" s="276" t="s">
        <v>47</v>
      </c>
      <c r="T21" t="s">
        <v>1850</v>
      </c>
      <c r="U21" t="s">
        <v>1850</v>
      </c>
      <c r="V21" t="s">
        <v>34</v>
      </c>
      <c r="W21" t="str">
        <f t="shared" si="1"/>
        <v>PGSGC</v>
      </c>
    </row>
    <row r="22">
      <c r="A22" s="309">
        <v>20.0</v>
      </c>
      <c r="B22" s="310" t="s">
        <v>1869</v>
      </c>
      <c r="C22" s="311"/>
      <c r="D22" s="312"/>
      <c r="E22" s="304">
        <v>38.6</v>
      </c>
      <c r="F22" s="314">
        <v>-0.6</v>
      </c>
      <c r="G22" s="304">
        <v>97.8</v>
      </c>
      <c r="O22" t="str">
        <f>IFERROR(__xludf.DUMMYFUNCTION("regexextract(B22,""[\w]* [\w]*"")"),"Domantas Sabonis")</f>
        <v>Domantas Sabonis</v>
      </c>
      <c r="P22" t="str">
        <f t="shared" si="2"/>
        <v>Domantas Sabonis</v>
      </c>
      <c r="Q22" t="str">
        <f t="shared" si="3"/>
        <v>Domantas Sabonis</v>
      </c>
      <c r="R22" t="s">
        <v>1850</v>
      </c>
      <c r="S22" s="276" t="s">
        <v>1850</v>
      </c>
      <c r="T22" t="s">
        <v>1850</v>
      </c>
      <c r="U22" t="s">
        <v>49</v>
      </c>
      <c r="V22" t="s">
        <v>1850</v>
      </c>
      <c r="W22" t="str">
        <f t="shared" si="1"/>
        <v>PF</v>
      </c>
    </row>
    <row r="23">
      <c r="A23" s="306">
        <v>21.0</v>
      </c>
      <c r="B23" s="307" t="s">
        <v>1870</v>
      </c>
      <c r="C23" s="308"/>
      <c r="D23" s="313"/>
      <c r="E23" s="300">
        <v>27.8</v>
      </c>
      <c r="F23" s="315">
        <v>-0.5</v>
      </c>
      <c r="G23" s="300">
        <v>99.4</v>
      </c>
      <c r="O23" t="str">
        <f>IFERROR(__xludf.DUMMYFUNCTION("regexextract(B23,""[\w]* [\w]*"")"),"Anthony Davis")</f>
        <v>Anthony Davis</v>
      </c>
      <c r="P23" t="str">
        <f t="shared" si="2"/>
        <v>Anthony Davis</v>
      </c>
      <c r="Q23" t="str">
        <f t="shared" si="3"/>
        <v>Anthony Davis</v>
      </c>
      <c r="R23" t="s">
        <v>1850</v>
      </c>
      <c r="S23" s="276" t="s">
        <v>1850</v>
      </c>
      <c r="T23" t="s">
        <v>1850</v>
      </c>
      <c r="U23" t="s">
        <v>49</v>
      </c>
      <c r="V23" t="s">
        <v>1850</v>
      </c>
      <c r="W23" t="str">
        <f t="shared" si="1"/>
        <v>PF</v>
      </c>
    </row>
    <row r="24">
      <c r="A24" s="309">
        <v>22.0</v>
      </c>
      <c r="B24" s="310" t="s">
        <v>1871</v>
      </c>
      <c r="C24" s="311"/>
      <c r="D24" s="311"/>
      <c r="E24" s="304">
        <v>36.0</v>
      </c>
      <c r="F24" s="314">
        <v>-0.6</v>
      </c>
      <c r="G24" s="304">
        <v>98.2</v>
      </c>
      <c r="O24" t="str">
        <f>IFERROR(__xludf.DUMMYFUNCTION("regexextract(B24,""[\w]* [\w]*"")"),"Julius Randle")</f>
        <v>Julius Randle</v>
      </c>
      <c r="P24" t="str">
        <f t="shared" si="2"/>
        <v>Julius Randle</v>
      </c>
      <c r="Q24" t="str">
        <f t="shared" si="3"/>
        <v>Julius Randle</v>
      </c>
      <c r="R24" t="s">
        <v>1850</v>
      </c>
      <c r="S24" s="276" t="s">
        <v>1850</v>
      </c>
      <c r="T24" t="s">
        <v>1850</v>
      </c>
      <c r="U24" t="s">
        <v>49</v>
      </c>
      <c r="V24" t="s">
        <v>1850</v>
      </c>
      <c r="W24" t="str">
        <f t="shared" si="1"/>
        <v>PF</v>
      </c>
    </row>
    <row r="25">
      <c r="A25" s="306">
        <v>23.0</v>
      </c>
      <c r="B25" s="307" t="s">
        <v>1872</v>
      </c>
      <c r="C25" s="308"/>
      <c r="D25" s="308"/>
      <c r="E25" s="300">
        <v>33.8</v>
      </c>
      <c r="F25" s="315">
        <v>-0.4</v>
      </c>
      <c r="G25" s="300">
        <v>98.9</v>
      </c>
      <c r="O25" t="str">
        <f>IFERROR(__xludf.DUMMYFUNCTION("regexextract(B25,""[\w]* [\w]*"")"),"Rudy Gobert")</f>
        <v>Rudy Gobert</v>
      </c>
      <c r="P25" t="str">
        <f t="shared" si="2"/>
        <v>Rudy Gobert</v>
      </c>
      <c r="Q25" t="str">
        <f t="shared" si="3"/>
        <v>Rudy Gobert</v>
      </c>
      <c r="R25" t="s">
        <v>1850</v>
      </c>
      <c r="S25" s="276" t="s">
        <v>1850</v>
      </c>
      <c r="T25" t="s">
        <v>1850</v>
      </c>
      <c r="U25" t="s">
        <v>1850</v>
      </c>
      <c r="V25" t="s">
        <v>34</v>
      </c>
      <c r="W25" t="str">
        <f t="shared" si="1"/>
        <v>C</v>
      </c>
    </row>
    <row r="26">
      <c r="A26" s="309">
        <v>24.0</v>
      </c>
      <c r="B26" s="310" t="s">
        <v>1873</v>
      </c>
      <c r="C26" s="311"/>
      <c r="D26" s="311"/>
      <c r="E26" s="304">
        <v>25.6</v>
      </c>
      <c r="F26" s="314">
        <v>-0.8</v>
      </c>
      <c r="G26" s="304">
        <v>99.3</v>
      </c>
      <c r="O26" t="str">
        <f>IFERROR(__xludf.DUMMYFUNCTION("regexextract(B26,""[\w]* [\w]*"")"),"LaMelo Ball")</f>
        <v>LaMelo Ball</v>
      </c>
      <c r="P26" t="str">
        <f t="shared" si="2"/>
        <v>LaMelo Ball</v>
      </c>
      <c r="Q26" t="str">
        <f t="shared" si="3"/>
        <v>LaMelo Ball</v>
      </c>
      <c r="R26" t="s">
        <v>46</v>
      </c>
      <c r="S26" s="276" t="s">
        <v>1850</v>
      </c>
      <c r="T26" t="s">
        <v>1850</v>
      </c>
      <c r="U26" t="s">
        <v>1850</v>
      </c>
      <c r="V26" t="s">
        <v>34</v>
      </c>
      <c r="W26" t="str">
        <f t="shared" si="1"/>
        <v>PGC</v>
      </c>
    </row>
    <row r="27">
      <c r="A27" s="306">
        <v>25.0</v>
      </c>
      <c r="B27" s="307" t="s">
        <v>1874</v>
      </c>
      <c r="C27" s="308"/>
      <c r="D27" s="308"/>
      <c r="E27" s="300">
        <v>34.8</v>
      </c>
      <c r="F27" s="300">
        <v>0.0</v>
      </c>
      <c r="G27" s="300">
        <v>97.7</v>
      </c>
      <c r="O27" t="str">
        <f>IFERROR(__xludf.DUMMYFUNCTION("regexextract(B27,""[\w]* [\w]*"")"),"Jimmy Butler")</f>
        <v>Jimmy Butler</v>
      </c>
      <c r="P27" t="str">
        <f t="shared" si="2"/>
        <v>Jimmy Butler</v>
      </c>
      <c r="Q27" t="str">
        <f t="shared" si="3"/>
        <v>Jimmy Butler</v>
      </c>
      <c r="R27" t="s">
        <v>1850</v>
      </c>
      <c r="S27" s="276" t="s">
        <v>47</v>
      </c>
      <c r="T27" t="s">
        <v>48</v>
      </c>
      <c r="U27" t="s">
        <v>1850</v>
      </c>
      <c r="V27" t="s">
        <v>1850</v>
      </c>
      <c r="W27" t="str">
        <f t="shared" si="1"/>
        <v>SGSF</v>
      </c>
    </row>
    <row r="28">
      <c r="A28" s="309">
        <v>26.0</v>
      </c>
      <c r="B28" s="310" t="s">
        <v>1875</v>
      </c>
      <c r="C28" s="311"/>
      <c r="D28" s="312"/>
      <c r="E28" s="304">
        <v>28.0</v>
      </c>
      <c r="F28" s="314">
        <v>-0.1</v>
      </c>
      <c r="G28" s="304">
        <v>98.2</v>
      </c>
      <c r="O28" t="str">
        <f>IFERROR(__xludf.DUMMYFUNCTION("regexextract(B28,""[\w]* [\w]*"")"),"Shai Gilgeous")</f>
        <v>Shai Gilgeous</v>
      </c>
      <c r="P28" t="str">
        <f t="shared" si="2"/>
        <v>Shai Gilgeous</v>
      </c>
      <c r="Q28" t="str">
        <f t="shared" si="3"/>
        <v>Shai Gilgeous</v>
      </c>
      <c r="R28" t="s">
        <v>46</v>
      </c>
      <c r="S28" s="276" t="s">
        <v>47</v>
      </c>
      <c r="T28" t="s">
        <v>1850</v>
      </c>
      <c r="U28" t="s">
        <v>1850</v>
      </c>
      <c r="V28" t="s">
        <v>34</v>
      </c>
      <c r="W28" t="str">
        <f t="shared" si="1"/>
        <v>PGSGC</v>
      </c>
    </row>
    <row r="29">
      <c r="A29" s="306">
        <v>27.0</v>
      </c>
      <c r="B29" s="307" t="s">
        <v>1876</v>
      </c>
      <c r="C29" s="308"/>
      <c r="D29" s="308"/>
      <c r="E29" s="300">
        <v>18.9</v>
      </c>
      <c r="F29" s="299">
        <f>+0.7</f>
        <v>0.7</v>
      </c>
      <c r="G29" s="300">
        <v>97.9</v>
      </c>
      <c r="O29" t="str">
        <f>IFERROR(__xludf.DUMMYFUNCTION("regexextract(B29,""[\w]* [\w]*"")"),"Dejounte Murray")</f>
        <v>Dejounte Murray</v>
      </c>
      <c r="P29" t="str">
        <f t="shared" si="2"/>
        <v>Dejounte Murray</v>
      </c>
      <c r="Q29" t="str">
        <f t="shared" si="3"/>
        <v>Dejounte Murray</v>
      </c>
      <c r="R29" t="s">
        <v>46</v>
      </c>
      <c r="S29" s="276" t="s">
        <v>47</v>
      </c>
      <c r="T29" t="s">
        <v>1850</v>
      </c>
      <c r="U29" t="s">
        <v>1850</v>
      </c>
      <c r="V29" t="s">
        <v>1850</v>
      </c>
      <c r="W29" t="str">
        <f t="shared" si="1"/>
        <v>PGSG</v>
      </c>
    </row>
    <row r="30">
      <c r="A30" s="309">
        <v>28.0</v>
      </c>
      <c r="B30" s="310" t="s">
        <v>1877</v>
      </c>
      <c r="C30" s="311"/>
      <c r="D30" s="312"/>
      <c r="E30" s="304">
        <v>19.0</v>
      </c>
      <c r="F30" s="314">
        <v>-0.5</v>
      </c>
      <c r="G30" s="304">
        <v>99.2</v>
      </c>
      <c r="O30" t="str">
        <f>IFERROR(__xludf.DUMMYFUNCTION("regexextract(B30,""[\w]* [\w]*"")"),"Bam Adebayo")</f>
        <v>Bam Adebayo</v>
      </c>
      <c r="P30" t="str">
        <f t="shared" si="2"/>
        <v>Bam Adebayo</v>
      </c>
      <c r="Q30" t="str">
        <f t="shared" si="3"/>
        <v>Bam Adebay</v>
      </c>
      <c r="R30" t="s">
        <v>1850</v>
      </c>
      <c r="S30" s="276" t="s">
        <v>1850</v>
      </c>
      <c r="T30" t="s">
        <v>1850</v>
      </c>
      <c r="U30" t="s">
        <v>49</v>
      </c>
      <c r="V30" t="s">
        <v>34</v>
      </c>
      <c r="W30" t="str">
        <f t="shared" si="1"/>
        <v>PFC</v>
      </c>
    </row>
    <row r="31">
      <c r="A31" s="306">
        <v>29.0</v>
      </c>
      <c r="B31" s="307" t="s">
        <v>1878</v>
      </c>
      <c r="C31" s="308"/>
      <c r="D31" s="308"/>
      <c r="E31" s="300">
        <v>18.7</v>
      </c>
      <c r="F31" s="315">
        <v>-0.4</v>
      </c>
      <c r="G31" s="300">
        <v>98.5</v>
      </c>
      <c r="O31" t="str">
        <f>IFERROR(__xludf.DUMMYFUNCTION("regexextract(B31,""[\w]* [\w]*"")"),"Jrue Holiday")</f>
        <v>Jrue Holiday</v>
      </c>
      <c r="P31" t="str">
        <f t="shared" si="2"/>
        <v>Jrue Holiday</v>
      </c>
      <c r="Q31" t="str">
        <f t="shared" si="3"/>
        <v>Jrue Holiday</v>
      </c>
      <c r="R31" t="s">
        <v>46</v>
      </c>
      <c r="S31" s="276" t="s">
        <v>47</v>
      </c>
      <c r="T31" t="s">
        <v>1850</v>
      </c>
      <c r="U31" t="s">
        <v>1850</v>
      </c>
      <c r="V31" t="s">
        <v>1850</v>
      </c>
      <c r="W31" t="str">
        <f t="shared" si="1"/>
        <v>PGSG</v>
      </c>
    </row>
    <row r="32">
      <c r="A32" s="309">
        <v>30.0</v>
      </c>
      <c r="B32" s="310" t="s">
        <v>1879</v>
      </c>
      <c r="C32" s="311"/>
      <c r="D32" s="312"/>
      <c r="E32" s="304">
        <v>21.3</v>
      </c>
      <c r="F32" s="305">
        <f>+0.2</f>
        <v>0.2</v>
      </c>
      <c r="G32" s="304">
        <v>95.1</v>
      </c>
      <c r="O32" t="str">
        <f>IFERROR(__xludf.DUMMYFUNCTION("regexextract(B32,""[\w]* [\w]*"")"),"Ben Simmons")</f>
        <v>Ben Simmons</v>
      </c>
      <c r="P32" t="str">
        <f t="shared" si="2"/>
        <v>Ben Simmons</v>
      </c>
      <c r="Q32" t="str">
        <f t="shared" si="3"/>
        <v>Ben Simmons</v>
      </c>
      <c r="R32" t="s">
        <v>46</v>
      </c>
      <c r="S32" s="276" t="s">
        <v>1850</v>
      </c>
      <c r="T32" t="s">
        <v>1850</v>
      </c>
      <c r="U32" t="s">
        <v>1850</v>
      </c>
      <c r="V32" t="s">
        <v>1850</v>
      </c>
      <c r="W32" t="str">
        <f t="shared" si="1"/>
        <v>PG</v>
      </c>
    </row>
    <row r="33">
      <c r="A33" s="306">
        <v>31.0</v>
      </c>
      <c r="B33" s="307" t="s">
        <v>1880</v>
      </c>
      <c r="C33" s="308"/>
      <c r="D33" s="308"/>
      <c r="E33" s="300">
        <v>18.6</v>
      </c>
      <c r="F33" s="315">
        <v>-0.6</v>
      </c>
      <c r="G33" s="300">
        <v>99.0</v>
      </c>
      <c r="O33" t="str">
        <f>IFERROR(__xludf.DUMMYFUNCTION("regexextract(B33,""[\w]* [\w]*"")"),"Kyrie Irving")</f>
        <v>Kyrie Irving</v>
      </c>
      <c r="P33" t="str">
        <f t="shared" si="2"/>
        <v>Kyrie Irving</v>
      </c>
      <c r="Q33" t="str">
        <f t="shared" si="3"/>
        <v>Kyrie Irving</v>
      </c>
      <c r="R33" t="s">
        <v>46</v>
      </c>
      <c r="S33" s="276" t="s">
        <v>47</v>
      </c>
      <c r="T33" t="s">
        <v>1850</v>
      </c>
      <c r="U33" t="s">
        <v>1850</v>
      </c>
      <c r="V33" t="s">
        <v>1850</v>
      </c>
      <c r="W33" t="str">
        <f t="shared" si="1"/>
        <v>PGSG</v>
      </c>
    </row>
    <row r="34">
      <c r="A34" s="309">
        <v>32.0</v>
      </c>
      <c r="B34" s="310" t="s">
        <v>1881</v>
      </c>
      <c r="C34" s="311"/>
      <c r="D34" s="312"/>
      <c r="E34" s="304">
        <v>19.0</v>
      </c>
      <c r="F34" s="305">
        <f>+0.4</f>
        <v>0.4</v>
      </c>
      <c r="G34" s="304">
        <v>98.4</v>
      </c>
      <c r="O34" t="str">
        <f>IFERROR(__xludf.DUMMYFUNCTION("regexextract(B34,""[\w]* [\w]*"")"),"Michael Porter")</f>
        <v>Michael Porter</v>
      </c>
      <c r="P34" t="str">
        <f t="shared" si="2"/>
        <v>Michael Porter</v>
      </c>
      <c r="Q34" t="str">
        <f t="shared" si="3"/>
        <v>Michael Porter</v>
      </c>
      <c r="R34" t="s">
        <v>1850</v>
      </c>
      <c r="S34" s="276" t="s">
        <v>1850</v>
      </c>
      <c r="T34" t="s">
        <v>48</v>
      </c>
      <c r="U34" t="s">
        <v>49</v>
      </c>
      <c r="V34" t="s">
        <v>34</v>
      </c>
      <c r="W34" t="str">
        <f t="shared" si="1"/>
        <v>SFPFC</v>
      </c>
    </row>
    <row r="35">
      <c r="A35" s="306">
        <v>33.0</v>
      </c>
      <c r="B35" s="307" t="s">
        <v>1882</v>
      </c>
      <c r="C35" s="308"/>
      <c r="D35" s="313"/>
      <c r="E35" s="300">
        <v>21.6</v>
      </c>
      <c r="F35" s="299">
        <f>+0.1</f>
        <v>0.1</v>
      </c>
      <c r="G35" s="300">
        <v>96.7</v>
      </c>
      <c r="O35" t="str">
        <f>IFERROR(__xludf.DUMMYFUNCTION("regexextract(B35,""[\w]* [\w]*"")"),"Chris PaulDTD")</f>
        <v>Chris PaulDTD</v>
      </c>
      <c r="P35" t="str">
        <f t="shared" si="2"/>
        <v>Chris Paul</v>
      </c>
      <c r="Q35" t="str">
        <f t="shared" si="3"/>
        <v>Chris Paul</v>
      </c>
      <c r="R35" t="s">
        <v>46</v>
      </c>
      <c r="S35" s="276" t="s">
        <v>1850</v>
      </c>
      <c r="T35" t="s">
        <v>1850</v>
      </c>
      <c r="U35" t="s">
        <v>1850</v>
      </c>
      <c r="V35" t="s">
        <v>34</v>
      </c>
      <c r="W35" t="str">
        <f t="shared" si="1"/>
        <v>PGC</v>
      </c>
    </row>
    <row r="36">
      <c r="A36" s="309">
        <v>34.0</v>
      </c>
      <c r="B36" s="310" t="s">
        <v>1883</v>
      </c>
      <c r="C36" s="311"/>
      <c r="D36" s="312"/>
      <c r="E36" s="304">
        <v>21.1</v>
      </c>
      <c r="F36" s="305">
        <f>+0.5</f>
        <v>0.5</v>
      </c>
      <c r="G36" s="304">
        <v>98.5</v>
      </c>
      <c r="O36" t="str">
        <f>IFERROR(__xludf.DUMMYFUNCTION("regexextract(B36,""[\w]* [\w]*"")"),"Russell WestbrookO")</f>
        <v>Russell WestbrookO</v>
      </c>
      <c r="P36" t="str">
        <f t="shared" si="2"/>
        <v>Russell WestbrookO</v>
      </c>
      <c r="Q36" t="str">
        <f t="shared" si="3"/>
        <v>Russell Westbrook</v>
      </c>
      <c r="R36" t="s">
        <v>46</v>
      </c>
      <c r="S36" s="276" t="s">
        <v>1850</v>
      </c>
      <c r="T36" t="s">
        <v>1850</v>
      </c>
      <c r="U36" t="s">
        <v>1850</v>
      </c>
      <c r="V36" t="s">
        <v>1850</v>
      </c>
      <c r="W36" t="str">
        <f t="shared" si="1"/>
        <v>PG</v>
      </c>
    </row>
    <row r="37">
      <c r="A37" s="306">
        <v>35.0</v>
      </c>
      <c r="B37" s="307" t="s">
        <v>1884</v>
      </c>
      <c r="C37" s="308"/>
      <c r="D37" s="313"/>
      <c r="E37" s="300">
        <v>17.9</v>
      </c>
      <c r="F37" s="315">
        <v>-0.2</v>
      </c>
      <c r="G37" s="300">
        <v>96.5</v>
      </c>
      <c r="O37" t="str">
        <f>IFERROR(__xludf.DUMMYFUNCTION("regexextract(B37,""[\w]* [\w]*"")"),"Clint CapelaDTD")</f>
        <v>Clint CapelaDTD</v>
      </c>
      <c r="P37" t="str">
        <f t="shared" si="2"/>
        <v>Clint Capela</v>
      </c>
      <c r="Q37" t="str">
        <f t="shared" si="3"/>
        <v>Clint Capela</v>
      </c>
      <c r="R37" t="s">
        <v>1850</v>
      </c>
      <c r="S37" s="276" t="s">
        <v>1850</v>
      </c>
      <c r="T37" t="s">
        <v>1850</v>
      </c>
      <c r="U37" t="s">
        <v>1850</v>
      </c>
      <c r="V37" t="s">
        <v>34</v>
      </c>
      <c r="W37" t="str">
        <f t="shared" si="1"/>
        <v>C</v>
      </c>
    </row>
    <row r="38">
      <c r="A38" s="309">
        <v>36.0</v>
      </c>
      <c r="B38" s="310" t="s">
        <v>1885</v>
      </c>
      <c r="C38" s="311"/>
      <c r="D38" s="311"/>
      <c r="E38" s="304">
        <v>19.8</v>
      </c>
      <c r="F38" s="305">
        <f>+0.1</f>
        <v>0.1</v>
      </c>
      <c r="G38" s="304">
        <v>91.5</v>
      </c>
      <c r="O38" t="str">
        <f>IFERROR(__xludf.DUMMYFUNCTION("regexextract(B38,""[\w]* [\w]*"")"),"Deandre Ayton")</f>
        <v>Deandre Ayton</v>
      </c>
      <c r="P38" t="str">
        <f t="shared" si="2"/>
        <v>Deandre Ayton</v>
      </c>
      <c r="Q38" t="str">
        <f t="shared" si="3"/>
        <v>Deandre Ayton</v>
      </c>
      <c r="R38" t="s">
        <v>1850</v>
      </c>
      <c r="S38" s="276" t="s">
        <v>1850</v>
      </c>
      <c r="T38" t="s">
        <v>1850</v>
      </c>
      <c r="U38" t="s">
        <v>1850</v>
      </c>
      <c r="V38" t="s">
        <v>34</v>
      </c>
      <c r="W38" t="str">
        <f t="shared" si="1"/>
        <v>C</v>
      </c>
    </row>
    <row r="39">
      <c r="A39" s="306">
        <v>37.0</v>
      </c>
      <c r="B39" s="307" t="s">
        <v>1886</v>
      </c>
      <c r="C39" s="308"/>
      <c r="D39" s="308"/>
      <c r="E39" s="300">
        <v>23.0</v>
      </c>
      <c r="F39" s="315">
        <v>-0.6</v>
      </c>
      <c r="G39" s="300">
        <v>85.7</v>
      </c>
      <c r="O39" t="str">
        <f>IFERROR(__xludf.DUMMYFUNCTION("regexextract(B39,""[\w]* [\w]*"")"),"Tobias Harris")</f>
        <v>Tobias Harris</v>
      </c>
      <c r="P39" t="str">
        <f t="shared" si="2"/>
        <v>Tobias Harris</v>
      </c>
      <c r="Q39" t="str">
        <f t="shared" si="3"/>
        <v>Tobias Harris</v>
      </c>
      <c r="R39" t="s">
        <v>1850</v>
      </c>
      <c r="S39" s="276" t="s">
        <v>1850</v>
      </c>
      <c r="T39" t="s">
        <v>48</v>
      </c>
      <c r="U39" t="s">
        <v>49</v>
      </c>
      <c r="V39" t="s">
        <v>1850</v>
      </c>
      <c r="W39" t="str">
        <f t="shared" si="1"/>
        <v>SFPF</v>
      </c>
    </row>
    <row r="40">
      <c r="A40" s="309">
        <v>38.0</v>
      </c>
      <c r="B40" s="310" t="s">
        <v>1887</v>
      </c>
      <c r="C40" s="311"/>
      <c r="D40" s="311"/>
      <c r="E40" s="304">
        <v>14.4</v>
      </c>
      <c r="F40" s="314">
        <v>-0.5</v>
      </c>
      <c r="G40" s="304">
        <v>98.7</v>
      </c>
      <c r="O40" t="str">
        <f>IFERROR(__xludf.DUMMYFUNCTION("regexextract(B40,""[\w]* [\w]*"")"),"Devin Booker")</f>
        <v>Devin Booker</v>
      </c>
      <c r="P40" t="str">
        <f t="shared" si="2"/>
        <v>Devin Booker</v>
      </c>
      <c r="Q40" t="str">
        <f t="shared" si="3"/>
        <v>Devin Booker</v>
      </c>
      <c r="R40" t="s">
        <v>46</v>
      </c>
      <c r="S40" s="276" t="s">
        <v>47</v>
      </c>
      <c r="T40" t="s">
        <v>1850</v>
      </c>
      <c r="U40" t="s">
        <v>1850</v>
      </c>
      <c r="V40" t="s">
        <v>1850</v>
      </c>
      <c r="W40" t="str">
        <f t="shared" si="1"/>
        <v>PGSG</v>
      </c>
    </row>
    <row r="41">
      <c r="A41" s="306">
        <v>39.0</v>
      </c>
      <c r="B41" s="307" t="s">
        <v>1888</v>
      </c>
      <c r="C41" s="308"/>
      <c r="D41" s="313"/>
      <c r="E41" s="300">
        <v>16.3</v>
      </c>
      <c r="F41" s="315">
        <v>-0.4</v>
      </c>
      <c r="G41" s="300">
        <v>65.2</v>
      </c>
      <c r="O41" t="str">
        <f>IFERROR(__xludf.DUMMYFUNCTION("regexextract(B41,""[\w]* [\w]*"")"),"Khris Middleton")</f>
        <v>Khris Middleton</v>
      </c>
      <c r="P41" t="str">
        <f t="shared" si="2"/>
        <v>Khris Middleton</v>
      </c>
      <c r="Q41" t="str">
        <f t="shared" si="3"/>
        <v>Khris Middleton</v>
      </c>
      <c r="R41" t="s">
        <v>1850</v>
      </c>
      <c r="S41" s="276" t="s">
        <v>47</v>
      </c>
      <c r="T41" t="s">
        <v>48</v>
      </c>
      <c r="U41" t="s">
        <v>1850</v>
      </c>
      <c r="V41" t="s">
        <v>1850</v>
      </c>
      <c r="W41" t="str">
        <f t="shared" si="1"/>
        <v>SGSF</v>
      </c>
    </row>
    <row r="42">
      <c r="A42" s="309">
        <v>40.0</v>
      </c>
      <c r="B42" s="310" t="s">
        <v>1889</v>
      </c>
      <c r="C42" s="311"/>
      <c r="D42" s="312"/>
      <c r="E42" s="304">
        <v>12.6</v>
      </c>
      <c r="F42" s="305">
        <f t="shared" ref="F42:F43" si="6">+0.7</f>
        <v>0.7</v>
      </c>
      <c r="G42" s="304">
        <v>91.6</v>
      </c>
      <c r="O42" t="str">
        <f>IFERROR(__xludf.DUMMYFUNCTION("regexextract(B42,""[\w]* [\w]*"")"),"Christian Wood")</f>
        <v>Christian Wood</v>
      </c>
      <c r="P42" t="str">
        <f t="shared" si="2"/>
        <v>Christian Wood</v>
      </c>
      <c r="Q42" t="str">
        <f t="shared" si="3"/>
        <v>Christian Wood</v>
      </c>
      <c r="R42" t="s">
        <v>1850</v>
      </c>
      <c r="S42" s="276" t="s">
        <v>1850</v>
      </c>
      <c r="T42" t="s">
        <v>1850</v>
      </c>
      <c r="U42" t="s">
        <v>49</v>
      </c>
      <c r="V42" t="s">
        <v>34</v>
      </c>
      <c r="W42" t="str">
        <f t="shared" si="1"/>
        <v>PFC</v>
      </c>
    </row>
    <row r="43">
      <c r="A43" s="306">
        <v>41.0</v>
      </c>
      <c r="B43" s="307" t="s">
        <v>1890</v>
      </c>
      <c r="C43" s="308"/>
      <c r="D43" s="313"/>
      <c r="E43" s="300">
        <v>10.6</v>
      </c>
      <c r="F43" s="299">
        <f t="shared" si="6"/>
        <v>0.7</v>
      </c>
      <c r="G43" s="300">
        <v>96.1</v>
      </c>
      <c r="O43" t="str">
        <f>IFERROR(__xludf.DUMMYFUNCTION("regexextract(B43,""[\w]* [\w]*"")"),"Jaylen Brown")</f>
        <v>Jaylen Brown</v>
      </c>
      <c r="P43" t="str">
        <f t="shared" si="2"/>
        <v>Jaylen Brown</v>
      </c>
      <c r="Q43" t="str">
        <f t="shared" si="3"/>
        <v>Jaylen Brown</v>
      </c>
      <c r="R43" t="s">
        <v>1850</v>
      </c>
      <c r="S43" s="276" t="s">
        <v>47</v>
      </c>
      <c r="T43" t="s">
        <v>48</v>
      </c>
      <c r="U43" t="s">
        <v>1850</v>
      </c>
      <c r="V43" t="s">
        <v>1850</v>
      </c>
      <c r="W43" t="str">
        <f t="shared" si="1"/>
        <v>SGSF</v>
      </c>
    </row>
    <row r="44">
      <c r="A44" s="309">
        <v>42.0</v>
      </c>
      <c r="B44" s="310" t="s">
        <v>1891</v>
      </c>
      <c r="C44" s="311"/>
      <c r="D44" s="312"/>
      <c r="E44" s="304">
        <v>10.5</v>
      </c>
      <c r="F44" s="305">
        <f>+0.1</f>
        <v>0.1</v>
      </c>
      <c r="G44" s="304">
        <v>97.0</v>
      </c>
      <c r="O44" t="str">
        <f>IFERROR(__xludf.DUMMYFUNCTION("regexextract(B44,""[\w]* [\w]*"")"),"Lonzo Ball")</f>
        <v>Lonzo Ball</v>
      </c>
      <c r="P44" t="str">
        <f t="shared" si="2"/>
        <v>Lonzo Ball</v>
      </c>
      <c r="Q44" t="str">
        <f t="shared" si="3"/>
        <v>Lonzo Ball</v>
      </c>
      <c r="R44" t="s">
        <v>46</v>
      </c>
      <c r="S44" s="276" t="s">
        <v>1850</v>
      </c>
      <c r="T44" t="s">
        <v>1850</v>
      </c>
      <c r="U44" t="s">
        <v>1850</v>
      </c>
      <c r="V44" t="s">
        <v>34</v>
      </c>
      <c r="W44" t="str">
        <f t="shared" si="1"/>
        <v>PGC</v>
      </c>
    </row>
    <row r="45">
      <c r="A45" s="306">
        <v>43.0</v>
      </c>
      <c r="B45" s="307" t="s">
        <v>1892</v>
      </c>
      <c r="C45" s="308"/>
      <c r="D45" s="308"/>
      <c r="E45" s="300">
        <v>11.9</v>
      </c>
      <c r="F45" s="315">
        <v>-0.2</v>
      </c>
      <c r="G45" s="300">
        <v>94.2</v>
      </c>
      <c r="O45" t="str">
        <f>IFERROR(__xludf.DUMMYFUNCTION("regexextract(B45,""[\w]* [\w]*"")"),"Zach LaVine")</f>
        <v>Zach LaVine</v>
      </c>
      <c r="P45" t="str">
        <f t="shared" si="2"/>
        <v>Zach LaVine</v>
      </c>
      <c r="Q45" t="str">
        <f t="shared" si="3"/>
        <v>Zach LaVine</v>
      </c>
      <c r="R45" t="s">
        <v>1850</v>
      </c>
      <c r="S45" s="276" t="s">
        <v>47</v>
      </c>
      <c r="T45" t="s">
        <v>1850</v>
      </c>
      <c r="U45" t="s">
        <v>1850</v>
      </c>
      <c r="V45" t="s">
        <v>34</v>
      </c>
      <c r="W45" t="str">
        <f t="shared" si="1"/>
        <v>SGC</v>
      </c>
    </row>
    <row r="46">
      <c r="A46" s="309">
        <v>44.0</v>
      </c>
      <c r="B46" s="310" t="s">
        <v>1893</v>
      </c>
      <c r="C46" s="311"/>
      <c r="D46" s="312"/>
      <c r="E46" s="304">
        <v>9.7</v>
      </c>
      <c r="F46" s="314">
        <v>-0.2</v>
      </c>
      <c r="G46" s="304">
        <v>91.4</v>
      </c>
      <c r="O46" t="str">
        <f>IFERROR(__xludf.DUMMYFUNCTION("regexextract(B46,""[\w]* [\w]*"")"),"Ja Morant")</f>
        <v>Ja Morant</v>
      </c>
      <c r="P46" t="str">
        <f t="shared" si="2"/>
        <v>Ja Morant</v>
      </c>
      <c r="Q46" t="str">
        <f t="shared" si="3"/>
        <v>Ja Morant</v>
      </c>
      <c r="R46" t="s">
        <v>46</v>
      </c>
      <c r="S46" s="276" t="s">
        <v>1850</v>
      </c>
      <c r="T46" t="s">
        <v>1850</v>
      </c>
      <c r="U46" t="s">
        <v>1850</v>
      </c>
      <c r="V46" t="s">
        <v>1850</v>
      </c>
      <c r="W46" t="str">
        <f t="shared" si="1"/>
        <v>PG</v>
      </c>
    </row>
    <row r="47">
      <c r="A47" s="306">
        <v>45.0</v>
      </c>
      <c r="B47" s="307" t="s">
        <v>1894</v>
      </c>
      <c r="C47" s="308"/>
      <c r="D47" s="308"/>
      <c r="E47" s="300">
        <v>13.3</v>
      </c>
      <c r="F47" s="315">
        <v>-0.4</v>
      </c>
      <c r="G47" s="300">
        <v>93.0</v>
      </c>
      <c r="O47" t="str">
        <f>IFERROR(__xludf.DUMMYFUNCTION("regexextract(B47,""[\w]* [\w]*"")"),"Brandon Ingram")</f>
        <v>Brandon Ingram</v>
      </c>
      <c r="P47" t="str">
        <f t="shared" si="2"/>
        <v>Brandon Ingram</v>
      </c>
      <c r="Q47" t="str">
        <f t="shared" si="3"/>
        <v>Brandon Ingram</v>
      </c>
      <c r="R47" t="s">
        <v>1850</v>
      </c>
      <c r="S47" s="276" t="s">
        <v>1850</v>
      </c>
      <c r="T47" t="s">
        <v>48</v>
      </c>
      <c r="U47" t="s">
        <v>49</v>
      </c>
      <c r="V47" t="s">
        <v>1850</v>
      </c>
      <c r="W47" t="str">
        <f t="shared" si="1"/>
        <v>SFPF</v>
      </c>
    </row>
    <row r="48">
      <c r="A48" s="309">
        <v>46.0</v>
      </c>
      <c r="B48" s="310" t="s">
        <v>1895</v>
      </c>
      <c r="C48" s="311"/>
      <c r="D48" s="311"/>
      <c r="E48" s="304">
        <v>13.8</v>
      </c>
      <c r="F48" s="314">
        <v>-0.1</v>
      </c>
      <c r="G48" s="304">
        <v>85.0</v>
      </c>
      <c r="O48" t="str">
        <f>IFERROR(__xludf.DUMMYFUNCTION("regexextract(B48,""[\w]* [\w]*"")"),"Caris LeVertO")</f>
        <v>Caris LeVertO</v>
      </c>
      <c r="P48" t="str">
        <f t="shared" si="2"/>
        <v>Caris LeVertO</v>
      </c>
      <c r="Q48" t="str">
        <f t="shared" si="3"/>
        <v>Caris LeVert</v>
      </c>
      <c r="R48" t="s">
        <v>1850</v>
      </c>
      <c r="S48" s="276" t="s">
        <v>47</v>
      </c>
      <c r="T48" t="s">
        <v>48</v>
      </c>
      <c r="U48" t="s">
        <v>1850</v>
      </c>
      <c r="V48" t="s">
        <v>34</v>
      </c>
      <c r="W48" t="str">
        <f t="shared" si="1"/>
        <v>SGSFC</v>
      </c>
    </row>
    <row r="49">
      <c r="A49" s="306">
        <v>47.0</v>
      </c>
      <c r="B49" s="307" t="s">
        <v>1896</v>
      </c>
      <c r="C49" s="308"/>
      <c r="D49" s="313"/>
      <c r="E49" s="300">
        <v>9.1</v>
      </c>
      <c r="F49" s="299">
        <f>+0.3</f>
        <v>0.3</v>
      </c>
      <c r="G49" s="300">
        <v>93.2</v>
      </c>
      <c r="O49" t="str">
        <f>IFERROR(__xludf.DUMMYFUNCTION("regexextract(B49,""[\w]* [\w]*"")"),"CJ McCollum")</f>
        <v>CJ McCollum</v>
      </c>
      <c r="P49" t="str">
        <f t="shared" si="2"/>
        <v>CJ McCollum</v>
      </c>
      <c r="Q49" t="str">
        <f t="shared" si="3"/>
        <v>CJ McCollum</v>
      </c>
      <c r="R49" t="s">
        <v>1850</v>
      </c>
      <c r="S49" s="276" t="s">
        <v>47</v>
      </c>
      <c r="T49" t="s">
        <v>1850</v>
      </c>
      <c r="U49" t="s">
        <v>1850</v>
      </c>
      <c r="V49" t="s">
        <v>34</v>
      </c>
      <c r="W49" t="str">
        <f t="shared" si="1"/>
        <v>SGC</v>
      </c>
    </row>
    <row r="50">
      <c r="A50" s="309">
        <v>48.0</v>
      </c>
      <c r="B50" s="310" t="s">
        <v>1897</v>
      </c>
      <c r="C50" s="312"/>
      <c r="D50" s="312"/>
      <c r="O50" t="str">
        <f>IFERROR(__xludf.DUMMYFUNCTION("regexextract(B50,""[\w]* [\w]*"")"),"DeMar DeRozan")</f>
        <v>DeMar DeRozan</v>
      </c>
      <c r="P50" t="str">
        <f t="shared" si="2"/>
        <v>DeMar DeRozan</v>
      </c>
      <c r="Q50" t="str">
        <f t="shared" si="3"/>
        <v>DeMar DeRozan</v>
      </c>
      <c r="R50" t="s">
        <v>1850</v>
      </c>
      <c r="S50" s="276" t="s">
        <v>47</v>
      </c>
      <c r="T50" t="s">
        <v>48</v>
      </c>
      <c r="U50" t="s">
        <v>1850</v>
      </c>
      <c r="V50" t="s">
        <v>34</v>
      </c>
      <c r="W50" t="str">
        <f t="shared" si="1"/>
        <v>SGSFC</v>
      </c>
    </row>
    <row r="51">
      <c r="A51" s="306">
        <v>49.0</v>
      </c>
      <c r="B51" s="307" t="s">
        <v>1898</v>
      </c>
      <c r="C51" s="308"/>
      <c r="D51" s="313"/>
      <c r="E51" s="300">
        <v>10.0</v>
      </c>
      <c r="F51" s="299">
        <f>+0.1</f>
        <v>0.1</v>
      </c>
      <c r="G51" s="300">
        <v>91.7</v>
      </c>
      <c r="O51" t="str">
        <f>IFERROR(__xludf.DUMMYFUNCTION("regexextract(B51,""[\w]* [\w]*"")"),"Collin Sexton")</f>
        <v>Collin Sexton</v>
      </c>
      <c r="P51" t="str">
        <f t="shared" si="2"/>
        <v>Collin Sexton</v>
      </c>
      <c r="Q51" t="str">
        <f t="shared" si="3"/>
        <v>Collin Sexton</v>
      </c>
      <c r="R51" t="s">
        <v>46</v>
      </c>
      <c r="S51" s="276" t="s">
        <v>47</v>
      </c>
      <c r="T51" t="s">
        <v>1850</v>
      </c>
      <c r="U51" t="s">
        <v>1850</v>
      </c>
      <c r="V51" t="s">
        <v>34</v>
      </c>
      <c r="W51" t="str">
        <f t="shared" si="1"/>
        <v>PGSGC</v>
      </c>
    </row>
    <row r="52">
      <c r="A52" s="309">
        <v>50.0</v>
      </c>
      <c r="B52" s="310" t="s">
        <v>1899</v>
      </c>
      <c r="C52" s="311"/>
      <c r="D52" s="312"/>
      <c r="E52" s="304">
        <v>9.6</v>
      </c>
      <c r="F52" s="314">
        <v>-0.2</v>
      </c>
      <c r="G52" s="304">
        <v>93.6</v>
      </c>
      <c r="O52" t="str">
        <f>IFERROR(__xludf.DUMMYFUNCTION("regexextract(B52,""[\w]* [\w]*"")"),"Montrezl Harrell")</f>
        <v>Montrezl Harrell</v>
      </c>
      <c r="P52" t="str">
        <f t="shared" si="2"/>
        <v>Montrezl Harrell</v>
      </c>
      <c r="Q52" t="str">
        <f t="shared" si="3"/>
        <v>Montrezl Harrell</v>
      </c>
      <c r="R52" t="s">
        <v>1850</v>
      </c>
      <c r="S52" s="276" t="s">
        <v>1850</v>
      </c>
      <c r="T52" t="s">
        <v>1850</v>
      </c>
      <c r="U52" t="s">
        <v>49</v>
      </c>
      <c r="V52" t="s">
        <v>34</v>
      </c>
      <c r="W52" t="str">
        <f t="shared" si="1"/>
        <v>PFC</v>
      </c>
    </row>
    <row r="53">
      <c r="A53" s="298" t="s">
        <v>1844</v>
      </c>
      <c r="C53" s="298" t="s">
        <v>1845</v>
      </c>
      <c r="E53" s="316"/>
      <c r="F53" s="316"/>
      <c r="G53" s="316"/>
      <c r="H53" s="316"/>
      <c r="I53" s="316"/>
      <c r="J53" s="316"/>
      <c r="K53" s="316"/>
      <c r="L53" s="316"/>
      <c r="M53" s="316"/>
      <c r="N53" s="316"/>
      <c r="O53" t="str">
        <f>IFERROR(__xludf.DUMMYFUNCTION("regexextract(B53,""[\w]* [\w]*"")"),"#N/A")</f>
        <v>#N/A</v>
      </c>
      <c r="P53" t="str">
        <f t="shared" si="2"/>
        <v>#N/A</v>
      </c>
      <c r="Q53" t="str">
        <f t="shared" si="3"/>
        <v>#N/A</v>
      </c>
      <c r="R53" t="s">
        <v>1850</v>
      </c>
      <c r="S53" s="276" t="s">
        <v>1850</v>
      </c>
      <c r="T53" t="s">
        <v>1850</v>
      </c>
      <c r="U53" t="s">
        <v>1850</v>
      </c>
      <c r="V53" t="s">
        <v>1850</v>
      </c>
      <c r="W53" t="str">
        <f t="shared" si="1"/>
        <v/>
      </c>
    </row>
    <row r="54">
      <c r="A54" s="301" t="s">
        <v>1846</v>
      </c>
      <c r="B54" s="302" t="s">
        <v>3</v>
      </c>
      <c r="C54" s="301" t="s">
        <v>1847</v>
      </c>
      <c r="D54" s="303" t="s">
        <v>1848</v>
      </c>
      <c r="E54" s="317"/>
      <c r="F54" s="318"/>
      <c r="G54" s="317"/>
      <c r="H54" s="317"/>
      <c r="I54" s="317"/>
      <c r="J54" s="317"/>
      <c r="K54" s="317"/>
      <c r="L54" s="317"/>
      <c r="M54" s="317"/>
      <c r="N54" s="319"/>
      <c r="O54" t="str">
        <f>IFERROR(__xludf.DUMMYFUNCTION("regexextract(B54,""[\w]* [\w]*"")"),"#N/A")</f>
        <v>#N/A</v>
      </c>
      <c r="P54" t="str">
        <f t="shared" si="2"/>
        <v>#N/A</v>
      </c>
      <c r="Q54" t="str">
        <f t="shared" si="3"/>
        <v>#N/A</v>
      </c>
      <c r="R54" t="s">
        <v>1850</v>
      </c>
      <c r="S54" s="276" t="s">
        <v>1850</v>
      </c>
      <c r="T54" t="s">
        <v>1850</v>
      </c>
      <c r="U54" t="s">
        <v>1850</v>
      </c>
      <c r="V54" t="s">
        <v>1850</v>
      </c>
      <c r="W54" t="str">
        <f t="shared" si="1"/>
        <v/>
      </c>
    </row>
    <row r="55">
      <c r="A55" s="306">
        <v>51.0</v>
      </c>
      <c r="B55" s="307" t="s">
        <v>1900</v>
      </c>
      <c r="C55" s="308"/>
      <c r="D55" s="308"/>
      <c r="E55" s="320"/>
      <c r="F55" s="320"/>
      <c r="G55" s="320"/>
      <c r="H55" s="320"/>
      <c r="I55" s="320"/>
      <c r="J55" s="320"/>
      <c r="K55" s="320"/>
      <c r="L55" s="320"/>
      <c r="M55" s="320"/>
      <c r="N55" s="320"/>
      <c r="O55" t="str">
        <f>IFERROR(__xludf.DUMMYFUNCTION("regexextract(B55,""[\w]* [\w]*"")"),"Terry Rozier")</f>
        <v>Terry Rozier</v>
      </c>
      <c r="P55" t="str">
        <f t="shared" si="2"/>
        <v>Terry Rozier</v>
      </c>
      <c r="Q55" t="str">
        <f t="shared" si="3"/>
        <v>Terry Rozier</v>
      </c>
      <c r="R55" t="s">
        <v>46</v>
      </c>
      <c r="S55" s="276" t="s">
        <v>47</v>
      </c>
      <c r="T55" t="s">
        <v>1850</v>
      </c>
      <c r="U55" t="s">
        <v>1850</v>
      </c>
      <c r="V55" t="s">
        <v>34</v>
      </c>
      <c r="W55" t="str">
        <f t="shared" si="1"/>
        <v>PGSGC</v>
      </c>
    </row>
    <row r="56">
      <c r="A56" s="309">
        <v>52.0</v>
      </c>
      <c r="B56" s="310" t="s">
        <v>1901</v>
      </c>
      <c r="C56" s="311"/>
      <c r="D56" s="311"/>
      <c r="E56" s="321"/>
      <c r="F56" s="321"/>
      <c r="G56" s="321"/>
      <c r="H56" s="321"/>
      <c r="I56" s="321"/>
      <c r="J56" s="321"/>
      <c r="K56" s="321"/>
      <c r="L56" s="321"/>
      <c r="M56" s="321"/>
      <c r="N56" s="321"/>
      <c r="O56" t="str">
        <f>IFERROR(__xludf.DUMMYFUNCTION("regexextract(B56,""[\w]* [\w]*"")"),"Jusuf Nurkic")</f>
        <v>Jusuf Nurkic</v>
      </c>
      <c r="P56" t="str">
        <f t="shared" si="2"/>
        <v>Jusuf Nurkic</v>
      </c>
      <c r="Q56" t="str">
        <f t="shared" si="3"/>
        <v>Jusuf Nurkic</v>
      </c>
      <c r="R56" t="s">
        <v>1850</v>
      </c>
      <c r="S56" s="276" t="s">
        <v>1850</v>
      </c>
      <c r="T56" t="s">
        <v>1850</v>
      </c>
      <c r="U56" t="s">
        <v>1850</v>
      </c>
      <c r="V56" t="s">
        <v>34</v>
      </c>
      <c r="W56" t="str">
        <f t="shared" si="1"/>
        <v>C</v>
      </c>
    </row>
    <row r="57">
      <c r="A57" s="306">
        <v>53.0</v>
      </c>
      <c r="B57" s="307" t="s">
        <v>1902</v>
      </c>
      <c r="C57" s="308"/>
      <c r="D57" s="308"/>
      <c r="E57" s="320"/>
      <c r="F57" s="320"/>
      <c r="G57" s="320"/>
      <c r="H57" s="320"/>
      <c r="I57" s="320"/>
      <c r="J57" s="320"/>
      <c r="K57" s="320"/>
      <c r="L57" s="320"/>
      <c r="M57" s="320"/>
      <c r="N57" s="320"/>
      <c r="O57" t="str">
        <f>IFERROR(__xludf.DUMMYFUNCTION("regexextract(B57,""[\w]* [\w]*"")"),"Pascal SiakamO")</f>
        <v>Pascal SiakamO</v>
      </c>
      <c r="P57" t="str">
        <f t="shared" si="2"/>
        <v>Pascal SiakamO</v>
      </c>
      <c r="Q57" t="str">
        <f t="shared" si="3"/>
        <v>Pascal Siakam</v>
      </c>
      <c r="R57" t="s">
        <v>1850</v>
      </c>
      <c r="S57" s="276" t="s">
        <v>1850</v>
      </c>
      <c r="T57" t="s">
        <v>1850</v>
      </c>
      <c r="U57" t="s">
        <v>49</v>
      </c>
      <c r="V57" t="s">
        <v>34</v>
      </c>
      <c r="W57" t="str">
        <f t="shared" si="1"/>
        <v>PFC</v>
      </c>
    </row>
    <row r="58">
      <c r="A58" s="309">
        <v>54.0</v>
      </c>
      <c r="B58" s="310" t="s">
        <v>1903</v>
      </c>
      <c r="C58" s="311"/>
      <c r="D58" s="311"/>
      <c r="E58" s="321"/>
      <c r="F58" s="321"/>
      <c r="G58" s="321"/>
      <c r="H58" s="321"/>
      <c r="I58" s="321"/>
      <c r="J58" s="321"/>
      <c r="K58" s="321"/>
      <c r="L58" s="321"/>
      <c r="M58" s="321"/>
      <c r="N58" s="321"/>
      <c r="O58" t="str">
        <f>IFERROR(__xludf.DUMMYFUNCTION("regexextract(B58,""[\w]* [\w]*"")"),"Draymond Green")</f>
        <v>Draymond Green</v>
      </c>
      <c r="P58" t="str">
        <f t="shared" si="2"/>
        <v>Draymond Green</v>
      </c>
      <c r="Q58" t="str">
        <f t="shared" si="3"/>
        <v>Draymond Green</v>
      </c>
      <c r="R58" t="s">
        <v>1850</v>
      </c>
      <c r="S58" s="276" t="s">
        <v>1850</v>
      </c>
      <c r="T58" t="s">
        <v>1850</v>
      </c>
      <c r="U58" t="s">
        <v>49</v>
      </c>
      <c r="V58" t="s">
        <v>1850</v>
      </c>
      <c r="W58" t="str">
        <f t="shared" si="1"/>
        <v>PF</v>
      </c>
    </row>
    <row r="59">
      <c r="A59" s="306">
        <v>55.0</v>
      </c>
      <c r="B59" s="307" t="s">
        <v>1904</v>
      </c>
      <c r="C59" s="308"/>
      <c r="D59" s="308"/>
      <c r="E59" s="320"/>
      <c r="F59" s="320"/>
      <c r="G59" s="320"/>
      <c r="H59" s="320"/>
      <c r="I59" s="320"/>
      <c r="J59" s="320"/>
      <c r="K59" s="320"/>
      <c r="L59" s="320"/>
      <c r="M59" s="320"/>
      <c r="N59" s="320"/>
      <c r="O59" t="str">
        <f>IFERROR(__xludf.DUMMYFUNCTION("regexextract(B59,""[\w]* [\w]*"")"),"Jakob Poeltl")</f>
        <v>Jakob Poeltl</v>
      </c>
      <c r="P59" t="str">
        <f t="shared" si="2"/>
        <v>Jakob Poeltl</v>
      </c>
      <c r="Q59" t="str">
        <f t="shared" si="3"/>
        <v>Jakob Poeltl</v>
      </c>
      <c r="R59" t="s">
        <v>1850</v>
      </c>
      <c r="S59" s="276" t="s">
        <v>1850</v>
      </c>
      <c r="T59" t="s">
        <v>1850</v>
      </c>
      <c r="U59" t="s">
        <v>1850</v>
      </c>
      <c r="V59" t="s">
        <v>34</v>
      </c>
      <c r="W59" t="str">
        <f t="shared" si="1"/>
        <v>C</v>
      </c>
    </row>
    <row r="60">
      <c r="A60" s="309">
        <v>56.0</v>
      </c>
      <c r="B60" s="310" t="s">
        <v>1905</v>
      </c>
      <c r="C60" s="311"/>
      <c r="D60" s="311"/>
      <c r="E60" s="321"/>
      <c r="F60" s="321"/>
      <c r="G60" s="321"/>
      <c r="H60" s="321"/>
      <c r="I60" s="321"/>
      <c r="J60" s="321"/>
      <c r="K60" s="321"/>
      <c r="L60" s="321"/>
      <c r="M60" s="321"/>
      <c r="N60" s="321"/>
      <c r="O60" t="str">
        <f>IFERROR(__xludf.DUMMYFUNCTION("regexextract(B60,""[\w]* [\w]*"")"),"Anthony Edwards")</f>
        <v>Anthony Edwards</v>
      </c>
      <c r="P60" t="str">
        <f t="shared" si="2"/>
        <v>Anthony Edwards</v>
      </c>
      <c r="Q60" t="str">
        <f t="shared" si="3"/>
        <v>Anthony Edwards</v>
      </c>
      <c r="R60" t="s">
        <v>1850</v>
      </c>
      <c r="S60" s="276" t="s">
        <v>47</v>
      </c>
      <c r="T60" t="s">
        <v>48</v>
      </c>
      <c r="U60" t="s">
        <v>1850</v>
      </c>
      <c r="V60" t="s">
        <v>1850</v>
      </c>
      <c r="W60" t="str">
        <f t="shared" si="1"/>
        <v>SGSF</v>
      </c>
    </row>
    <row r="61">
      <c r="A61" s="306">
        <v>57.0</v>
      </c>
      <c r="B61" s="307" t="s">
        <v>1906</v>
      </c>
      <c r="C61" s="308"/>
      <c r="D61" s="308"/>
      <c r="E61" s="320"/>
      <c r="F61" s="320"/>
      <c r="G61" s="320"/>
      <c r="H61" s="320"/>
      <c r="I61" s="320"/>
      <c r="J61" s="320"/>
      <c r="K61" s="320"/>
      <c r="L61" s="320"/>
      <c r="M61" s="320"/>
      <c r="N61" s="320"/>
      <c r="O61" t="str">
        <f>IFERROR(__xludf.DUMMYFUNCTION("regexextract(B61,""[\w]* [\w]*"")"),"Robert Williams")</f>
        <v>Robert Williams</v>
      </c>
      <c r="P61" t="str">
        <f t="shared" si="2"/>
        <v>Robert Williams</v>
      </c>
      <c r="Q61" t="str">
        <f t="shared" si="3"/>
        <v>Robert Williams</v>
      </c>
      <c r="R61" t="s">
        <v>1850</v>
      </c>
      <c r="S61" s="276" t="s">
        <v>1850</v>
      </c>
      <c r="T61" t="s">
        <v>1850</v>
      </c>
      <c r="U61" t="s">
        <v>49</v>
      </c>
      <c r="V61" t="s">
        <v>34</v>
      </c>
      <c r="W61" t="str">
        <f t="shared" si="1"/>
        <v>PFC</v>
      </c>
    </row>
    <row r="62">
      <c r="A62" s="309">
        <v>58.0</v>
      </c>
      <c r="B62" s="310" t="s">
        <v>1907</v>
      </c>
      <c r="C62" s="311"/>
      <c r="D62" s="311"/>
      <c r="E62" s="321"/>
      <c r="F62" s="321"/>
      <c r="G62" s="321"/>
      <c r="H62" s="321"/>
      <c r="I62" s="321"/>
      <c r="J62" s="321"/>
      <c r="K62" s="321"/>
      <c r="L62" s="321"/>
      <c r="M62" s="321"/>
      <c r="N62" s="322"/>
      <c r="O62" t="str">
        <f>IFERROR(__xludf.DUMMYFUNCTION("regexextract(B62,""[\w]* [\w]*"")"),"Tyrese Haliburton")</f>
        <v>Tyrese Haliburton</v>
      </c>
      <c r="P62" t="str">
        <f t="shared" si="2"/>
        <v>Tyrese Haliburton</v>
      </c>
      <c r="Q62" t="str">
        <f t="shared" si="3"/>
        <v>Tyrese Haliburton</v>
      </c>
      <c r="R62" t="s">
        <v>46</v>
      </c>
      <c r="S62" s="276" t="s">
        <v>47</v>
      </c>
      <c r="T62" t="s">
        <v>1850</v>
      </c>
      <c r="U62" t="s">
        <v>1850</v>
      </c>
      <c r="V62" t="s">
        <v>34</v>
      </c>
      <c r="W62" t="str">
        <f t="shared" si="1"/>
        <v>PGSGC</v>
      </c>
    </row>
    <row r="63">
      <c r="A63" s="306">
        <v>59.0</v>
      </c>
      <c r="B63" s="307" t="s">
        <v>1908</v>
      </c>
      <c r="C63" s="308"/>
      <c r="D63" s="308"/>
      <c r="E63" s="320"/>
      <c r="F63" s="320"/>
      <c r="G63" s="320"/>
      <c r="H63" s="320"/>
      <c r="I63" s="320"/>
      <c r="J63" s="320"/>
      <c r="K63" s="320"/>
      <c r="L63" s="320"/>
      <c r="M63" s="320"/>
      <c r="N63" s="320"/>
      <c r="O63" t="str">
        <f>IFERROR(__xludf.DUMMYFUNCTION("regexextract(B63,""[\w]* [\w]*"")"),"Kyle Lowry")</f>
        <v>Kyle Lowry</v>
      </c>
      <c r="P63" t="str">
        <f t="shared" si="2"/>
        <v>Kyle Lowry</v>
      </c>
      <c r="Q63" t="str">
        <f t="shared" si="3"/>
        <v>Kyle Lowry</v>
      </c>
      <c r="R63" t="s">
        <v>46</v>
      </c>
      <c r="S63" s="276" t="s">
        <v>1850</v>
      </c>
      <c r="T63" t="s">
        <v>1850</v>
      </c>
      <c r="U63" t="s">
        <v>1850</v>
      </c>
      <c r="V63" t="s">
        <v>1850</v>
      </c>
      <c r="W63" t="str">
        <f t="shared" si="1"/>
        <v>PG</v>
      </c>
    </row>
    <row r="64">
      <c r="A64" s="309">
        <v>60.0</v>
      </c>
      <c r="B64" s="310" t="s">
        <v>1909</v>
      </c>
      <c r="C64" s="311"/>
      <c r="D64" s="311"/>
      <c r="E64" s="321"/>
      <c r="F64" s="321"/>
      <c r="G64" s="321"/>
      <c r="H64" s="321"/>
      <c r="I64" s="321"/>
      <c r="J64" s="321"/>
      <c r="K64" s="321"/>
      <c r="L64" s="321"/>
      <c r="M64" s="321"/>
      <c r="N64" s="321"/>
      <c r="O64" t="str">
        <f>IFERROR(__xludf.DUMMYFUNCTION("regexextract(B64,""[\w]* [\w]*"")"),"Jalen Suggs")</f>
        <v>Jalen Suggs</v>
      </c>
      <c r="P64" t="str">
        <f t="shared" si="2"/>
        <v>Jalen Suggs</v>
      </c>
      <c r="Q64" t="str">
        <f t="shared" si="3"/>
        <v>Jalen Suggs</v>
      </c>
      <c r="R64" t="s">
        <v>46</v>
      </c>
      <c r="S64" s="276" t="s">
        <v>47</v>
      </c>
      <c r="T64" t="s">
        <v>1850</v>
      </c>
      <c r="U64" t="s">
        <v>1850</v>
      </c>
      <c r="V64" t="s">
        <v>1850</v>
      </c>
      <c r="W64" t="str">
        <f t="shared" si="1"/>
        <v>PGSG</v>
      </c>
    </row>
    <row r="65">
      <c r="A65" s="306">
        <v>61.0</v>
      </c>
      <c r="B65" s="307" t="s">
        <v>1910</v>
      </c>
      <c r="C65" s="308"/>
      <c r="D65" s="308"/>
      <c r="E65" s="320"/>
      <c r="F65" s="320"/>
      <c r="G65" s="320"/>
      <c r="H65" s="320"/>
      <c r="I65" s="320"/>
      <c r="J65" s="320"/>
      <c r="K65" s="320"/>
      <c r="L65" s="320"/>
      <c r="M65" s="320"/>
      <c r="N65" s="320"/>
      <c r="O65" t="str">
        <f>IFERROR(__xludf.DUMMYFUNCTION("regexextract(B65,""[\w]* [\w]*"")"),"Derrick White")</f>
        <v>Derrick White</v>
      </c>
      <c r="P65" t="str">
        <f t="shared" si="2"/>
        <v>Derrick White</v>
      </c>
      <c r="Q65" t="str">
        <f t="shared" si="3"/>
        <v>Derrick White</v>
      </c>
      <c r="R65" t="s">
        <v>46</v>
      </c>
      <c r="S65" s="276" t="s">
        <v>47</v>
      </c>
      <c r="T65" t="s">
        <v>1850</v>
      </c>
      <c r="U65" t="s">
        <v>1850</v>
      </c>
      <c r="V65" t="s">
        <v>34</v>
      </c>
      <c r="W65" t="str">
        <f t="shared" si="1"/>
        <v>PGSGC</v>
      </c>
    </row>
    <row r="66">
      <c r="A66" s="309">
        <v>62.0</v>
      </c>
      <c r="B66" s="310" t="s">
        <v>1911</v>
      </c>
      <c r="C66" s="311"/>
      <c r="D66" s="311"/>
      <c r="E66" s="321"/>
      <c r="F66" s="321"/>
      <c r="G66" s="321"/>
      <c r="H66" s="321"/>
      <c r="I66" s="321"/>
      <c r="J66" s="321"/>
      <c r="K66" s="321"/>
      <c r="L66" s="321"/>
      <c r="M66" s="321"/>
      <c r="N66" s="322"/>
      <c r="O66" t="str">
        <f>IFERROR(__xludf.DUMMYFUNCTION("regexextract(B66,""[\w]* [\w]*"")"),"Cade CunninghamDTD")</f>
        <v>Cade CunninghamDTD</v>
      </c>
      <c r="P66" t="str">
        <f t="shared" si="2"/>
        <v>Cade Cunningham</v>
      </c>
      <c r="Q66" t="str">
        <f t="shared" si="3"/>
        <v>Cade Cunningham</v>
      </c>
      <c r="R66" t="s">
        <v>46</v>
      </c>
      <c r="S66" s="276" t="s">
        <v>1850</v>
      </c>
      <c r="T66" t="s">
        <v>1850</v>
      </c>
      <c r="U66" t="s">
        <v>1850</v>
      </c>
      <c r="V66" t="s">
        <v>34</v>
      </c>
      <c r="W66" t="str">
        <f t="shared" si="1"/>
        <v>PGC</v>
      </c>
    </row>
    <row r="67">
      <c r="A67" s="306">
        <v>63.0</v>
      </c>
      <c r="B67" s="307" t="s">
        <v>1912</v>
      </c>
      <c r="C67" s="308"/>
      <c r="D67" s="308"/>
      <c r="E67" s="320"/>
      <c r="F67" s="320"/>
      <c r="G67" s="320"/>
      <c r="H67" s="320"/>
      <c r="I67" s="320"/>
      <c r="J67" s="320"/>
      <c r="K67" s="320"/>
      <c r="L67" s="320"/>
      <c r="M67" s="320"/>
      <c r="N67" s="323"/>
      <c r="O67" t="str">
        <f>IFERROR(__xludf.DUMMYFUNCTION("regexextract(B67,""[\w]* [\w]*"")"),"Buddy Hield")</f>
        <v>Buddy Hield</v>
      </c>
      <c r="P67" t="str">
        <f t="shared" si="2"/>
        <v>Buddy Hield</v>
      </c>
      <c r="Q67" t="str">
        <f t="shared" si="3"/>
        <v>Buddy Hield</v>
      </c>
      <c r="R67" t="s">
        <v>1850</v>
      </c>
      <c r="S67" s="276" t="s">
        <v>47</v>
      </c>
      <c r="T67" t="s">
        <v>48</v>
      </c>
      <c r="U67" t="s">
        <v>1850</v>
      </c>
      <c r="V67" t="s">
        <v>34</v>
      </c>
      <c r="W67" t="str">
        <f t="shared" si="1"/>
        <v>SGSFC</v>
      </c>
    </row>
    <row r="68">
      <c r="A68" s="309">
        <v>64.0</v>
      </c>
      <c r="B68" s="310" t="s">
        <v>1913</v>
      </c>
      <c r="C68" s="311"/>
      <c r="D68" s="311"/>
      <c r="E68" s="321"/>
      <c r="F68" s="321"/>
      <c r="G68" s="321"/>
      <c r="H68" s="321"/>
      <c r="I68" s="321"/>
      <c r="J68" s="321"/>
      <c r="K68" s="321"/>
      <c r="L68" s="321"/>
      <c r="M68" s="321"/>
      <c r="N68" s="322"/>
      <c r="O68" t="str">
        <f>IFERROR(__xludf.DUMMYFUNCTION("regexextract(B68,""[\w]* [\w]*"")"),"Jarrett AllenDTD")</f>
        <v>Jarrett AllenDTD</v>
      </c>
      <c r="P68" t="str">
        <f t="shared" si="2"/>
        <v>Jarrett Allen</v>
      </c>
      <c r="Q68" t="str">
        <f t="shared" si="3"/>
        <v>Jarrett Allen</v>
      </c>
      <c r="R68" t="s">
        <v>1850</v>
      </c>
      <c r="S68" s="276" t="s">
        <v>1850</v>
      </c>
      <c r="T68" t="s">
        <v>1850</v>
      </c>
      <c r="U68" t="s">
        <v>1850</v>
      </c>
      <c r="V68" t="s">
        <v>34</v>
      </c>
      <c r="W68" t="str">
        <f t="shared" si="1"/>
        <v>C</v>
      </c>
    </row>
    <row r="69">
      <c r="A69" s="306">
        <v>65.0</v>
      </c>
      <c r="B69" s="307" t="s">
        <v>1914</v>
      </c>
      <c r="C69" s="308"/>
      <c r="D69" s="308"/>
      <c r="E69" s="320"/>
      <c r="F69" s="320"/>
      <c r="G69" s="320"/>
      <c r="H69" s="320"/>
      <c r="I69" s="320"/>
      <c r="J69" s="320"/>
      <c r="K69" s="320"/>
      <c r="L69" s="320"/>
      <c r="M69" s="320"/>
      <c r="N69" s="320"/>
      <c r="O69" t="str">
        <f>IFERROR(__xludf.DUMMYFUNCTION("regexextract(B69,""[\w]* [\w]*"")"),"Malcolm Brogdon")</f>
        <v>Malcolm Brogdon</v>
      </c>
      <c r="P69" t="str">
        <f t="shared" si="2"/>
        <v>Malcolm Brogdon</v>
      </c>
      <c r="Q69" t="str">
        <f t="shared" si="3"/>
        <v>Malcolm Brogdon</v>
      </c>
      <c r="R69" t="s">
        <v>46</v>
      </c>
      <c r="S69" s="276" t="s">
        <v>47</v>
      </c>
      <c r="T69" t="s">
        <v>1850</v>
      </c>
      <c r="U69" t="s">
        <v>1850</v>
      </c>
      <c r="V69" t="s">
        <v>34</v>
      </c>
      <c r="W69" t="str">
        <f t="shared" si="1"/>
        <v>PGSGC</v>
      </c>
    </row>
    <row r="70">
      <c r="A70" s="309">
        <v>66.0</v>
      </c>
      <c r="B70" s="310" t="s">
        <v>1915</v>
      </c>
      <c r="C70" s="311"/>
      <c r="D70" s="311"/>
      <c r="E70" s="321"/>
      <c r="F70" s="321"/>
      <c r="G70" s="321"/>
      <c r="H70" s="321"/>
      <c r="I70" s="321"/>
      <c r="J70" s="321"/>
      <c r="K70" s="321"/>
      <c r="L70" s="321"/>
      <c r="M70" s="321"/>
      <c r="N70" s="321"/>
      <c r="O70" t="str">
        <f>IFERROR(__xludf.DUMMYFUNCTION("regexextract(B70,""[\w]* [\w]*"")"),"Spencer Dinwiddie")</f>
        <v>Spencer Dinwiddie</v>
      </c>
      <c r="P70" t="str">
        <f t="shared" si="2"/>
        <v>Spencer Dinwiddie</v>
      </c>
      <c r="Q70" t="str">
        <f t="shared" si="3"/>
        <v>Spencer Dinwiddie</v>
      </c>
      <c r="R70" t="s">
        <v>46</v>
      </c>
      <c r="S70" s="276" t="s">
        <v>47</v>
      </c>
      <c r="T70" t="s">
        <v>1850</v>
      </c>
      <c r="U70" t="s">
        <v>1850</v>
      </c>
      <c r="V70" t="s">
        <v>34</v>
      </c>
      <c r="W70" t="str">
        <f t="shared" si="1"/>
        <v>PGSGC</v>
      </c>
    </row>
    <row r="71">
      <c r="A71" s="306">
        <v>67.0</v>
      </c>
      <c r="B71" s="307" t="s">
        <v>1916</v>
      </c>
      <c r="C71" s="308"/>
      <c r="D71" s="308"/>
      <c r="E71" s="320"/>
      <c r="F71" s="320"/>
      <c r="G71" s="320"/>
      <c r="H71" s="320"/>
      <c r="I71" s="320"/>
      <c r="J71" s="320"/>
      <c r="K71" s="320"/>
      <c r="L71" s="320"/>
      <c r="M71" s="320"/>
      <c r="N71" s="323"/>
      <c r="O71" t="str">
        <f>IFERROR(__xludf.DUMMYFUNCTION("regexextract(B71,""[\w]* [\w]*"")"),"Jonathan IsaacO")</f>
        <v>Jonathan IsaacO</v>
      </c>
      <c r="P71" t="str">
        <f t="shared" si="2"/>
        <v>Jonathan IsaacO</v>
      </c>
      <c r="Q71" t="str">
        <f t="shared" si="3"/>
        <v>Jonathan Isaac</v>
      </c>
      <c r="R71" t="s">
        <v>1850</v>
      </c>
      <c r="S71" s="276" t="s">
        <v>1850</v>
      </c>
      <c r="T71" t="s">
        <v>48</v>
      </c>
      <c r="U71" t="s">
        <v>49</v>
      </c>
      <c r="V71" t="s">
        <v>34</v>
      </c>
      <c r="W71" t="str">
        <f t="shared" si="1"/>
        <v>SFPFC</v>
      </c>
    </row>
    <row r="72">
      <c r="A72" s="309">
        <v>68.0</v>
      </c>
      <c r="B72" s="310" t="s">
        <v>1917</v>
      </c>
      <c r="C72" s="311"/>
      <c r="D72" s="311"/>
      <c r="E72" s="321"/>
      <c r="F72" s="321"/>
      <c r="G72" s="321"/>
      <c r="H72" s="321"/>
      <c r="I72" s="321"/>
      <c r="J72" s="321"/>
      <c r="K72" s="321"/>
      <c r="L72" s="321"/>
      <c r="M72" s="321"/>
      <c r="N72" s="322"/>
      <c r="O72" t="str">
        <f>IFERROR(__xludf.DUMMYFUNCTION("regexextract(B72,""[\w]* [\w]*"")"),"Angelo Russell")</f>
        <v>Angelo Russell</v>
      </c>
      <c r="P72" t="str">
        <f t="shared" si="2"/>
        <v>Angelo Russell</v>
      </c>
      <c r="Q72" t="str">
        <f t="shared" si="3"/>
        <v>Angelo Russell</v>
      </c>
      <c r="R72" t="s">
        <v>46</v>
      </c>
      <c r="S72" s="276" t="s">
        <v>47</v>
      </c>
      <c r="T72" t="s">
        <v>1850</v>
      </c>
      <c r="U72" t="s">
        <v>1850</v>
      </c>
      <c r="V72" t="s">
        <v>1850</v>
      </c>
      <c r="W72" t="str">
        <f t="shared" si="1"/>
        <v>PGSG</v>
      </c>
    </row>
    <row r="73">
      <c r="A73" s="306">
        <v>69.0</v>
      </c>
      <c r="B73" s="307" t="s">
        <v>1918</v>
      </c>
      <c r="C73" s="308"/>
      <c r="D73" s="308"/>
      <c r="E73" s="320"/>
      <c r="F73" s="320"/>
      <c r="G73" s="320"/>
      <c r="H73" s="320"/>
      <c r="I73" s="320"/>
      <c r="J73" s="320"/>
      <c r="K73" s="320"/>
      <c r="L73" s="320"/>
      <c r="M73" s="320"/>
      <c r="N73" s="323"/>
      <c r="O73" t="str">
        <f>IFERROR(__xludf.DUMMYFUNCTION("regexextract(B73,""[\w]* [\w]*"")"),"Kemba Walker")</f>
        <v>Kemba Walker</v>
      </c>
      <c r="P73" t="str">
        <f t="shared" si="2"/>
        <v>Kemba Walker</v>
      </c>
      <c r="Q73" t="str">
        <f t="shared" si="3"/>
        <v>Kemba Walker</v>
      </c>
      <c r="R73" t="s">
        <v>46</v>
      </c>
      <c r="S73" s="276" t="s">
        <v>1850</v>
      </c>
      <c r="T73" t="s">
        <v>1850</v>
      </c>
      <c r="U73" t="s">
        <v>1850</v>
      </c>
      <c r="V73" t="s">
        <v>1850</v>
      </c>
      <c r="W73" t="str">
        <f t="shared" si="1"/>
        <v>PG</v>
      </c>
    </row>
    <row r="74">
      <c r="A74" s="309">
        <v>70.0</v>
      </c>
      <c r="B74" s="310" t="s">
        <v>1919</v>
      </c>
      <c r="C74" s="311"/>
      <c r="D74" s="311"/>
      <c r="E74" s="321"/>
      <c r="F74" s="321"/>
      <c r="G74" s="321"/>
      <c r="H74" s="321"/>
      <c r="I74" s="321"/>
      <c r="J74" s="321"/>
      <c r="K74" s="321"/>
      <c r="L74" s="321"/>
      <c r="M74" s="321"/>
      <c r="N74" s="322"/>
      <c r="O74" t="str">
        <f>IFERROR(__xludf.DUMMYFUNCTION("regexextract(B74,""[\w]* [\w]*"")"),"Andrew Wiggins")</f>
        <v>Andrew Wiggins</v>
      </c>
      <c r="P74" t="str">
        <f t="shared" si="2"/>
        <v>Andrew Wiggins</v>
      </c>
      <c r="Q74" t="str">
        <f t="shared" si="3"/>
        <v>Andrew Wiggins</v>
      </c>
      <c r="R74" t="s">
        <v>1850</v>
      </c>
      <c r="S74" s="276" t="s">
        <v>47</v>
      </c>
      <c r="T74" t="s">
        <v>48</v>
      </c>
      <c r="U74" t="s">
        <v>1850</v>
      </c>
      <c r="V74" t="s">
        <v>1850</v>
      </c>
      <c r="W74" t="str">
        <f t="shared" si="1"/>
        <v>SGSF</v>
      </c>
    </row>
    <row r="75">
      <c r="A75" s="306">
        <v>71.0</v>
      </c>
      <c r="B75" s="307" t="s">
        <v>1920</v>
      </c>
      <c r="C75" s="308"/>
      <c r="D75" s="308"/>
      <c r="E75" s="320"/>
      <c r="F75" s="320"/>
      <c r="G75" s="320"/>
      <c r="H75" s="320"/>
      <c r="I75" s="320"/>
      <c r="J75" s="320"/>
      <c r="K75" s="320"/>
      <c r="L75" s="320"/>
      <c r="M75" s="320"/>
      <c r="N75" s="323"/>
      <c r="O75" t="str">
        <f>IFERROR(__xludf.DUMMYFUNCTION("regexextract(B75,""[\w]* [\w]*"")"),"OG Anunoby")</f>
        <v>OG Anunoby</v>
      </c>
      <c r="P75" t="str">
        <f t="shared" si="2"/>
        <v>OG Anunoby</v>
      </c>
      <c r="Q75" t="str">
        <f t="shared" si="3"/>
        <v>OG Anunoby</v>
      </c>
      <c r="R75" t="s">
        <v>1850</v>
      </c>
      <c r="S75" s="276" t="s">
        <v>1850</v>
      </c>
      <c r="T75" t="s">
        <v>48</v>
      </c>
      <c r="U75" t="s">
        <v>49</v>
      </c>
      <c r="V75" t="s">
        <v>1850</v>
      </c>
      <c r="W75" t="str">
        <f t="shared" si="1"/>
        <v>SFPF</v>
      </c>
    </row>
    <row r="76">
      <c r="A76" s="309">
        <v>72.0</v>
      </c>
      <c r="B76" s="310" t="s">
        <v>1921</v>
      </c>
      <c r="C76" s="311"/>
      <c r="D76" s="311"/>
      <c r="E76" s="321"/>
      <c r="F76" s="321"/>
      <c r="G76" s="321"/>
      <c r="H76" s="321"/>
      <c r="I76" s="321"/>
      <c r="J76" s="321"/>
      <c r="K76" s="321"/>
      <c r="L76" s="321"/>
      <c r="M76" s="321"/>
      <c r="N76" s="322"/>
      <c r="O76" t="str">
        <f>IFERROR(__xludf.DUMMYFUNCTION("regexextract(B76,""[\w]* [\w]*"")"),"John Collins")</f>
        <v>John Collins</v>
      </c>
      <c r="P76" t="str">
        <f t="shared" si="2"/>
        <v>John Collins</v>
      </c>
      <c r="Q76" t="str">
        <f t="shared" si="3"/>
        <v>John Collins</v>
      </c>
      <c r="R76" t="s">
        <v>1850</v>
      </c>
      <c r="S76" s="276" t="s">
        <v>1850</v>
      </c>
      <c r="T76" t="s">
        <v>1850</v>
      </c>
      <c r="U76" t="s">
        <v>49</v>
      </c>
      <c r="V76" t="s">
        <v>34</v>
      </c>
      <c r="W76" t="str">
        <f t="shared" si="1"/>
        <v>PFC</v>
      </c>
    </row>
    <row r="77">
      <c r="A77" s="306">
        <v>73.0</v>
      </c>
      <c r="B77" s="307" t="s">
        <v>1922</v>
      </c>
      <c r="C77" s="308"/>
      <c r="D77" s="308"/>
      <c r="E77" s="320"/>
      <c r="F77" s="320"/>
      <c r="G77" s="320"/>
      <c r="H77" s="320"/>
      <c r="I77" s="320"/>
      <c r="J77" s="320"/>
      <c r="K77" s="320"/>
      <c r="L77" s="320"/>
      <c r="M77" s="320"/>
      <c r="N77" s="323"/>
      <c r="O77" t="str">
        <f>IFERROR(__xludf.DUMMYFUNCTION("regexextract(B77,""[\w]* [\w]*"")"),"Kristaps Porzingis")</f>
        <v>Kristaps Porzingis</v>
      </c>
      <c r="P77" t="str">
        <f t="shared" si="2"/>
        <v>Kristaps Porzingis</v>
      </c>
      <c r="Q77" t="str">
        <f t="shared" si="3"/>
        <v>Kristaps Porzingis</v>
      </c>
      <c r="R77" t="s">
        <v>1850</v>
      </c>
      <c r="S77" s="276" t="s">
        <v>1850</v>
      </c>
      <c r="T77" t="s">
        <v>1850</v>
      </c>
      <c r="U77" t="s">
        <v>49</v>
      </c>
      <c r="V77" t="s">
        <v>34</v>
      </c>
      <c r="W77" t="str">
        <f t="shared" si="1"/>
        <v>PFC</v>
      </c>
    </row>
    <row r="78">
      <c r="A78" s="309">
        <v>74.0</v>
      </c>
      <c r="B78" s="310" t="s">
        <v>1923</v>
      </c>
      <c r="C78" s="311"/>
      <c r="D78" s="311"/>
      <c r="E78" s="321"/>
      <c r="F78" s="321"/>
      <c r="G78" s="321"/>
      <c r="H78" s="321"/>
      <c r="I78" s="321"/>
      <c r="J78" s="321"/>
      <c r="K78" s="321"/>
      <c r="L78" s="321"/>
      <c r="M78" s="321"/>
      <c r="N78" s="322"/>
      <c r="O78" t="str">
        <f>IFERROR(__xludf.DUMMYFUNCTION("regexextract(B78,""[\w]* [\w]*"")"),"Chris Boucher")</f>
        <v>Chris Boucher</v>
      </c>
      <c r="P78" t="str">
        <f t="shared" si="2"/>
        <v>Chris Boucher</v>
      </c>
      <c r="Q78" t="str">
        <f t="shared" si="3"/>
        <v>Chris Boucher</v>
      </c>
      <c r="R78" t="s">
        <v>1850</v>
      </c>
      <c r="S78" s="276" t="s">
        <v>1850</v>
      </c>
      <c r="T78" t="s">
        <v>1850</v>
      </c>
      <c r="U78" t="s">
        <v>49</v>
      </c>
      <c r="V78" t="s">
        <v>34</v>
      </c>
      <c r="W78" t="str">
        <f t="shared" si="1"/>
        <v>PFC</v>
      </c>
    </row>
    <row r="79">
      <c r="A79" s="306">
        <v>75.0</v>
      </c>
      <c r="B79" s="307" t="s">
        <v>1924</v>
      </c>
      <c r="C79" s="308"/>
      <c r="D79" s="308"/>
      <c r="E79" s="320"/>
      <c r="F79" s="320"/>
      <c r="G79" s="320"/>
      <c r="H79" s="320"/>
      <c r="I79" s="320"/>
      <c r="J79" s="320"/>
      <c r="K79" s="320"/>
      <c r="L79" s="320"/>
      <c r="M79" s="320"/>
      <c r="N79" s="320"/>
      <c r="O79" t="str">
        <f>IFERROR(__xludf.DUMMYFUNCTION("regexextract(B79,""[\w]* [\w]*"")"),"Jerami Grant")</f>
        <v>Jerami Grant</v>
      </c>
      <c r="P79" t="str">
        <f t="shared" si="2"/>
        <v>Jerami Grant</v>
      </c>
      <c r="Q79" t="str">
        <f t="shared" si="3"/>
        <v>Jerami Grant</v>
      </c>
      <c r="R79" t="s">
        <v>1850</v>
      </c>
      <c r="S79" s="276" t="s">
        <v>1850</v>
      </c>
      <c r="T79" t="s">
        <v>48</v>
      </c>
      <c r="U79" t="s">
        <v>49</v>
      </c>
      <c r="V79" t="s">
        <v>1850</v>
      </c>
      <c r="W79" t="str">
        <f t="shared" si="1"/>
        <v>SFPF</v>
      </c>
    </row>
    <row r="80">
      <c r="A80" s="309">
        <v>76.0</v>
      </c>
      <c r="B80" s="310" t="s">
        <v>1925</v>
      </c>
      <c r="C80" s="311"/>
      <c r="D80" s="311"/>
      <c r="E80" s="321"/>
      <c r="F80" s="321"/>
      <c r="G80" s="321"/>
      <c r="H80" s="321"/>
      <c r="I80" s="321"/>
      <c r="J80" s="321"/>
      <c r="K80" s="321"/>
      <c r="L80" s="321"/>
      <c r="M80" s="321"/>
      <c r="N80" s="322"/>
      <c r="O80" t="str">
        <f>IFERROR(__xludf.DUMMYFUNCTION("regexextract(B80,""[\w]* [\w]*"")"),"Isaiah StewartDTD")</f>
        <v>Isaiah StewartDTD</v>
      </c>
      <c r="P80" t="str">
        <f t="shared" si="2"/>
        <v>Isaiah Stewart</v>
      </c>
      <c r="Q80" t="str">
        <f t="shared" si="3"/>
        <v>Isaiah Stewart</v>
      </c>
      <c r="R80" t="s">
        <v>1850</v>
      </c>
      <c r="S80" s="276" t="s">
        <v>1850</v>
      </c>
      <c r="T80" t="s">
        <v>1850</v>
      </c>
      <c r="U80" t="s">
        <v>49</v>
      </c>
      <c r="V80" t="s">
        <v>34</v>
      </c>
      <c r="W80" t="str">
        <f t="shared" si="1"/>
        <v>PFC</v>
      </c>
    </row>
    <row r="81">
      <c r="A81" s="306">
        <v>77.0</v>
      </c>
      <c r="B81" s="307" t="s">
        <v>1926</v>
      </c>
      <c r="C81" s="308"/>
      <c r="D81" s="308"/>
      <c r="E81" s="320"/>
      <c r="F81" s="320"/>
      <c r="G81" s="320"/>
      <c r="H81" s="320"/>
      <c r="I81" s="320"/>
      <c r="J81" s="320"/>
      <c r="K81" s="320"/>
      <c r="L81" s="320"/>
      <c r="M81" s="320"/>
      <c r="N81" s="323"/>
      <c r="O81" t="str">
        <f>IFERROR(__xludf.DUMMYFUNCTION("regexextract(B81,""[\w]* [\w]*"")"),"Richaun Holmes")</f>
        <v>Richaun Holmes</v>
      </c>
      <c r="P81" t="str">
        <f t="shared" si="2"/>
        <v>Richaun Holmes</v>
      </c>
      <c r="Q81" t="str">
        <f t="shared" si="3"/>
        <v>Richaun Holmes</v>
      </c>
      <c r="R81" t="s">
        <v>1850</v>
      </c>
      <c r="S81" s="276" t="s">
        <v>1850</v>
      </c>
      <c r="T81" t="s">
        <v>1850</v>
      </c>
      <c r="U81" t="s">
        <v>49</v>
      </c>
      <c r="V81" t="s">
        <v>34</v>
      </c>
      <c r="W81" t="str">
        <f t="shared" si="1"/>
        <v>PFC</v>
      </c>
    </row>
    <row r="82">
      <c r="A82" s="309">
        <v>78.0</v>
      </c>
      <c r="B82" s="310" t="s">
        <v>1927</v>
      </c>
      <c r="C82" s="311"/>
      <c r="D82" s="311"/>
      <c r="E82" s="321"/>
      <c r="F82" s="321"/>
      <c r="G82" s="321"/>
      <c r="H82" s="321"/>
      <c r="I82" s="321"/>
      <c r="J82" s="321"/>
      <c r="K82" s="321"/>
      <c r="L82" s="321"/>
      <c r="M82" s="321"/>
      <c r="N82" s="321"/>
      <c r="O82" t="str">
        <f>IFERROR(__xludf.DUMMYFUNCTION("regexextract(B82,""[\w]* [\w]*"")"),"Darius Garland")</f>
        <v>Darius Garland</v>
      </c>
      <c r="P82" t="str">
        <f t="shared" si="2"/>
        <v>Darius Garland</v>
      </c>
      <c r="Q82" t="str">
        <f t="shared" si="3"/>
        <v>Darius Garland</v>
      </c>
      <c r="R82" t="s">
        <v>46</v>
      </c>
      <c r="S82" s="276" t="s">
        <v>47</v>
      </c>
      <c r="T82" t="s">
        <v>1850</v>
      </c>
      <c r="U82" t="s">
        <v>1850</v>
      </c>
      <c r="V82" t="s">
        <v>34</v>
      </c>
      <c r="W82" t="str">
        <f t="shared" si="1"/>
        <v>PGSGC</v>
      </c>
    </row>
    <row r="83">
      <c r="A83" s="306">
        <v>79.0</v>
      </c>
      <c r="B83" s="307" t="s">
        <v>1928</v>
      </c>
      <c r="C83" s="308"/>
      <c r="D83" s="308"/>
      <c r="E83" s="320"/>
      <c r="F83" s="320"/>
      <c r="G83" s="320"/>
      <c r="H83" s="320"/>
      <c r="I83" s="320"/>
      <c r="J83" s="320"/>
      <c r="K83" s="320"/>
      <c r="L83" s="320"/>
      <c r="M83" s="320"/>
      <c r="N83" s="323"/>
      <c r="O83" t="str">
        <f>IFERROR(__xludf.DUMMYFUNCTION("regexextract(B83,""[\w]* [\w]*"")"),"Myles Turner")</f>
        <v>Myles Turner</v>
      </c>
      <c r="P83" t="str">
        <f t="shared" si="2"/>
        <v>Myles Turner</v>
      </c>
      <c r="Q83" t="str">
        <f t="shared" si="3"/>
        <v>Myles Turner</v>
      </c>
      <c r="R83" t="s">
        <v>1850</v>
      </c>
      <c r="S83" s="276" t="s">
        <v>1850</v>
      </c>
      <c r="T83" t="s">
        <v>1850</v>
      </c>
      <c r="U83" t="s">
        <v>49</v>
      </c>
      <c r="V83" t="s">
        <v>34</v>
      </c>
      <c r="W83" t="str">
        <f t="shared" si="1"/>
        <v>PFC</v>
      </c>
    </row>
    <row r="84">
      <c r="A84" s="309">
        <v>80.0</v>
      </c>
      <c r="B84" s="310" t="s">
        <v>1929</v>
      </c>
      <c r="C84" s="311"/>
      <c r="D84" s="311"/>
      <c r="E84" s="321"/>
      <c r="F84" s="321"/>
      <c r="G84" s="321"/>
      <c r="H84" s="321"/>
      <c r="I84" s="321"/>
      <c r="J84" s="321"/>
      <c r="K84" s="321"/>
      <c r="L84" s="321"/>
      <c r="M84" s="321"/>
      <c r="N84" s="322"/>
      <c r="O84" t="str">
        <f>IFERROR(__xludf.DUMMYFUNCTION("regexextract(B84,""[\w]* [\w]*"")"),"Nickeil Alexander")</f>
        <v>Nickeil Alexander</v>
      </c>
      <c r="P84" t="str">
        <f t="shared" si="2"/>
        <v>Nickeil Alexander</v>
      </c>
      <c r="Q84" t="str">
        <f t="shared" si="3"/>
        <v>Nickeil Alexander</v>
      </c>
      <c r="R84" t="s">
        <v>1850</v>
      </c>
      <c r="S84" s="276" t="s">
        <v>47</v>
      </c>
      <c r="T84" t="s">
        <v>1850</v>
      </c>
      <c r="U84" t="s">
        <v>1850</v>
      </c>
      <c r="V84" t="s">
        <v>34</v>
      </c>
      <c r="W84" t="str">
        <f t="shared" si="1"/>
        <v>SGC</v>
      </c>
    </row>
    <row r="85">
      <c r="A85" s="306">
        <v>81.0</v>
      </c>
      <c r="B85" s="307" t="s">
        <v>1930</v>
      </c>
      <c r="C85" s="308"/>
      <c r="D85" s="308"/>
      <c r="E85" s="320"/>
      <c r="F85" s="320"/>
      <c r="G85" s="320"/>
      <c r="H85" s="320"/>
      <c r="I85" s="320"/>
      <c r="J85" s="320"/>
      <c r="K85" s="320"/>
      <c r="L85" s="320"/>
      <c r="M85" s="320"/>
      <c r="N85" s="324"/>
      <c r="O85" t="str">
        <f>IFERROR(__xludf.DUMMYFUNCTION("regexextract(B85,""[\w]* [\w]*"")"),"Jaren Jackson")</f>
        <v>Jaren Jackson</v>
      </c>
      <c r="P85" t="str">
        <f t="shared" si="2"/>
        <v>Jaren Jackson</v>
      </c>
      <c r="Q85" t="str">
        <f t="shared" si="3"/>
        <v>Jaren Jackson</v>
      </c>
      <c r="R85" t="s">
        <v>1850</v>
      </c>
      <c r="S85" s="276" t="s">
        <v>1850</v>
      </c>
      <c r="T85" t="s">
        <v>1850</v>
      </c>
      <c r="U85" t="s">
        <v>49</v>
      </c>
      <c r="V85" t="s">
        <v>34</v>
      </c>
      <c r="W85" t="str">
        <f t="shared" si="1"/>
        <v>PFC</v>
      </c>
    </row>
    <row r="86">
      <c r="A86" s="309">
        <v>82.0</v>
      </c>
      <c r="B86" s="310" t="s">
        <v>1931</v>
      </c>
      <c r="C86" s="311"/>
      <c r="D86" s="311"/>
      <c r="E86" s="321"/>
      <c r="F86" s="321"/>
      <c r="G86" s="321"/>
      <c r="H86" s="321"/>
      <c r="I86" s="321"/>
      <c r="J86" s="321"/>
      <c r="K86" s="321"/>
      <c r="L86" s="321"/>
      <c r="M86" s="321"/>
      <c r="N86" s="322"/>
      <c r="O86" t="str">
        <f>IFERROR(__xludf.DUMMYFUNCTION("regexextract(B86,""[\w]* [\w]*"")"),"RJ Barrett")</f>
        <v>RJ Barrett</v>
      </c>
      <c r="P86" t="str">
        <f t="shared" si="2"/>
        <v>RJ Barrett</v>
      </c>
      <c r="Q86" t="str">
        <f t="shared" si="3"/>
        <v>RJ Barrett</v>
      </c>
      <c r="R86" t="s">
        <v>1850</v>
      </c>
      <c r="S86" s="276" t="s">
        <v>47</v>
      </c>
      <c r="T86" t="s">
        <v>48</v>
      </c>
      <c r="U86" t="s">
        <v>1850</v>
      </c>
      <c r="V86" t="s">
        <v>1850</v>
      </c>
      <c r="W86" t="str">
        <f t="shared" si="1"/>
        <v>SGSF</v>
      </c>
    </row>
    <row r="87">
      <c r="A87" s="306">
        <v>83.0</v>
      </c>
      <c r="B87" s="307" t="s">
        <v>1932</v>
      </c>
      <c r="C87" s="308"/>
      <c r="D87" s="308"/>
      <c r="E87" s="320"/>
      <c r="F87" s="320"/>
      <c r="G87" s="320"/>
      <c r="H87" s="320"/>
      <c r="I87" s="320"/>
      <c r="J87" s="320"/>
      <c r="K87" s="320"/>
      <c r="L87" s="320"/>
      <c r="M87" s="320"/>
      <c r="N87" s="324"/>
      <c r="O87" t="str">
        <f>IFERROR(__xludf.DUMMYFUNCTION("regexextract(B87,""[\w]* [\w]*"")"),"Mike Conley")</f>
        <v>Mike Conley</v>
      </c>
      <c r="P87" t="str">
        <f t="shared" si="2"/>
        <v>Mike Conley</v>
      </c>
      <c r="Q87" t="str">
        <f t="shared" si="3"/>
        <v>Mike Conley</v>
      </c>
      <c r="R87" t="s">
        <v>46</v>
      </c>
      <c r="S87" s="276" t="s">
        <v>1850</v>
      </c>
      <c r="T87" t="s">
        <v>1850</v>
      </c>
      <c r="U87" t="s">
        <v>1850</v>
      </c>
      <c r="V87" t="s">
        <v>34</v>
      </c>
      <c r="W87" t="str">
        <f t="shared" si="1"/>
        <v>PGC</v>
      </c>
    </row>
    <row r="88">
      <c r="A88" s="309">
        <v>84.0</v>
      </c>
      <c r="B88" s="310" t="s">
        <v>1933</v>
      </c>
      <c r="C88" s="311"/>
      <c r="D88" s="311"/>
      <c r="E88" s="321"/>
      <c r="F88" s="321"/>
      <c r="G88" s="321"/>
      <c r="H88" s="321"/>
      <c r="I88" s="321"/>
      <c r="J88" s="321"/>
      <c r="K88" s="321"/>
      <c r="L88" s="321"/>
      <c r="M88" s="321"/>
      <c r="N88" s="321"/>
      <c r="O88" t="str">
        <f>IFERROR(__xludf.DUMMYFUNCTION("regexextract(B88,""[\w]* [\w]*"")")," Washington")</f>
        <v> Washington</v>
      </c>
      <c r="P88" t="str">
        <f t="shared" si="2"/>
        <v> Washington</v>
      </c>
      <c r="Q88" t="str">
        <f t="shared" si="3"/>
        <v> Washington</v>
      </c>
      <c r="R88" t="s">
        <v>1850</v>
      </c>
      <c r="S88" s="276" t="s">
        <v>1850</v>
      </c>
      <c r="T88" t="s">
        <v>1850</v>
      </c>
      <c r="U88" t="s">
        <v>49</v>
      </c>
      <c r="V88" t="s">
        <v>34</v>
      </c>
      <c r="W88" t="str">
        <f t="shared" si="1"/>
        <v>PFC</v>
      </c>
    </row>
    <row r="89">
      <c r="A89" s="306">
        <v>85.0</v>
      </c>
      <c r="B89" s="307" t="s">
        <v>1934</v>
      </c>
      <c r="C89" s="308"/>
      <c r="D89" s="308"/>
      <c r="E89" s="320"/>
      <c r="F89" s="320"/>
      <c r="G89" s="320"/>
      <c r="H89" s="320"/>
      <c r="I89" s="320"/>
      <c r="J89" s="320"/>
      <c r="K89" s="320"/>
      <c r="L89" s="320"/>
      <c r="M89" s="320"/>
      <c r="N89" s="323"/>
      <c r="O89" t="str">
        <f>IFERROR(__xludf.DUMMYFUNCTION("regexextract(B89,""[\w]* [\w]*"")"),"Jalen Green")</f>
        <v>Jalen Green</v>
      </c>
      <c r="P89" t="str">
        <f t="shared" si="2"/>
        <v>Jalen Green</v>
      </c>
      <c r="Q89" t="str">
        <f t="shared" si="3"/>
        <v>Jalen Green</v>
      </c>
      <c r="R89" t="s">
        <v>1850</v>
      </c>
      <c r="S89" s="276" t="s">
        <v>47</v>
      </c>
      <c r="T89" t="s">
        <v>1850</v>
      </c>
      <c r="U89" t="s">
        <v>1850</v>
      </c>
      <c r="V89" t="s">
        <v>1850</v>
      </c>
      <c r="W89" t="str">
        <f t="shared" si="1"/>
        <v>SG</v>
      </c>
    </row>
    <row r="90">
      <c r="A90" s="309">
        <v>86.0</v>
      </c>
      <c r="B90" s="310" t="s">
        <v>1935</v>
      </c>
      <c r="C90" s="311"/>
      <c r="D90" s="311"/>
      <c r="E90" s="321"/>
      <c r="F90" s="321"/>
      <c r="G90" s="321"/>
      <c r="H90" s="321"/>
      <c r="I90" s="321"/>
      <c r="J90" s="321"/>
      <c r="K90" s="321"/>
      <c r="L90" s="321"/>
      <c r="M90" s="321"/>
      <c r="N90" s="322"/>
      <c r="O90" t="str">
        <f>IFERROR(__xludf.DUMMYFUNCTION("regexextract(B90,""[\w]* [\w]*"")"),"Norman Powell")</f>
        <v>Norman Powell</v>
      </c>
      <c r="P90" t="str">
        <f t="shared" si="2"/>
        <v>Norman Powell</v>
      </c>
      <c r="Q90" t="str">
        <f t="shared" si="3"/>
        <v>Norman Powell</v>
      </c>
      <c r="R90" t="s">
        <v>1850</v>
      </c>
      <c r="S90" s="276" t="s">
        <v>47</v>
      </c>
      <c r="T90" t="s">
        <v>48</v>
      </c>
      <c r="U90" t="s">
        <v>1850</v>
      </c>
      <c r="V90" t="s">
        <v>1850</v>
      </c>
      <c r="W90" t="str">
        <f t="shared" si="1"/>
        <v>SGSF</v>
      </c>
    </row>
    <row r="91">
      <c r="A91" s="306">
        <v>87.0</v>
      </c>
      <c r="B91" s="307" t="s">
        <v>1936</v>
      </c>
      <c r="C91" s="308"/>
      <c r="D91" s="308"/>
      <c r="E91" s="320"/>
      <c r="F91" s="320"/>
      <c r="G91" s="320"/>
      <c r="H91" s="320"/>
      <c r="I91" s="320"/>
      <c r="J91" s="320"/>
      <c r="K91" s="320"/>
      <c r="L91" s="320"/>
      <c r="M91" s="320"/>
      <c r="N91" s="323"/>
      <c r="O91" t="str">
        <f>IFERROR(__xludf.DUMMYFUNCTION("regexextract(B91,""[\w]* [\w]*"")"),"Ivica ZubacDTD")</f>
        <v>Ivica ZubacDTD</v>
      </c>
      <c r="P91" t="str">
        <f t="shared" si="2"/>
        <v>Ivica Zubac</v>
      </c>
      <c r="Q91" t="str">
        <f t="shared" si="3"/>
        <v>Ivica Zubac</v>
      </c>
      <c r="R91" t="s">
        <v>1850</v>
      </c>
      <c r="S91" s="276" t="s">
        <v>1850</v>
      </c>
      <c r="T91" t="s">
        <v>1850</v>
      </c>
      <c r="U91" t="s">
        <v>1850</v>
      </c>
      <c r="V91" t="s">
        <v>34</v>
      </c>
      <c r="W91" t="str">
        <f t="shared" si="1"/>
        <v>C</v>
      </c>
    </row>
    <row r="92">
      <c r="A92" s="309">
        <v>88.0</v>
      </c>
      <c r="B92" s="310" t="s">
        <v>1937</v>
      </c>
      <c r="C92" s="311"/>
      <c r="D92" s="311"/>
      <c r="E92" s="321"/>
      <c r="F92" s="321"/>
      <c r="G92" s="321"/>
      <c r="H92" s="321"/>
      <c r="I92" s="321"/>
      <c r="J92" s="321"/>
      <c r="K92" s="321"/>
      <c r="L92" s="321"/>
      <c r="M92" s="321"/>
      <c r="N92" s="322"/>
      <c r="O92" t="str">
        <f>IFERROR(__xludf.DUMMYFUNCTION("regexextract(B92,""[\w]* [\w]*"")")," Graham")</f>
        <v> Graham</v>
      </c>
      <c r="P92" t="str">
        <f t="shared" si="2"/>
        <v> Graham</v>
      </c>
      <c r="Q92" t="str">
        <f t="shared" si="3"/>
        <v> Graham</v>
      </c>
      <c r="R92" t="s">
        <v>46</v>
      </c>
      <c r="S92" s="276" t="s">
        <v>47</v>
      </c>
      <c r="T92" t="s">
        <v>1850</v>
      </c>
      <c r="U92" t="s">
        <v>1850</v>
      </c>
      <c r="V92" t="s">
        <v>1850</v>
      </c>
      <c r="W92" t="str">
        <f t="shared" si="1"/>
        <v>PGSG</v>
      </c>
    </row>
    <row r="93">
      <c r="A93" s="306">
        <v>89.0</v>
      </c>
      <c r="B93" s="307" t="s">
        <v>1938</v>
      </c>
      <c r="C93" s="308"/>
      <c r="D93" s="308"/>
      <c r="E93" s="320"/>
      <c r="F93" s="320"/>
      <c r="G93" s="320"/>
      <c r="H93" s="320"/>
      <c r="I93" s="320"/>
      <c r="J93" s="320"/>
      <c r="K93" s="320"/>
      <c r="L93" s="320"/>
      <c r="M93" s="320"/>
      <c r="N93" s="323"/>
      <c r="O93" t="str">
        <f>IFERROR(__xludf.DUMMYFUNCTION("regexextract(B93,""[\w]* [\w]*"")"),"Eric Bledsoe")</f>
        <v>Eric Bledsoe</v>
      </c>
      <c r="P93" t="str">
        <f t="shared" si="2"/>
        <v>Eric Bledsoe</v>
      </c>
      <c r="Q93" t="str">
        <f t="shared" si="3"/>
        <v>Eric Bledsoe</v>
      </c>
      <c r="R93" t="s">
        <v>46</v>
      </c>
      <c r="S93" s="276" t="s">
        <v>47</v>
      </c>
      <c r="T93" t="s">
        <v>1850</v>
      </c>
      <c r="U93" t="s">
        <v>1850</v>
      </c>
      <c r="V93" t="s">
        <v>34</v>
      </c>
      <c r="W93" t="str">
        <f t="shared" si="1"/>
        <v>PGSGC</v>
      </c>
    </row>
    <row r="94">
      <c r="A94" s="309">
        <v>90.0</v>
      </c>
      <c r="B94" s="310" t="s">
        <v>1939</v>
      </c>
      <c r="C94" s="311"/>
      <c r="D94" s="311"/>
      <c r="E94" s="321"/>
      <c r="F94" s="321"/>
      <c r="G94" s="321"/>
      <c r="H94" s="321"/>
      <c r="I94" s="321"/>
      <c r="J94" s="321"/>
      <c r="K94" s="321"/>
      <c r="L94" s="321"/>
      <c r="M94" s="321"/>
      <c r="N94" s="322"/>
      <c r="O94" t="str">
        <f>IFERROR(__xludf.DUMMYFUNCTION("regexextract(B94,""[\w]* [\w]*"")"),"Mikal Bridges")</f>
        <v>Mikal Bridges</v>
      </c>
      <c r="P94" t="str">
        <f t="shared" si="2"/>
        <v>Mikal Bridges</v>
      </c>
      <c r="Q94" t="str">
        <f t="shared" si="3"/>
        <v>Mikal Bridges</v>
      </c>
      <c r="R94" t="s">
        <v>1850</v>
      </c>
      <c r="S94" s="276" t="s">
        <v>1850</v>
      </c>
      <c r="T94" t="s">
        <v>48</v>
      </c>
      <c r="U94" t="s">
        <v>1850</v>
      </c>
      <c r="V94" t="s">
        <v>1850</v>
      </c>
      <c r="W94" t="str">
        <f t="shared" si="1"/>
        <v>SF</v>
      </c>
    </row>
    <row r="95">
      <c r="A95" s="306">
        <v>91.0</v>
      </c>
      <c r="B95" s="307" t="s">
        <v>1940</v>
      </c>
      <c r="C95" s="308"/>
      <c r="D95" s="308"/>
      <c r="E95" s="320"/>
      <c r="F95" s="320"/>
      <c r="G95" s="320"/>
      <c r="H95" s="320"/>
      <c r="I95" s="320"/>
      <c r="J95" s="320"/>
      <c r="K95" s="320"/>
      <c r="L95" s="320"/>
      <c r="M95" s="320"/>
      <c r="N95" s="320"/>
      <c r="O95" t="str">
        <f>IFERROR(__xludf.DUMMYFUNCTION("regexextract(B95,""[\w]* [\w]*"")"),"Wendell Carter")</f>
        <v>Wendell Carter</v>
      </c>
      <c r="P95" t="str">
        <f t="shared" si="2"/>
        <v>Wendell Carter</v>
      </c>
      <c r="Q95" t="str">
        <f t="shared" si="3"/>
        <v>Wendell Carter</v>
      </c>
      <c r="R95" t="s">
        <v>1850</v>
      </c>
      <c r="S95" s="276" t="s">
        <v>1850</v>
      </c>
      <c r="T95" t="s">
        <v>1850</v>
      </c>
      <c r="U95" t="s">
        <v>1850</v>
      </c>
      <c r="V95" t="s">
        <v>34</v>
      </c>
      <c r="W95" t="str">
        <f t="shared" si="1"/>
        <v>C</v>
      </c>
    </row>
    <row r="96">
      <c r="A96" s="309">
        <v>92.0</v>
      </c>
      <c r="B96" s="310" t="s">
        <v>1941</v>
      </c>
      <c r="C96" s="311"/>
      <c r="D96" s="311"/>
      <c r="E96" s="321"/>
      <c r="F96" s="321"/>
      <c r="G96" s="321"/>
      <c r="H96" s="321"/>
      <c r="I96" s="321"/>
      <c r="J96" s="321"/>
      <c r="K96" s="321"/>
      <c r="L96" s="321"/>
      <c r="M96" s="321"/>
      <c r="N96" s="322"/>
      <c r="O96" t="str">
        <f>IFERROR(__xludf.DUMMYFUNCTION("regexextract(B96,""[\w]* [\w]*"")"),"Robert Covington")</f>
        <v>Robert Covington</v>
      </c>
      <c r="P96" t="str">
        <f t="shared" si="2"/>
        <v>Robert Covington</v>
      </c>
      <c r="Q96" t="str">
        <f t="shared" si="3"/>
        <v>Robert Covington</v>
      </c>
      <c r="R96" t="s">
        <v>1850</v>
      </c>
      <c r="S96" s="276" t="s">
        <v>1850</v>
      </c>
      <c r="T96" t="s">
        <v>48</v>
      </c>
      <c r="U96" t="s">
        <v>49</v>
      </c>
      <c r="V96" t="s">
        <v>34</v>
      </c>
      <c r="W96" t="str">
        <f t="shared" si="1"/>
        <v>SFPFC</v>
      </c>
    </row>
    <row r="97">
      <c r="A97" s="306">
        <v>93.0</v>
      </c>
      <c r="B97" s="307" t="s">
        <v>1942</v>
      </c>
      <c r="C97" s="308"/>
      <c r="D97" s="308"/>
      <c r="E97" s="320"/>
      <c r="F97" s="320"/>
      <c r="G97" s="320"/>
      <c r="H97" s="320"/>
      <c r="I97" s="320"/>
      <c r="J97" s="320"/>
      <c r="K97" s="320"/>
      <c r="L97" s="320"/>
      <c r="M97" s="320"/>
      <c r="N97" s="320"/>
      <c r="O97" t="str">
        <f>IFERROR(__xludf.DUMMYFUNCTION("regexextract(B97,""[\w]* [\w]*"")"),"Thaddeus Young")</f>
        <v>Thaddeus Young</v>
      </c>
      <c r="P97" t="str">
        <f t="shared" si="2"/>
        <v>Thaddeus Young</v>
      </c>
      <c r="Q97" t="str">
        <f t="shared" si="3"/>
        <v>Thaddeus Young</v>
      </c>
      <c r="R97" t="s">
        <v>1850</v>
      </c>
      <c r="S97" s="276" t="s">
        <v>1850</v>
      </c>
      <c r="T97" t="s">
        <v>48</v>
      </c>
      <c r="U97" t="s">
        <v>49</v>
      </c>
      <c r="V97" t="s">
        <v>34</v>
      </c>
      <c r="W97" t="str">
        <f t="shared" si="1"/>
        <v>SFPFC</v>
      </c>
    </row>
    <row r="98">
      <c r="A98" s="309">
        <v>94.0</v>
      </c>
      <c r="B98" s="310" t="s">
        <v>1943</v>
      </c>
      <c r="C98" s="311"/>
      <c r="D98" s="311"/>
      <c r="E98" s="321"/>
      <c r="F98" s="321"/>
      <c r="G98" s="321"/>
      <c r="H98" s="321"/>
      <c r="I98" s="321"/>
      <c r="J98" s="321"/>
      <c r="K98" s="321"/>
      <c r="L98" s="321"/>
      <c r="M98" s="321"/>
      <c r="N98" s="322"/>
      <c r="O98" t="str">
        <f>IFERROR(__xludf.DUMMYFUNCTION("regexextract(B98,""[\w]* [\w]*"")"),"Marcus Smart")</f>
        <v>Marcus Smart</v>
      </c>
      <c r="P98" t="str">
        <f t="shared" si="2"/>
        <v>Marcus Smart</v>
      </c>
      <c r="Q98" t="str">
        <f t="shared" si="3"/>
        <v>Marcus Smart</v>
      </c>
      <c r="R98" t="s">
        <v>46</v>
      </c>
      <c r="S98" s="276" t="s">
        <v>47</v>
      </c>
      <c r="T98" t="s">
        <v>1850</v>
      </c>
      <c r="U98" t="s">
        <v>1850</v>
      </c>
      <c r="V98" t="s">
        <v>34</v>
      </c>
      <c r="W98" t="str">
        <f t="shared" si="1"/>
        <v>PGSGC</v>
      </c>
    </row>
    <row r="99">
      <c r="A99" s="306">
        <v>95.0</v>
      </c>
      <c r="B99" s="307" t="s">
        <v>1944</v>
      </c>
      <c r="C99" s="308"/>
      <c r="D99" s="308"/>
      <c r="E99" s="320"/>
      <c r="F99" s="320"/>
      <c r="G99" s="320"/>
      <c r="H99" s="320"/>
      <c r="I99" s="320"/>
      <c r="J99" s="320"/>
      <c r="K99" s="320"/>
      <c r="L99" s="320"/>
      <c r="M99" s="320"/>
      <c r="N99" s="323"/>
      <c r="O99" t="str">
        <f>IFERROR(__xludf.DUMMYFUNCTION("regexextract(B99,""[\w]* [\w]*"")"),"Dennis Schroder")</f>
        <v>Dennis Schroder</v>
      </c>
      <c r="P99" t="str">
        <f t="shared" si="2"/>
        <v>Dennis Schroder</v>
      </c>
      <c r="Q99" t="str">
        <f t="shared" si="3"/>
        <v>Dennis Schroder</v>
      </c>
      <c r="R99" t="s">
        <v>46</v>
      </c>
      <c r="S99" s="276" t="s">
        <v>1850</v>
      </c>
      <c r="T99" t="s">
        <v>1850</v>
      </c>
      <c r="U99" t="s">
        <v>1850</v>
      </c>
      <c r="V99" t="s">
        <v>34</v>
      </c>
      <c r="W99" t="str">
        <f t="shared" si="1"/>
        <v>PGC</v>
      </c>
    </row>
    <row r="100">
      <c r="A100" s="309">
        <v>96.0</v>
      </c>
      <c r="B100" s="310" t="s">
        <v>1945</v>
      </c>
      <c r="C100" s="311"/>
      <c r="D100" s="311"/>
      <c r="E100" s="321"/>
      <c r="F100" s="321"/>
      <c r="G100" s="321"/>
      <c r="H100" s="321"/>
      <c r="I100" s="321"/>
      <c r="J100" s="321"/>
      <c r="K100" s="321"/>
      <c r="L100" s="321"/>
      <c r="M100" s="321"/>
      <c r="N100" s="322"/>
      <c r="O100" t="str">
        <f>IFERROR(__xludf.DUMMYFUNCTION("regexextract(B100,""[\w]* [\w]*"")"),"Bogdan Bogdanovic")</f>
        <v>Bogdan Bogdanovic</v>
      </c>
      <c r="P100" t="str">
        <f t="shared" si="2"/>
        <v>Bogdan Bogdanovic</v>
      </c>
      <c r="Q100" t="str">
        <f t="shared" si="3"/>
        <v>Bogdan Bogdanovic</v>
      </c>
      <c r="R100" t="s">
        <v>1850</v>
      </c>
      <c r="S100" s="276" t="s">
        <v>47</v>
      </c>
      <c r="T100" t="s">
        <v>48</v>
      </c>
      <c r="U100" t="s">
        <v>1850</v>
      </c>
      <c r="V100" t="s">
        <v>34</v>
      </c>
      <c r="W100" t="str">
        <f t="shared" si="1"/>
        <v>SGSFC</v>
      </c>
    </row>
    <row r="101">
      <c r="A101" s="306">
        <v>97.0</v>
      </c>
      <c r="B101" s="307" t="s">
        <v>1946</v>
      </c>
      <c r="C101" s="308"/>
      <c r="D101" s="308"/>
      <c r="E101" s="320"/>
      <c r="F101" s="320"/>
      <c r="G101" s="320"/>
      <c r="H101" s="320"/>
      <c r="I101" s="320"/>
      <c r="J101" s="320"/>
      <c r="K101" s="320"/>
      <c r="L101" s="320"/>
      <c r="M101" s="320"/>
      <c r="N101" s="320"/>
      <c r="O101" t="str">
        <f>IFERROR(__xludf.DUMMYFUNCTION("regexextract(B101,""[\w]* [\w]*"")"),"Harrison Barnes")</f>
        <v>Harrison Barnes</v>
      </c>
      <c r="P101" t="str">
        <f t="shared" si="2"/>
        <v>Harrison Barnes</v>
      </c>
      <c r="Q101" t="str">
        <f t="shared" si="3"/>
        <v>Harrison Barnes</v>
      </c>
      <c r="R101" t="s">
        <v>1850</v>
      </c>
      <c r="S101" s="276" t="s">
        <v>1850</v>
      </c>
      <c r="T101" t="s">
        <v>48</v>
      </c>
      <c r="U101" t="s">
        <v>49</v>
      </c>
      <c r="V101" t="s">
        <v>34</v>
      </c>
      <c r="W101" t="str">
        <f t="shared" si="1"/>
        <v>SFPFC</v>
      </c>
    </row>
    <row r="102">
      <c r="A102" s="309">
        <v>98.0</v>
      </c>
      <c r="B102" s="310" t="s">
        <v>1947</v>
      </c>
      <c r="C102" s="311"/>
      <c r="D102" s="311"/>
      <c r="E102" s="321"/>
      <c r="F102" s="321"/>
      <c r="G102" s="321"/>
      <c r="H102" s="321"/>
      <c r="I102" s="321"/>
      <c r="J102" s="321"/>
      <c r="K102" s="321"/>
      <c r="L102" s="321"/>
      <c r="M102" s="321"/>
      <c r="N102" s="322"/>
      <c r="O102" t="str">
        <f>IFERROR(__xludf.DUMMYFUNCTION("regexextract(B102,""[\w]* [\w]*"")"),"Reggie Jackson")</f>
        <v>Reggie Jackson</v>
      </c>
      <c r="P102" t="str">
        <f t="shared" si="2"/>
        <v>Reggie Jackson</v>
      </c>
      <c r="Q102" t="str">
        <f t="shared" si="3"/>
        <v>Reggie Jackson</v>
      </c>
      <c r="R102" t="s">
        <v>46</v>
      </c>
      <c r="S102" s="276" t="s">
        <v>1850</v>
      </c>
      <c r="T102" t="s">
        <v>1850</v>
      </c>
      <c r="U102" t="s">
        <v>1850</v>
      </c>
      <c r="V102" t="s">
        <v>34</v>
      </c>
      <c r="W102" t="str">
        <f t="shared" si="1"/>
        <v>PGC</v>
      </c>
    </row>
    <row r="103">
      <c r="A103" s="306">
        <v>99.0</v>
      </c>
      <c r="B103" s="307" t="s">
        <v>1948</v>
      </c>
      <c r="C103" s="308"/>
      <c r="D103" s="308"/>
      <c r="E103" s="320"/>
      <c r="F103" s="320"/>
      <c r="G103" s="320"/>
      <c r="H103" s="320"/>
      <c r="I103" s="320"/>
      <c r="J103" s="320"/>
      <c r="K103" s="320"/>
      <c r="L103" s="320"/>
      <c r="M103" s="320"/>
      <c r="N103" s="323"/>
      <c r="O103" t="str">
        <f>IFERROR(__xludf.DUMMYFUNCTION("regexextract(B103,""[\w]* [\w]*"")"),"Keldon Johnson")</f>
        <v>Keldon Johnson</v>
      </c>
      <c r="P103" t="str">
        <f t="shared" si="2"/>
        <v>Keldon Johnson</v>
      </c>
      <c r="Q103" t="str">
        <f t="shared" si="3"/>
        <v>Keldon Johnson</v>
      </c>
      <c r="R103" t="s">
        <v>1850</v>
      </c>
      <c r="S103" s="276" t="s">
        <v>1850</v>
      </c>
      <c r="T103" t="s">
        <v>48</v>
      </c>
      <c r="U103" t="s">
        <v>49</v>
      </c>
      <c r="V103" t="s">
        <v>1850</v>
      </c>
      <c r="W103" t="str">
        <f t="shared" si="1"/>
        <v>SFPF</v>
      </c>
    </row>
    <row r="104">
      <c r="A104" s="309">
        <v>100.0</v>
      </c>
      <c r="B104" s="310" t="s">
        <v>1949</v>
      </c>
      <c r="C104" s="311"/>
      <c r="D104" s="311"/>
      <c r="E104" s="321"/>
      <c r="F104" s="321"/>
      <c r="G104" s="321"/>
      <c r="H104" s="321"/>
      <c r="I104" s="321"/>
      <c r="J104" s="321"/>
      <c r="K104" s="321"/>
      <c r="L104" s="321"/>
      <c r="M104" s="321"/>
      <c r="N104" s="322"/>
      <c r="O104" t="str">
        <f>IFERROR(__xludf.DUMMYFUNCTION("regexextract(B104,""[\w]* [\w]*"")"),"Tim Hardaway")</f>
        <v>Tim Hardaway</v>
      </c>
      <c r="P104" t="str">
        <f t="shared" si="2"/>
        <v>Tim Hardaway</v>
      </c>
      <c r="Q104" t="str">
        <f t="shared" si="3"/>
        <v>Tim Hardaway</v>
      </c>
      <c r="R104" t="s">
        <v>1850</v>
      </c>
      <c r="S104" s="276" t="s">
        <v>47</v>
      </c>
      <c r="T104" t="s">
        <v>48</v>
      </c>
      <c r="U104" t="s">
        <v>1850</v>
      </c>
      <c r="V104" t="s">
        <v>1850</v>
      </c>
      <c r="W104" t="str">
        <f t="shared" si="1"/>
        <v>SGSF</v>
      </c>
    </row>
    <row r="105">
      <c r="A105" s="298" t="s">
        <v>1844</v>
      </c>
      <c r="C105" s="298" t="s">
        <v>1845</v>
      </c>
      <c r="E105" s="316"/>
      <c r="F105" s="316"/>
      <c r="G105" s="316"/>
      <c r="H105" s="316"/>
      <c r="I105" s="316"/>
      <c r="J105" s="316"/>
      <c r="K105" s="316"/>
      <c r="L105" s="316"/>
      <c r="M105" s="316" t="s">
        <v>1950</v>
      </c>
      <c r="N105" s="316"/>
      <c r="O105" t="str">
        <f>IFERROR(__xludf.DUMMYFUNCTION("regexextract(B105,""[\w]* [\w]*"")"),"#N/A")</f>
        <v>#N/A</v>
      </c>
      <c r="P105" t="str">
        <f t="shared" si="2"/>
        <v>#N/A</v>
      </c>
      <c r="Q105" t="str">
        <f t="shared" si="3"/>
        <v>#N/A</v>
      </c>
      <c r="R105" t="s">
        <v>1850</v>
      </c>
      <c r="S105" s="276" t="s">
        <v>1850</v>
      </c>
      <c r="T105" t="s">
        <v>1850</v>
      </c>
      <c r="U105" t="s">
        <v>1850</v>
      </c>
      <c r="V105" t="s">
        <v>1850</v>
      </c>
      <c r="W105" t="str">
        <f t="shared" si="1"/>
        <v/>
      </c>
    </row>
    <row r="106">
      <c r="A106" s="301" t="s">
        <v>1846</v>
      </c>
      <c r="B106" s="302" t="s">
        <v>3</v>
      </c>
      <c r="C106" s="301" t="s">
        <v>1847</v>
      </c>
      <c r="D106" s="303" t="s">
        <v>1848</v>
      </c>
      <c r="E106" s="317" t="s">
        <v>428</v>
      </c>
      <c r="F106" s="318">
        <v>0.625</v>
      </c>
      <c r="G106" s="317" t="s">
        <v>110</v>
      </c>
      <c r="H106" s="317" t="s">
        <v>12</v>
      </c>
      <c r="I106" s="317" t="s">
        <v>13</v>
      </c>
      <c r="J106" s="317" t="s">
        <v>14</v>
      </c>
      <c r="K106" s="317" t="s">
        <v>15</v>
      </c>
      <c r="L106" s="317" t="s">
        <v>10</v>
      </c>
      <c r="M106" s="317" t="s">
        <v>1951</v>
      </c>
      <c r="N106" s="319" t="str">
        <f>+/-</f>
        <v>#ERROR!</v>
      </c>
      <c r="O106" t="str">
        <f>IFERROR(__xludf.DUMMYFUNCTION("regexextract(B106,""[\w]* [\w]*"")"),"#N/A")</f>
        <v>#N/A</v>
      </c>
      <c r="P106" t="str">
        <f t="shared" si="2"/>
        <v>#N/A</v>
      </c>
      <c r="Q106" t="str">
        <f t="shared" si="3"/>
        <v>#N/A</v>
      </c>
      <c r="R106" t="s">
        <v>1850</v>
      </c>
      <c r="S106" s="276" t="s">
        <v>1850</v>
      </c>
      <c r="T106" t="s">
        <v>1850</v>
      </c>
      <c r="U106" t="s">
        <v>1850</v>
      </c>
      <c r="V106" t="s">
        <v>1850</v>
      </c>
      <c r="W106" t="str">
        <f t="shared" si="1"/>
        <v/>
      </c>
    </row>
    <row r="107">
      <c r="A107" s="306">
        <v>101.0</v>
      </c>
      <c r="B107" s="307" t="s">
        <v>1952</v>
      </c>
      <c r="C107" s="308"/>
      <c r="D107" s="308"/>
      <c r="E107" s="320">
        <v>2.9</v>
      </c>
      <c r="F107" s="320">
        <v>3.1</v>
      </c>
      <c r="G107" s="320">
        <v>4.4</v>
      </c>
      <c r="H107" s="320">
        <v>4.2</v>
      </c>
      <c r="I107" s="320">
        <v>1.2</v>
      </c>
      <c r="J107" s="320">
        <v>0.4</v>
      </c>
      <c r="K107" s="320">
        <v>1.9</v>
      </c>
      <c r="L107" s="320">
        <v>19.7</v>
      </c>
      <c r="M107" s="320">
        <v>92.9</v>
      </c>
      <c r="N107" s="320">
        <v>0.0</v>
      </c>
      <c r="O107" t="str">
        <f>IFERROR(__xludf.DUMMYFUNCTION("regexextract(B107,""[\w]* [\w]*"")"),"Scottie Barnes")</f>
        <v>Scottie Barnes</v>
      </c>
      <c r="P107" t="str">
        <f t="shared" si="2"/>
        <v>Scottie Barnes</v>
      </c>
      <c r="Q107" t="str">
        <f t="shared" si="3"/>
        <v>Scottie Barnes</v>
      </c>
      <c r="R107" t="s">
        <v>1850</v>
      </c>
      <c r="S107" s="276" t="s">
        <v>1850</v>
      </c>
      <c r="T107" t="s">
        <v>48</v>
      </c>
      <c r="U107" t="s">
        <v>49</v>
      </c>
      <c r="V107" t="s">
        <v>34</v>
      </c>
      <c r="W107" t="str">
        <f t="shared" si="1"/>
        <v>SFPFC</v>
      </c>
    </row>
    <row r="108">
      <c r="A108" s="309">
        <v>102.0</v>
      </c>
      <c r="B108" s="310" t="s">
        <v>1953</v>
      </c>
      <c r="C108" s="311"/>
      <c r="D108" s="311"/>
      <c r="E108" s="321">
        <v>4.7</v>
      </c>
      <c r="F108" s="321">
        <v>0.2</v>
      </c>
      <c r="G108" s="321">
        <v>11.3</v>
      </c>
      <c r="H108" s="321">
        <v>3.8</v>
      </c>
      <c r="I108" s="321">
        <v>1.2</v>
      </c>
      <c r="J108" s="321">
        <v>1.5</v>
      </c>
      <c r="K108" s="321">
        <v>2.5</v>
      </c>
      <c r="L108" s="321">
        <v>15.8</v>
      </c>
      <c r="M108" s="321">
        <v>81.4</v>
      </c>
      <c r="N108" s="322">
        <f>+3.9</f>
        <v>3.9</v>
      </c>
      <c r="O108" t="str">
        <f>IFERROR(__xludf.DUMMYFUNCTION("regexextract(B108,""[\w]* [\w]*"")"),"Donte DiVincenzoO")</f>
        <v>Donte DiVincenzoO</v>
      </c>
      <c r="P108" t="str">
        <f t="shared" si="2"/>
        <v>Donte DiVincenzoO</v>
      </c>
      <c r="Q108" t="str">
        <f t="shared" si="3"/>
        <v>Donte DiVincenzo</v>
      </c>
      <c r="R108" t="s">
        <v>46</v>
      </c>
      <c r="S108" s="276" t="s">
        <v>47</v>
      </c>
      <c r="T108" t="s">
        <v>1850</v>
      </c>
      <c r="U108" t="s">
        <v>1850</v>
      </c>
      <c r="V108" t="s">
        <v>34</v>
      </c>
      <c r="W108" t="str">
        <f t="shared" si="1"/>
        <v>PGSGC</v>
      </c>
    </row>
    <row r="109">
      <c r="A109" s="306">
        <v>103.0</v>
      </c>
      <c r="B109" s="307" t="s">
        <v>1954</v>
      </c>
      <c r="C109" s="308"/>
      <c r="D109" s="308"/>
      <c r="E109" s="320">
        <v>5.9</v>
      </c>
      <c r="F109" s="320">
        <v>1.9</v>
      </c>
      <c r="G109" s="320">
        <v>7.4</v>
      </c>
      <c r="H109" s="320">
        <v>4.1</v>
      </c>
      <c r="I109" s="320">
        <v>1.1</v>
      </c>
      <c r="J109" s="320">
        <v>0.8</v>
      </c>
      <c r="K109" s="320">
        <v>2.4</v>
      </c>
      <c r="L109" s="320">
        <v>24.4</v>
      </c>
      <c r="M109" s="320">
        <v>90.1</v>
      </c>
      <c r="N109" s="324">
        <v>-0.5</v>
      </c>
      <c r="O109" t="str">
        <f>IFERROR(__xludf.DUMMYFUNCTION("regexextract(B109,""[\w]* [\w]*"")"),"Saddiq Bey")</f>
        <v>Saddiq Bey</v>
      </c>
      <c r="P109" t="str">
        <f t="shared" si="2"/>
        <v>Saddiq Bey</v>
      </c>
      <c r="Q109" t="str">
        <f t="shared" si="3"/>
        <v>Saddiq Bey</v>
      </c>
      <c r="R109" t="s">
        <v>1850</v>
      </c>
      <c r="S109" s="276" t="s">
        <v>1850</v>
      </c>
      <c r="T109" t="s">
        <v>48</v>
      </c>
      <c r="U109" t="s">
        <v>1850</v>
      </c>
      <c r="V109" t="s">
        <v>1850</v>
      </c>
      <c r="W109" t="str">
        <f t="shared" si="1"/>
        <v>SF</v>
      </c>
    </row>
    <row r="110">
      <c r="A110" s="309">
        <v>104.0</v>
      </c>
      <c r="B110" s="310" t="s">
        <v>1955</v>
      </c>
      <c r="C110" s="311"/>
      <c r="D110" s="311"/>
      <c r="E110" s="321">
        <v>1.4</v>
      </c>
      <c r="F110" s="321">
        <v>0.7</v>
      </c>
      <c r="G110" s="321">
        <v>7.3</v>
      </c>
      <c r="H110" s="321">
        <v>8.8</v>
      </c>
      <c r="I110" s="321">
        <v>1.6</v>
      </c>
      <c r="J110" s="321">
        <v>1.0</v>
      </c>
      <c r="K110" s="321">
        <v>2.8</v>
      </c>
      <c r="L110" s="321">
        <v>7.5</v>
      </c>
      <c r="M110" s="321">
        <v>94.4</v>
      </c>
      <c r="N110" s="325">
        <v>-0.6</v>
      </c>
      <c r="O110" t="str">
        <f>IFERROR(__xludf.DUMMYFUNCTION("regexextract(B110,""[\w]* [\w]*"")"),"Joe Ingles")</f>
        <v>Joe Ingles</v>
      </c>
      <c r="P110" t="str">
        <f t="shared" si="2"/>
        <v>Joe Ingles</v>
      </c>
      <c r="Q110" t="str">
        <f t="shared" si="3"/>
        <v>Joe Ingles</v>
      </c>
      <c r="R110" t="s">
        <v>1850</v>
      </c>
      <c r="S110" s="276" t="s">
        <v>47</v>
      </c>
      <c r="T110" t="s">
        <v>48</v>
      </c>
      <c r="U110" t="s">
        <v>49</v>
      </c>
      <c r="V110" t="s">
        <v>1850</v>
      </c>
      <c r="W110" t="str">
        <f t="shared" si="1"/>
        <v>SGSFPF</v>
      </c>
    </row>
    <row r="111">
      <c r="A111" s="306">
        <v>105.0</v>
      </c>
      <c r="B111" s="307" t="s">
        <v>1956</v>
      </c>
      <c r="C111" s="308"/>
      <c r="D111" s="308"/>
      <c r="E111" s="320">
        <v>2.9</v>
      </c>
      <c r="F111" s="320">
        <v>0.0</v>
      </c>
      <c r="G111" s="320">
        <v>9.0</v>
      </c>
      <c r="H111" s="320">
        <v>2.3</v>
      </c>
      <c r="I111" s="320">
        <v>0.8</v>
      </c>
      <c r="J111" s="320">
        <v>2.0</v>
      </c>
      <c r="K111" s="320">
        <v>1.3</v>
      </c>
      <c r="L111" s="320">
        <v>12.4</v>
      </c>
      <c r="M111" s="320">
        <v>71.7</v>
      </c>
      <c r="N111" s="323">
        <f>+5.2</f>
        <v>5.2</v>
      </c>
      <c r="O111" t="str">
        <f>IFERROR(__xludf.DUMMYFUNCTION("regexextract(B111,""[\w]* [\w]*"")"),"Miles Bridges")</f>
        <v>Miles Bridges</v>
      </c>
      <c r="P111" t="str">
        <f t="shared" si="2"/>
        <v>Miles Bridges</v>
      </c>
      <c r="Q111" t="str">
        <f t="shared" si="3"/>
        <v>Miles Bridges</v>
      </c>
      <c r="R111" t="s">
        <v>1850</v>
      </c>
      <c r="S111" s="276" t="s">
        <v>1850</v>
      </c>
      <c r="T111" t="s">
        <v>48</v>
      </c>
      <c r="U111" t="s">
        <v>49</v>
      </c>
      <c r="V111" t="s">
        <v>34</v>
      </c>
      <c r="W111" t="str">
        <f t="shared" si="1"/>
        <v>SFPFC</v>
      </c>
    </row>
    <row r="112">
      <c r="A112" s="309">
        <v>106.0</v>
      </c>
      <c r="B112" s="310" t="s">
        <v>1957</v>
      </c>
      <c r="C112" s="311"/>
      <c r="D112" s="311"/>
      <c r="E112" s="321">
        <v>4.0</v>
      </c>
      <c r="F112" s="321">
        <v>2.6</v>
      </c>
      <c r="G112" s="321">
        <v>4.9</v>
      </c>
      <c r="H112" s="321">
        <v>3.1</v>
      </c>
      <c r="I112" s="321">
        <v>1.2</v>
      </c>
      <c r="J112" s="321">
        <v>0.5</v>
      </c>
      <c r="K112" s="321">
        <v>2.4</v>
      </c>
      <c r="L112" s="321">
        <v>21.2</v>
      </c>
      <c r="M112" s="321">
        <v>91.9</v>
      </c>
      <c r="N112" s="322">
        <f>+0.9</f>
        <v>0.9</v>
      </c>
      <c r="O112" t="str">
        <f>IFERROR(__xludf.DUMMYFUNCTION("regexextract(B112,""[\w]* [\w]*"")"),"Brook Lopez")</f>
        <v>Brook Lopez</v>
      </c>
      <c r="P112" t="str">
        <f t="shared" si="2"/>
        <v>Brook Lopez</v>
      </c>
      <c r="Q112" t="str">
        <f t="shared" si="3"/>
        <v>Brook Lopez</v>
      </c>
      <c r="R112" t="s">
        <v>1850</v>
      </c>
      <c r="S112" s="276" t="s">
        <v>1850</v>
      </c>
      <c r="T112" t="s">
        <v>1850</v>
      </c>
      <c r="U112" t="s">
        <v>1850</v>
      </c>
      <c r="V112" t="s">
        <v>34</v>
      </c>
      <c r="W112" t="str">
        <f t="shared" si="1"/>
        <v>C</v>
      </c>
    </row>
    <row r="113">
      <c r="A113" s="306">
        <v>107.0</v>
      </c>
      <c r="B113" s="307" t="s">
        <v>1958</v>
      </c>
      <c r="C113" s="308"/>
      <c r="D113" s="308"/>
      <c r="E113" s="320">
        <v>1.8</v>
      </c>
      <c r="F113" s="320">
        <v>0.0</v>
      </c>
      <c r="G113" s="320">
        <v>8.9</v>
      </c>
      <c r="H113" s="320">
        <v>2.3</v>
      </c>
      <c r="I113" s="320">
        <v>1.1</v>
      </c>
      <c r="J113" s="320">
        <v>2.3</v>
      </c>
      <c r="K113" s="320">
        <v>1.3</v>
      </c>
      <c r="L113" s="320">
        <v>10.3</v>
      </c>
      <c r="M113" s="320">
        <v>67.4</v>
      </c>
      <c r="N113" s="323">
        <f>+8.2</f>
        <v>8.2</v>
      </c>
      <c r="O113" t="str">
        <f>IFERROR(__xludf.DUMMYFUNCTION("regexextract(B113,""[\w]* [\w]*"")"),"Daniel Theis")</f>
        <v>Daniel Theis</v>
      </c>
      <c r="P113" t="str">
        <f t="shared" si="2"/>
        <v>Daniel Theis</v>
      </c>
      <c r="Q113" t="str">
        <f t="shared" si="3"/>
        <v>Daniel Theis</v>
      </c>
      <c r="R113" t="s">
        <v>1850</v>
      </c>
      <c r="S113" s="276" t="s">
        <v>1850</v>
      </c>
      <c r="T113" t="s">
        <v>1850</v>
      </c>
      <c r="U113" t="s">
        <v>49</v>
      </c>
      <c r="V113" t="s">
        <v>34</v>
      </c>
      <c r="W113" t="str">
        <f t="shared" si="1"/>
        <v>PFC</v>
      </c>
    </row>
    <row r="114">
      <c r="A114" s="309">
        <v>108.0</v>
      </c>
      <c r="B114" s="310" t="s">
        <v>1959</v>
      </c>
      <c r="C114" s="311"/>
      <c r="D114" s="311"/>
      <c r="E114" s="321">
        <v>1.0</v>
      </c>
      <c r="F114" s="321">
        <v>2.4</v>
      </c>
      <c r="G114" s="321">
        <v>3.2</v>
      </c>
      <c r="H114" s="321">
        <v>5.6</v>
      </c>
      <c r="I114" s="321">
        <v>1.4</v>
      </c>
      <c r="J114" s="321">
        <v>0.5</v>
      </c>
      <c r="K114" s="321">
        <v>1.7</v>
      </c>
      <c r="L114" s="321">
        <v>14.1</v>
      </c>
      <c r="M114" s="321">
        <v>80.1</v>
      </c>
      <c r="N114" s="322">
        <f>+2.5</f>
        <v>2.5</v>
      </c>
      <c r="O114" t="str">
        <f>IFERROR(__xludf.DUMMYFUNCTION("regexextract(B114,""[\w]* [\w]*"")"),"Mitchell RobinsonO")</f>
        <v>Mitchell RobinsonO</v>
      </c>
      <c r="P114" t="str">
        <f t="shared" si="2"/>
        <v>Mitchell RobinsonO</v>
      </c>
      <c r="Q114" t="str">
        <f t="shared" si="3"/>
        <v>Mitchell Robinson</v>
      </c>
      <c r="R114" t="s">
        <v>1850</v>
      </c>
      <c r="S114" s="276" t="s">
        <v>1850</v>
      </c>
      <c r="T114" t="s">
        <v>1850</v>
      </c>
      <c r="U114" t="s">
        <v>1850</v>
      </c>
      <c r="V114" t="s">
        <v>34</v>
      </c>
      <c r="W114" t="str">
        <f t="shared" si="1"/>
        <v>C</v>
      </c>
    </row>
    <row r="115">
      <c r="A115" s="306">
        <v>109.0</v>
      </c>
      <c r="B115" s="307" t="s">
        <v>1960</v>
      </c>
      <c r="C115" s="308"/>
      <c r="D115" s="308"/>
      <c r="E115" s="320">
        <v>3.8</v>
      </c>
      <c r="F115" s="320">
        <v>2.6</v>
      </c>
      <c r="G115" s="320">
        <v>4.8</v>
      </c>
      <c r="H115" s="320">
        <v>7.2</v>
      </c>
      <c r="I115" s="320">
        <v>1.1</v>
      </c>
      <c r="J115" s="320">
        <v>0.3</v>
      </c>
      <c r="K115" s="320">
        <v>2.6</v>
      </c>
      <c r="L115" s="320">
        <v>16.3</v>
      </c>
      <c r="M115" s="320">
        <v>88.2</v>
      </c>
      <c r="N115" s="323">
        <f>+0.9</f>
        <v>0.9</v>
      </c>
      <c r="O115" t="str">
        <f>IFERROR(__xludf.DUMMYFUNCTION("regexextract(B115,""[\w]* [\w]*"")"),"Jordan Clarkson")</f>
        <v>Jordan Clarkson</v>
      </c>
      <c r="P115" t="str">
        <f t="shared" si="2"/>
        <v>Jordan Clarkson</v>
      </c>
      <c r="Q115" t="str">
        <f t="shared" si="3"/>
        <v>Jordan Clarkson</v>
      </c>
      <c r="R115" t="s">
        <v>1850</v>
      </c>
      <c r="S115" s="276" t="s">
        <v>47</v>
      </c>
      <c r="T115" t="s">
        <v>1850</v>
      </c>
      <c r="U115" t="s">
        <v>1850</v>
      </c>
      <c r="V115" t="s">
        <v>34</v>
      </c>
      <c r="W115" t="str">
        <f t="shared" si="1"/>
        <v>SGC</v>
      </c>
    </row>
    <row r="116">
      <c r="A116" s="309">
        <v>110.0</v>
      </c>
      <c r="B116" s="310" t="s">
        <v>1961</v>
      </c>
      <c r="C116" s="311"/>
      <c r="D116" s="311"/>
      <c r="E116" s="321">
        <v>4.1</v>
      </c>
      <c r="F116" s="321">
        <v>1.3</v>
      </c>
      <c r="G116" s="321">
        <v>4.8</v>
      </c>
      <c r="H116" s="321">
        <v>5.1</v>
      </c>
      <c r="I116" s="321">
        <v>1.6</v>
      </c>
      <c r="J116" s="321">
        <v>0.8</v>
      </c>
      <c r="K116" s="321">
        <v>2.4</v>
      </c>
      <c r="L116" s="321">
        <v>15.7</v>
      </c>
      <c r="M116" s="321">
        <v>78.6</v>
      </c>
      <c r="N116" s="322">
        <f>+2.5</f>
        <v>2.5</v>
      </c>
      <c r="O116" t="str">
        <f>IFERROR(__xludf.DUMMYFUNCTION("regexextract(B116,""[\w]* [\w]*"")"),"Killian Hayes")</f>
        <v>Killian Hayes</v>
      </c>
      <c r="P116" t="str">
        <f t="shared" si="2"/>
        <v>Killian Hayes</v>
      </c>
      <c r="Q116" t="str">
        <f t="shared" si="3"/>
        <v>Killian Hayes</v>
      </c>
      <c r="R116" t="s">
        <v>46</v>
      </c>
      <c r="S116" s="276" t="s">
        <v>1850</v>
      </c>
      <c r="T116" t="s">
        <v>1850</v>
      </c>
      <c r="U116" t="s">
        <v>1850</v>
      </c>
      <c r="V116" t="s">
        <v>1850</v>
      </c>
      <c r="W116" t="str">
        <f t="shared" si="1"/>
        <v>PG</v>
      </c>
    </row>
    <row r="117">
      <c r="A117" s="306">
        <v>111.0</v>
      </c>
      <c r="B117" s="307" t="s">
        <v>1962</v>
      </c>
      <c r="C117" s="308"/>
      <c r="D117" s="308"/>
      <c r="E117" s="320">
        <v>4.3</v>
      </c>
      <c r="F117" s="320">
        <v>2.3</v>
      </c>
      <c r="G117" s="320">
        <v>3.9</v>
      </c>
      <c r="H117" s="320">
        <v>4.7</v>
      </c>
      <c r="I117" s="320">
        <v>0.9</v>
      </c>
      <c r="J117" s="320">
        <v>1.1</v>
      </c>
      <c r="K117" s="320">
        <v>1.6</v>
      </c>
      <c r="L117" s="320">
        <v>18.5</v>
      </c>
      <c r="M117" s="320">
        <v>75.5</v>
      </c>
      <c r="N117" s="323">
        <f>+3.3</f>
        <v>3.3</v>
      </c>
      <c r="O117" t="str">
        <f>IFERROR(__xludf.DUMMYFUNCTION("regexextract(B117,""[\w]* [\w]*"")"),"Marvin Bagley")</f>
        <v>Marvin Bagley</v>
      </c>
      <c r="P117" t="str">
        <f t="shared" si="2"/>
        <v>Marvin Bagley</v>
      </c>
      <c r="Q117" t="str">
        <f t="shared" si="3"/>
        <v>Marvin Bagley</v>
      </c>
      <c r="R117" t="s">
        <v>1850</v>
      </c>
      <c r="S117" s="276" t="s">
        <v>1850</v>
      </c>
      <c r="T117" t="s">
        <v>1850</v>
      </c>
      <c r="U117" t="s">
        <v>49</v>
      </c>
      <c r="V117" t="s">
        <v>34</v>
      </c>
      <c r="W117" t="str">
        <f t="shared" si="1"/>
        <v>PFC</v>
      </c>
    </row>
    <row r="118">
      <c r="A118" s="309">
        <v>112.0</v>
      </c>
      <c r="B118" s="310" t="s">
        <v>1963</v>
      </c>
      <c r="C118" s="311"/>
      <c r="D118" s="311"/>
      <c r="E118" s="321">
        <v>3.3</v>
      </c>
      <c r="F118" s="321">
        <v>1.5</v>
      </c>
      <c r="G118" s="321">
        <v>5.6</v>
      </c>
      <c r="H118" s="321">
        <v>4.4</v>
      </c>
      <c r="I118" s="321">
        <v>1.3</v>
      </c>
      <c r="J118" s="321">
        <v>0.9</v>
      </c>
      <c r="K118" s="321">
        <v>1.9</v>
      </c>
      <c r="L118" s="321">
        <v>15.0</v>
      </c>
      <c r="M118" s="321">
        <v>89.7</v>
      </c>
      <c r="N118" s="322">
        <f>+0.6</f>
        <v>0.6</v>
      </c>
      <c r="O118" t="str">
        <f>IFERROR(__xludf.DUMMYFUNCTION("regexextract(B118,""[\w]* [\w]*"")"),"Gordon Hayward")</f>
        <v>Gordon Hayward</v>
      </c>
      <c r="P118" t="str">
        <f t="shared" si="2"/>
        <v>Gordon Hayward</v>
      </c>
      <c r="Q118" t="str">
        <f t="shared" si="3"/>
        <v>Gordon Hayward</v>
      </c>
      <c r="R118" t="s">
        <v>1850</v>
      </c>
      <c r="S118" s="276" t="s">
        <v>1850</v>
      </c>
      <c r="T118" t="s">
        <v>48</v>
      </c>
      <c r="U118" t="s">
        <v>1850</v>
      </c>
      <c r="V118" t="s">
        <v>34</v>
      </c>
      <c r="W118" t="str">
        <f t="shared" si="1"/>
        <v>SFC</v>
      </c>
    </row>
    <row r="119">
      <c r="A119" s="306">
        <v>113.0</v>
      </c>
      <c r="B119" s="307" t="s">
        <v>1964</v>
      </c>
      <c r="C119" s="308"/>
      <c r="D119" s="308"/>
      <c r="E119" s="320">
        <v>1.8</v>
      </c>
      <c r="F119" s="320">
        <v>3.9</v>
      </c>
      <c r="G119" s="320">
        <v>4.9</v>
      </c>
      <c r="H119" s="320">
        <v>3.3</v>
      </c>
      <c r="I119" s="320">
        <v>0.9</v>
      </c>
      <c r="J119" s="320">
        <v>0.4</v>
      </c>
      <c r="K119" s="320">
        <v>2.0</v>
      </c>
      <c r="L119" s="320">
        <v>18.5</v>
      </c>
      <c r="M119" s="320">
        <v>85.6</v>
      </c>
      <c r="N119" s="323">
        <f>+1.4</f>
        <v>1.4</v>
      </c>
      <c r="O119" t="str">
        <f>IFERROR(__xludf.DUMMYFUNCTION("regexextract(B119,""[\w]* [\w]*"")"),"Evan Fournier")</f>
        <v>Evan Fournier</v>
      </c>
      <c r="P119" t="str">
        <f t="shared" si="2"/>
        <v>Evan Fournier</v>
      </c>
      <c r="Q119" t="str">
        <f t="shared" si="3"/>
        <v>Evan Fournier</v>
      </c>
      <c r="R119" t="s">
        <v>1850</v>
      </c>
      <c r="S119" s="276" t="s">
        <v>47</v>
      </c>
      <c r="T119" t="s">
        <v>48</v>
      </c>
      <c r="U119" t="s">
        <v>1850</v>
      </c>
      <c r="V119" t="s">
        <v>1850</v>
      </c>
      <c r="W119" t="str">
        <f t="shared" si="1"/>
        <v>SGSF</v>
      </c>
    </row>
    <row r="120">
      <c r="A120" s="309">
        <v>114.0</v>
      </c>
      <c r="B120" s="310" t="s">
        <v>1965</v>
      </c>
      <c r="C120" s="311"/>
      <c r="D120" s="311"/>
      <c r="E120" s="321">
        <v>4.8</v>
      </c>
      <c r="F120" s="321">
        <v>0.1</v>
      </c>
      <c r="G120" s="321">
        <v>10.6</v>
      </c>
      <c r="H120" s="321">
        <v>1.7</v>
      </c>
      <c r="I120" s="321">
        <v>0.6</v>
      </c>
      <c r="J120" s="321">
        <v>1.5</v>
      </c>
      <c r="K120" s="321">
        <v>1.6</v>
      </c>
      <c r="L120" s="321">
        <v>13.4</v>
      </c>
      <c r="M120" s="321">
        <v>82.5</v>
      </c>
      <c r="N120" s="322">
        <f>+2.2</f>
        <v>2.2</v>
      </c>
      <c r="O120" t="str">
        <f>IFERROR(__xludf.DUMMYFUNCTION("regexextract(B120,""[\w]* [\w]*"")"),"Brandon Clarke")</f>
        <v>Brandon Clarke</v>
      </c>
      <c r="P120" t="str">
        <f t="shared" si="2"/>
        <v>Brandon Clarke</v>
      </c>
      <c r="Q120" t="str">
        <f t="shared" si="3"/>
        <v>Brandon Clarke</v>
      </c>
      <c r="R120" t="s">
        <v>1850</v>
      </c>
      <c r="S120" s="276" t="s">
        <v>1850</v>
      </c>
      <c r="T120" t="s">
        <v>1850</v>
      </c>
      <c r="U120" t="s">
        <v>49</v>
      </c>
      <c r="V120" t="s">
        <v>34</v>
      </c>
      <c r="W120" t="str">
        <f t="shared" si="1"/>
        <v>PFC</v>
      </c>
    </row>
    <row r="121">
      <c r="A121" s="306">
        <v>115.0</v>
      </c>
      <c r="B121" s="307" t="s">
        <v>1966</v>
      </c>
      <c r="C121" s="308"/>
      <c r="D121" s="308"/>
      <c r="E121" s="320">
        <v>3.1</v>
      </c>
      <c r="F121" s="320">
        <v>2.1</v>
      </c>
      <c r="G121" s="320">
        <v>5.0</v>
      </c>
      <c r="H121" s="320">
        <v>5.8</v>
      </c>
      <c r="I121" s="320">
        <v>0.8</v>
      </c>
      <c r="J121" s="320">
        <v>0.2</v>
      </c>
      <c r="K121" s="320">
        <v>2.1</v>
      </c>
      <c r="L121" s="320">
        <v>19.1</v>
      </c>
      <c r="M121" s="320">
        <v>89.3</v>
      </c>
      <c r="N121" s="324">
        <v>-0.5</v>
      </c>
      <c r="O121" t="str">
        <f>IFERROR(__xludf.DUMMYFUNCTION("regexextract(B121,""[\w]* [\w]*"")"),"Jonas Valanciunas")</f>
        <v>Jonas Valanciunas</v>
      </c>
      <c r="P121" t="str">
        <f t="shared" si="2"/>
        <v>Jonas Valanciunas</v>
      </c>
      <c r="Q121" t="str">
        <f t="shared" si="3"/>
        <v>Jonas Valanciunas</v>
      </c>
      <c r="R121" t="s">
        <v>1850</v>
      </c>
      <c r="S121" s="276" t="s">
        <v>1850</v>
      </c>
      <c r="T121" t="s">
        <v>1850</v>
      </c>
      <c r="U121" t="s">
        <v>1850</v>
      </c>
      <c r="V121" t="s">
        <v>34</v>
      </c>
      <c r="W121" t="str">
        <f t="shared" si="1"/>
        <v>C</v>
      </c>
    </row>
    <row r="122">
      <c r="A122" s="309">
        <v>116.0</v>
      </c>
      <c r="B122" s="310" t="s">
        <v>1967</v>
      </c>
      <c r="C122" s="311"/>
      <c r="D122" s="311"/>
      <c r="E122" s="321">
        <v>7.1</v>
      </c>
      <c r="F122" s="321">
        <v>2.1</v>
      </c>
      <c r="G122" s="321">
        <v>3.7</v>
      </c>
      <c r="H122" s="321">
        <v>6.7</v>
      </c>
      <c r="I122" s="321">
        <v>0.7</v>
      </c>
      <c r="J122" s="321">
        <v>0.4</v>
      </c>
      <c r="K122" s="321">
        <v>2.9</v>
      </c>
      <c r="L122" s="321">
        <v>21.4</v>
      </c>
      <c r="M122" s="321">
        <v>86.9</v>
      </c>
      <c r="N122" s="325">
        <v>-0.1</v>
      </c>
      <c r="O122" t="str">
        <f>IFERROR(__xludf.DUMMYFUNCTION("regexextract(B122,""[\w]* [\w]*"")"),"Hassan Whiteside")</f>
        <v>Hassan Whiteside</v>
      </c>
      <c r="P122" t="str">
        <f t="shared" si="2"/>
        <v>Hassan Whiteside</v>
      </c>
      <c r="Q122" t="str">
        <f t="shared" si="3"/>
        <v>Hassan Whiteside</v>
      </c>
      <c r="R122" t="s">
        <v>1850</v>
      </c>
      <c r="S122" s="276" t="s">
        <v>1850</v>
      </c>
      <c r="T122" t="s">
        <v>1850</v>
      </c>
      <c r="U122" t="s">
        <v>1850</v>
      </c>
      <c r="V122" t="s">
        <v>34</v>
      </c>
      <c r="W122" t="str">
        <f t="shared" si="1"/>
        <v>C</v>
      </c>
    </row>
    <row r="123">
      <c r="A123" s="306">
        <v>117.0</v>
      </c>
      <c r="B123" s="307" t="s">
        <v>1968</v>
      </c>
      <c r="C123" s="308"/>
      <c r="D123" s="308"/>
      <c r="E123" s="320">
        <v>2.4</v>
      </c>
      <c r="F123" s="320">
        <v>1.1</v>
      </c>
      <c r="G123" s="320">
        <v>7.4</v>
      </c>
      <c r="H123" s="320">
        <v>1.5</v>
      </c>
      <c r="I123" s="320">
        <v>1.6</v>
      </c>
      <c r="J123" s="320">
        <v>2.5</v>
      </c>
      <c r="K123" s="320">
        <v>1.6</v>
      </c>
      <c r="L123" s="320">
        <v>13.3</v>
      </c>
      <c r="M123" s="320">
        <v>71.0</v>
      </c>
      <c r="N123" s="323">
        <f>+4.1</f>
        <v>4.1</v>
      </c>
      <c r="O123" t="str">
        <f>IFERROR(__xludf.DUMMYFUNCTION("regexextract(B123,""[\w]* [\w]*"")"),"Joe Harris")</f>
        <v>Joe Harris</v>
      </c>
      <c r="P123" t="str">
        <f t="shared" si="2"/>
        <v>Joe Harris</v>
      </c>
      <c r="Q123" t="str">
        <f t="shared" si="3"/>
        <v>Joe Harris</v>
      </c>
      <c r="R123" t="s">
        <v>1850</v>
      </c>
      <c r="S123" s="276" t="s">
        <v>47</v>
      </c>
      <c r="T123" t="s">
        <v>48</v>
      </c>
      <c r="U123" t="s">
        <v>1850</v>
      </c>
      <c r="V123" t="s">
        <v>1850</v>
      </c>
      <c r="W123" t="str">
        <f t="shared" si="1"/>
        <v>SGSF</v>
      </c>
    </row>
    <row r="124">
      <c r="A124" s="309">
        <v>118.0</v>
      </c>
      <c r="B124" s="310" t="s">
        <v>1969</v>
      </c>
      <c r="C124" s="311"/>
      <c r="D124" s="311"/>
      <c r="E124" s="321">
        <v>3.0</v>
      </c>
      <c r="F124" s="321">
        <v>3.4</v>
      </c>
      <c r="G124" s="321">
        <v>3.5</v>
      </c>
      <c r="H124" s="321">
        <v>7.2</v>
      </c>
      <c r="I124" s="321">
        <v>1.1</v>
      </c>
      <c r="J124" s="321">
        <v>0.3</v>
      </c>
      <c r="K124" s="321">
        <v>3.0</v>
      </c>
      <c r="L124" s="321">
        <v>18.5</v>
      </c>
      <c r="M124" s="321">
        <v>85.8</v>
      </c>
      <c r="N124" s="322">
        <f>+1.1</f>
        <v>1.1</v>
      </c>
      <c r="O124" t="str">
        <f>IFERROR(__xludf.DUMMYFUNCTION("regexextract(B124,""[\w]* [\w]*"")"),"Malik Beasley")</f>
        <v>Malik Beasley</v>
      </c>
      <c r="P124" t="str">
        <f t="shared" si="2"/>
        <v>Malik Beasley</v>
      </c>
      <c r="Q124" t="str">
        <f t="shared" si="3"/>
        <v>Malik Beasley</v>
      </c>
      <c r="R124" t="s">
        <v>1850</v>
      </c>
      <c r="S124" s="276" t="s">
        <v>47</v>
      </c>
      <c r="T124" t="s">
        <v>48</v>
      </c>
      <c r="U124" t="s">
        <v>1850</v>
      </c>
      <c r="V124" t="s">
        <v>1850</v>
      </c>
      <c r="W124" t="str">
        <f t="shared" si="1"/>
        <v>SGSF</v>
      </c>
    </row>
    <row r="125">
      <c r="A125" s="306">
        <v>119.0</v>
      </c>
      <c r="B125" s="307" t="s">
        <v>1970</v>
      </c>
      <c r="C125" s="308"/>
      <c r="D125" s="308"/>
      <c r="E125" s="320">
        <v>4.1</v>
      </c>
      <c r="F125" s="320">
        <v>3.0</v>
      </c>
      <c r="G125" s="320">
        <v>3.9</v>
      </c>
      <c r="H125" s="320">
        <v>5.0</v>
      </c>
      <c r="I125" s="320">
        <v>1.1</v>
      </c>
      <c r="J125" s="320">
        <v>0.4</v>
      </c>
      <c r="K125" s="320">
        <v>2.1</v>
      </c>
      <c r="L125" s="320">
        <v>20.5</v>
      </c>
      <c r="M125" s="320">
        <v>93.4</v>
      </c>
      <c r="N125" s="324">
        <v>-1.7</v>
      </c>
      <c r="O125" t="str">
        <f>IFERROR(__xludf.DUMMYFUNCTION("regexextract(B125,""[\w]* [\w]*"")"),"Kyle Kuzma")</f>
        <v>Kyle Kuzma</v>
      </c>
      <c r="P125" t="str">
        <f t="shared" si="2"/>
        <v>Kyle Kuzma</v>
      </c>
      <c r="Q125" t="str">
        <f t="shared" si="3"/>
        <v>Kyle Kuzma</v>
      </c>
      <c r="R125" t="s">
        <v>1850</v>
      </c>
      <c r="S125" s="276" t="s">
        <v>1850</v>
      </c>
      <c r="T125" t="s">
        <v>48</v>
      </c>
      <c r="U125" t="s">
        <v>49</v>
      </c>
      <c r="V125" t="s">
        <v>1850</v>
      </c>
      <c r="W125" t="str">
        <f t="shared" si="1"/>
        <v>SFPF</v>
      </c>
    </row>
    <row r="126">
      <c r="A126" s="309">
        <v>120.0</v>
      </c>
      <c r="B126" s="310" t="s">
        <v>1971</v>
      </c>
      <c r="C126" s="311"/>
      <c r="D126" s="311"/>
      <c r="E126" s="321">
        <v>3.6</v>
      </c>
      <c r="F126" s="321">
        <v>2.0</v>
      </c>
      <c r="G126" s="321">
        <v>4.9</v>
      </c>
      <c r="H126" s="321">
        <v>2.5</v>
      </c>
      <c r="I126" s="321">
        <v>0.9</v>
      </c>
      <c r="J126" s="321">
        <v>1.0</v>
      </c>
      <c r="K126" s="321">
        <v>1.9</v>
      </c>
      <c r="L126" s="321">
        <v>19.0</v>
      </c>
      <c r="M126" s="321">
        <v>86.0</v>
      </c>
      <c r="N126" s="322">
        <f>+0.5</f>
        <v>0.5</v>
      </c>
      <c r="O126" t="str">
        <f>IFERROR(__xludf.DUMMYFUNCTION("regexextract(B126,""[\w]* [\w]*"")")," McConnell")</f>
        <v> McConnell</v>
      </c>
      <c r="P126" t="str">
        <f t="shared" si="2"/>
        <v> McConnell</v>
      </c>
      <c r="Q126" t="str">
        <f t="shared" si="3"/>
        <v> McConnell</v>
      </c>
      <c r="R126" t="s">
        <v>46</v>
      </c>
      <c r="S126" s="276" t="s">
        <v>1850</v>
      </c>
      <c r="T126" t="s">
        <v>1850</v>
      </c>
      <c r="U126" t="s">
        <v>1850</v>
      </c>
      <c r="V126" t="s">
        <v>34</v>
      </c>
      <c r="W126" t="str">
        <f t="shared" si="1"/>
        <v>PGC</v>
      </c>
    </row>
    <row r="127">
      <c r="A127" s="306">
        <v>121.0</v>
      </c>
      <c r="B127" s="307" t="s">
        <v>1972</v>
      </c>
      <c r="C127" s="308"/>
      <c r="D127" s="308"/>
      <c r="E127" s="320">
        <v>2.9</v>
      </c>
      <c r="F127" s="320">
        <v>2.6</v>
      </c>
      <c r="G127" s="320">
        <v>5.5</v>
      </c>
      <c r="H127" s="320">
        <v>2.1</v>
      </c>
      <c r="I127" s="320">
        <v>1.5</v>
      </c>
      <c r="J127" s="320">
        <v>0.7</v>
      </c>
      <c r="K127" s="320">
        <v>1.7</v>
      </c>
      <c r="L127" s="320">
        <v>17.4</v>
      </c>
      <c r="M127" s="320">
        <v>88.2</v>
      </c>
      <c r="N127" s="324">
        <v>-0.7</v>
      </c>
      <c r="O127" t="str">
        <f>IFERROR(__xludf.DUMMYFUNCTION("regexextract(B127,""[\w]* [\w]*"")"),"Lauri Markkanen")</f>
        <v>Lauri Markkanen</v>
      </c>
      <c r="P127" t="str">
        <f t="shared" si="2"/>
        <v>Lauri Markkanen</v>
      </c>
      <c r="Q127" t="str">
        <f t="shared" si="3"/>
        <v>Lauri Markkanen</v>
      </c>
      <c r="R127" t="s">
        <v>1850</v>
      </c>
      <c r="S127" s="276" t="s">
        <v>1850</v>
      </c>
      <c r="T127" t="s">
        <v>1850</v>
      </c>
      <c r="U127" t="s">
        <v>49</v>
      </c>
      <c r="V127" t="s">
        <v>34</v>
      </c>
      <c r="W127" t="str">
        <f t="shared" si="1"/>
        <v>PFC</v>
      </c>
    </row>
    <row r="128">
      <c r="A128" s="309">
        <v>122.0</v>
      </c>
      <c r="B128" s="310" t="s">
        <v>1973</v>
      </c>
      <c r="C128" s="311"/>
      <c r="D128" s="311"/>
      <c r="E128" s="321">
        <v>3.3</v>
      </c>
      <c r="F128" s="321">
        <v>1.3</v>
      </c>
      <c r="G128" s="321">
        <v>7.9</v>
      </c>
      <c r="H128" s="321">
        <v>1.3</v>
      </c>
      <c r="I128" s="321">
        <v>0.6</v>
      </c>
      <c r="J128" s="321">
        <v>1.1</v>
      </c>
      <c r="K128" s="321">
        <v>1.4</v>
      </c>
      <c r="L128" s="321">
        <v>18.3</v>
      </c>
      <c r="M128" s="321">
        <v>84.3</v>
      </c>
      <c r="N128" s="322">
        <f>+2</f>
        <v>2</v>
      </c>
      <c r="O128" t="str">
        <f>IFERROR(__xludf.DUMMYFUNCTION("regexextract(B128,""[\w]* [\w]*"")"),"Thomas BryantO")</f>
        <v>Thomas BryantO</v>
      </c>
      <c r="P128" t="str">
        <f t="shared" si="2"/>
        <v>Thomas BryantO</v>
      </c>
      <c r="Q128" t="str">
        <f t="shared" si="3"/>
        <v>Thomas Bryant</v>
      </c>
      <c r="R128" t="s">
        <v>1850</v>
      </c>
      <c r="S128" s="276" t="s">
        <v>1850</v>
      </c>
      <c r="T128" t="s">
        <v>1850</v>
      </c>
      <c r="U128" t="s">
        <v>1850</v>
      </c>
      <c r="V128" t="s">
        <v>34</v>
      </c>
      <c r="W128" t="str">
        <f t="shared" si="1"/>
        <v>C</v>
      </c>
    </row>
    <row r="129">
      <c r="A129" s="306">
        <v>123.0</v>
      </c>
      <c r="B129" s="307" t="s">
        <v>1974</v>
      </c>
      <c r="C129" s="308"/>
      <c r="D129" s="308"/>
      <c r="E129" s="320">
        <v>3.5</v>
      </c>
      <c r="F129" s="320">
        <v>2.3</v>
      </c>
      <c r="G129" s="320">
        <v>9.0</v>
      </c>
      <c r="H129" s="320">
        <v>1.6</v>
      </c>
      <c r="I129" s="320">
        <v>0.5</v>
      </c>
      <c r="J129" s="320">
        <v>1.5</v>
      </c>
      <c r="K129" s="320">
        <v>1.3</v>
      </c>
      <c r="L129" s="320">
        <v>20.0</v>
      </c>
      <c r="M129" s="320">
        <v>90.0</v>
      </c>
      <c r="N129" s="323">
        <f>+0.5</f>
        <v>0.5</v>
      </c>
      <c r="O129" t="str">
        <f>IFERROR(__xludf.DUMMYFUNCTION("regexextract(B129,""[\w]* [\w]*"")")," WarrenO")</f>
        <v> WarrenO</v>
      </c>
      <c r="P129" t="str">
        <f t="shared" si="2"/>
        <v> WarrenO</v>
      </c>
      <c r="Q129" t="str">
        <f t="shared" si="3"/>
        <v> Warren</v>
      </c>
      <c r="R129" t="s">
        <v>1850</v>
      </c>
      <c r="S129" s="276" t="s">
        <v>1850</v>
      </c>
      <c r="T129" t="s">
        <v>48</v>
      </c>
      <c r="U129" t="s">
        <v>1850</v>
      </c>
      <c r="V129" t="s">
        <v>1850</v>
      </c>
      <c r="W129" t="str">
        <f t="shared" si="1"/>
        <v>SF</v>
      </c>
    </row>
    <row r="130">
      <c r="A130" s="309">
        <v>124.0</v>
      </c>
      <c r="B130" s="310" t="s">
        <v>1975</v>
      </c>
      <c r="C130" s="311"/>
      <c r="D130" s="311"/>
      <c r="E130" s="321">
        <v>3.4</v>
      </c>
      <c r="F130" s="321">
        <v>1.6</v>
      </c>
      <c r="G130" s="321">
        <v>7.2</v>
      </c>
      <c r="H130" s="321">
        <v>1.1</v>
      </c>
      <c r="I130" s="321">
        <v>0.6</v>
      </c>
      <c r="J130" s="321">
        <v>2.0</v>
      </c>
      <c r="K130" s="321">
        <v>0.8</v>
      </c>
      <c r="L130" s="321">
        <v>14.5</v>
      </c>
      <c r="M130" s="321">
        <v>81.2</v>
      </c>
      <c r="N130" s="322">
        <f>+0.9</f>
        <v>0.9</v>
      </c>
      <c r="O130" t="str">
        <f>IFERROR(__xludf.DUMMYFUNCTION("regexextract(B130,""[\w]* [\w]*"")"),"Bojan BogdanovicDTD")</f>
        <v>Bojan BogdanovicDTD</v>
      </c>
      <c r="P130" t="str">
        <f t="shared" si="2"/>
        <v>Bojan Bogdanovic</v>
      </c>
      <c r="Q130" t="str">
        <f t="shared" si="3"/>
        <v>Bojan Bogdanovic</v>
      </c>
      <c r="R130" t="s">
        <v>1850</v>
      </c>
      <c r="S130" s="276" t="s">
        <v>1850</v>
      </c>
      <c r="T130" t="s">
        <v>48</v>
      </c>
      <c r="U130" t="s">
        <v>49</v>
      </c>
      <c r="V130" t="s">
        <v>34</v>
      </c>
      <c r="W130" t="str">
        <f t="shared" si="1"/>
        <v>SFPFC</v>
      </c>
    </row>
    <row r="131">
      <c r="A131" s="306">
        <v>125.0</v>
      </c>
      <c r="B131" s="307" t="s">
        <v>1976</v>
      </c>
      <c r="C131" s="308"/>
      <c r="D131" s="308"/>
      <c r="E131" s="320">
        <v>5.9</v>
      </c>
      <c r="F131" s="320">
        <v>2.0</v>
      </c>
      <c r="G131" s="320">
        <v>4.6</v>
      </c>
      <c r="H131" s="320">
        <v>2.6</v>
      </c>
      <c r="I131" s="320">
        <v>0.7</v>
      </c>
      <c r="J131" s="320">
        <v>1.1</v>
      </c>
      <c r="K131" s="320">
        <v>1.9</v>
      </c>
      <c r="L131" s="320">
        <v>21.2</v>
      </c>
      <c r="M131" s="320">
        <v>83.6</v>
      </c>
      <c r="N131" s="323">
        <f>+1.7</f>
        <v>1.7</v>
      </c>
      <c r="O131" t="str">
        <f>IFERROR(__xludf.DUMMYFUNCTION("regexextract(B131,""[\w]* [\w]*"")"),"Steven Adams")</f>
        <v>Steven Adams</v>
      </c>
      <c r="P131" t="str">
        <f t="shared" si="2"/>
        <v>Steven Adams</v>
      </c>
      <c r="Q131" t="str">
        <f t="shared" si="3"/>
        <v>Steven Adams</v>
      </c>
      <c r="R131" t="s">
        <v>1850</v>
      </c>
      <c r="S131" s="276" t="s">
        <v>1850</v>
      </c>
      <c r="T131" t="s">
        <v>1850</v>
      </c>
      <c r="U131" t="s">
        <v>1850</v>
      </c>
      <c r="V131" t="s">
        <v>34</v>
      </c>
      <c r="W131" t="str">
        <f t="shared" si="1"/>
        <v>C</v>
      </c>
    </row>
    <row r="132">
      <c r="A132" s="309">
        <v>126.0</v>
      </c>
      <c r="B132" s="310" t="s">
        <v>1977</v>
      </c>
      <c r="C132" s="311"/>
      <c r="D132" s="311"/>
      <c r="E132" s="321">
        <v>2.3</v>
      </c>
      <c r="F132" s="321">
        <v>0.5</v>
      </c>
      <c r="G132" s="321">
        <v>8.8</v>
      </c>
      <c r="H132" s="321">
        <v>1.1</v>
      </c>
      <c r="I132" s="321">
        <v>0.8</v>
      </c>
      <c r="J132" s="321">
        <v>1.8</v>
      </c>
      <c r="K132" s="321">
        <v>1.3</v>
      </c>
      <c r="L132" s="321">
        <v>11.6</v>
      </c>
      <c r="M132" s="321">
        <v>47.5</v>
      </c>
      <c r="N132" s="322">
        <f>+11.5</f>
        <v>11.5</v>
      </c>
      <c r="O132" t="str">
        <f>IFERROR(__xludf.DUMMYFUNCTION("regexextract(B132,""[\w]* [\w]*"")"),"Bobby Portis")</f>
        <v>Bobby Portis</v>
      </c>
      <c r="P132" t="str">
        <f t="shared" si="2"/>
        <v>Bobby Portis</v>
      </c>
      <c r="Q132" t="str">
        <f t="shared" si="3"/>
        <v>Bobby Portis</v>
      </c>
      <c r="R132" t="s">
        <v>1850</v>
      </c>
      <c r="S132" s="276" t="s">
        <v>1850</v>
      </c>
      <c r="T132" t="s">
        <v>1850</v>
      </c>
      <c r="U132" t="s">
        <v>49</v>
      </c>
      <c r="V132" t="s">
        <v>1850</v>
      </c>
      <c r="W132" t="str">
        <f t="shared" si="1"/>
        <v>PF</v>
      </c>
    </row>
    <row r="133">
      <c r="A133" s="306">
        <v>127.0</v>
      </c>
      <c r="B133" s="307" t="s">
        <v>1978</v>
      </c>
      <c r="C133" s="308"/>
      <c r="D133" s="308"/>
      <c r="E133" s="320">
        <v>2.8</v>
      </c>
      <c r="F133" s="320">
        <v>0.0</v>
      </c>
      <c r="G133" s="320">
        <v>7.9</v>
      </c>
      <c r="H133" s="320">
        <v>1.4</v>
      </c>
      <c r="I133" s="320">
        <v>0.7</v>
      </c>
      <c r="J133" s="320">
        <v>1.5</v>
      </c>
      <c r="K133" s="320">
        <v>1.2</v>
      </c>
      <c r="L133" s="320">
        <v>13.3</v>
      </c>
      <c r="M133" s="320">
        <v>79.6</v>
      </c>
      <c r="N133" s="323">
        <f>+1.2</f>
        <v>1.2</v>
      </c>
      <c r="O133" t="str">
        <f>IFERROR(__xludf.DUMMYFUNCTION("regexextract(B133,""[\w]* [\w]*"")"),"Mason Plumlee")</f>
        <v>Mason Plumlee</v>
      </c>
      <c r="P133" t="str">
        <f t="shared" si="2"/>
        <v>Mason Plumlee</v>
      </c>
      <c r="Q133" t="str">
        <f t="shared" si="3"/>
        <v>Mason Plumlee</v>
      </c>
      <c r="R133" t="s">
        <v>1850</v>
      </c>
      <c r="S133" s="276" t="s">
        <v>1850</v>
      </c>
      <c r="T133" t="s">
        <v>1850</v>
      </c>
      <c r="U133" t="s">
        <v>1850</v>
      </c>
      <c r="V133" t="s">
        <v>34</v>
      </c>
      <c r="W133" t="str">
        <f t="shared" si="1"/>
        <v>C</v>
      </c>
    </row>
    <row r="134">
      <c r="A134" s="309">
        <v>128.0</v>
      </c>
      <c r="B134" s="310" t="s">
        <v>1979</v>
      </c>
      <c r="C134" s="311"/>
      <c r="D134" s="311"/>
      <c r="E134" s="321">
        <v>2.7</v>
      </c>
      <c r="F134" s="321">
        <v>2.1</v>
      </c>
      <c r="G134" s="321">
        <v>2.4</v>
      </c>
      <c r="H134" s="321">
        <v>6.0</v>
      </c>
      <c r="I134" s="321">
        <v>1.2</v>
      </c>
      <c r="J134" s="321">
        <v>0.1</v>
      </c>
      <c r="K134" s="321">
        <v>3.1</v>
      </c>
      <c r="L134" s="321">
        <v>18.4</v>
      </c>
      <c r="M134" s="321">
        <v>81.4</v>
      </c>
      <c r="N134" s="322">
        <f>+0.3</f>
        <v>0.3</v>
      </c>
      <c r="O134" t="str">
        <f>IFERROR(__xludf.DUMMYFUNCTION("regexextract(B134,""[\w]* [\w]*"")"),"Ricky Rubio")</f>
        <v>Ricky Rubio</v>
      </c>
      <c r="P134" t="str">
        <f t="shared" si="2"/>
        <v>Ricky Rubio</v>
      </c>
      <c r="Q134" t="str">
        <f t="shared" si="3"/>
        <v>Ricky Rubi</v>
      </c>
      <c r="R134" t="s">
        <v>46</v>
      </c>
      <c r="S134" s="276" t="s">
        <v>1850</v>
      </c>
      <c r="T134" t="s">
        <v>1850</v>
      </c>
      <c r="U134" t="s">
        <v>1850</v>
      </c>
      <c r="V134" t="s">
        <v>34</v>
      </c>
      <c r="W134" t="str">
        <f t="shared" si="1"/>
        <v>PGC</v>
      </c>
    </row>
    <row r="135">
      <c r="A135" s="306">
        <v>129.0</v>
      </c>
      <c r="B135" s="307" t="s">
        <v>1980</v>
      </c>
      <c r="C135" s="308"/>
      <c r="D135" s="308"/>
      <c r="E135" s="320">
        <v>2.8</v>
      </c>
      <c r="F135" s="320">
        <v>1.4</v>
      </c>
      <c r="G135" s="320">
        <v>6.6</v>
      </c>
      <c r="H135" s="320">
        <v>1.2</v>
      </c>
      <c r="I135" s="320">
        <v>0.8</v>
      </c>
      <c r="J135" s="320">
        <v>2.9</v>
      </c>
      <c r="K135" s="320">
        <v>1.3</v>
      </c>
      <c r="L135" s="320">
        <v>12.4</v>
      </c>
      <c r="M135" s="320">
        <v>56.4</v>
      </c>
      <c r="N135" s="323">
        <f>+9.7</f>
        <v>9.7</v>
      </c>
      <c r="O135" t="str">
        <f>IFERROR(__xludf.DUMMYFUNCTION("regexextract(B135,""[\w]* [\w]*"")"),"Klay ThompsonO")</f>
        <v>Klay ThompsonO</v>
      </c>
      <c r="P135" t="str">
        <f t="shared" si="2"/>
        <v>Klay ThompsonO</v>
      </c>
      <c r="Q135" t="str">
        <f t="shared" si="3"/>
        <v>Klay Thompson</v>
      </c>
      <c r="R135" t="s">
        <v>1850</v>
      </c>
      <c r="S135" s="276" t="s">
        <v>47</v>
      </c>
      <c r="T135" t="s">
        <v>1850</v>
      </c>
      <c r="U135" t="s">
        <v>1850</v>
      </c>
      <c r="V135" t="s">
        <v>1850</v>
      </c>
      <c r="W135" t="str">
        <f t="shared" si="1"/>
        <v>SG</v>
      </c>
    </row>
    <row r="136">
      <c r="A136" s="309">
        <v>130.0</v>
      </c>
      <c r="B136" s="310" t="s">
        <v>1981</v>
      </c>
      <c r="C136" s="311"/>
      <c r="D136" s="311"/>
      <c r="E136" s="321">
        <v>2.0</v>
      </c>
      <c r="F136" s="321">
        <v>2.6</v>
      </c>
      <c r="G136" s="321">
        <v>4.4</v>
      </c>
      <c r="H136" s="321">
        <v>3.2</v>
      </c>
      <c r="I136" s="321">
        <v>1.4</v>
      </c>
      <c r="J136" s="321">
        <v>0.7</v>
      </c>
      <c r="K136" s="321">
        <v>2.1</v>
      </c>
      <c r="L136" s="321">
        <v>16.4</v>
      </c>
      <c r="M136" s="321">
        <v>73.5</v>
      </c>
      <c r="N136" s="322">
        <f>+1.7</f>
        <v>1.7</v>
      </c>
      <c r="O136" t="str">
        <f>IFERROR(__xludf.DUMMYFUNCTION("regexextract(B136,""[\w]* [\w]*"")"),"Kelly Olynyk")</f>
        <v>Kelly Olynyk</v>
      </c>
      <c r="P136" t="str">
        <f t="shared" si="2"/>
        <v>Kelly Olynyk</v>
      </c>
      <c r="Q136" t="str">
        <f t="shared" si="3"/>
        <v>Kelly Olynyk</v>
      </c>
      <c r="R136" t="s">
        <v>1850</v>
      </c>
      <c r="S136" s="276" t="s">
        <v>1850</v>
      </c>
      <c r="T136" t="s">
        <v>1850</v>
      </c>
      <c r="U136" t="s">
        <v>49</v>
      </c>
      <c r="V136" t="s">
        <v>34</v>
      </c>
      <c r="W136" t="str">
        <f t="shared" si="1"/>
        <v>PFC</v>
      </c>
    </row>
    <row r="137">
      <c r="A137" s="306">
        <v>131.0</v>
      </c>
      <c r="B137" s="307" t="s">
        <v>1982</v>
      </c>
      <c r="C137" s="308"/>
      <c r="D137" s="308"/>
      <c r="E137" s="320">
        <v>3.8</v>
      </c>
      <c r="F137" s="320">
        <v>2.1</v>
      </c>
      <c r="G137" s="320">
        <v>5.6</v>
      </c>
      <c r="H137" s="320">
        <v>1.5</v>
      </c>
      <c r="I137" s="320">
        <v>0.9</v>
      </c>
      <c r="J137" s="320">
        <v>1.8</v>
      </c>
      <c r="K137" s="320">
        <v>1.9</v>
      </c>
      <c r="L137" s="320">
        <v>17.9</v>
      </c>
      <c r="M137" s="320">
        <v>79.1</v>
      </c>
      <c r="N137" s="323">
        <f t="shared" ref="N137:N138" si="7">+1.8</f>
        <v>1.8</v>
      </c>
      <c r="O137" t="str">
        <f>IFERROR(__xludf.DUMMYFUNCTION("regexextract(B137,""[\w]* [\w]*"")"),"Monte Morris")</f>
        <v>Monte Morris</v>
      </c>
      <c r="P137" t="str">
        <f t="shared" si="2"/>
        <v>Monte Morris</v>
      </c>
      <c r="Q137" t="str">
        <f t="shared" si="3"/>
        <v>Monte Morris</v>
      </c>
      <c r="R137" t="s">
        <v>46</v>
      </c>
      <c r="S137" s="276" t="s">
        <v>1850</v>
      </c>
      <c r="T137" t="s">
        <v>1850</v>
      </c>
      <c r="U137" t="s">
        <v>1850</v>
      </c>
      <c r="V137" t="s">
        <v>1850</v>
      </c>
      <c r="W137" t="str">
        <f t="shared" si="1"/>
        <v>PG</v>
      </c>
    </row>
    <row r="138">
      <c r="A138" s="309">
        <v>132.0</v>
      </c>
      <c r="B138" s="310" t="s">
        <v>1983</v>
      </c>
      <c r="C138" s="311"/>
      <c r="D138" s="311"/>
      <c r="E138" s="321">
        <v>4.4</v>
      </c>
      <c r="F138" s="321">
        <v>1.9</v>
      </c>
      <c r="G138" s="321">
        <v>5.7</v>
      </c>
      <c r="H138" s="321">
        <v>3.0</v>
      </c>
      <c r="I138" s="321">
        <v>0.7</v>
      </c>
      <c r="J138" s="321">
        <v>0.3</v>
      </c>
      <c r="K138" s="321">
        <v>1.9</v>
      </c>
      <c r="L138" s="321">
        <v>18.7</v>
      </c>
      <c r="M138" s="321">
        <v>80.5</v>
      </c>
      <c r="N138" s="322">
        <f t="shared" si="7"/>
        <v>1.8</v>
      </c>
      <c r="O138" t="str">
        <f>IFERROR(__xludf.DUMMYFUNCTION("regexextract(B138,""[\w]* [\w]*"")"),"John WallO")</f>
        <v>John WallO</v>
      </c>
      <c r="P138" t="str">
        <f t="shared" si="2"/>
        <v>John WallO</v>
      </c>
      <c r="Q138" t="str">
        <f t="shared" si="3"/>
        <v>John Wall</v>
      </c>
      <c r="R138" t="s">
        <v>46</v>
      </c>
      <c r="S138" s="276" t="s">
        <v>1850</v>
      </c>
      <c r="T138" t="s">
        <v>1850</v>
      </c>
      <c r="U138" t="s">
        <v>1850</v>
      </c>
      <c r="V138" t="s">
        <v>1850</v>
      </c>
      <c r="W138" t="str">
        <f t="shared" si="1"/>
        <v>PG</v>
      </c>
    </row>
    <row r="139">
      <c r="A139" s="306">
        <v>133.0</v>
      </c>
      <c r="B139" s="307" t="s">
        <v>1984</v>
      </c>
      <c r="C139" s="308"/>
      <c r="D139" s="308"/>
      <c r="E139" s="320">
        <v>3.5</v>
      </c>
      <c r="F139" s="320">
        <v>2.4</v>
      </c>
      <c r="G139" s="320">
        <v>3.4</v>
      </c>
      <c r="H139" s="320">
        <v>5.7</v>
      </c>
      <c r="I139" s="320">
        <v>1.2</v>
      </c>
      <c r="J139" s="320">
        <v>0.2</v>
      </c>
      <c r="K139" s="320">
        <v>1.9</v>
      </c>
      <c r="L139" s="320">
        <v>16.9</v>
      </c>
      <c r="M139" s="320">
        <v>80.7</v>
      </c>
      <c r="N139" s="323">
        <f>+0.2</f>
        <v>0.2</v>
      </c>
      <c r="O139" t="str">
        <f>IFERROR(__xludf.DUMMYFUNCTION("regexextract(B139,""[\w]* [\w]*"")"),"Kyle Anderson")</f>
        <v>Kyle Anderson</v>
      </c>
      <c r="P139" t="str">
        <f t="shared" si="2"/>
        <v>Kyle Anderson</v>
      </c>
      <c r="Q139" t="str">
        <f t="shared" si="3"/>
        <v>Kyle Anderson</v>
      </c>
      <c r="R139" t="s">
        <v>1850</v>
      </c>
      <c r="S139" s="276" t="s">
        <v>1850</v>
      </c>
      <c r="T139" t="s">
        <v>48</v>
      </c>
      <c r="U139" t="s">
        <v>49</v>
      </c>
      <c r="V139" t="s">
        <v>1850</v>
      </c>
      <c r="W139" t="str">
        <f t="shared" si="1"/>
        <v>SFPF</v>
      </c>
    </row>
    <row r="140">
      <c r="A140" s="309">
        <v>134.0</v>
      </c>
      <c r="B140" s="310" t="s">
        <v>1985</v>
      </c>
      <c r="C140" s="311"/>
      <c r="D140" s="311"/>
      <c r="E140" s="321">
        <v>2.3</v>
      </c>
      <c r="F140" s="321">
        <v>1.7</v>
      </c>
      <c r="G140" s="321">
        <v>6.5</v>
      </c>
      <c r="H140" s="321">
        <v>2.5</v>
      </c>
      <c r="I140" s="321">
        <v>1.1</v>
      </c>
      <c r="J140" s="321">
        <v>1.2</v>
      </c>
      <c r="K140" s="321">
        <v>2.0</v>
      </c>
      <c r="L140" s="321">
        <v>13.3</v>
      </c>
      <c r="M140" s="321">
        <v>77.5</v>
      </c>
      <c r="N140" s="322">
        <f>+0.7</f>
        <v>0.7</v>
      </c>
      <c r="O140" t="str">
        <f>IFERROR(__xludf.DUMMYFUNCTION("regexextract(B140,""[\w]* [\w]*"")"),"Kevin Porter")</f>
        <v>Kevin Porter</v>
      </c>
      <c r="P140" t="str">
        <f t="shared" si="2"/>
        <v>Kevin Porter</v>
      </c>
      <c r="Q140" t="str">
        <f t="shared" si="3"/>
        <v>Kevin Porter</v>
      </c>
      <c r="R140" t="s">
        <v>46</v>
      </c>
      <c r="S140" s="276" t="s">
        <v>47</v>
      </c>
      <c r="T140" t="s">
        <v>1850</v>
      </c>
      <c r="U140" t="s">
        <v>1850</v>
      </c>
      <c r="V140" t="s">
        <v>1850</v>
      </c>
      <c r="W140" t="str">
        <f t="shared" si="1"/>
        <v>PGSG</v>
      </c>
    </row>
    <row r="141">
      <c r="A141" s="306">
        <v>135.0</v>
      </c>
      <c r="B141" s="307" t="s">
        <v>1986</v>
      </c>
      <c r="C141" s="308"/>
      <c r="D141" s="308"/>
      <c r="E141" s="320">
        <v>4.8</v>
      </c>
      <c r="F141" s="320">
        <v>2.1</v>
      </c>
      <c r="G141" s="320">
        <v>4.3</v>
      </c>
      <c r="H141" s="320">
        <v>2.4</v>
      </c>
      <c r="I141" s="320">
        <v>0.9</v>
      </c>
      <c r="J141" s="320">
        <v>0.5</v>
      </c>
      <c r="K141" s="320">
        <v>1.8</v>
      </c>
      <c r="L141" s="320">
        <v>19.2</v>
      </c>
      <c r="M141" s="320">
        <v>83.8</v>
      </c>
      <c r="N141" s="323">
        <f>+0.9</f>
        <v>0.9</v>
      </c>
      <c r="O141" t="str">
        <f>IFERROR(__xludf.DUMMYFUNCTION("regexextract(B141,""[\w]* [\w]*"")"),"Alperen Sengun")</f>
        <v>Alperen Sengun</v>
      </c>
      <c r="P141" t="str">
        <f t="shared" si="2"/>
        <v>Alperen Sengun</v>
      </c>
      <c r="Q141" t="str">
        <f t="shared" si="3"/>
        <v>Alperen Sengun</v>
      </c>
      <c r="R141" t="s">
        <v>1850</v>
      </c>
      <c r="S141" s="276" t="s">
        <v>1850</v>
      </c>
      <c r="T141" t="s">
        <v>1850</v>
      </c>
      <c r="U141" t="s">
        <v>1850</v>
      </c>
      <c r="V141" t="s">
        <v>34</v>
      </c>
      <c r="W141" t="str">
        <f t="shared" si="1"/>
        <v>C</v>
      </c>
    </row>
    <row r="142">
      <c r="A142" s="309">
        <v>136.0</v>
      </c>
      <c r="B142" s="310" t="s">
        <v>1987</v>
      </c>
      <c r="C142" s="311"/>
      <c r="D142" s="311"/>
      <c r="E142" s="321">
        <v>3.7</v>
      </c>
      <c r="F142" s="321">
        <v>2.4</v>
      </c>
      <c r="G142" s="321">
        <v>3.5</v>
      </c>
      <c r="H142" s="321">
        <v>2.0</v>
      </c>
      <c r="I142" s="321">
        <v>1.2</v>
      </c>
      <c r="J142" s="321">
        <v>0.3</v>
      </c>
      <c r="K142" s="321">
        <v>1.8</v>
      </c>
      <c r="L142" s="321">
        <v>18.5</v>
      </c>
      <c r="M142" s="321">
        <v>72.9</v>
      </c>
      <c r="N142" s="322">
        <f>+2.8</f>
        <v>2.8</v>
      </c>
      <c r="O142" t="str">
        <f>IFERROR(__xludf.DUMMYFUNCTION("regexextract(B142,""[\w]* [\w]*"")"),"Tyler Herro")</f>
        <v>Tyler Herro</v>
      </c>
      <c r="P142" t="str">
        <f t="shared" si="2"/>
        <v>Tyler Herro</v>
      </c>
      <c r="Q142" t="str">
        <f t="shared" si="3"/>
        <v>Tyler Herr</v>
      </c>
      <c r="R142" t="s">
        <v>46</v>
      </c>
      <c r="S142" s="276" t="s">
        <v>47</v>
      </c>
      <c r="T142" t="s">
        <v>1850</v>
      </c>
      <c r="U142" t="s">
        <v>1850</v>
      </c>
      <c r="V142" t="s">
        <v>1850</v>
      </c>
      <c r="W142" t="str">
        <f t="shared" si="1"/>
        <v>PGSG</v>
      </c>
    </row>
    <row r="143">
      <c r="A143" s="306">
        <v>137.0</v>
      </c>
      <c r="B143" s="307" t="s">
        <v>1988</v>
      </c>
      <c r="C143" s="308"/>
      <c r="D143" s="308"/>
      <c r="E143" s="320">
        <v>3.1</v>
      </c>
      <c r="F143" s="320">
        <v>0.0</v>
      </c>
      <c r="G143" s="320">
        <v>9.5</v>
      </c>
      <c r="H143" s="320">
        <v>1.6</v>
      </c>
      <c r="I143" s="320">
        <v>0.4</v>
      </c>
      <c r="J143" s="320">
        <v>1.2</v>
      </c>
      <c r="K143" s="320">
        <v>1.4</v>
      </c>
      <c r="L143" s="320">
        <v>11.8</v>
      </c>
      <c r="M143" s="320">
        <v>20.0</v>
      </c>
      <c r="N143" s="323">
        <f>+18.1</f>
        <v>18.1</v>
      </c>
      <c r="O143" t="str">
        <f>IFERROR(__xludf.DUMMYFUNCTION("regexextract(B143,""[\w]* [\w]*"")"),"Isaiah Roby")</f>
        <v>Isaiah Roby</v>
      </c>
      <c r="P143" t="str">
        <f t="shared" si="2"/>
        <v>Isaiah Roby</v>
      </c>
      <c r="Q143" t="str">
        <f t="shared" si="3"/>
        <v>Isaiah Roby</v>
      </c>
      <c r="R143" t="s">
        <v>1850</v>
      </c>
      <c r="S143" s="276" t="s">
        <v>1850</v>
      </c>
      <c r="T143" t="s">
        <v>1850</v>
      </c>
      <c r="U143" t="s">
        <v>49</v>
      </c>
      <c r="V143" t="s">
        <v>34</v>
      </c>
      <c r="W143" t="str">
        <f t="shared" si="1"/>
        <v>PFC</v>
      </c>
    </row>
    <row r="144">
      <c r="A144" s="309">
        <v>138.0</v>
      </c>
      <c r="B144" s="310" t="s">
        <v>1989</v>
      </c>
      <c r="C144" s="311"/>
      <c r="D144" s="311"/>
      <c r="E144" s="321">
        <v>3.2</v>
      </c>
      <c r="F144" s="321">
        <v>3.5</v>
      </c>
      <c r="G144" s="321">
        <v>2.9</v>
      </c>
      <c r="H144" s="321">
        <v>5.6</v>
      </c>
      <c r="I144" s="321">
        <v>0.9</v>
      </c>
      <c r="J144" s="321">
        <v>0.2</v>
      </c>
      <c r="K144" s="321">
        <v>2.1</v>
      </c>
      <c r="L144" s="321">
        <v>16.1</v>
      </c>
      <c r="M144" s="321">
        <v>83.1</v>
      </c>
      <c r="N144" s="325">
        <v>-1.6</v>
      </c>
      <c r="O144" t="str">
        <f>IFERROR(__xludf.DUMMYFUNCTION("regexextract(B144,""[\w]* [\w]*"")"),"Andre Drummond")</f>
        <v>Andre Drummond</v>
      </c>
      <c r="P144" t="str">
        <f t="shared" si="2"/>
        <v>Andre Drummond</v>
      </c>
      <c r="Q144" t="str">
        <f t="shared" si="3"/>
        <v>Andre Drummond</v>
      </c>
      <c r="R144" t="s">
        <v>1850</v>
      </c>
      <c r="S144" s="276" t="s">
        <v>1850</v>
      </c>
      <c r="T144" t="s">
        <v>1850</v>
      </c>
      <c r="U144" t="s">
        <v>1850</v>
      </c>
      <c r="V144" t="s">
        <v>34</v>
      </c>
      <c r="W144" t="str">
        <f t="shared" si="1"/>
        <v>C</v>
      </c>
    </row>
    <row r="145">
      <c r="A145" s="306">
        <v>139.0</v>
      </c>
      <c r="B145" s="307" t="s">
        <v>1990</v>
      </c>
      <c r="C145" s="308"/>
      <c r="D145" s="308"/>
      <c r="E145" s="320">
        <v>3.1</v>
      </c>
      <c r="F145" s="320">
        <v>1.7</v>
      </c>
      <c r="G145" s="320">
        <v>4.2</v>
      </c>
      <c r="H145" s="320">
        <v>4.7</v>
      </c>
      <c r="I145" s="320">
        <v>1.0</v>
      </c>
      <c r="J145" s="320">
        <v>0.4</v>
      </c>
      <c r="K145" s="320">
        <v>2.0</v>
      </c>
      <c r="L145" s="320">
        <v>14.5</v>
      </c>
      <c r="M145" s="320">
        <v>30.0</v>
      </c>
      <c r="N145" s="323">
        <f>+17.1</f>
        <v>17.1</v>
      </c>
      <c r="O145" t="str">
        <f>IFERROR(__xludf.DUMMYFUNCTION("regexextract(B145,""[\w]* [\w]*"")"),"Isaac OkoroDTD")</f>
        <v>Isaac OkoroDTD</v>
      </c>
      <c r="P145" t="str">
        <f t="shared" si="2"/>
        <v>Isaac Okoro</v>
      </c>
      <c r="Q145" t="str">
        <f t="shared" si="3"/>
        <v>Isaac Okor</v>
      </c>
      <c r="R145" t="s">
        <v>1850</v>
      </c>
      <c r="S145" s="276" t="s">
        <v>1850</v>
      </c>
      <c r="T145" t="s">
        <v>48</v>
      </c>
      <c r="U145" t="s">
        <v>1850</v>
      </c>
      <c r="V145" t="s">
        <v>34</v>
      </c>
      <c r="W145" t="str">
        <f t="shared" si="1"/>
        <v>SFC</v>
      </c>
    </row>
    <row r="146">
      <c r="A146" s="309">
        <v>140.0</v>
      </c>
      <c r="B146" s="310" t="s">
        <v>1991</v>
      </c>
      <c r="C146" s="311"/>
      <c r="D146" s="311"/>
      <c r="E146" s="321">
        <v>1.8</v>
      </c>
      <c r="F146" s="321">
        <v>1.5</v>
      </c>
      <c r="G146" s="321">
        <v>4.2</v>
      </c>
      <c r="H146" s="321">
        <v>2.1</v>
      </c>
      <c r="I146" s="321">
        <v>1.3</v>
      </c>
      <c r="J146" s="321">
        <v>0.8</v>
      </c>
      <c r="K146" s="321">
        <v>0.9</v>
      </c>
      <c r="L146" s="321">
        <v>11.7</v>
      </c>
      <c r="M146" s="321">
        <v>61.2</v>
      </c>
      <c r="N146" s="322">
        <f>+8.8</f>
        <v>8.8</v>
      </c>
      <c r="O146" t="str">
        <f>IFERROR(__xludf.DUMMYFUNCTION("regexextract(B146,""[\w]* [\w]*"")"),"Derrick Rose")</f>
        <v>Derrick Rose</v>
      </c>
      <c r="P146" t="str">
        <f t="shared" si="2"/>
        <v>Derrick Rose</v>
      </c>
      <c r="Q146" t="str">
        <f t="shared" si="3"/>
        <v>Derrick Rose</v>
      </c>
      <c r="R146" t="s">
        <v>46</v>
      </c>
      <c r="S146" s="276" t="s">
        <v>1850</v>
      </c>
      <c r="T146" t="s">
        <v>1850</v>
      </c>
      <c r="U146" t="s">
        <v>1850</v>
      </c>
      <c r="V146" t="s">
        <v>34</v>
      </c>
      <c r="W146" t="str">
        <f t="shared" si="1"/>
        <v>PGC</v>
      </c>
    </row>
    <row r="147">
      <c r="A147" s="306">
        <v>141.0</v>
      </c>
      <c r="B147" s="307" t="s">
        <v>1992</v>
      </c>
      <c r="C147" s="308"/>
      <c r="D147" s="308"/>
      <c r="E147" s="320">
        <v>4.0</v>
      </c>
      <c r="F147" s="320">
        <v>0.3</v>
      </c>
      <c r="G147" s="320">
        <v>9.9</v>
      </c>
      <c r="H147" s="320">
        <v>2.3</v>
      </c>
      <c r="I147" s="320">
        <v>0.8</v>
      </c>
      <c r="J147" s="320">
        <v>0.9</v>
      </c>
      <c r="K147" s="320">
        <v>1.7</v>
      </c>
      <c r="L147" s="320">
        <v>13.5</v>
      </c>
      <c r="M147" s="320">
        <v>26.8</v>
      </c>
      <c r="N147" s="323">
        <f>+18</f>
        <v>18</v>
      </c>
      <c r="O147" t="str">
        <f>IFERROR(__xludf.DUMMYFUNCTION("regexextract(B147,""[\w]* [\w]*"")"),"Aaron Gordon")</f>
        <v>Aaron Gordon</v>
      </c>
      <c r="P147" t="str">
        <f t="shared" si="2"/>
        <v>Aaron Gordon</v>
      </c>
      <c r="Q147" t="str">
        <f t="shared" si="3"/>
        <v>Aaron Gordon</v>
      </c>
      <c r="R147" t="s">
        <v>1850</v>
      </c>
      <c r="S147" s="276" t="s">
        <v>1850</v>
      </c>
      <c r="T147" t="s">
        <v>1850</v>
      </c>
      <c r="U147" t="s">
        <v>49</v>
      </c>
      <c r="V147" t="s">
        <v>1850</v>
      </c>
      <c r="W147" t="str">
        <f t="shared" si="1"/>
        <v>PF</v>
      </c>
    </row>
    <row r="148">
      <c r="A148" s="309">
        <v>142.0</v>
      </c>
      <c r="B148" s="310" t="s">
        <v>1993</v>
      </c>
      <c r="C148" s="311"/>
      <c r="D148" s="311"/>
      <c r="E148" s="321">
        <v>1.3</v>
      </c>
      <c r="F148" s="321">
        <v>2.1</v>
      </c>
      <c r="G148" s="321">
        <v>6.5</v>
      </c>
      <c r="H148" s="321">
        <v>1.5</v>
      </c>
      <c r="I148" s="321">
        <v>1.5</v>
      </c>
      <c r="J148" s="321">
        <v>1.2</v>
      </c>
      <c r="K148" s="321">
        <v>1.1</v>
      </c>
      <c r="L148" s="321">
        <v>10.2</v>
      </c>
      <c r="M148" s="321">
        <v>37.8</v>
      </c>
      <c r="N148" s="322">
        <f>+13.7</f>
        <v>13.7</v>
      </c>
      <c r="O148" t="str">
        <f>IFERROR(__xludf.DUMMYFUNCTION("regexextract(B148,""[\w]* [\w]*"")"),"Patrick WilliamsO")</f>
        <v>Patrick WilliamsO</v>
      </c>
      <c r="P148" t="str">
        <f t="shared" si="2"/>
        <v>Patrick WilliamsO</v>
      </c>
      <c r="Q148" t="str">
        <f t="shared" si="3"/>
        <v>Patrick Williams</v>
      </c>
      <c r="R148" t="s">
        <v>1850</v>
      </c>
      <c r="S148" s="276" t="s">
        <v>1850</v>
      </c>
      <c r="T148" t="s">
        <v>48</v>
      </c>
      <c r="U148" t="s">
        <v>49</v>
      </c>
      <c r="V148" t="s">
        <v>34</v>
      </c>
      <c r="W148" t="str">
        <f t="shared" si="1"/>
        <v>SFPFC</v>
      </c>
    </row>
    <row r="149">
      <c r="A149" s="306">
        <v>143.0</v>
      </c>
      <c r="B149" s="307" t="s">
        <v>1994</v>
      </c>
      <c r="C149" s="308"/>
      <c r="D149" s="308"/>
      <c r="E149" s="320">
        <v>1.5</v>
      </c>
      <c r="F149" s="320">
        <v>0.5</v>
      </c>
      <c r="G149" s="320">
        <v>5.9</v>
      </c>
      <c r="H149" s="320">
        <v>3.3</v>
      </c>
      <c r="I149" s="320">
        <v>1.3</v>
      </c>
      <c r="J149" s="320">
        <v>0.5</v>
      </c>
      <c r="K149" s="320">
        <v>1.8</v>
      </c>
      <c r="L149" s="320">
        <v>11.7</v>
      </c>
      <c r="M149" s="320">
        <v>52.5</v>
      </c>
      <c r="N149" s="323">
        <f>+10.2</f>
        <v>10.2</v>
      </c>
      <c r="O149" t="str">
        <f>IFERROR(__xludf.DUMMYFUNCTION("regexextract(B149,""[\w]* [\w]*"")"),"Markelle FultzO")</f>
        <v>Markelle FultzO</v>
      </c>
      <c r="P149" t="str">
        <f t="shared" si="2"/>
        <v>Markelle FultzO</v>
      </c>
      <c r="Q149" t="str">
        <f t="shared" si="3"/>
        <v>Markelle Fultz</v>
      </c>
      <c r="R149" t="s">
        <v>46</v>
      </c>
      <c r="S149" s="276" t="s">
        <v>1850</v>
      </c>
      <c r="T149" t="s">
        <v>1850</v>
      </c>
      <c r="U149" t="s">
        <v>1850</v>
      </c>
      <c r="V149" t="s">
        <v>1850</v>
      </c>
      <c r="W149" t="str">
        <f t="shared" si="1"/>
        <v>PG</v>
      </c>
    </row>
    <row r="150">
      <c r="A150" s="309">
        <v>144.0</v>
      </c>
      <c r="B150" s="310" t="s">
        <v>1995</v>
      </c>
      <c r="C150" s="311"/>
      <c r="D150" s="311"/>
      <c r="E150" s="321">
        <v>3.1</v>
      </c>
      <c r="F150" s="321">
        <v>2.0</v>
      </c>
      <c r="G150" s="321">
        <v>3.5</v>
      </c>
      <c r="H150" s="321">
        <v>5.5</v>
      </c>
      <c r="I150" s="321">
        <v>1.5</v>
      </c>
      <c r="J150" s="321">
        <v>0.5</v>
      </c>
      <c r="K150" s="321">
        <v>1.9</v>
      </c>
      <c r="L150" s="321">
        <v>12.8</v>
      </c>
      <c r="M150" s="321">
        <v>77.0</v>
      </c>
      <c r="N150" s="322">
        <f>+0.6</f>
        <v>0.6</v>
      </c>
      <c r="O150" t="str">
        <f>IFERROR(__xludf.DUMMYFUNCTION("regexextract(B150,""[\w]* [\w]*"")"),"Darius Bazley")</f>
        <v>Darius Bazley</v>
      </c>
      <c r="P150" t="str">
        <f t="shared" si="2"/>
        <v>Darius Bazley</v>
      </c>
      <c r="Q150" t="str">
        <f t="shared" si="3"/>
        <v>Darius Bazley</v>
      </c>
      <c r="R150" t="s">
        <v>1850</v>
      </c>
      <c r="S150" s="276" t="s">
        <v>1850</v>
      </c>
      <c r="T150" t="s">
        <v>48</v>
      </c>
      <c r="U150" t="s">
        <v>49</v>
      </c>
      <c r="V150" t="s">
        <v>34</v>
      </c>
      <c r="W150" t="str">
        <f t="shared" si="1"/>
        <v>SFPFC</v>
      </c>
    </row>
    <row r="151">
      <c r="A151" s="306">
        <v>145.0</v>
      </c>
      <c r="B151" s="307" t="s">
        <v>1996</v>
      </c>
      <c r="C151" s="308"/>
      <c r="D151" s="308"/>
      <c r="E151" s="320">
        <v>3.8</v>
      </c>
      <c r="F151" s="320">
        <v>1.4</v>
      </c>
      <c r="G151" s="320">
        <v>3.6</v>
      </c>
      <c r="H151" s="320">
        <v>5.3</v>
      </c>
      <c r="I151" s="320">
        <v>1.0</v>
      </c>
      <c r="J151" s="320">
        <v>0.2</v>
      </c>
      <c r="K151" s="320">
        <v>2.6</v>
      </c>
      <c r="L151" s="320">
        <v>16.3</v>
      </c>
      <c r="M151" s="320">
        <v>78.9</v>
      </c>
      <c r="N151" s="324">
        <v>-0.8</v>
      </c>
      <c r="O151" t="str">
        <f>IFERROR(__xludf.DUMMYFUNCTION("regexextract(B151,""[\w]* [\w]*"")"),"Otto Porter")</f>
        <v>Otto Porter</v>
      </c>
      <c r="P151" t="str">
        <f t="shared" si="2"/>
        <v>Otto Porter</v>
      </c>
      <c r="Q151" t="str">
        <f t="shared" si="3"/>
        <v>Otto Porter</v>
      </c>
      <c r="R151" t="s">
        <v>1850</v>
      </c>
      <c r="S151" s="276" t="s">
        <v>1850</v>
      </c>
      <c r="T151" t="s">
        <v>48</v>
      </c>
      <c r="U151" t="s">
        <v>1850</v>
      </c>
      <c r="V151" t="s">
        <v>1850</v>
      </c>
      <c r="W151" t="str">
        <f t="shared" si="1"/>
        <v>SF</v>
      </c>
    </row>
    <row r="152">
      <c r="A152" s="309">
        <v>146.0</v>
      </c>
      <c r="B152" s="310" t="s">
        <v>1997</v>
      </c>
      <c r="C152" s="311"/>
      <c r="D152" s="311"/>
      <c r="E152" s="321">
        <v>1.3</v>
      </c>
      <c r="F152" s="321">
        <v>3.1</v>
      </c>
      <c r="G152" s="321">
        <v>3.5</v>
      </c>
      <c r="H152" s="321">
        <v>3.3</v>
      </c>
      <c r="I152" s="321">
        <v>1.1</v>
      </c>
      <c r="J152" s="321">
        <v>0.3</v>
      </c>
      <c r="K152" s="321">
        <v>1.3</v>
      </c>
      <c r="L152" s="321">
        <v>15.8</v>
      </c>
      <c r="M152" s="321">
        <v>82.2</v>
      </c>
      <c r="N152" s="325">
        <v>-0.8</v>
      </c>
      <c r="O152" t="str">
        <f>IFERROR(__xludf.DUMMYFUNCTION("regexextract(B152,""[\w]* [\w]*"")"),"Serge IbakaDTD")</f>
        <v>Serge IbakaDTD</v>
      </c>
      <c r="P152" t="str">
        <f t="shared" si="2"/>
        <v>Serge Ibaka</v>
      </c>
      <c r="Q152" t="str">
        <f t="shared" si="3"/>
        <v>Serge Ibaka</v>
      </c>
      <c r="R152" t="s">
        <v>1850</v>
      </c>
      <c r="S152" s="276" t="s">
        <v>1850</v>
      </c>
      <c r="T152" t="s">
        <v>1850</v>
      </c>
      <c r="U152" t="s">
        <v>49</v>
      </c>
      <c r="V152" t="s">
        <v>34</v>
      </c>
      <c r="W152" t="str">
        <f t="shared" si="1"/>
        <v>PFC</v>
      </c>
    </row>
    <row r="153">
      <c r="A153" s="306">
        <v>147.0</v>
      </c>
      <c r="B153" s="307" t="s">
        <v>1998</v>
      </c>
      <c r="C153" s="308"/>
      <c r="D153" s="308"/>
      <c r="E153" s="320">
        <v>3.9</v>
      </c>
      <c r="F153" s="320">
        <v>1.7</v>
      </c>
      <c r="G153" s="320">
        <v>5.8</v>
      </c>
      <c r="H153" s="320">
        <v>2.8</v>
      </c>
      <c r="I153" s="320">
        <v>0.7</v>
      </c>
      <c r="J153" s="320">
        <v>0.2</v>
      </c>
      <c r="K153" s="320">
        <v>1.5</v>
      </c>
      <c r="L153" s="320">
        <v>15.8</v>
      </c>
      <c r="M153" s="320">
        <v>78.4</v>
      </c>
      <c r="N153" s="324">
        <v>-0.9</v>
      </c>
      <c r="O153" t="str">
        <f>IFERROR(__xludf.DUMMYFUNCTION("regexextract(B153,""[\w]* [\w]*"")"),"Al Horford")</f>
        <v>Al Horford</v>
      </c>
      <c r="P153" t="str">
        <f t="shared" si="2"/>
        <v>Al Horford</v>
      </c>
      <c r="Q153" t="str">
        <f t="shared" si="3"/>
        <v>Al Horford</v>
      </c>
      <c r="R153" t="s">
        <v>1850</v>
      </c>
      <c r="S153" s="276" t="s">
        <v>1850</v>
      </c>
      <c r="T153" t="s">
        <v>1850</v>
      </c>
      <c r="U153" t="s">
        <v>49</v>
      </c>
      <c r="V153" t="s">
        <v>34</v>
      </c>
      <c r="W153" t="str">
        <f t="shared" si="1"/>
        <v>PFC</v>
      </c>
    </row>
    <row r="154">
      <c r="A154" s="309">
        <v>148.0</v>
      </c>
      <c r="B154" s="310" t="s">
        <v>1999</v>
      </c>
      <c r="C154" s="311"/>
      <c r="D154" s="311"/>
      <c r="E154" s="321">
        <v>2.2</v>
      </c>
      <c r="F154" s="321">
        <v>2.5</v>
      </c>
      <c r="G154" s="321">
        <v>3.7</v>
      </c>
      <c r="H154" s="321">
        <v>4.5</v>
      </c>
      <c r="I154" s="321">
        <v>0.8</v>
      </c>
      <c r="J154" s="321">
        <v>0.1</v>
      </c>
      <c r="K154" s="321">
        <v>1.7</v>
      </c>
      <c r="L154" s="321">
        <v>15.5</v>
      </c>
      <c r="M154" s="321">
        <v>32.0</v>
      </c>
      <c r="N154" s="322">
        <f>+15.1</f>
        <v>15.1</v>
      </c>
      <c r="O154" t="str">
        <f>IFERROR(__xludf.DUMMYFUNCTION("regexextract(B154,""[\w]* [\w]*"")"),"Kelly Oubre")</f>
        <v>Kelly Oubre</v>
      </c>
      <c r="P154" t="str">
        <f t="shared" si="2"/>
        <v>Kelly Oubre</v>
      </c>
      <c r="Q154" t="str">
        <f t="shared" si="3"/>
        <v>Kelly Oubre</v>
      </c>
      <c r="R154" t="s">
        <v>1850</v>
      </c>
      <c r="S154" s="276" t="s">
        <v>1850</v>
      </c>
      <c r="T154" t="s">
        <v>48</v>
      </c>
      <c r="U154" t="s">
        <v>49</v>
      </c>
      <c r="V154" t="s">
        <v>34</v>
      </c>
      <c r="W154" t="str">
        <f t="shared" si="1"/>
        <v>SFPFC</v>
      </c>
    </row>
    <row r="155">
      <c r="A155" s="306">
        <v>149.0</v>
      </c>
      <c r="B155" s="307" t="s">
        <v>2000</v>
      </c>
      <c r="C155" s="308"/>
      <c r="D155" s="308"/>
      <c r="E155" s="320">
        <v>4.1</v>
      </c>
      <c r="F155" s="320">
        <v>1.3</v>
      </c>
      <c r="G155" s="320">
        <v>6.8</v>
      </c>
      <c r="H155" s="320">
        <v>2.0</v>
      </c>
      <c r="I155" s="320">
        <v>0.7</v>
      </c>
      <c r="J155" s="320">
        <v>0.4</v>
      </c>
      <c r="K155" s="320">
        <v>1.3</v>
      </c>
      <c r="L155" s="320">
        <v>16.9</v>
      </c>
      <c r="M155" s="320">
        <v>29.4</v>
      </c>
      <c r="N155" s="323">
        <f>+17.4</f>
        <v>17.4</v>
      </c>
      <c r="O155" t="str">
        <f>IFERROR(__xludf.DUMMYFUNCTION("regexextract(B155,""[\w]* [\w]*"")"),"Dillon Brooks")</f>
        <v>Dillon Brooks</v>
      </c>
      <c r="P155" t="str">
        <f t="shared" si="2"/>
        <v>Dillon Brooks</v>
      </c>
      <c r="Q155" t="str">
        <f t="shared" si="3"/>
        <v>Dillon Brooks</v>
      </c>
      <c r="R155" t="s">
        <v>1850</v>
      </c>
      <c r="S155" s="276" t="s">
        <v>47</v>
      </c>
      <c r="T155" t="s">
        <v>48</v>
      </c>
      <c r="U155" t="s">
        <v>1850</v>
      </c>
      <c r="V155" t="s">
        <v>1850</v>
      </c>
      <c r="W155" t="str">
        <f t="shared" si="1"/>
        <v>SGSF</v>
      </c>
    </row>
    <row r="156">
      <c r="A156" s="309">
        <v>150.0</v>
      </c>
      <c r="B156" s="310" t="s">
        <v>2001</v>
      </c>
      <c r="C156" s="311"/>
      <c r="D156" s="311"/>
      <c r="E156" s="321">
        <v>2.8</v>
      </c>
      <c r="F156" s="321">
        <v>3.2</v>
      </c>
      <c r="G156" s="321">
        <v>3.6</v>
      </c>
      <c r="H156" s="321">
        <v>2.0</v>
      </c>
      <c r="I156" s="321">
        <v>0.5</v>
      </c>
      <c r="J156" s="321">
        <v>0.2</v>
      </c>
      <c r="K156" s="321">
        <v>1.0</v>
      </c>
      <c r="L156" s="321">
        <v>18.1</v>
      </c>
      <c r="M156" s="321">
        <v>39.4</v>
      </c>
      <c r="N156" s="322">
        <f>+13.5</f>
        <v>13.5</v>
      </c>
      <c r="O156" t="str">
        <f>IFERROR(__xludf.DUMMYFUNCTION("regexextract(B156,""[\w]* [\w]*"")"),"Rui HachimuraDTD")</f>
        <v>Rui HachimuraDTD</v>
      </c>
      <c r="P156" t="str">
        <f t="shared" si="2"/>
        <v>Rui Hachimura</v>
      </c>
      <c r="Q156" t="str">
        <f t="shared" si="3"/>
        <v>Rui Hachimura</v>
      </c>
      <c r="R156" t="s">
        <v>1850</v>
      </c>
      <c r="S156" s="276" t="s">
        <v>1850</v>
      </c>
      <c r="T156" t="s">
        <v>48</v>
      </c>
      <c r="U156" t="s">
        <v>49</v>
      </c>
      <c r="V156" t="s">
        <v>34</v>
      </c>
      <c r="W156" t="str">
        <f t="shared" si="1"/>
        <v>SFPFC</v>
      </c>
    </row>
    <row r="157">
      <c r="A157" s="298" t="s">
        <v>1844</v>
      </c>
      <c r="C157" s="298" t="s">
        <v>1845</v>
      </c>
      <c r="E157" s="316"/>
      <c r="F157" s="316"/>
      <c r="G157" s="316"/>
      <c r="H157" s="316"/>
      <c r="I157" s="316"/>
      <c r="J157" s="316"/>
      <c r="K157" s="316"/>
      <c r="L157" s="316"/>
      <c r="M157" s="316" t="s">
        <v>1950</v>
      </c>
      <c r="N157" s="316"/>
      <c r="O157" t="str">
        <f>IFERROR(__xludf.DUMMYFUNCTION("regexextract(B157,""[\w]* [\w]*"")"),"#N/A")</f>
        <v>#N/A</v>
      </c>
      <c r="P157" t="str">
        <f t="shared" si="2"/>
        <v>#N/A</v>
      </c>
      <c r="Q157" t="str">
        <f t="shared" si="3"/>
        <v>#N/A</v>
      </c>
      <c r="R157" t="s">
        <v>1850</v>
      </c>
      <c r="S157" s="276" t="s">
        <v>1850</v>
      </c>
      <c r="T157" t="s">
        <v>1850</v>
      </c>
      <c r="U157" t="s">
        <v>1850</v>
      </c>
      <c r="V157" t="s">
        <v>1850</v>
      </c>
      <c r="W157" t="str">
        <f t="shared" si="1"/>
        <v/>
      </c>
    </row>
    <row r="158">
      <c r="A158" s="301" t="s">
        <v>1846</v>
      </c>
      <c r="B158" s="302" t="s">
        <v>3</v>
      </c>
      <c r="C158" s="301" t="s">
        <v>1847</v>
      </c>
      <c r="D158" s="303" t="s">
        <v>1848</v>
      </c>
      <c r="E158" s="317" t="s">
        <v>428</v>
      </c>
      <c r="F158" s="318">
        <v>0.625</v>
      </c>
      <c r="G158" s="317" t="s">
        <v>110</v>
      </c>
      <c r="H158" s="317" t="s">
        <v>12</v>
      </c>
      <c r="I158" s="317" t="s">
        <v>13</v>
      </c>
      <c r="J158" s="317" t="s">
        <v>14</v>
      </c>
      <c r="K158" s="317" t="s">
        <v>15</v>
      </c>
      <c r="L158" s="317" t="s">
        <v>10</v>
      </c>
      <c r="M158" s="317" t="s">
        <v>1951</v>
      </c>
      <c r="N158" s="319" t="str">
        <f>+/-</f>
        <v>#ERROR!</v>
      </c>
      <c r="O158" t="str">
        <f>IFERROR(__xludf.DUMMYFUNCTION("regexextract(B158,""[\w]* [\w]*"")"),"#N/A")</f>
        <v>#N/A</v>
      </c>
      <c r="P158" t="str">
        <f t="shared" si="2"/>
        <v>#N/A</v>
      </c>
      <c r="Q158" t="str">
        <f t="shared" si="3"/>
        <v>#N/A</v>
      </c>
      <c r="R158" t="s">
        <v>1850</v>
      </c>
      <c r="S158" s="276" t="s">
        <v>1850</v>
      </c>
      <c r="T158" t="s">
        <v>1850</v>
      </c>
      <c r="U158" t="s">
        <v>1850</v>
      </c>
      <c r="V158" t="s">
        <v>1850</v>
      </c>
      <c r="W158" t="str">
        <f t="shared" si="1"/>
        <v/>
      </c>
    </row>
    <row r="159">
      <c r="A159" s="306">
        <v>151.0</v>
      </c>
      <c r="B159" s="307" t="s">
        <v>2002</v>
      </c>
      <c r="C159" s="308"/>
      <c r="D159" s="308"/>
      <c r="E159" s="320">
        <v>2.5</v>
      </c>
      <c r="F159" s="320">
        <v>1.4</v>
      </c>
      <c r="G159" s="320">
        <v>5.3</v>
      </c>
      <c r="H159" s="320">
        <v>3.9</v>
      </c>
      <c r="I159" s="320">
        <v>1.2</v>
      </c>
      <c r="J159" s="320">
        <v>0.9</v>
      </c>
      <c r="K159" s="320">
        <v>2.1</v>
      </c>
      <c r="L159" s="320">
        <v>10.5</v>
      </c>
      <c r="M159" s="320">
        <v>31.5</v>
      </c>
      <c r="N159" s="323">
        <f>+15.1</f>
        <v>15.1</v>
      </c>
      <c r="O159" t="str">
        <f>IFERROR(__xludf.DUMMYFUNCTION("regexextract(B159,""[\w]* [\w]*"")"),"Seth Curry")</f>
        <v>Seth Curry</v>
      </c>
      <c r="P159" t="str">
        <f t="shared" si="2"/>
        <v>Seth Curry</v>
      </c>
      <c r="Q159" t="str">
        <f t="shared" si="3"/>
        <v>Seth Curry</v>
      </c>
      <c r="R159" t="s">
        <v>46</v>
      </c>
      <c r="S159" s="276" t="s">
        <v>47</v>
      </c>
      <c r="T159" t="s">
        <v>1850</v>
      </c>
      <c r="U159" t="s">
        <v>1850</v>
      </c>
      <c r="V159" t="s">
        <v>34</v>
      </c>
      <c r="W159" t="str">
        <f t="shared" si="1"/>
        <v>PGSGC</v>
      </c>
    </row>
    <row r="160">
      <c r="A160" s="309">
        <v>152.0</v>
      </c>
      <c r="B160" s="310" t="s">
        <v>2003</v>
      </c>
      <c r="C160" s="311"/>
      <c r="D160" s="311"/>
      <c r="E160" s="321">
        <v>1.3</v>
      </c>
      <c r="F160" s="321">
        <v>2.0</v>
      </c>
      <c r="G160" s="321">
        <v>6.3</v>
      </c>
      <c r="H160" s="321">
        <v>3.3</v>
      </c>
      <c r="I160" s="321">
        <v>1.4</v>
      </c>
      <c r="J160" s="321">
        <v>0.3</v>
      </c>
      <c r="K160" s="321">
        <v>1.6</v>
      </c>
      <c r="L160" s="321">
        <v>11.7</v>
      </c>
      <c r="M160" s="321">
        <v>19.1</v>
      </c>
      <c r="N160" s="322">
        <f>+16.2</f>
        <v>16.2</v>
      </c>
      <c r="O160" t="str">
        <f>IFERROR(__xludf.DUMMYFUNCTION("regexextract(B160,""[\w]* [\w]*"")"),"Marcus Morris")</f>
        <v>Marcus Morris</v>
      </c>
      <c r="P160" t="str">
        <f t="shared" si="2"/>
        <v>Marcus Morris</v>
      </c>
      <c r="Q160" t="str">
        <f t="shared" si="3"/>
        <v>Marcus Morris</v>
      </c>
      <c r="R160" t="s">
        <v>1850</v>
      </c>
      <c r="S160" s="276" t="s">
        <v>1850</v>
      </c>
      <c r="T160" t="s">
        <v>48</v>
      </c>
      <c r="U160" t="s">
        <v>49</v>
      </c>
      <c r="V160" t="s">
        <v>34</v>
      </c>
      <c r="W160" t="str">
        <f t="shared" si="1"/>
        <v>SFPFC</v>
      </c>
    </row>
    <row r="161">
      <c r="A161" s="306">
        <v>153.0</v>
      </c>
      <c r="B161" s="307" t="s">
        <v>2004</v>
      </c>
      <c r="C161" s="308"/>
      <c r="D161" s="308"/>
      <c r="E161" s="320">
        <v>3.1</v>
      </c>
      <c r="F161" s="320">
        <v>3.2</v>
      </c>
      <c r="G161" s="320">
        <v>5.1</v>
      </c>
      <c r="H161" s="320">
        <v>1.5</v>
      </c>
      <c r="I161" s="320">
        <v>0.8</v>
      </c>
      <c r="J161" s="320">
        <v>0.2</v>
      </c>
      <c r="K161" s="320">
        <v>1.0</v>
      </c>
      <c r="L161" s="320">
        <v>15.9</v>
      </c>
      <c r="M161" s="320">
        <v>24.2</v>
      </c>
      <c r="N161" s="323">
        <f>+15.5</f>
        <v>15.5</v>
      </c>
      <c r="O161" t="str">
        <f>IFERROR(__xludf.DUMMYFUNCTION("regexextract(B161,""[\w]* [\w]*"")"),"Doug McDermott")</f>
        <v>Doug McDermott</v>
      </c>
      <c r="P161" t="str">
        <f t="shared" si="2"/>
        <v>Doug McDermott</v>
      </c>
      <c r="Q161" t="str">
        <f t="shared" si="3"/>
        <v>Doug McDermott</v>
      </c>
      <c r="R161" t="s">
        <v>1850</v>
      </c>
      <c r="S161" s="276" t="s">
        <v>1850</v>
      </c>
      <c r="T161" t="s">
        <v>48</v>
      </c>
      <c r="U161" t="s">
        <v>49</v>
      </c>
      <c r="V161" t="s">
        <v>34</v>
      </c>
      <c r="W161" t="str">
        <f t="shared" si="1"/>
        <v>SFPFC</v>
      </c>
    </row>
    <row r="162">
      <c r="A162" s="309">
        <v>154.0</v>
      </c>
      <c r="B162" s="310" t="s">
        <v>2005</v>
      </c>
      <c r="C162" s="311"/>
      <c r="D162" s="311"/>
      <c r="E162" s="321">
        <v>1.4</v>
      </c>
      <c r="F162" s="321">
        <v>2.4</v>
      </c>
      <c r="G162" s="321">
        <v>3.8</v>
      </c>
      <c r="H162" s="321">
        <v>5.0</v>
      </c>
      <c r="I162" s="321">
        <v>0.8</v>
      </c>
      <c r="J162" s="321">
        <v>0.2</v>
      </c>
      <c r="K162" s="321">
        <v>1.9</v>
      </c>
      <c r="L162" s="321">
        <v>11.4</v>
      </c>
      <c r="M162" s="321">
        <v>69.3</v>
      </c>
      <c r="N162" s="322">
        <f>+1.5</f>
        <v>1.5</v>
      </c>
      <c r="O162" t="str">
        <f>IFERROR(__xludf.DUMMYFUNCTION("regexextract(B162,""[\w]* [\w]*"")"),"Nerlens Noel")</f>
        <v>Nerlens Noel</v>
      </c>
      <c r="P162" t="str">
        <f t="shared" si="2"/>
        <v>Nerlens Noel</v>
      </c>
      <c r="Q162" t="str">
        <f t="shared" si="3"/>
        <v>Nerlens Noel</v>
      </c>
      <c r="R162" t="s">
        <v>1850</v>
      </c>
      <c r="S162" s="276" t="s">
        <v>1850</v>
      </c>
      <c r="T162" t="s">
        <v>1850</v>
      </c>
      <c r="U162" t="s">
        <v>1850</v>
      </c>
      <c r="V162" t="s">
        <v>34</v>
      </c>
      <c r="W162" t="str">
        <f t="shared" si="1"/>
        <v>C</v>
      </c>
    </row>
    <row r="163">
      <c r="A163" s="306">
        <v>155.0</v>
      </c>
      <c r="B163" s="307" t="s">
        <v>2006</v>
      </c>
      <c r="C163" s="308"/>
      <c r="D163" s="308"/>
      <c r="E163" s="320">
        <v>1.7</v>
      </c>
      <c r="F163" s="320">
        <v>1.7</v>
      </c>
      <c r="G163" s="320">
        <v>6.1</v>
      </c>
      <c r="H163" s="320">
        <v>2.2</v>
      </c>
      <c r="I163" s="320">
        <v>0.7</v>
      </c>
      <c r="J163" s="320">
        <v>0.8</v>
      </c>
      <c r="K163" s="320">
        <v>1.6</v>
      </c>
      <c r="L163" s="320">
        <v>12.6</v>
      </c>
      <c r="M163" s="320">
        <v>81.6</v>
      </c>
      <c r="N163" s="324">
        <v>-1.7</v>
      </c>
      <c r="O163" t="str">
        <f>IFERROR(__xludf.DUMMYFUNCTION("regexextract(B163,""[\w]* [\w]*"")"),"LaMarcus Aldridge")</f>
        <v>LaMarcus Aldridge</v>
      </c>
      <c r="P163" t="str">
        <f t="shared" si="2"/>
        <v>LaMarcus Aldridge</v>
      </c>
      <c r="Q163" t="str">
        <f t="shared" si="3"/>
        <v>LaMarcus Aldridge</v>
      </c>
      <c r="R163" t="s">
        <v>1850</v>
      </c>
      <c r="S163" s="276" t="s">
        <v>1850</v>
      </c>
      <c r="T163" t="s">
        <v>1850</v>
      </c>
      <c r="U163" t="s">
        <v>49</v>
      </c>
      <c r="V163" t="s">
        <v>34</v>
      </c>
      <c r="W163" t="str">
        <f t="shared" si="1"/>
        <v>PFC</v>
      </c>
    </row>
    <row r="164">
      <c r="A164" s="309">
        <v>156.0</v>
      </c>
      <c r="B164" s="310" t="s">
        <v>2007</v>
      </c>
      <c r="C164" s="311"/>
      <c r="D164" s="311"/>
      <c r="E164" s="321">
        <v>1.9</v>
      </c>
      <c r="F164" s="321">
        <v>1.5</v>
      </c>
      <c r="G164" s="321">
        <v>4.7</v>
      </c>
      <c r="H164" s="321">
        <v>1.0</v>
      </c>
      <c r="I164" s="321">
        <v>0.6</v>
      </c>
      <c r="J164" s="321">
        <v>1.8</v>
      </c>
      <c r="K164" s="321">
        <v>0.9</v>
      </c>
      <c r="L164" s="321">
        <v>11.7</v>
      </c>
      <c r="M164" s="321">
        <v>48.8</v>
      </c>
      <c r="N164" s="322">
        <f>+8.8</f>
        <v>8.8</v>
      </c>
      <c r="O164" t="str">
        <f>IFERROR(__xludf.DUMMYFUNCTION("regexextract(B164,""[\w]* [\w]*"")"),"Moses Brown")</f>
        <v>Moses Brown</v>
      </c>
      <c r="P164" t="str">
        <f t="shared" si="2"/>
        <v>Moses Brown</v>
      </c>
      <c r="Q164" t="str">
        <f t="shared" si="3"/>
        <v>Moses Brown</v>
      </c>
      <c r="R164" t="s">
        <v>1850</v>
      </c>
      <c r="S164" s="276" t="s">
        <v>1850</v>
      </c>
      <c r="T164" t="s">
        <v>1850</v>
      </c>
      <c r="U164" t="s">
        <v>1850</v>
      </c>
      <c r="V164" t="s">
        <v>34</v>
      </c>
      <c r="W164" t="str">
        <f t="shared" si="1"/>
        <v>C</v>
      </c>
    </row>
    <row r="165">
      <c r="A165" s="306">
        <v>157.0</v>
      </c>
      <c r="B165" s="307" t="s">
        <v>2008</v>
      </c>
      <c r="C165" s="308"/>
      <c r="D165" s="308"/>
      <c r="E165" s="320">
        <v>2.0</v>
      </c>
      <c r="F165" s="320">
        <v>0.7</v>
      </c>
      <c r="G165" s="320">
        <v>6.6</v>
      </c>
      <c r="H165" s="320">
        <v>1.9</v>
      </c>
      <c r="I165" s="320">
        <v>0.7</v>
      </c>
      <c r="J165" s="320">
        <v>1.2</v>
      </c>
      <c r="K165" s="320">
        <v>1.1</v>
      </c>
      <c r="L165" s="320">
        <v>10.8</v>
      </c>
      <c r="M165" s="320">
        <v>55.0</v>
      </c>
      <c r="N165" s="323">
        <f>+2.1</f>
        <v>2.1</v>
      </c>
      <c r="O165" t="str">
        <f>IFERROR(__xludf.DUMMYFUNCTION("regexextract(B165,""[\w]* [\w]*"")"),"Cole Anthony")</f>
        <v>Cole Anthony</v>
      </c>
      <c r="P165" t="str">
        <f t="shared" si="2"/>
        <v>Cole Anthony</v>
      </c>
      <c r="Q165" t="str">
        <f t="shared" si="3"/>
        <v>Cole Anthony</v>
      </c>
      <c r="R165" t="s">
        <v>46</v>
      </c>
      <c r="S165" s="276" t="s">
        <v>1850</v>
      </c>
      <c r="T165" t="s">
        <v>1850</v>
      </c>
      <c r="U165" t="s">
        <v>1850</v>
      </c>
      <c r="V165" t="s">
        <v>34</v>
      </c>
      <c r="W165" t="str">
        <f t="shared" si="1"/>
        <v>PGC</v>
      </c>
    </row>
    <row r="166">
      <c r="A166" s="309">
        <v>158.0</v>
      </c>
      <c r="B166" s="310" t="s">
        <v>2009</v>
      </c>
      <c r="C166" s="311"/>
      <c r="D166" s="311"/>
      <c r="E166" s="321">
        <v>2.3</v>
      </c>
      <c r="F166" s="321">
        <v>0.0</v>
      </c>
      <c r="G166" s="321">
        <v>8.3</v>
      </c>
      <c r="H166" s="321">
        <v>0.6</v>
      </c>
      <c r="I166" s="321">
        <v>1.1</v>
      </c>
      <c r="J166" s="321">
        <v>2.1</v>
      </c>
      <c r="K166" s="321">
        <v>0.8</v>
      </c>
      <c r="L166" s="321">
        <v>9.6</v>
      </c>
      <c r="M166" s="321">
        <v>65.4</v>
      </c>
      <c r="N166" s="325">
        <v>-1.3</v>
      </c>
      <c r="O166" t="str">
        <f>IFERROR(__xludf.DUMMYFUNCTION("regexextract(B166,""[\w]* [\w]*"")"),"Duncan Robinson")</f>
        <v>Duncan Robinson</v>
      </c>
      <c r="P166" t="str">
        <f t="shared" si="2"/>
        <v>Duncan Robinson</v>
      </c>
      <c r="Q166" t="str">
        <f t="shared" si="3"/>
        <v>Duncan Robinson</v>
      </c>
      <c r="R166" t="s">
        <v>1850</v>
      </c>
      <c r="S166" s="276" t="s">
        <v>47</v>
      </c>
      <c r="T166" t="s">
        <v>48</v>
      </c>
      <c r="U166" t="s">
        <v>1850</v>
      </c>
      <c r="V166" t="s">
        <v>34</v>
      </c>
      <c r="W166" t="str">
        <f t="shared" si="1"/>
        <v>SGSFC</v>
      </c>
    </row>
    <row r="167">
      <c r="A167" s="306">
        <v>159.0</v>
      </c>
      <c r="B167" s="307" t="s">
        <v>2010</v>
      </c>
      <c r="C167" s="308"/>
      <c r="D167" s="308"/>
      <c r="E167" s="320">
        <v>2.2</v>
      </c>
      <c r="F167" s="320">
        <v>2.5</v>
      </c>
      <c r="G167" s="320">
        <v>3.5</v>
      </c>
      <c r="H167" s="320">
        <v>2.3</v>
      </c>
      <c r="I167" s="320">
        <v>0.8</v>
      </c>
      <c r="J167" s="320">
        <v>0.2</v>
      </c>
      <c r="K167" s="320">
        <v>1.6</v>
      </c>
      <c r="L167" s="320">
        <v>17.3</v>
      </c>
      <c r="M167" s="320">
        <v>74.2</v>
      </c>
      <c r="N167" s="323">
        <f>+1.1</f>
        <v>1.1</v>
      </c>
      <c r="O167" t="str">
        <f>IFERROR(__xludf.DUMMYFUNCTION("regexextract(B167,""[\w]* [\w]*"")"),"Enes Kanter")</f>
        <v>Enes Kanter</v>
      </c>
      <c r="P167" t="str">
        <f t="shared" si="2"/>
        <v>Enes Kanter</v>
      </c>
      <c r="Q167" t="str">
        <f t="shared" si="3"/>
        <v>Enes Kanter</v>
      </c>
      <c r="R167" t="s">
        <v>1850</v>
      </c>
      <c r="S167" s="276" t="s">
        <v>1850</v>
      </c>
      <c r="T167" t="s">
        <v>1850</v>
      </c>
      <c r="U167" t="s">
        <v>1850</v>
      </c>
      <c r="V167" t="s">
        <v>34</v>
      </c>
      <c r="W167" t="str">
        <f t="shared" si="1"/>
        <v>C</v>
      </c>
    </row>
    <row r="168">
      <c r="A168" s="309">
        <v>160.0</v>
      </c>
      <c r="B168" s="310" t="s">
        <v>2011</v>
      </c>
      <c r="C168" s="311"/>
      <c r="D168" s="311"/>
      <c r="E168" s="321">
        <v>2.2</v>
      </c>
      <c r="F168" s="321">
        <v>1.5</v>
      </c>
      <c r="G168" s="321">
        <v>3.2</v>
      </c>
      <c r="H168" s="321">
        <v>6.5</v>
      </c>
      <c r="I168" s="321">
        <v>1.3</v>
      </c>
      <c r="J168" s="321">
        <v>0.5</v>
      </c>
      <c r="K168" s="321">
        <v>3.9</v>
      </c>
      <c r="L168" s="321">
        <v>14.2</v>
      </c>
      <c r="M168" s="321">
        <v>17.5</v>
      </c>
      <c r="N168" s="322">
        <f>+15.6</f>
        <v>15.6</v>
      </c>
      <c r="O168" t="str">
        <f>IFERROR(__xludf.DUMMYFUNCTION("regexextract(B168,""[\w]* [\w]*"")"),"Talen Horton")</f>
        <v>Talen Horton</v>
      </c>
      <c r="P168" t="str">
        <f t="shared" si="2"/>
        <v>Talen Horton</v>
      </c>
      <c r="Q168" t="str">
        <f t="shared" si="3"/>
        <v>Talen Horton</v>
      </c>
      <c r="R168" t="s">
        <v>1850</v>
      </c>
      <c r="S168" s="276" t="s">
        <v>47</v>
      </c>
      <c r="T168" t="s">
        <v>48</v>
      </c>
      <c r="U168" t="s">
        <v>1850</v>
      </c>
      <c r="V168" t="s">
        <v>34</v>
      </c>
      <c r="W168" t="str">
        <f t="shared" si="1"/>
        <v>SGSFC</v>
      </c>
    </row>
    <row r="169">
      <c r="A169" s="306">
        <v>161.0</v>
      </c>
      <c r="B169" s="307" t="s">
        <v>2012</v>
      </c>
      <c r="C169" s="308"/>
      <c r="D169" s="308"/>
      <c r="E169" s="320">
        <v>4.0</v>
      </c>
      <c r="F169" s="320">
        <v>0.8</v>
      </c>
      <c r="G169" s="320">
        <v>8.9</v>
      </c>
      <c r="H169" s="320">
        <v>1.2</v>
      </c>
      <c r="I169" s="320">
        <v>0.6</v>
      </c>
      <c r="J169" s="320">
        <v>0.8</v>
      </c>
      <c r="K169" s="320">
        <v>1.7</v>
      </c>
      <c r="L169" s="320">
        <v>17.3</v>
      </c>
      <c r="M169" s="320">
        <v>70.3</v>
      </c>
      <c r="N169" s="324">
        <v>-0.3</v>
      </c>
      <c r="O169" t="str">
        <f>IFERROR(__xludf.DUMMYFUNCTION("regexextract(B169,""[\w]* [\w]*"")"),"Jalen Brunson")</f>
        <v>Jalen Brunson</v>
      </c>
      <c r="P169" t="str">
        <f t="shared" si="2"/>
        <v>Jalen Brunson</v>
      </c>
      <c r="Q169" t="str">
        <f t="shared" si="3"/>
        <v>Jalen Brunson</v>
      </c>
      <c r="R169" t="s">
        <v>46</v>
      </c>
      <c r="S169" s="276" t="s">
        <v>1850</v>
      </c>
      <c r="T169" t="s">
        <v>1850</v>
      </c>
      <c r="U169" t="s">
        <v>1850</v>
      </c>
      <c r="V169" t="s">
        <v>1850</v>
      </c>
      <c r="W169" t="str">
        <f t="shared" si="1"/>
        <v>PG</v>
      </c>
    </row>
    <row r="170">
      <c r="A170" s="309">
        <v>162.0</v>
      </c>
      <c r="B170" s="310" t="s">
        <v>2013</v>
      </c>
      <c r="C170" s="311"/>
      <c r="D170" s="311"/>
      <c r="E170" s="321">
        <v>3.7</v>
      </c>
      <c r="F170" s="321">
        <v>1.7</v>
      </c>
      <c r="G170" s="321">
        <v>5.3</v>
      </c>
      <c r="H170" s="321">
        <v>3.7</v>
      </c>
      <c r="I170" s="321">
        <v>1.0</v>
      </c>
      <c r="J170" s="321">
        <v>0.3</v>
      </c>
      <c r="K170" s="321">
        <v>1.8</v>
      </c>
      <c r="L170" s="321">
        <v>17.3</v>
      </c>
      <c r="M170" s="321">
        <v>83.5</v>
      </c>
      <c r="N170" s="325">
        <v>-2.9</v>
      </c>
      <c r="O170" t="str">
        <f>IFERROR(__xludf.DUMMYFUNCTION("regexextract(B170,""[\w]* [\w]*"")"),"Jae Crowder")</f>
        <v>Jae Crowder</v>
      </c>
      <c r="P170" t="str">
        <f t="shared" si="2"/>
        <v>Jae Crowder</v>
      </c>
      <c r="Q170" t="str">
        <f t="shared" si="3"/>
        <v>Jae Crowder</v>
      </c>
      <c r="R170" t="s">
        <v>1850</v>
      </c>
      <c r="S170" s="276" t="s">
        <v>1850</v>
      </c>
      <c r="T170" t="s">
        <v>48</v>
      </c>
      <c r="U170" t="s">
        <v>49</v>
      </c>
      <c r="V170" t="s">
        <v>34</v>
      </c>
      <c r="W170" t="str">
        <f t="shared" si="1"/>
        <v>SFPFC</v>
      </c>
    </row>
    <row r="171">
      <c r="A171" s="306">
        <v>163.0</v>
      </c>
      <c r="B171" s="307" t="s">
        <v>2014</v>
      </c>
      <c r="C171" s="308"/>
      <c r="D171" s="308"/>
      <c r="E171" s="320">
        <v>2.1</v>
      </c>
      <c r="F171" s="320">
        <v>2.7</v>
      </c>
      <c r="G171" s="320">
        <v>2.9</v>
      </c>
      <c r="H171" s="320">
        <v>3.4</v>
      </c>
      <c r="I171" s="320">
        <v>1.1</v>
      </c>
      <c r="J171" s="320">
        <v>0.3</v>
      </c>
      <c r="K171" s="320">
        <v>1.9</v>
      </c>
      <c r="L171" s="320">
        <v>14.8</v>
      </c>
      <c r="M171" s="320">
        <v>67.8</v>
      </c>
      <c r="N171" s="324">
        <v>-0.2</v>
      </c>
      <c r="O171" t="str">
        <f>IFERROR(__xludf.DUMMYFUNCTION("regexextract(B171,""[\w]* [\w]*"")"),"Danny Green")</f>
        <v>Danny Green</v>
      </c>
      <c r="P171" t="str">
        <f t="shared" si="2"/>
        <v>Danny Green</v>
      </c>
      <c r="Q171" t="str">
        <f t="shared" si="3"/>
        <v>Danny Green</v>
      </c>
      <c r="R171" t="s">
        <v>1850</v>
      </c>
      <c r="S171" s="276" t="s">
        <v>47</v>
      </c>
      <c r="T171" t="s">
        <v>48</v>
      </c>
      <c r="U171" t="s">
        <v>1850</v>
      </c>
      <c r="V171" t="s">
        <v>1850</v>
      </c>
      <c r="W171" t="str">
        <f t="shared" si="1"/>
        <v>SGSF</v>
      </c>
    </row>
    <row r="172">
      <c r="A172" s="309">
        <v>164.0</v>
      </c>
      <c r="B172" s="310" t="s">
        <v>2015</v>
      </c>
      <c r="C172" s="311"/>
      <c r="D172" s="311"/>
      <c r="E172" s="321">
        <v>2.1</v>
      </c>
      <c r="F172" s="321">
        <v>0.4</v>
      </c>
      <c r="G172" s="321">
        <v>6.2</v>
      </c>
      <c r="H172" s="321">
        <v>1.7</v>
      </c>
      <c r="I172" s="321">
        <v>1.0</v>
      </c>
      <c r="J172" s="321">
        <v>0.9</v>
      </c>
      <c r="K172" s="321">
        <v>0.7</v>
      </c>
      <c r="L172" s="321">
        <v>11.9</v>
      </c>
      <c r="M172" s="321">
        <v>18.6</v>
      </c>
      <c r="N172" s="322">
        <f>+14</f>
        <v>14</v>
      </c>
      <c r="O172" t="str">
        <f>IFERROR(__xludf.DUMMYFUNCTION("regexextract(B172,""[\w]* [\w]*"")"),"Terrence Ross")</f>
        <v>Terrence Ross</v>
      </c>
      <c r="P172" t="str">
        <f t="shared" si="2"/>
        <v>Terrence Ross</v>
      </c>
      <c r="Q172" t="str">
        <f t="shared" si="3"/>
        <v>Terrence Ross</v>
      </c>
      <c r="R172" t="s">
        <v>1850</v>
      </c>
      <c r="S172" s="276" t="s">
        <v>47</v>
      </c>
      <c r="T172" t="s">
        <v>48</v>
      </c>
      <c r="U172" t="s">
        <v>1850</v>
      </c>
      <c r="V172" t="s">
        <v>34</v>
      </c>
      <c r="W172" t="str">
        <f t="shared" si="1"/>
        <v>SGSFC</v>
      </c>
    </row>
    <row r="173">
      <c r="A173" s="306">
        <v>165.0</v>
      </c>
      <c r="B173" s="307" t="s">
        <v>2016</v>
      </c>
      <c r="C173" s="308"/>
      <c r="D173" s="308"/>
      <c r="E173" s="320">
        <v>2.1</v>
      </c>
      <c r="F173" s="320">
        <v>0.4</v>
      </c>
      <c r="G173" s="320">
        <v>11.9</v>
      </c>
      <c r="H173" s="320">
        <v>1.8</v>
      </c>
      <c r="I173" s="320">
        <v>0.5</v>
      </c>
      <c r="J173" s="320">
        <v>1.0</v>
      </c>
      <c r="K173" s="320">
        <v>1.6</v>
      </c>
      <c r="L173" s="320">
        <v>13.0</v>
      </c>
      <c r="M173" s="320">
        <v>85.9</v>
      </c>
      <c r="N173" s="324">
        <v>-1.6</v>
      </c>
      <c r="O173" t="str">
        <f>IFERROR(__xludf.DUMMYFUNCTION("regexextract(B173,""[\w]* [\w]*"")"),"James WisemanO")</f>
        <v>James WisemanO</v>
      </c>
      <c r="P173" t="str">
        <f t="shared" si="2"/>
        <v>James WisemanO</v>
      </c>
      <c r="Q173" t="str">
        <f t="shared" si="3"/>
        <v>James Wiseman</v>
      </c>
      <c r="R173" t="s">
        <v>1850</v>
      </c>
      <c r="S173" s="276" t="s">
        <v>1850</v>
      </c>
      <c r="T173" t="s">
        <v>1850</v>
      </c>
      <c r="U173" t="s">
        <v>1850</v>
      </c>
      <c r="V173" t="s">
        <v>34</v>
      </c>
      <c r="W173" t="str">
        <f t="shared" si="1"/>
        <v>C</v>
      </c>
    </row>
    <row r="174">
      <c r="A174" s="309">
        <v>166.0</v>
      </c>
      <c r="B174" s="310" t="s">
        <v>2017</v>
      </c>
      <c r="C174" s="311"/>
      <c r="D174" s="311"/>
      <c r="E174" s="321">
        <v>3.0</v>
      </c>
      <c r="F174" s="321">
        <v>0.0</v>
      </c>
      <c r="G174" s="321">
        <v>10.2</v>
      </c>
      <c r="H174" s="321">
        <v>0.8</v>
      </c>
      <c r="I174" s="321">
        <v>0.4</v>
      </c>
      <c r="J174" s="321">
        <v>2.1</v>
      </c>
      <c r="K174" s="321">
        <v>1.5</v>
      </c>
      <c r="L174" s="321">
        <v>12.0</v>
      </c>
      <c r="M174" s="321">
        <v>15.7</v>
      </c>
      <c r="N174" s="322">
        <f>+14.2</f>
        <v>14.2</v>
      </c>
      <c r="O174" t="str">
        <f>IFERROR(__xludf.DUMMYFUNCTION("regexextract(B174,""[\w]* [\w]*"")"),"Daniel Gafford")</f>
        <v>Daniel Gafford</v>
      </c>
      <c r="P174" t="str">
        <f t="shared" si="2"/>
        <v>Daniel Gafford</v>
      </c>
      <c r="Q174" t="str">
        <f t="shared" si="3"/>
        <v>Daniel Gafford</v>
      </c>
      <c r="R174" t="s">
        <v>1850</v>
      </c>
      <c r="S174" s="276" t="s">
        <v>1850</v>
      </c>
      <c r="T174" t="s">
        <v>1850</v>
      </c>
      <c r="U174" t="s">
        <v>49</v>
      </c>
      <c r="V174" t="s">
        <v>34</v>
      </c>
      <c r="W174" t="str">
        <f t="shared" si="1"/>
        <v>PFC</v>
      </c>
    </row>
    <row r="175">
      <c r="A175" s="306">
        <v>167.0</v>
      </c>
      <c r="B175" s="307" t="s">
        <v>2018</v>
      </c>
      <c r="C175" s="308"/>
      <c r="D175" s="308"/>
      <c r="E175" s="320">
        <v>1.0</v>
      </c>
      <c r="F175" s="320">
        <v>3.0</v>
      </c>
      <c r="G175" s="320">
        <v>3.7</v>
      </c>
      <c r="H175" s="320">
        <v>1.9</v>
      </c>
      <c r="I175" s="320">
        <v>0.7</v>
      </c>
      <c r="J175" s="320">
        <v>0.2</v>
      </c>
      <c r="K175" s="320">
        <v>1.0</v>
      </c>
      <c r="L175" s="320">
        <v>14.1</v>
      </c>
      <c r="M175" s="320">
        <v>50.2</v>
      </c>
      <c r="N175" s="323">
        <f>+4.4</f>
        <v>4.4</v>
      </c>
      <c r="O175" t="str">
        <f>IFERROR(__xludf.DUMMYFUNCTION("regexextract(B175,""[\w]* [\w]*"")"),"Goran Dragic")</f>
        <v>Goran Dragic</v>
      </c>
      <c r="P175" t="str">
        <f t="shared" si="2"/>
        <v>Goran Dragic</v>
      </c>
      <c r="Q175" t="str">
        <f t="shared" si="3"/>
        <v>Goran Dragic</v>
      </c>
      <c r="R175" t="s">
        <v>46</v>
      </c>
      <c r="S175" s="276" t="s">
        <v>1850</v>
      </c>
      <c r="T175" t="s">
        <v>1850</v>
      </c>
      <c r="U175" t="s">
        <v>1850</v>
      </c>
      <c r="V175" t="s">
        <v>34</v>
      </c>
      <c r="W175" t="str">
        <f t="shared" si="1"/>
        <v>PGC</v>
      </c>
    </row>
    <row r="176">
      <c r="A176" s="309">
        <v>168.0</v>
      </c>
      <c r="B176" s="310" t="s">
        <v>2019</v>
      </c>
      <c r="C176" s="311"/>
      <c r="D176" s="311"/>
      <c r="E176" s="321">
        <v>1.9</v>
      </c>
      <c r="F176" s="321">
        <v>3.0</v>
      </c>
      <c r="G176" s="321">
        <v>3.9</v>
      </c>
      <c r="H176" s="321">
        <v>2.1</v>
      </c>
      <c r="I176" s="321">
        <v>0.8</v>
      </c>
      <c r="J176" s="321">
        <v>0.2</v>
      </c>
      <c r="K176" s="321">
        <v>1.5</v>
      </c>
      <c r="L176" s="321">
        <v>17.2</v>
      </c>
      <c r="M176" s="321">
        <v>69.7</v>
      </c>
      <c r="N176" s="325">
        <v>-2.6</v>
      </c>
      <c r="O176" t="str">
        <f>IFERROR(__xludf.DUMMYFUNCTION("regexextract(B176,""[\w]* [\w]*"")"),"Kevin Huerter")</f>
        <v>Kevin Huerter</v>
      </c>
      <c r="P176" t="str">
        <f t="shared" si="2"/>
        <v>Kevin Huerter</v>
      </c>
      <c r="Q176" t="str">
        <f t="shared" si="3"/>
        <v>Kevin Huerter</v>
      </c>
      <c r="R176" t="s">
        <v>1850</v>
      </c>
      <c r="S176" s="276" t="s">
        <v>47</v>
      </c>
      <c r="T176" t="s">
        <v>48</v>
      </c>
      <c r="U176" t="s">
        <v>1850</v>
      </c>
      <c r="V176" t="s">
        <v>1850</v>
      </c>
      <c r="W176" t="str">
        <f t="shared" si="1"/>
        <v>SGSF</v>
      </c>
    </row>
    <row r="177">
      <c r="A177" s="306">
        <v>169.0</v>
      </c>
      <c r="B177" s="307" t="s">
        <v>2020</v>
      </c>
      <c r="C177" s="308"/>
      <c r="D177" s="308"/>
      <c r="E177" s="320">
        <v>2.2</v>
      </c>
      <c r="F177" s="320">
        <v>2.0</v>
      </c>
      <c r="G177" s="320">
        <v>6.1</v>
      </c>
      <c r="H177" s="320">
        <v>2.0</v>
      </c>
      <c r="I177" s="320">
        <v>0.5</v>
      </c>
      <c r="J177" s="320">
        <v>0.6</v>
      </c>
      <c r="K177" s="320">
        <v>1.8</v>
      </c>
      <c r="L177" s="320">
        <v>15.0</v>
      </c>
      <c r="M177" s="320">
        <v>74.3</v>
      </c>
      <c r="N177" s="324">
        <v>-1.8</v>
      </c>
      <c r="O177" t="str">
        <f>IFERROR(__xludf.DUMMYFUNCTION("regexextract(B177,""[\w]* [\w]*"")"),"Alec Burks")</f>
        <v>Alec Burks</v>
      </c>
      <c r="P177" t="str">
        <f t="shared" si="2"/>
        <v>Alec Burks</v>
      </c>
      <c r="Q177" t="str">
        <f t="shared" si="3"/>
        <v>Alec Burks</v>
      </c>
      <c r="R177" t="s">
        <v>1850</v>
      </c>
      <c r="S177" s="276" t="s">
        <v>47</v>
      </c>
      <c r="T177" t="s">
        <v>1850</v>
      </c>
      <c r="U177" t="s">
        <v>1850</v>
      </c>
      <c r="V177" t="s">
        <v>34</v>
      </c>
      <c r="W177" t="str">
        <f t="shared" si="1"/>
        <v>SGC</v>
      </c>
    </row>
    <row r="178">
      <c r="A178" s="309">
        <v>170.0</v>
      </c>
      <c r="B178" s="310" t="s">
        <v>2021</v>
      </c>
      <c r="C178" s="311"/>
      <c r="D178" s="311"/>
      <c r="E178" s="321">
        <v>0.6</v>
      </c>
      <c r="F178" s="321">
        <v>0.2</v>
      </c>
      <c r="G178" s="321">
        <v>3.1</v>
      </c>
      <c r="H178" s="321">
        <v>5.5</v>
      </c>
      <c r="I178" s="321">
        <v>1.4</v>
      </c>
      <c r="J178" s="321">
        <v>0.3</v>
      </c>
      <c r="K178" s="321">
        <v>1.6</v>
      </c>
      <c r="L178" s="321">
        <v>7.5</v>
      </c>
      <c r="M178" s="321">
        <v>65.3</v>
      </c>
      <c r="N178" s="325">
        <v>-5.6</v>
      </c>
      <c r="O178" t="str">
        <f>IFERROR(__xludf.DUMMYFUNCTION("regexextract(B178,""[\w]* [\w]*"")"),"Aleksej Pokusevski")</f>
        <v>Aleksej Pokusevski</v>
      </c>
      <c r="P178" t="str">
        <f t="shared" si="2"/>
        <v>Aleksej Pokusevski</v>
      </c>
      <c r="Q178" t="str">
        <f t="shared" si="3"/>
        <v>Aleksej Pokusevski</v>
      </c>
      <c r="R178" t="s">
        <v>1850</v>
      </c>
      <c r="S178" s="276" t="s">
        <v>1850</v>
      </c>
      <c r="T178" t="s">
        <v>1850</v>
      </c>
      <c r="U178" t="s">
        <v>49</v>
      </c>
      <c r="V178" t="s">
        <v>34</v>
      </c>
      <c r="W178" t="str">
        <f t="shared" si="1"/>
        <v>PFC</v>
      </c>
    </row>
    <row r="179">
      <c r="A179" s="306">
        <v>171.0</v>
      </c>
      <c r="B179" s="307" t="s">
        <v>2022</v>
      </c>
      <c r="C179" s="308"/>
      <c r="D179" s="308"/>
      <c r="E179" s="320">
        <v>3.1</v>
      </c>
      <c r="F179" s="320">
        <v>2.8</v>
      </c>
      <c r="G179" s="320">
        <v>6.5</v>
      </c>
      <c r="H179" s="320">
        <v>1.2</v>
      </c>
      <c r="I179" s="320">
        <v>0.7</v>
      </c>
      <c r="J179" s="320">
        <v>0.4</v>
      </c>
      <c r="K179" s="320">
        <v>1.4</v>
      </c>
      <c r="L179" s="320">
        <v>17.8</v>
      </c>
      <c r="M179" s="320">
        <v>23.9</v>
      </c>
      <c r="N179" s="323">
        <f>+11.6</f>
        <v>11.6</v>
      </c>
      <c r="O179" t="str">
        <f>IFERROR(__xludf.DUMMYFUNCTION("regexextract(B179,""[\w]* [\w]*"")"),"Evan Mobley")</f>
        <v>Evan Mobley</v>
      </c>
      <c r="P179" t="str">
        <f t="shared" si="2"/>
        <v>Evan Mobley</v>
      </c>
      <c r="Q179" t="str">
        <f t="shared" si="3"/>
        <v>Evan Mobley</v>
      </c>
      <c r="R179" t="s">
        <v>1850</v>
      </c>
      <c r="S179" s="276" t="s">
        <v>1850</v>
      </c>
      <c r="T179" t="s">
        <v>1850</v>
      </c>
      <c r="U179" t="s">
        <v>49</v>
      </c>
      <c r="V179" t="s">
        <v>34</v>
      </c>
      <c r="W179" t="str">
        <f t="shared" si="1"/>
        <v>PFC</v>
      </c>
    </row>
    <row r="180">
      <c r="A180" s="309">
        <v>172.0</v>
      </c>
      <c r="B180" s="310" t="s">
        <v>2023</v>
      </c>
      <c r="C180" s="311"/>
      <c r="D180" s="311"/>
      <c r="E180" s="321">
        <v>2.8</v>
      </c>
      <c r="F180" s="321">
        <v>0.7</v>
      </c>
      <c r="G180" s="321">
        <v>8.0</v>
      </c>
      <c r="H180" s="321">
        <v>1.9</v>
      </c>
      <c r="I180" s="321">
        <v>0.4</v>
      </c>
      <c r="J180" s="321">
        <v>1.1</v>
      </c>
      <c r="K180" s="321">
        <v>1.3</v>
      </c>
      <c r="L180" s="321">
        <v>14.9</v>
      </c>
      <c r="M180" s="321">
        <v>49.2</v>
      </c>
      <c r="N180" s="325">
        <v>-7.5</v>
      </c>
      <c r="O180" t="str">
        <f>IFERROR(__xludf.DUMMYFUNCTION("regexextract(B180,""[\w]* [\w]*"")"),"Dorian Finney")</f>
        <v>Dorian Finney</v>
      </c>
      <c r="P180" t="str">
        <f t="shared" si="2"/>
        <v>Dorian Finney</v>
      </c>
      <c r="Q180" t="str">
        <f t="shared" si="3"/>
        <v>Dorian Finney</v>
      </c>
      <c r="R180" t="s">
        <v>1850</v>
      </c>
      <c r="S180" s="276" t="s">
        <v>1850</v>
      </c>
      <c r="T180" t="s">
        <v>48</v>
      </c>
      <c r="U180" t="s">
        <v>49</v>
      </c>
      <c r="V180" t="s">
        <v>1850</v>
      </c>
      <c r="W180" t="str">
        <f t="shared" si="1"/>
        <v>SFPF</v>
      </c>
    </row>
    <row r="181">
      <c r="A181" s="306">
        <v>173.0</v>
      </c>
      <c r="B181" s="307" t="s">
        <v>2024</v>
      </c>
      <c r="C181" s="308"/>
      <c r="D181" s="308"/>
      <c r="E181" s="320">
        <v>2.9</v>
      </c>
      <c r="F181" s="320">
        <v>1.2</v>
      </c>
      <c r="G181" s="320">
        <v>3.8</v>
      </c>
      <c r="H181" s="320">
        <v>1.4</v>
      </c>
      <c r="I181" s="320">
        <v>1.1</v>
      </c>
      <c r="J181" s="320">
        <v>0.5</v>
      </c>
      <c r="K181" s="320">
        <v>1.2</v>
      </c>
      <c r="L181" s="320">
        <v>17.6</v>
      </c>
      <c r="M181" s="320">
        <v>50.9</v>
      </c>
      <c r="N181" s="324">
        <v>-7.1</v>
      </c>
      <c r="O181" t="str">
        <f>IFERROR(__xludf.DUMMYFUNCTION("regexextract(B181,""[\w]* [\w]*"")"),"Chuma OkekeDTD")</f>
        <v>Chuma OkekeDTD</v>
      </c>
      <c r="P181" t="str">
        <f t="shared" si="2"/>
        <v>Chuma Okeke</v>
      </c>
      <c r="Q181" t="str">
        <f t="shared" si="3"/>
        <v>Chuma Okeke</v>
      </c>
      <c r="R181" t="s">
        <v>1850</v>
      </c>
      <c r="S181" s="276" t="s">
        <v>1850</v>
      </c>
      <c r="T181" t="s">
        <v>1850</v>
      </c>
      <c r="U181" t="s">
        <v>49</v>
      </c>
      <c r="V181" t="s">
        <v>34</v>
      </c>
      <c r="W181" t="str">
        <f t="shared" si="1"/>
        <v>PFC</v>
      </c>
    </row>
    <row r="182">
      <c r="A182" s="309">
        <v>174.0</v>
      </c>
      <c r="B182" s="310" t="s">
        <v>2025</v>
      </c>
      <c r="C182" s="311"/>
      <c r="D182" s="311"/>
      <c r="E182" s="321">
        <v>3.9</v>
      </c>
      <c r="F182" s="321">
        <v>2.6</v>
      </c>
      <c r="G182" s="321">
        <v>4.0</v>
      </c>
      <c r="H182" s="321">
        <v>2.0</v>
      </c>
      <c r="I182" s="321">
        <v>0.6</v>
      </c>
      <c r="J182" s="321">
        <v>0.1</v>
      </c>
      <c r="K182" s="321">
        <v>2.0</v>
      </c>
      <c r="L182" s="321">
        <v>18.1</v>
      </c>
      <c r="M182" s="321">
        <v>55.7</v>
      </c>
      <c r="N182" s="325">
        <v>-0.2</v>
      </c>
      <c r="O182" t="str">
        <f>IFERROR(__xludf.DUMMYFUNCTION("regexextract(B182,""[\w]* [\w]*"")"),"Khem Birch")</f>
        <v>Khem Birch</v>
      </c>
      <c r="P182" t="str">
        <f t="shared" si="2"/>
        <v>Khem Birch</v>
      </c>
      <c r="Q182" t="str">
        <f t="shared" si="3"/>
        <v>Khem Birch</v>
      </c>
      <c r="R182" t="s">
        <v>1850</v>
      </c>
      <c r="S182" s="276" t="s">
        <v>1850</v>
      </c>
      <c r="T182" t="s">
        <v>1850</v>
      </c>
      <c r="U182" t="s">
        <v>1850</v>
      </c>
      <c r="V182" t="s">
        <v>34</v>
      </c>
      <c r="W182" t="str">
        <f t="shared" si="1"/>
        <v>C</v>
      </c>
    </row>
    <row r="183">
      <c r="A183" s="306">
        <v>175.0</v>
      </c>
      <c r="B183" s="307" t="s">
        <v>2026</v>
      </c>
      <c r="C183" s="308"/>
      <c r="D183" s="308"/>
      <c r="E183" s="320">
        <v>2.8</v>
      </c>
      <c r="F183" s="320">
        <v>0.0</v>
      </c>
      <c r="G183" s="320">
        <v>9.1</v>
      </c>
      <c r="H183" s="320">
        <v>2.0</v>
      </c>
      <c r="I183" s="320">
        <v>1.0</v>
      </c>
      <c r="J183" s="320">
        <v>0.8</v>
      </c>
      <c r="K183" s="320">
        <v>1.5</v>
      </c>
      <c r="L183" s="320">
        <v>9.7</v>
      </c>
      <c r="M183" s="320">
        <v>17.5</v>
      </c>
      <c r="N183" s="323">
        <f>+7.4</f>
        <v>7.4</v>
      </c>
      <c r="O183" t="str">
        <f>IFERROR(__xludf.DUMMYFUNCTION("regexextract(B183,""[\w]* [\w]*"")"),"Terance Mann")</f>
        <v>Terance Mann</v>
      </c>
      <c r="P183" t="str">
        <f t="shared" si="2"/>
        <v>Terance Mann</v>
      </c>
      <c r="Q183" t="str">
        <f t="shared" si="3"/>
        <v>Terance Mann</v>
      </c>
      <c r="R183" t="s">
        <v>1850</v>
      </c>
      <c r="S183" s="276" t="s">
        <v>1850</v>
      </c>
      <c r="T183" t="s">
        <v>48</v>
      </c>
      <c r="U183" t="s">
        <v>1850</v>
      </c>
      <c r="V183" t="s">
        <v>34</v>
      </c>
      <c r="W183" t="str">
        <f t="shared" si="1"/>
        <v>SFC</v>
      </c>
    </row>
    <row r="184">
      <c r="A184" s="309">
        <v>176.0</v>
      </c>
      <c r="B184" s="310" t="s">
        <v>2027</v>
      </c>
      <c r="C184" s="311"/>
      <c r="D184" s="311"/>
      <c r="E184" s="321">
        <v>1.5</v>
      </c>
      <c r="F184" s="321">
        <v>1.3</v>
      </c>
      <c r="G184" s="321">
        <v>7.6</v>
      </c>
      <c r="H184" s="321">
        <v>1.4</v>
      </c>
      <c r="I184" s="321">
        <v>0.8</v>
      </c>
      <c r="J184" s="321">
        <v>0.4</v>
      </c>
      <c r="K184" s="321">
        <v>1.2</v>
      </c>
      <c r="L184" s="321">
        <v>13.0</v>
      </c>
      <c r="M184" s="321">
        <v>13.8</v>
      </c>
      <c r="N184" s="322">
        <f>+4.6</f>
        <v>4.6</v>
      </c>
      <c r="O184" t="str">
        <f>IFERROR(__xludf.DUMMYFUNCTION("regexextract(B184,""[\w]* [\w]*"")"),"Larry Nance")</f>
        <v>Larry Nance</v>
      </c>
      <c r="P184" t="str">
        <f t="shared" si="2"/>
        <v>Larry Nance</v>
      </c>
      <c r="Q184" t="str">
        <f t="shared" si="3"/>
        <v>Larry Nance</v>
      </c>
      <c r="R184" t="s">
        <v>1850</v>
      </c>
      <c r="S184" s="276" t="s">
        <v>1850</v>
      </c>
      <c r="T184" t="s">
        <v>1850</v>
      </c>
      <c r="U184" t="s">
        <v>49</v>
      </c>
      <c r="V184" t="s">
        <v>34</v>
      </c>
      <c r="W184" t="str">
        <f t="shared" si="1"/>
        <v>PFC</v>
      </c>
    </row>
    <row r="185">
      <c r="A185" s="306">
        <v>177.0</v>
      </c>
      <c r="B185" s="307" t="s">
        <v>2028</v>
      </c>
      <c r="C185" s="308"/>
      <c r="D185" s="308"/>
      <c r="E185" s="320">
        <v>2.8</v>
      </c>
      <c r="F185" s="320">
        <v>0.0</v>
      </c>
      <c r="G185" s="320">
        <v>8.4</v>
      </c>
      <c r="H185" s="320">
        <v>3.3</v>
      </c>
      <c r="I185" s="320">
        <v>0.7</v>
      </c>
      <c r="J185" s="320">
        <v>0.8</v>
      </c>
      <c r="K185" s="320">
        <v>1.7</v>
      </c>
      <c r="L185" s="320">
        <v>9.6</v>
      </c>
      <c r="M185" s="320">
        <v>59.5</v>
      </c>
      <c r="N185" s="324">
        <v>-13.6</v>
      </c>
      <c r="O185" t="str">
        <f>IFERROR(__xludf.DUMMYFUNCTION("regexextract(B185,""[\w]* [\w]*"")"),"Franz Wagner")</f>
        <v>Franz Wagner</v>
      </c>
      <c r="P185" t="str">
        <f t="shared" si="2"/>
        <v>Franz Wagner</v>
      </c>
      <c r="Q185" t="str">
        <f t="shared" si="3"/>
        <v>Franz Wagner</v>
      </c>
      <c r="R185" t="s">
        <v>1850</v>
      </c>
      <c r="S185" s="276" t="s">
        <v>1850</v>
      </c>
      <c r="T185" t="s">
        <v>48</v>
      </c>
      <c r="U185" t="s">
        <v>1850</v>
      </c>
      <c r="V185" t="s">
        <v>1850</v>
      </c>
      <c r="W185" t="str">
        <f t="shared" si="1"/>
        <v>SF</v>
      </c>
    </row>
    <row r="186">
      <c r="A186" s="309">
        <v>178.0</v>
      </c>
      <c r="B186" s="310" t="s">
        <v>2029</v>
      </c>
      <c r="C186" s="311"/>
      <c r="D186" s="311"/>
      <c r="E186" s="321">
        <v>2.5</v>
      </c>
      <c r="F186" s="321">
        <v>1.0</v>
      </c>
      <c r="G186" s="321">
        <v>3.4</v>
      </c>
      <c r="H186" s="321">
        <v>6.4</v>
      </c>
      <c r="I186" s="321">
        <v>1.3</v>
      </c>
      <c r="J186" s="321">
        <v>0.1</v>
      </c>
      <c r="K186" s="321">
        <v>1.9</v>
      </c>
      <c r="L186" s="321">
        <v>9.5</v>
      </c>
      <c r="M186" s="321">
        <v>8.7</v>
      </c>
      <c r="N186" s="322">
        <f>+2.9</f>
        <v>2.9</v>
      </c>
      <c r="O186" t="str">
        <f>IFERROR(__xludf.DUMMYFUNCTION("regexextract(B186,""[\w]* [\w]*"")"),"Coby WhiteO")</f>
        <v>Coby WhiteO</v>
      </c>
      <c r="P186" t="str">
        <f t="shared" si="2"/>
        <v>Coby WhiteO</v>
      </c>
      <c r="Q186" t="str">
        <f t="shared" si="3"/>
        <v>Coby White</v>
      </c>
      <c r="R186" t="s">
        <v>46</v>
      </c>
      <c r="S186" s="276" t="s">
        <v>1850</v>
      </c>
      <c r="T186" t="s">
        <v>1850</v>
      </c>
      <c r="U186" t="s">
        <v>1850</v>
      </c>
      <c r="V186" t="s">
        <v>34</v>
      </c>
      <c r="W186" t="str">
        <f t="shared" si="1"/>
        <v>PGC</v>
      </c>
    </row>
    <row r="187">
      <c r="A187" s="306">
        <v>179.0</v>
      </c>
      <c r="B187" s="307" t="s">
        <v>2030</v>
      </c>
      <c r="C187" s="308"/>
      <c r="D187" s="308"/>
      <c r="E187" s="320">
        <v>1.8</v>
      </c>
      <c r="F187" s="320">
        <v>2.7</v>
      </c>
      <c r="G187" s="320">
        <v>3.4</v>
      </c>
      <c r="H187" s="320">
        <v>2.1</v>
      </c>
      <c r="I187" s="320">
        <v>1.0</v>
      </c>
      <c r="J187" s="320">
        <v>0.5</v>
      </c>
      <c r="K187" s="320">
        <v>1.3</v>
      </c>
      <c r="L187" s="320">
        <v>18.8</v>
      </c>
      <c r="M187" s="320">
        <v>88.5</v>
      </c>
      <c r="N187" s="324">
        <v>-2.1</v>
      </c>
      <c r="O187" t="str">
        <f>IFERROR(__xludf.DUMMYFUNCTION("regexextract(B187,""[\w]* [\w]*"")"),"Blake Griffin")</f>
        <v>Blake Griffin</v>
      </c>
      <c r="P187" t="str">
        <f t="shared" si="2"/>
        <v>Blake Griffin</v>
      </c>
      <c r="Q187" t="str">
        <f t="shared" si="3"/>
        <v>Blake Griffin</v>
      </c>
      <c r="R187" t="s">
        <v>1850</v>
      </c>
      <c r="S187" s="276" t="s">
        <v>1850</v>
      </c>
      <c r="T187" t="s">
        <v>1850</v>
      </c>
      <c r="U187" t="s">
        <v>49</v>
      </c>
      <c r="V187" t="s">
        <v>1850</v>
      </c>
      <c r="W187" t="str">
        <f t="shared" si="1"/>
        <v>PF</v>
      </c>
    </row>
    <row r="188">
      <c r="A188" s="309">
        <v>180.0</v>
      </c>
      <c r="B188" s="310" t="s">
        <v>2031</v>
      </c>
      <c r="C188" s="311"/>
      <c r="D188" s="311"/>
      <c r="E188" s="321">
        <v>2.2</v>
      </c>
      <c r="F188" s="321">
        <v>1.6</v>
      </c>
      <c r="G188" s="321">
        <v>5.9</v>
      </c>
      <c r="H188" s="321">
        <v>2.4</v>
      </c>
      <c r="I188" s="321">
        <v>0.9</v>
      </c>
      <c r="J188" s="321">
        <v>0.5</v>
      </c>
      <c r="K188" s="321">
        <v>1.5</v>
      </c>
      <c r="L188" s="321">
        <v>11.4</v>
      </c>
      <c r="M188" s="321">
        <v>62.7</v>
      </c>
      <c r="N188" s="325">
        <v>-10.5</v>
      </c>
      <c r="O188" t="str">
        <f>IFERROR(__xludf.DUMMYFUNCTION("regexextract(B188,""[\w]* [\w]*"")"),"Rudy GayO")</f>
        <v>Rudy GayO</v>
      </c>
      <c r="P188" t="str">
        <f t="shared" si="2"/>
        <v>Rudy GayO</v>
      </c>
      <c r="Q188" t="str">
        <f t="shared" si="3"/>
        <v>Rudy Gay</v>
      </c>
      <c r="R188" t="s">
        <v>1850</v>
      </c>
      <c r="S188" s="276" t="s">
        <v>1850</v>
      </c>
      <c r="T188" t="s">
        <v>1850</v>
      </c>
      <c r="U188" t="s">
        <v>49</v>
      </c>
      <c r="V188" t="s">
        <v>1850</v>
      </c>
      <c r="W188" t="str">
        <f t="shared" si="1"/>
        <v>PF</v>
      </c>
    </row>
    <row r="189">
      <c r="A189" s="306">
        <v>181.0</v>
      </c>
      <c r="B189" s="307" t="s">
        <v>2032</v>
      </c>
      <c r="C189" s="308"/>
      <c r="D189" s="308"/>
      <c r="E189" s="320">
        <v>1.8</v>
      </c>
      <c r="F189" s="320">
        <v>1.3</v>
      </c>
      <c r="G189" s="320">
        <v>2.6</v>
      </c>
      <c r="H189" s="320">
        <v>4.1</v>
      </c>
      <c r="I189" s="320">
        <v>0.9</v>
      </c>
      <c r="J189" s="320">
        <v>0.3</v>
      </c>
      <c r="K189" s="320">
        <v>0.9</v>
      </c>
      <c r="L189" s="320">
        <v>12.6</v>
      </c>
      <c r="M189" s="320">
        <v>3.9</v>
      </c>
      <c r="N189" s="323">
        <f>+2</f>
        <v>2</v>
      </c>
      <c r="O189" t="str">
        <f>IFERROR(__xludf.DUMMYFUNCTION("regexextract(B189,""[\w]* [\w]*"")"),"Josh Hart")</f>
        <v>Josh Hart</v>
      </c>
      <c r="P189" t="str">
        <f t="shared" si="2"/>
        <v>Josh Hart</v>
      </c>
      <c r="Q189" t="str">
        <f t="shared" si="3"/>
        <v>Josh Hart</v>
      </c>
      <c r="R189" t="s">
        <v>1850</v>
      </c>
      <c r="S189" s="276" t="s">
        <v>47</v>
      </c>
      <c r="T189" t="s">
        <v>48</v>
      </c>
      <c r="U189" t="s">
        <v>1850</v>
      </c>
      <c r="V189" t="s">
        <v>1850</v>
      </c>
      <c r="W189" t="str">
        <f t="shared" si="1"/>
        <v>SGSF</v>
      </c>
    </row>
    <row r="190">
      <c r="A190" s="309">
        <v>182.0</v>
      </c>
      <c r="B190" s="310" t="s">
        <v>2033</v>
      </c>
      <c r="C190" s="311"/>
      <c r="D190" s="311"/>
      <c r="E190" s="321">
        <v>4.9</v>
      </c>
      <c r="F190" s="321">
        <v>1.7</v>
      </c>
      <c r="G190" s="321">
        <v>3.1</v>
      </c>
      <c r="H190" s="321">
        <v>6.8</v>
      </c>
      <c r="I190" s="321">
        <v>1.1</v>
      </c>
      <c r="J190" s="321">
        <v>0.7</v>
      </c>
      <c r="K190" s="321">
        <v>3.3</v>
      </c>
      <c r="L190" s="321">
        <v>18.8</v>
      </c>
      <c r="M190" s="321">
        <v>63.9</v>
      </c>
      <c r="N190" s="325">
        <v>-11.4</v>
      </c>
      <c r="O190" t="str">
        <f>IFERROR(__xludf.DUMMYFUNCTION("regexextract(B190,""[\w]* [\w]*"")"),"Kenrich Williams")</f>
        <v>Kenrich Williams</v>
      </c>
      <c r="P190" t="str">
        <f t="shared" si="2"/>
        <v>Kenrich Williams</v>
      </c>
      <c r="Q190" t="str">
        <f t="shared" si="3"/>
        <v>Kenrich Williams</v>
      </c>
      <c r="R190" t="s">
        <v>1850</v>
      </c>
      <c r="S190" s="276" t="s">
        <v>1850</v>
      </c>
      <c r="T190" t="s">
        <v>48</v>
      </c>
      <c r="U190" t="s">
        <v>1850</v>
      </c>
      <c r="V190" t="s">
        <v>34</v>
      </c>
      <c r="W190" t="str">
        <f t="shared" si="1"/>
        <v>SFC</v>
      </c>
    </row>
    <row r="191">
      <c r="A191" s="306">
        <v>183.0</v>
      </c>
      <c r="B191" s="307" t="s">
        <v>2034</v>
      </c>
      <c r="C191" s="308"/>
      <c r="D191" s="308"/>
      <c r="E191" s="320">
        <v>2.1</v>
      </c>
      <c r="F191" s="320">
        <v>0.9</v>
      </c>
      <c r="G191" s="320">
        <v>5.4</v>
      </c>
      <c r="H191" s="320">
        <v>3.2</v>
      </c>
      <c r="I191" s="320">
        <v>1.1</v>
      </c>
      <c r="J191" s="320">
        <v>0.7</v>
      </c>
      <c r="K191" s="320">
        <v>1.2</v>
      </c>
      <c r="L191" s="320">
        <v>10.1</v>
      </c>
      <c r="M191" s="320">
        <v>63.1</v>
      </c>
      <c r="N191" s="324">
        <v>-12.7</v>
      </c>
      <c r="O191" t="str">
        <f>IFERROR(__xludf.DUMMYFUNCTION("regexextract(B191,""[\w]* [\w]*"")"),"Terence Davis")</f>
        <v>Terence Davis</v>
      </c>
      <c r="P191" t="str">
        <f t="shared" si="2"/>
        <v>Terence Davis</v>
      </c>
      <c r="Q191" t="str">
        <f t="shared" si="3"/>
        <v>Terence Davis</v>
      </c>
      <c r="R191" t="s">
        <v>1850</v>
      </c>
      <c r="S191" s="276" t="s">
        <v>47</v>
      </c>
      <c r="T191" t="s">
        <v>1850</v>
      </c>
      <c r="U191" t="s">
        <v>1850</v>
      </c>
      <c r="V191" t="s">
        <v>34</v>
      </c>
      <c r="W191" t="str">
        <f t="shared" si="1"/>
        <v>SGC</v>
      </c>
    </row>
    <row r="192">
      <c r="A192" s="309">
        <v>184.0</v>
      </c>
      <c r="B192" s="310" t="s">
        <v>2035</v>
      </c>
      <c r="C192" s="311"/>
      <c r="D192" s="311"/>
      <c r="E192" s="321">
        <v>3.5</v>
      </c>
      <c r="F192" s="321">
        <v>1.8</v>
      </c>
      <c r="G192" s="321">
        <v>3.9</v>
      </c>
      <c r="H192" s="321">
        <v>5.1</v>
      </c>
      <c r="I192" s="321">
        <v>0.8</v>
      </c>
      <c r="J192" s="321">
        <v>0.3</v>
      </c>
      <c r="K192" s="321">
        <v>3.3</v>
      </c>
      <c r="L192" s="321">
        <v>16.1</v>
      </c>
      <c r="M192" s="321">
        <v>70.7</v>
      </c>
      <c r="N192" s="325">
        <v>-3.2</v>
      </c>
      <c r="O192" t="str">
        <f>IFERROR(__xludf.DUMMYFUNCTION("regexextract(B192,""[\w]* [\w]*"")"),"Tomas Satoransky")</f>
        <v>Tomas Satoransky</v>
      </c>
      <c r="P192" t="str">
        <f t="shared" si="2"/>
        <v>Tomas Satoransky</v>
      </c>
      <c r="Q192" t="str">
        <f t="shared" si="3"/>
        <v>Tomas Satoransky</v>
      </c>
      <c r="R192" t="s">
        <v>46</v>
      </c>
      <c r="S192" s="276" t="s">
        <v>47</v>
      </c>
      <c r="T192" t="s">
        <v>1850</v>
      </c>
      <c r="U192" t="s">
        <v>1850</v>
      </c>
      <c r="V192" t="s">
        <v>1850</v>
      </c>
      <c r="W192" t="str">
        <f t="shared" si="1"/>
        <v>PGSG</v>
      </c>
    </row>
    <row r="193">
      <c r="A193" s="306">
        <v>185.0</v>
      </c>
      <c r="B193" s="307" t="s">
        <v>2036</v>
      </c>
      <c r="C193" s="308"/>
      <c r="D193" s="308"/>
      <c r="E193" s="320">
        <v>2.4</v>
      </c>
      <c r="F193" s="320">
        <v>0.6</v>
      </c>
      <c r="G193" s="320">
        <v>6.3</v>
      </c>
      <c r="H193" s="320">
        <v>2.7</v>
      </c>
      <c r="I193" s="320">
        <v>0.6</v>
      </c>
      <c r="J193" s="320">
        <v>1.2</v>
      </c>
      <c r="K193" s="320">
        <v>1.6</v>
      </c>
      <c r="L193" s="320">
        <v>9.7</v>
      </c>
      <c r="M193" s="320">
        <v>7.2</v>
      </c>
      <c r="N193" s="323">
        <f>+1</f>
        <v>1</v>
      </c>
      <c r="O193" t="str">
        <f>IFERROR(__xludf.DUMMYFUNCTION("regexextract(B193,""[\w]* [\w]*"")"),"Kendrick Nunn")</f>
        <v>Kendrick Nunn</v>
      </c>
      <c r="P193" t="str">
        <f t="shared" si="2"/>
        <v>Kendrick Nunn</v>
      </c>
      <c r="Q193" t="str">
        <f t="shared" si="3"/>
        <v>Kendrick Nunn</v>
      </c>
      <c r="R193" t="s">
        <v>1850</v>
      </c>
      <c r="S193" s="276" t="s">
        <v>47</v>
      </c>
      <c r="T193" t="s">
        <v>1850</v>
      </c>
      <c r="U193" t="s">
        <v>1850</v>
      </c>
      <c r="V193" t="s">
        <v>34</v>
      </c>
      <c r="W193" t="str">
        <f t="shared" si="1"/>
        <v>SGC</v>
      </c>
    </row>
    <row r="194">
      <c r="A194" s="309">
        <v>186.0</v>
      </c>
      <c r="B194" s="310" t="s">
        <v>2037</v>
      </c>
      <c r="C194" s="311"/>
      <c r="D194" s="311"/>
      <c r="E194" s="321">
        <v>2.1</v>
      </c>
      <c r="F194" s="321">
        <v>2.1</v>
      </c>
      <c r="G194" s="321">
        <v>4.8</v>
      </c>
      <c r="H194" s="321">
        <v>3.0</v>
      </c>
      <c r="I194" s="321">
        <v>0.7</v>
      </c>
      <c r="J194" s="321">
        <v>0.3</v>
      </c>
      <c r="K194" s="321">
        <v>1.8</v>
      </c>
      <c r="L194" s="321">
        <v>14.8</v>
      </c>
      <c r="M194" s="321">
        <v>44.5</v>
      </c>
      <c r="N194" s="322">
        <f>+0.7</f>
        <v>0.7</v>
      </c>
      <c r="O194" t="str">
        <f>IFERROR(__xludf.DUMMYFUNCTION("regexextract(B194,""[\w]* [\w]*"")"),"Luguentz Dort")</f>
        <v>Luguentz Dort</v>
      </c>
      <c r="P194" t="str">
        <f t="shared" si="2"/>
        <v>Luguentz Dort</v>
      </c>
      <c r="Q194" t="str">
        <f t="shared" si="3"/>
        <v>Luguentz Dort</v>
      </c>
      <c r="R194" t="s">
        <v>1850</v>
      </c>
      <c r="S194" s="276" t="s">
        <v>47</v>
      </c>
      <c r="T194" t="s">
        <v>48</v>
      </c>
      <c r="U194" t="s">
        <v>1850</v>
      </c>
      <c r="V194" t="s">
        <v>34</v>
      </c>
      <c r="W194" t="str">
        <f t="shared" si="1"/>
        <v>SGSFC</v>
      </c>
    </row>
    <row r="195">
      <c r="A195" s="306">
        <v>187.0</v>
      </c>
      <c r="B195" s="307" t="s">
        <v>2038</v>
      </c>
      <c r="C195" s="308"/>
      <c r="D195" s="308"/>
      <c r="E195" s="320">
        <v>2.5</v>
      </c>
      <c r="F195" s="320">
        <v>0.7</v>
      </c>
      <c r="G195" s="320">
        <v>7.3</v>
      </c>
      <c r="H195" s="320">
        <v>2.3</v>
      </c>
      <c r="I195" s="320">
        <v>1.1</v>
      </c>
      <c r="J195" s="320">
        <v>0.8</v>
      </c>
      <c r="K195" s="320">
        <v>2.4</v>
      </c>
      <c r="L195" s="320">
        <v>11.6</v>
      </c>
      <c r="M195" s="320">
        <v>2.8</v>
      </c>
      <c r="N195" s="323">
        <f>+1.3</f>
        <v>1.3</v>
      </c>
      <c r="O195" t="str">
        <f>IFERROR(__xludf.DUMMYFUNCTION("regexextract(B195,""[\w]* [\w]*"")"),"Shake Milton")</f>
        <v>Shake Milton</v>
      </c>
      <c r="P195" t="str">
        <f t="shared" si="2"/>
        <v>Shake Milton</v>
      </c>
      <c r="Q195" t="str">
        <f t="shared" si="3"/>
        <v>Shake Milton</v>
      </c>
      <c r="R195" t="s">
        <v>46</v>
      </c>
      <c r="S195" s="276" t="s">
        <v>47</v>
      </c>
      <c r="T195" t="s">
        <v>1850</v>
      </c>
      <c r="U195" t="s">
        <v>1850</v>
      </c>
      <c r="V195" t="s">
        <v>1850</v>
      </c>
      <c r="W195" t="str">
        <f t="shared" si="1"/>
        <v>PGSG</v>
      </c>
    </row>
    <row r="196">
      <c r="A196" s="309">
        <v>188.0</v>
      </c>
      <c r="B196" s="310" t="s">
        <v>2039</v>
      </c>
      <c r="C196" s="311"/>
      <c r="D196" s="311"/>
      <c r="E196" s="321">
        <v>2.7</v>
      </c>
      <c r="F196" s="321">
        <v>0.0</v>
      </c>
      <c r="G196" s="321">
        <v>9.4</v>
      </c>
      <c r="H196" s="321">
        <v>1.4</v>
      </c>
      <c r="I196" s="321">
        <v>1.1</v>
      </c>
      <c r="J196" s="321">
        <v>0.9</v>
      </c>
      <c r="K196" s="321">
        <v>1.9</v>
      </c>
      <c r="L196" s="321">
        <v>9.9</v>
      </c>
      <c r="M196" s="321">
        <v>52.2</v>
      </c>
      <c r="N196" s="325">
        <v>-6.2</v>
      </c>
      <c r="O196" t="str">
        <f>IFERROR(__xludf.DUMMYFUNCTION("regexextract(B196,""[\w]* [\w]*"")"),"Nicolas Batum")</f>
        <v>Nicolas Batum</v>
      </c>
      <c r="P196" t="str">
        <f t="shared" si="2"/>
        <v>Nicolas Batum</v>
      </c>
      <c r="Q196" t="str">
        <f t="shared" si="3"/>
        <v>Nicolas Batum</v>
      </c>
      <c r="R196" t="s">
        <v>1850</v>
      </c>
      <c r="S196" s="276" t="s">
        <v>47</v>
      </c>
      <c r="T196" t="s">
        <v>48</v>
      </c>
      <c r="U196" t="s">
        <v>1850</v>
      </c>
      <c r="V196" t="s">
        <v>34</v>
      </c>
      <c r="W196" t="str">
        <f t="shared" si="1"/>
        <v>SGSFC</v>
      </c>
    </row>
    <row r="197">
      <c r="A197" s="306">
        <v>189.0</v>
      </c>
      <c r="B197" s="307" t="s">
        <v>2040</v>
      </c>
      <c r="C197" s="308"/>
      <c r="D197" s="308"/>
      <c r="E197" s="320">
        <v>3.1</v>
      </c>
      <c r="F197" s="320">
        <v>1.3</v>
      </c>
      <c r="G197" s="320">
        <v>4.4</v>
      </c>
      <c r="H197" s="320">
        <v>2.2</v>
      </c>
      <c r="I197" s="320">
        <v>1.1</v>
      </c>
      <c r="J197" s="320">
        <v>0.6</v>
      </c>
      <c r="K197" s="320">
        <v>1.4</v>
      </c>
      <c r="L197" s="320">
        <v>12.3</v>
      </c>
      <c r="M197" s="320">
        <v>3.3</v>
      </c>
      <c r="N197" s="323">
        <f>+1.5</f>
        <v>1.5</v>
      </c>
      <c r="O197" t="str">
        <f>IFERROR(__xludf.DUMMYFUNCTION("regexextract(B197,""[\w]* [\w]*"")"),"Jaxson Hayes")</f>
        <v>Jaxson Hayes</v>
      </c>
      <c r="P197" t="str">
        <f t="shared" si="2"/>
        <v>Jaxson Hayes</v>
      </c>
      <c r="Q197" t="str">
        <f t="shared" si="3"/>
        <v>Jaxson Hayes</v>
      </c>
      <c r="R197" t="s">
        <v>1850</v>
      </c>
      <c r="S197" s="276" t="s">
        <v>1850</v>
      </c>
      <c r="T197" t="s">
        <v>1850</v>
      </c>
      <c r="U197" t="s">
        <v>1850</v>
      </c>
      <c r="V197" t="s">
        <v>34</v>
      </c>
      <c r="W197" t="str">
        <f t="shared" si="1"/>
        <v>C</v>
      </c>
    </row>
    <row r="198">
      <c r="A198" s="309">
        <v>190.0</v>
      </c>
      <c r="B198" s="310" t="s">
        <v>2041</v>
      </c>
      <c r="C198" s="311"/>
      <c r="D198" s="311"/>
      <c r="E198" s="321">
        <v>2.6</v>
      </c>
      <c r="F198" s="321">
        <v>1.0</v>
      </c>
      <c r="G198" s="321">
        <v>2.6</v>
      </c>
      <c r="H198" s="321">
        <v>4.4</v>
      </c>
      <c r="I198" s="321">
        <v>0.9</v>
      </c>
      <c r="J198" s="321">
        <v>0.4</v>
      </c>
      <c r="K198" s="321">
        <v>1.7</v>
      </c>
      <c r="L198" s="321">
        <v>15.3</v>
      </c>
      <c r="M198" s="321">
        <v>67.5</v>
      </c>
      <c r="N198" s="325">
        <v>-9.7</v>
      </c>
      <c r="O198" t="str">
        <f>IFERROR(__xludf.DUMMYFUNCTION("regexextract(B198,""[\w]* [\w]*"")"),"Matisse Thybulle")</f>
        <v>Matisse Thybulle</v>
      </c>
      <c r="P198" t="str">
        <f t="shared" si="2"/>
        <v>Matisse Thybulle</v>
      </c>
      <c r="Q198" t="str">
        <f t="shared" si="3"/>
        <v>Matisse Thybulle</v>
      </c>
      <c r="R198" t="s">
        <v>1850</v>
      </c>
      <c r="S198" s="276" t="s">
        <v>47</v>
      </c>
      <c r="T198" t="s">
        <v>48</v>
      </c>
      <c r="U198" t="s">
        <v>1850</v>
      </c>
      <c r="V198" t="s">
        <v>1850</v>
      </c>
      <c r="W198" t="str">
        <f t="shared" si="1"/>
        <v>SGSF</v>
      </c>
    </row>
    <row r="199">
      <c r="A199" s="306">
        <v>191.0</v>
      </c>
      <c r="B199" s="307" t="s">
        <v>2042</v>
      </c>
      <c r="C199" s="308"/>
      <c r="D199" s="308"/>
      <c r="E199" s="320">
        <v>3.0</v>
      </c>
      <c r="F199" s="320">
        <v>1.2</v>
      </c>
      <c r="G199" s="320">
        <v>5.9</v>
      </c>
      <c r="H199" s="320">
        <v>3.3</v>
      </c>
      <c r="I199" s="320">
        <v>0.7</v>
      </c>
      <c r="J199" s="320">
        <v>0.7</v>
      </c>
      <c r="K199" s="320">
        <v>1.9</v>
      </c>
      <c r="L199" s="320">
        <v>12.6</v>
      </c>
      <c r="M199" s="320">
        <v>18.9</v>
      </c>
      <c r="N199" s="323">
        <f>+2.5</f>
        <v>2.5</v>
      </c>
      <c r="O199" t="str">
        <f>IFERROR(__xludf.DUMMYFUNCTION("regexextract(B199,""[\w]* [\w]*"")"),"Royce O")</f>
        <v>Royce O</v>
      </c>
      <c r="P199" t="str">
        <f t="shared" si="2"/>
        <v>Royce O</v>
      </c>
      <c r="Q199" t="str">
        <f t="shared" si="3"/>
        <v>Royce </v>
      </c>
      <c r="R199" t="s">
        <v>1850</v>
      </c>
      <c r="S199" s="276" t="s">
        <v>1850</v>
      </c>
      <c r="T199" t="s">
        <v>48</v>
      </c>
      <c r="U199" t="s">
        <v>49</v>
      </c>
      <c r="V199" t="s">
        <v>34</v>
      </c>
      <c r="W199" t="str">
        <f t="shared" si="1"/>
        <v>SFPFC</v>
      </c>
    </row>
    <row r="200">
      <c r="A200" s="309">
        <v>192.0</v>
      </c>
      <c r="B200" s="310" t="s">
        <v>2043</v>
      </c>
      <c r="C200" s="311"/>
      <c r="D200" s="311"/>
      <c r="E200" s="321">
        <v>2.0</v>
      </c>
      <c r="F200" s="321">
        <v>1.5</v>
      </c>
      <c r="G200" s="321">
        <v>5.1</v>
      </c>
      <c r="H200" s="321">
        <v>1.6</v>
      </c>
      <c r="I200" s="321">
        <v>1.0</v>
      </c>
      <c r="J200" s="321">
        <v>0.7</v>
      </c>
      <c r="K200" s="321">
        <v>1.5</v>
      </c>
      <c r="L200" s="321">
        <v>10.9</v>
      </c>
      <c r="M200" s="321">
        <v>5.8</v>
      </c>
      <c r="N200" s="322">
        <f>+1.5</f>
        <v>1.5</v>
      </c>
      <c r="O200" t="str">
        <f>IFERROR(__xludf.DUMMYFUNCTION("regexextract(B200,""[\w]* [\w]*"")"),"Devin Vassell")</f>
        <v>Devin Vassell</v>
      </c>
      <c r="P200" t="str">
        <f t="shared" si="2"/>
        <v>Devin Vassell</v>
      </c>
      <c r="Q200" t="str">
        <f t="shared" si="3"/>
        <v>Devin Vassell</v>
      </c>
      <c r="R200" t="s">
        <v>1850</v>
      </c>
      <c r="S200" s="276" t="s">
        <v>47</v>
      </c>
      <c r="T200" t="s">
        <v>48</v>
      </c>
      <c r="U200" t="s">
        <v>1850</v>
      </c>
      <c r="V200" t="s">
        <v>1850</v>
      </c>
      <c r="W200" t="str">
        <f t="shared" si="1"/>
        <v>SGSF</v>
      </c>
    </row>
    <row r="201">
      <c r="A201" s="306">
        <v>193.0</v>
      </c>
      <c r="B201" s="307" t="s">
        <v>2044</v>
      </c>
      <c r="C201" s="308"/>
      <c r="D201" s="308"/>
      <c r="E201" s="320">
        <v>2.4</v>
      </c>
      <c r="F201" s="320">
        <v>0.6</v>
      </c>
      <c r="G201" s="320">
        <v>3.5</v>
      </c>
      <c r="H201" s="320">
        <v>5.5</v>
      </c>
      <c r="I201" s="320">
        <v>1.2</v>
      </c>
      <c r="J201" s="320">
        <v>0.2</v>
      </c>
      <c r="K201" s="320">
        <v>2.3</v>
      </c>
      <c r="L201" s="320">
        <v>13.7</v>
      </c>
      <c r="M201" s="320">
        <v>39.4</v>
      </c>
      <c r="N201" s="324">
        <v>-12.1</v>
      </c>
      <c r="O201" t="str">
        <f>IFERROR(__xludf.DUMMYFUNCTION("regexextract(B201,""[\w]* [\w]*"")"),"Victor OladipoO")</f>
        <v>Victor OladipoO</v>
      </c>
      <c r="P201" t="str">
        <f t="shared" si="2"/>
        <v>Victor OladipoO</v>
      </c>
      <c r="Q201" t="str">
        <f t="shared" si="3"/>
        <v>Victor Oladipo</v>
      </c>
      <c r="R201" t="s">
        <v>1850</v>
      </c>
      <c r="S201" s="276" t="s">
        <v>47</v>
      </c>
      <c r="T201" t="s">
        <v>1850</v>
      </c>
      <c r="U201" t="s">
        <v>1850</v>
      </c>
      <c r="V201" t="s">
        <v>34</v>
      </c>
      <c r="W201" t="str">
        <f t="shared" si="1"/>
        <v>SGC</v>
      </c>
    </row>
    <row r="202">
      <c r="A202" s="309">
        <v>194.0</v>
      </c>
      <c r="B202" s="310" t="s">
        <v>2045</v>
      </c>
      <c r="C202" s="311"/>
      <c r="D202" s="311"/>
      <c r="E202" s="321">
        <v>3.3</v>
      </c>
      <c r="F202" s="321">
        <v>1.7</v>
      </c>
      <c r="G202" s="321">
        <v>7.5</v>
      </c>
      <c r="H202" s="321">
        <v>1.8</v>
      </c>
      <c r="I202" s="321">
        <v>0.6</v>
      </c>
      <c r="J202" s="321">
        <v>0.5</v>
      </c>
      <c r="K202" s="321">
        <v>2.3</v>
      </c>
      <c r="L202" s="321">
        <v>14.9</v>
      </c>
      <c r="M202" s="321">
        <v>5.8</v>
      </c>
      <c r="N202" s="322">
        <f t="shared" ref="N202:N203" si="8">+1.4</f>
        <v>1.4</v>
      </c>
      <c r="O202" t="str">
        <f>IFERROR(__xludf.DUMMYFUNCTION("regexextract(B202,""[\w]* [\w]*"")"),"Davis Bertans")</f>
        <v>Davis Bertans</v>
      </c>
      <c r="P202" t="str">
        <f t="shared" si="2"/>
        <v>Davis Bertans</v>
      </c>
      <c r="Q202" t="str">
        <f t="shared" si="3"/>
        <v>Davis Bertans</v>
      </c>
      <c r="R202" t="s">
        <v>1850</v>
      </c>
      <c r="S202" s="276" t="s">
        <v>1850</v>
      </c>
      <c r="T202" t="s">
        <v>1850</v>
      </c>
      <c r="U202" t="s">
        <v>49</v>
      </c>
      <c r="V202" t="s">
        <v>1850</v>
      </c>
      <c r="W202" t="str">
        <f t="shared" si="1"/>
        <v>PF</v>
      </c>
    </row>
    <row r="203">
      <c r="A203" s="306">
        <v>195.0</v>
      </c>
      <c r="B203" s="307" t="s">
        <v>2046</v>
      </c>
      <c r="C203" s="308"/>
      <c r="D203" s="308"/>
      <c r="E203" s="320">
        <v>1.9</v>
      </c>
      <c r="F203" s="320">
        <v>1.8</v>
      </c>
      <c r="G203" s="320">
        <v>6.0</v>
      </c>
      <c r="H203" s="320">
        <v>2.3</v>
      </c>
      <c r="I203" s="320">
        <v>1.0</v>
      </c>
      <c r="J203" s="320">
        <v>0.4</v>
      </c>
      <c r="K203" s="320">
        <v>1.1</v>
      </c>
      <c r="L203" s="320">
        <v>13.0</v>
      </c>
      <c r="M203" s="320">
        <v>2.9</v>
      </c>
      <c r="N203" s="323">
        <f t="shared" si="8"/>
        <v>1.4</v>
      </c>
      <c r="O203" t="str">
        <f>IFERROR(__xludf.DUMMYFUNCTION("regexextract(B203,""[\w]* [\w]*"")"),"Kevin Love")</f>
        <v>Kevin Love</v>
      </c>
      <c r="P203" t="str">
        <f t="shared" si="2"/>
        <v>Kevin Love</v>
      </c>
      <c r="Q203" t="str">
        <f t="shared" si="3"/>
        <v>Kevin Love</v>
      </c>
      <c r="R203" t="s">
        <v>1850</v>
      </c>
      <c r="S203" s="276" t="s">
        <v>1850</v>
      </c>
      <c r="T203" t="s">
        <v>1850</v>
      </c>
      <c r="U203" t="s">
        <v>49</v>
      </c>
      <c r="V203" t="s">
        <v>34</v>
      </c>
      <c r="W203" t="str">
        <f t="shared" si="1"/>
        <v>PFC</v>
      </c>
    </row>
    <row r="204">
      <c r="A204" s="309">
        <v>196.0</v>
      </c>
      <c r="B204" s="310" t="s">
        <v>2047</v>
      </c>
      <c r="C204" s="311"/>
      <c r="D204" s="311"/>
      <c r="E204" s="321">
        <v>1.9</v>
      </c>
      <c r="F204" s="321">
        <v>1.0</v>
      </c>
      <c r="G204" s="321">
        <v>7.5</v>
      </c>
      <c r="H204" s="321">
        <v>1.6</v>
      </c>
      <c r="I204" s="321">
        <v>0.3</v>
      </c>
      <c r="J204" s="321">
        <v>1.1</v>
      </c>
      <c r="K204" s="321">
        <v>1.4</v>
      </c>
      <c r="L204" s="321">
        <v>13.4</v>
      </c>
      <c r="M204" s="321">
        <v>7.3</v>
      </c>
      <c r="N204" s="322">
        <f>+0.2</f>
        <v>0.2</v>
      </c>
      <c r="O204" t="str">
        <f>IFERROR(__xludf.DUMMYFUNCTION("regexextract(B204,""[\w]* [\w]*"")"),"Jeremy Lamb")</f>
        <v>Jeremy Lamb</v>
      </c>
      <c r="P204" t="str">
        <f t="shared" si="2"/>
        <v>Jeremy Lamb</v>
      </c>
      <c r="Q204" t="str">
        <f t="shared" si="3"/>
        <v>Jeremy Lamb</v>
      </c>
      <c r="R204" t="s">
        <v>1850</v>
      </c>
      <c r="S204" s="276" t="s">
        <v>47</v>
      </c>
      <c r="T204" t="s">
        <v>48</v>
      </c>
      <c r="U204" t="s">
        <v>1850</v>
      </c>
      <c r="V204" t="s">
        <v>1850</v>
      </c>
      <c r="W204" t="str">
        <f t="shared" si="1"/>
        <v>SGSF</v>
      </c>
    </row>
    <row r="205">
      <c r="A205" s="306">
        <v>197.0</v>
      </c>
      <c r="B205" s="307" t="s">
        <v>2048</v>
      </c>
      <c r="C205" s="308"/>
      <c r="D205" s="308"/>
      <c r="E205" s="320">
        <v>0.8</v>
      </c>
      <c r="F205" s="320">
        <v>1.5</v>
      </c>
      <c r="G205" s="320">
        <v>5.5</v>
      </c>
      <c r="H205" s="320">
        <v>2.9</v>
      </c>
      <c r="I205" s="320">
        <v>0.7</v>
      </c>
      <c r="J205" s="320">
        <v>0.8</v>
      </c>
      <c r="K205" s="320">
        <v>0.9</v>
      </c>
      <c r="L205" s="320">
        <v>11.3</v>
      </c>
      <c r="M205" s="320">
        <v>57.1</v>
      </c>
      <c r="N205" s="324">
        <v>-14.7</v>
      </c>
      <c r="O205" t="str">
        <f>IFERROR(__xludf.DUMMYFUNCTION("regexextract(B205,""[\w]* [\w]*"")"),"Bruce Brown")</f>
        <v>Bruce Brown</v>
      </c>
      <c r="P205" t="str">
        <f t="shared" si="2"/>
        <v>Bruce Brown</v>
      </c>
      <c r="Q205" t="str">
        <f t="shared" si="3"/>
        <v>Bruce Brown</v>
      </c>
      <c r="R205" t="s">
        <v>1850</v>
      </c>
      <c r="S205" s="276" t="s">
        <v>47</v>
      </c>
      <c r="T205" t="s">
        <v>1850</v>
      </c>
      <c r="U205" t="s">
        <v>1850</v>
      </c>
      <c r="V205" t="s">
        <v>34</v>
      </c>
      <c r="W205" t="str">
        <f t="shared" si="1"/>
        <v>SGC</v>
      </c>
    </row>
    <row r="206">
      <c r="A206" s="309">
        <v>198.0</v>
      </c>
      <c r="B206" s="310" t="s">
        <v>2049</v>
      </c>
      <c r="C206" s="311"/>
      <c r="D206" s="311"/>
      <c r="E206" s="321">
        <v>3.1</v>
      </c>
      <c r="F206" s="321">
        <v>1.5</v>
      </c>
      <c r="G206" s="321">
        <v>5.1</v>
      </c>
      <c r="H206" s="321">
        <v>1.2</v>
      </c>
      <c r="I206" s="321">
        <v>1.0</v>
      </c>
      <c r="J206" s="321">
        <v>0.7</v>
      </c>
      <c r="K206" s="321">
        <v>1.2</v>
      </c>
      <c r="L206" s="321">
        <v>14.1</v>
      </c>
      <c r="M206" s="321">
        <v>46.8</v>
      </c>
      <c r="N206" s="325">
        <v>-7.8</v>
      </c>
      <c r="O206" t="str">
        <f>IFERROR(__xludf.DUMMYFUNCTION("regexextract(B206,""[\w]* [\w]*"")"),"Derrick Favors")</f>
        <v>Derrick Favors</v>
      </c>
      <c r="P206" t="str">
        <f t="shared" si="2"/>
        <v>Derrick Favors</v>
      </c>
      <c r="Q206" t="str">
        <f t="shared" si="3"/>
        <v>Derrick Favors</v>
      </c>
      <c r="R206" t="s">
        <v>1850</v>
      </c>
      <c r="S206" s="276" t="s">
        <v>1850</v>
      </c>
      <c r="T206" t="s">
        <v>1850</v>
      </c>
      <c r="U206" t="s">
        <v>49</v>
      </c>
      <c r="V206" t="s">
        <v>34</v>
      </c>
      <c r="W206" t="str">
        <f t="shared" si="1"/>
        <v>PFC</v>
      </c>
    </row>
    <row r="207">
      <c r="A207" s="306">
        <v>199.0</v>
      </c>
      <c r="B207" s="307" t="s">
        <v>2050</v>
      </c>
      <c r="C207" s="308"/>
      <c r="D207" s="308"/>
      <c r="E207" s="320">
        <v>3.0</v>
      </c>
      <c r="F207" s="320">
        <v>2.0</v>
      </c>
      <c r="G207" s="320">
        <v>3.2</v>
      </c>
      <c r="H207" s="320">
        <v>2.3</v>
      </c>
      <c r="I207" s="320">
        <v>1.1</v>
      </c>
      <c r="J207" s="320">
        <v>0.4</v>
      </c>
      <c r="K207" s="320">
        <v>1.8</v>
      </c>
      <c r="L207" s="320">
        <v>17.4</v>
      </c>
      <c r="M207" s="320">
        <v>44.4</v>
      </c>
      <c r="N207" s="324">
        <v>-7.4</v>
      </c>
      <c r="O207" t="str">
        <f>IFERROR(__xludf.DUMMYFUNCTION("regexextract(B207,""[\w]* [\w]*"")"),"Ish Smith")</f>
        <v>Ish Smith</v>
      </c>
      <c r="P207" t="str">
        <f t="shared" si="2"/>
        <v>Ish Smith</v>
      </c>
      <c r="Q207" t="str">
        <f t="shared" si="3"/>
        <v>Ish Smith</v>
      </c>
      <c r="R207" t="s">
        <v>46</v>
      </c>
      <c r="S207" s="276" t="s">
        <v>1850</v>
      </c>
      <c r="T207" t="s">
        <v>1850</v>
      </c>
      <c r="U207" t="s">
        <v>1850</v>
      </c>
      <c r="V207" t="s">
        <v>34</v>
      </c>
      <c r="W207" t="str">
        <f t="shared" si="1"/>
        <v>PGC</v>
      </c>
    </row>
    <row r="208">
      <c r="A208" s="309">
        <v>200.0</v>
      </c>
      <c r="B208" s="310" t="s">
        <v>2051</v>
      </c>
      <c r="C208" s="311"/>
      <c r="D208" s="311"/>
      <c r="E208" s="321">
        <v>3.0</v>
      </c>
      <c r="F208" s="321">
        <v>0.8</v>
      </c>
      <c r="G208" s="321">
        <v>6.1</v>
      </c>
      <c r="H208" s="321">
        <v>1.6</v>
      </c>
      <c r="I208" s="321">
        <v>0.9</v>
      </c>
      <c r="J208" s="321">
        <v>0.1</v>
      </c>
      <c r="K208" s="321">
        <v>1.2</v>
      </c>
      <c r="L208" s="321">
        <v>14.9</v>
      </c>
      <c r="M208" s="321">
        <v>10.2</v>
      </c>
      <c r="N208" s="322">
        <f>+1</f>
        <v>1</v>
      </c>
      <c r="O208" t="str">
        <f>IFERROR(__xludf.DUMMYFUNCTION("regexextract(B208,""[\w]* [\w]*"")"),"Cedi Osman")</f>
        <v>Cedi Osman</v>
      </c>
      <c r="P208" t="str">
        <f t="shared" si="2"/>
        <v>Cedi Osman</v>
      </c>
      <c r="Q208" t="str">
        <f t="shared" si="3"/>
        <v>Cedi Osman</v>
      </c>
      <c r="R208" t="s">
        <v>1850</v>
      </c>
      <c r="S208" s="276" t="s">
        <v>1850</v>
      </c>
      <c r="T208" t="s">
        <v>48</v>
      </c>
      <c r="U208" t="s">
        <v>1850</v>
      </c>
      <c r="V208" t="s">
        <v>34</v>
      </c>
      <c r="W208" t="str">
        <f t="shared" si="1"/>
        <v>SFC</v>
      </c>
    </row>
    <row r="209">
      <c r="A209" s="298" t="s">
        <v>1844</v>
      </c>
      <c r="C209" s="298" t="s">
        <v>1845</v>
      </c>
      <c r="E209" s="316"/>
      <c r="F209" s="316"/>
      <c r="G209" s="316"/>
      <c r="H209" s="316"/>
      <c r="I209" s="316"/>
      <c r="J209" s="316"/>
      <c r="K209" s="316"/>
      <c r="L209" s="316"/>
      <c r="M209" s="316" t="s">
        <v>1950</v>
      </c>
      <c r="N209" s="316"/>
      <c r="O209" t="str">
        <f>IFERROR(__xludf.DUMMYFUNCTION("regexextract(B209,""[\w]* [\w]*"")"),"#N/A")</f>
        <v>#N/A</v>
      </c>
      <c r="P209" t="str">
        <f t="shared" si="2"/>
        <v>#N/A</v>
      </c>
      <c r="Q209" t="str">
        <f t="shared" si="3"/>
        <v>#N/A</v>
      </c>
      <c r="R209" t="s">
        <v>1850</v>
      </c>
      <c r="S209" s="276" t="s">
        <v>1850</v>
      </c>
      <c r="T209" t="s">
        <v>1850</v>
      </c>
      <c r="U209" t="s">
        <v>1850</v>
      </c>
      <c r="V209" t="s">
        <v>1850</v>
      </c>
      <c r="W209" t="str">
        <f t="shared" si="1"/>
        <v/>
      </c>
    </row>
    <row r="210">
      <c r="A210" s="301" t="s">
        <v>1846</v>
      </c>
      <c r="B210" s="302" t="s">
        <v>3</v>
      </c>
      <c r="C210" s="301" t="s">
        <v>1847</v>
      </c>
      <c r="D210" s="303" t="s">
        <v>1848</v>
      </c>
      <c r="E210" s="317" t="s">
        <v>428</v>
      </c>
      <c r="F210" s="318">
        <v>0.625</v>
      </c>
      <c r="G210" s="317" t="s">
        <v>110</v>
      </c>
      <c r="H210" s="317" t="s">
        <v>12</v>
      </c>
      <c r="I210" s="317" t="s">
        <v>13</v>
      </c>
      <c r="J210" s="317" t="s">
        <v>14</v>
      </c>
      <c r="K210" s="317" t="s">
        <v>15</v>
      </c>
      <c r="L210" s="317" t="s">
        <v>10</v>
      </c>
      <c r="M210" s="317" t="s">
        <v>1951</v>
      </c>
      <c r="N210" s="319" t="str">
        <f>+/-</f>
        <v>#ERROR!</v>
      </c>
      <c r="O210" t="str">
        <f>IFERROR(__xludf.DUMMYFUNCTION("regexextract(B210,""[\w]* [\w]*"")"),"#N/A")</f>
        <v>#N/A</v>
      </c>
      <c r="P210" t="str">
        <f t="shared" si="2"/>
        <v>#N/A</v>
      </c>
      <c r="Q210" t="str">
        <f t="shared" si="3"/>
        <v>#N/A</v>
      </c>
      <c r="R210" t="s">
        <v>1850</v>
      </c>
      <c r="S210" s="276" t="s">
        <v>1850</v>
      </c>
      <c r="T210" t="s">
        <v>1850</v>
      </c>
      <c r="U210" t="s">
        <v>1850</v>
      </c>
      <c r="V210" t="s">
        <v>1850</v>
      </c>
      <c r="W210" t="str">
        <f t="shared" si="1"/>
        <v/>
      </c>
    </row>
    <row r="211">
      <c r="A211" s="306">
        <v>201.0</v>
      </c>
      <c r="B211" s="307" t="s">
        <v>2052</v>
      </c>
      <c r="C211" s="308"/>
      <c r="D211" s="308"/>
      <c r="E211" s="320">
        <v>1.4</v>
      </c>
      <c r="F211" s="320">
        <v>2.3</v>
      </c>
      <c r="G211" s="320">
        <v>2.5</v>
      </c>
      <c r="H211" s="320">
        <v>2.8</v>
      </c>
      <c r="I211" s="320">
        <v>0.8</v>
      </c>
      <c r="J211" s="320">
        <v>0.2</v>
      </c>
      <c r="K211" s="320">
        <v>1.2</v>
      </c>
      <c r="L211" s="320">
        <v>13.1</v>
      </c>
      <c r="M211" s="320">
        <v>33.4</v>
      </c>
      <c r="N211" s="324">
        <v>-1.1</v>
      </c>
      <c r="O211" t="str">
        <f>IFERROR(__xludf.DUMMYFUNCTION("regexextract(B211,""[\w]* [\w]*"")"),"Cameron Johnson")</f>
        <v>Cameron Johnson</v>
      </c>
      <c r="P211" t="str">
        <f t="shared" si="2"/>
        <v>Cameron Johnson</v>
      </c>
      <c r="Q211" t="str">
        <f t="shared" si="3"/>
        <v>Cameron Johnson</v>
      </c>
      <c r="R211" t="s">
        <v>1850</v>
      </c>
      <c r="S211" s="276" t="s">
        <v>1850</v>
      </c>
      <c r="T211" t="s">
        <v>48</v>
      </c>
      <c r="U211" t="s">
        <v>1850</v>
      </c>
      <c r="V211" t="s">
        <v>34</v>
      </c>
      <c r="W211" t="str">
        <f t="shared" si="1"/>
        <v>SFC</v>
      </c>
    </row>
    <row r="212">
      <c r="A212" s="309">
        <v>202.0</v>
      </c>
      <c r="B212" s="310" t="s">
        <v>2053</v>
      </c>
      <c r="C212" s="311"/>
      <c r="D212" s="311"/>
      <c r="E212" s="321">
        <v>2.3</v>
      </c>
      <c r="F212" s="321">
        <v>2.3</v>
      </c>
      <c r="G212" s="321">
        <v>4.8</v>
      </c>
      <c r="H212" s="321">
        <v>1.2</v>
      </c>
      <c r="I212" s="321">
        <v>0.6</v>
      </c>
      <c r="J212" s="321">
        <v>0.3</v>
      </c>
      <c r="K212" s="321">
        <v>1.2</v>
      </c>
      <c r="L212" s="321">
        <v>14.6</v>
      </c>
      <c r="M212" s="321">
        <v>18.9</v>
      </c>
      <c r="N212" s="325">
        <v>-3.9</v>
      </c>
      <c r="O212" t="str">
        <f>IFERROR(__xludf.DUMMYFUNCTION("regexextract(B212,""[\w]* [\w]*"")"),"Tyus Jones")</f>
        <v>Tyus Jones</v>
      </c>
      <c r="P212" t="str">
        <f t="shared" si="2"/>
        <v>Tyus Jones</v>
      </c>
      <c r="Q212" t="str">
        <f t="shared" si="3"/>
        <v>Tyus Jones</v>
      </c>
      <c r="R212" t="s">
        <v>46</v>
      </c>
      <c r="S212" s="276" t="s">
        <v>1850</v>
      </c>
      <c r="T212" t="s">
        <v>1850</v>
      </c>
      <c r="U212" t="s">
        <v>1850</v>
      </c>
      <c r="V212" t="s">
        <v>1850</v>
      </c>
      <c r="W212" t="str">
        <f t="shared" si="1"/>
        <v>PG</v>
      </c>
    </row>
    <row r="213">
      <c r="A213" s="306">
        <v>203.0</v>
      </c>
      <c r="B213" s="307" t="s">
        <v>2054</v>
      </c>
      <c r="C213" s="308"/>
      <c r="D213" s="308"/>
      <c r="E213" s="320">
        <v>1.6</v>
      </c>
      <c r="F213" s="320">
        <v>2.1</v>
      </c>
      <c r="G213" s="320">
        <v>3.5</v>
      </c>
      <c r="H213" s="320">
        <v>1.5</v>
      </c>
      <c r="I213" s="320">
        <v>0.3</v>
      </c>
      <c r="J213" s="320">
        <v>0.1</v>
      </c>
      <c r="K213" s="320">
        <v>0.9</v>
      </c>
      <c r="L213" s="320">
        <v>14.9</v>
      </c>
      <c r="M213" s="320">
        <v>5.2</v>
      </c>
      <c r="N213" s="320">
        <v>0.0</v>
      </c>
      <c r="O213" t="str">
        <f>IFERROR(__xludf.DUMMYFUNCTION("regexextract(B213,""[\w]* [\w]*"")"),"Gary Trent")</f>
        <v>Gary Trent</v>
      </c>
      <c r="P213" t="str">
        <f t="shared" si="2"/>
        <v>Gary Trent</v>
      </c>
      <c r="Q213" t="str">
        <f t="shared" si="3"/>
        <v>Gary Trent</v>
      </c>
      <c r="R213" t="s">
        <v>1850</v>
      </c>
      <c r="S213" s="276" t="s">
        <v>47</v>
      </c>
      <c r="T213" t="s">
        <v>48</v>
      </c>
      <c r="U213" t="s">
        <v>1850</v>
      </c>
      <c r="V213" t="s">
        <v>1850</v>
      </c>
      <c r="W213" t="str">
        <f t="shared" si="1"/>
        <v>SGSF</v>
      </c>
    </row>
    <row r="214">
      <c r="A214" s="309">
        <v>204.0</v>
      </c>
      <c r="B214" s="310" t="s">
        <v>2055</v>
      </c>
      <c r="C214" s="311"/>
      <c r="D214" s="311"/>
      <c r="E214" s="321">
        <v>1.2</v>
      </c>
      <c r="F214" s="321">
        <v>0.0</v>
      </c>
      <c r="G214" s="321">
        <v>6.1</v>
      </c>
      <c r="H214" s="321">
        <v>0.7</v>
      </c>
      <c r="I214" s="321">
        <v>1.1</v>
      </c>
      <c r="J214" s="321">
        <v>2.1</v>
      </c>
      <c r="K214" s="321">
        <v>1.0</v>
      </c>
      <c r="L214" s="321">
        <v>5.4</v>
      </c>
      <c r="M214" s="321">
        <v>4.0</v>
      </c>
      <c r="N214" s="322">
        <f>+1.6</f>
        <v>1.6</v>
      </c>
      <c r="O214" t="str">
        <f>IFERROR(__xludf.DUMMYFUNCTION("regexextract(B214,""[\w]* [\w]*"")"),"Reggie BullockO")</f>
        <v>Reggie BullockO</v>
      </c>
      <c r="P214" t="str">
        <f t="shared" si="2"/>
        <v>Reggie BullockO</v>
      </c>
      <c r="Q214" t="str">
        <f t="shared" si="3"/>
        <v>Reggie Bullock</v>
      </c>
      <c r="R214" t="s">
        <v>1850</v>
      </c>
      <c r="S214" s="276" t="s">
        <v>47</v>
      </c>
      <c r="T214" t="s">
        <v>48</v>
      </c>
      <c r="U214" t="s">
        <v>1850</v>
      </c>
      <c r="V214" t="s">
        <v>34</v>
      </c>
      <c r="W214" t="str">
        <f t="shared" si="1"/>
        <v>SGSFC</v>
      </c>
    </row>
    <row r="215">
      <c r="A215" s="306">
        <v>205.0</v>
      </c>
      <c r="B215" s="307" t="s">
        <v>2056</v>
      </c>
      <c r="C215" s="308"/>
      <c r="D215" s="308"/>
      <c r="E215" s="320">
        <v>2.2</v>
      </c>
      <c r="F215" s="320">
        <v>0.9</v>
      </c>
      <c r="G215" s="320">
        <v>5.0</v>
      </c>
      <c r="H215" s="320">
        <v>1.8</v>
      </c>
      <c r="I215" s="320">
        <v>0.4</v>
      </c>
      <c r="J215" s="320">
        <v>1.1</v>
      </c>
      <c r="K215" s="320">
        <v>1.1</v>
      </c>
      <c r="L215" s="320">
        <v>13.6</v>
      </c>
      <c r="M215" s="320">
        <v>4.3</v>
      </c>
      <c r="N215" s="323">
        <f>+1.8</f>
        <v>1.8</v>
      </c>
      <c r="O215" t="str">
        <f>IFERROR(__xludf.DUMMYFUNCTION("regexextract(B215,""[\w]* [\w]*"")"),"Willie Cauley")</f>
        <v>Willie Cauley</v>
      </c>
      <c r="P215" t="str">
        <f t="shared" si="2"/>
        <v>Willie Cauley</v>
      </c>
      <c r="Q215" t="str">
        <f t="shared" si="3"/>
        <v>Willie Cauley</v>
      </c>
      <c r="R215" t="s">
        <v>1850</v>
      </c>
      <c r="S215" s="276" t="s">
        <v>1850</v>
      </c>
      <c r="T215" t="s">
        <v>1850</v>
      </c>
      <c r="U215" t="s">
        <v>1850</v>
      </c>
      <c r="V215" t="s">
        <v>34</v>
      </c>
      <c r="W215" t="str">
        <f t="shared" si="1"/>
        <v>C</v>
      </c>
    </row>
    <row r="216">
      <c r="A216" s="309">
        <v>206.0</v>
      </c>
      <c r="B216" s="310" t="s">
        <v>2057</v>
      </c>
      <c r="C216" s="311"/>
      <c r="D216" s="311"/>
      <c r="E216" s="321">
        <v>3.1</v>
      </c>
      <c r="F216" s="321">
        <v>0.0</v>
      </c>
      <c r="G216" s="321">
        <v>9.4</v>
      </c>
      <c r="H216" s="321">
        <v>0.2</v>
      </c>
      <c r="I216" s="321">
        <v>0.8</v>
      </c>
      <c r="J216" s="321">
        <v>1.2</v>
      </c>
      <c r="K216" s="321">
        <v>1.1</v>
      </c>
      <c r="L216" s="321">
        <v>9.1</v>
      </c>
      <c r="M216" s="321">
        <v>3.3</v>
      </c>
      <c r="N216" s="322">
        <f>+1.1</f>
        <v>1.1</v>
      </c>
      <c r="O216" t="str">
        <f>IFERROR(__xludf.DUMMYFUNCTION("regexextract(B216,""[\w]* [\w]*"")"),"Hamidou Diallo")</f>
        <v>Hamidou Diallo</v>
      </c>
      <c r="P216" t="str">
        <f t="shared" si="2"/>
        <v>Hamidou Diallo</v>
      </c>
      <c r="Q216" t="str">
        <f t="shared" si="3"/>
        <v>Hamidou Diall</v>
      </c>
      <c r="R216" t="s">
        <v>1850</v>
      </c>
      <c r="S216" s="276" t="s">
        <v>47</v>
      </c>
      <c r="T216" t="s">
        <v>1850</v>
      </c>
      <c r="U216" t="s">
        <v>1850</v>
      </c>
      <c r="V216" t="s">
        <v>1850</v>
      </c>
      <c r="W216" t="str">
        <f t="shared" si="1"/>
        <v>SG</v>
      </c>
    </row>
    <row r="217">
      <c r="A217" s="306">
        <v>207.0</v>
      </c>
      <c r="B217" s="307" t="s">
        <v>2058</v>
      </c>
      <c r="C217" s="308"/>
      <c r="D217" s="308"/>
      <c r="E217" s="320">
        <v>2.8</v>
      </c>
      <c r="F217" s="320">
        <v>1.3</v>
      </c>
      <c r="G217" s="320">
        <v>4.6</v>
      </c>
      <c r="H217" s="320">
        <v>4.0</v>
      </c>
      <c r="I217" s="320">
        <v>0.6</v>
      </c>
      <c r="J217" s="320">
        <v>0.4</v>
      </c>
      <c r="K217" s="320">
        <v>2.2</v>
      </c>
      <c r="L217" s="320">
        <v>13.3</v>
      </c>
      <c r="M217" s="320">
        <v>15.7</v>
      </c>
      <c r="N217" s="324">
        <v>-2.0</v>
      </c>
      <c r="O217" t="str">
        <f>IFERROR(__xludf.DUMMYFUNCTION("regexextract(B217,""[\w]* [\w]*"")"),"Carmelo AnthonyO")</f>
        <v>Carmelo AnthonyO</v>
      </c>
      <c r="P217" t="str">
        <f t="shared" si="2"/>
        <v>Carmelo AnthonyO</v>
      </c>
      <c r="Q217" t="str">
        <f t="shared" si="3"/>
        <v>Carmelo Anthony</v>
      </c>
      <c r="R217" t="s">
        <v>1850</v>
      </c>
      <c r="S217" s="276" t="s">
        <v>1850</v>
      </c>
      <c r="T217" t="s">
        <v>48</v>
      </c>
      <c r="U217" t="s">
        <v>49</v>
      </c>
      <c r="V217" t="s">
        <v>34</v>
      </c>
      <c r="W217" t="str">
        <f t="shared" si="1"/>
        <v>SFPFC</v>
      </c>
    </row>
    <row r="218">
      <c r="A218" s="309">
        <v>208.0</v>
      </c>
      <c r="B218" s="310" t="s">
        <v>2059</v>
      </c>
      <c r="C218" s="311"/>
      <c r="D218" s="311"/>
      <c r="E218" s="321">
        <v>1.0</v>
      </c>
      <c r="F218" s="321">
        <v>3.6</v>
      </c>
      <c r="G218" s="321">
        <v>3.4</v>
      </c>
      <c r="H218" s="321">
        <v>1.6</v>
      </c>
      <c r="I218" s="321">
        <v>0.6</v>
      </c>
      <c r="J218" s="321">
        <v>0.3</v>
      </c>
      <c r="K218" s="321">
        <v>1.1</v>
      </c>
      <c r="L218" s="321">
        <v>13.2</v>
      </c>
      <c r="M218" s="321">
        <v>13.9</v>
      </c>
      <c r="N218" s="322">
        <f>+0.3</f>
        <v>0.3</v>
      </c>
      <c r="O218" t="str">
        <f>IFERROR(__xludf.DUMMYFUNCTION("regexextract(B218,""[\w]* [\w]*"")"),"Naz Reid")</f>
        <v>Naz Reid</v>
      </c>
      <c r="P218" t="str">
        <f t="shared" si="2"/>
        <v>Naz Reid</v>
      </c>
      <c r="Q218" t="str">
        <f t="shared" si="3"/>
        <v>Naz Reid</v>
      </c>
      <c r="R218" t="s">
        <v>1850</v>
      </c>
      <c r="S218" s="276" t="s">
        <v>1850</v>
      </c>
      <c r="T218" t="s">
        <v>1850</v>
      </c>
      <c r="U218" t="s">
        <v>1850</v>
      </c>
      <c r="V218" t="s">
        <v>34</v>
      </c>
      <c r="W218" t="str">
        <f t="shared" si="1"/>
        <v>C</v>
      </c>
    </row>
    <row r="219">
      <c r="A219" s="306">
        <v>209.0</v>
      </c>
      <c r="B219" s="307" t="s">
        <v>2060</v>
      </c>
      <c r="C219" s="308"/>
      <c r="D219" s="308"/>
      <c r="E219" s="320">
        <v>2.0</v>
      </c>
      <c r="F219" s="320">
        <v>0.0</v>
      </c>
      <c r="G219" s="320">
        <v>9.4</v>
      </c>
      <c r="H219" s="320">
        <v>1.1</v>
      </c>
      <c r="I219" s="320">
        <v>0.4</v>
      </c>
      <c r="J219" s="320">
        <v>0.6</v>
      </c>
      <c r="K219" s="320">
        <v>1.0</v>
      </c>
      <c r="L219" s="320">
        <v>9.7</v>
      </c>
      <c r="M219" s="320">
        <v>12.9</v>
      </c>
      <c r="N219" s="324">
        <v>-1.7</v>
      </c>
      <c r="O219" t="str">
        <f>IFERROR(__xludf.DUMMYFUNCTION("regexextract(B219,""[\w]* [\w]*"")"),"Anthony Melton")</f>
        <v>Anthony Melton</v>
      </c>
      <c r="P219" t="str">
        <f t="shared" si="2"/>
        <v>Anthony Melton</v>
      </c>
      <c r="Q219" t="str">
        <f t="shared" si="3"/>
        <v>Anthony Melton</v>
      </c>
      <c r="R219" t="s">
        <v>46</v>
      </c>
      <c r="S219" s="276" t="s">
        <v>1850</v>
      </c>
      <c r="T219" t="s">
        <v>1850</v>
      </c>
      <c r="U219" t="s">
        <v>1850</v>
      </c>
      <c r="V219" t="s">
        <v>1850</v>
      </c>
      <c r="W219" t="str">
        <f t="shared" si="1"/>
        <v>PG</v>
      </c>
    </row>
    <row r="220">
      <c r="A220" s="309">
        <v>210.0</v>
      </c>
      <c r="B220" s="310" t="s">
        <v>2061</v>
      </c>
      <c r="C220" s="311"/>
      <c r="D220" s="311"/>
      <c r="E220" s="321">
        <v>2.5</v>
      </c>
      <c r="F220" s="321">
        <v>0.7</v>
      </c>
      <c r="G220" s="321">
        <v>3.2</v>
      </c>
      <c r="H220" s="321">
        <v>3.5</v>
      </c>
      <c r="I220" s="321">
        <v>1.2</v>
      </c>
      <c r="J220" s="321">
        <v>0.4</v>
      </c>
      <c r="K220" s="321">
        <v>2.0</v>
      </c>
      <c r="L220" s="321">
        <v>11.2</v>
      </c>
      <c r="M220" s="321">
        <v>4.0</v>
      </c>
      <c r="N220" s="322">
        <f>+1.3</f>
        <v>1.3</v>
      </c>
      <c r="O220" t="str">
        <f>IFERROR(__xludf.DUMMYFUNCTION("regexextract(B220,""[\w]* [\w]*"")"),"Nicolas Claxton")</f>
        <v>Nicolas Claxton</v>
      </c>
      <c r="P220" t="str">
        <f t="shared" si="2"/>
        <v>Nicolas Claxton</v>
      </c>
      <c r="Q220" t="str">
        <f t="shared" si="3"/>
        <v>Nicolas Claxton</v>
      </c>
      <c r="R220" t="s">
        <v>1850</v>
      </c>
      <c r="S220" s="276" t="s">
        <v>1850</v>
      </c>
      <c r="T220" t="s">
        <v>1850</v>
      </c>
      <c r="U220" t="s">
        <v>49</v>
      </c>
      <c r="V220" t="s">
        <v>34</v>
      </c>
      <c r="W220" t="str">
        <f t="shared" si="1"/>
        <v>PFC</v>
      </c>
    </row>
    <row r="221">
      <c r="A221" s="306">
        <v>211.0</v>
      </c>
      <c r="B221" s="307" t="s">
        <v>2062</v>
      </c>
      <c r="C221" s="308"/>
      <c r="D221" s="308"/>
      <c r="E221" s="320">
        <v>2.0</v>
      </c>
      <c r="F221" s="320">
        <v>1.1</v>
      </c>
      <c r="G221" s="320">
        <v>3.1</v>
      </c>
      <c r="H221" s="320">
        <v>3.3</v>
      </c>
      <c r="I221" s="320">
        <v>0.5</v>
      </c>
      <c r="J221" s="320">
        <v>0.0</v>
      </c>
      <c r="K221" s="320">
        <v>1.1</v>
      </c>
      <c r="L221" s="320">
        <v>11.5</v>
      </c>
      <c r="M221" s="320">
        <v>2.6</v>
      </c>
      <c r="N221" s="323">
        <f>+0.3</f>
        <v>0.3</v>
      </c>
      <c r="O221" t="str">
        <f>IFERROR(__xludf.DUMMYFUNCTION("regexextract(B221,""[\w]* [\w]*"")"),"Andre Hunter")</f>
        <v>Andre Hunter</v>
      </c>
      <c r="P221" t="str">
        <f t="shared" si="2"/>
        <v>Andre Hunter</v>
      </c>
      <c r="Q221" t="str">
        <f t="shared" si="3"/>
        <v>Andre Hunter</v>
      </c>
      <c r="R221" t="s">
        <v>1850</v>
      </c>
      <c r="S221" s="276" t="s">
        <v>1850</v>
      </c>
      <c r="T221" t="s">
        <v>48</v>
      </c>
      <c r="U221" t="s">
        <v>49</v>
      </c>
      <c r="V221" t="s">
        <v>1850</v>
      </c>
      <c r="W221" t="str">
        <f t="shared" si="1"/>
        <v>SFPF</v>
      </c>
    </row>
    <row r="222">
      <c r="A222" s="309">
        <v>212.0</v>
      </c>
      <c r="B222" s="310" t="s">
        <v>2063</v>
      </c>
      <c r="C222" s="311"/>
      <c r="D222" s="311"/>
      <c r="E222" s="321">
        <v>1.7</v>
      </c>
      <c r="F222" s="321">
        <v>2.2</v>
      </c>
      <c r="G222" s="321">
        <v>4.9</v>
      </c>
      <c r="H222" s="321">
        <v>2.1</v>
      </c>
      <c r="I222" s="321">
        <v>0.9</v>
      </c>
      <c r="J222" s="321">
        <v>0.4</v>
      </c>
      <c r="K222" s="321">
        <v>1.0</v>
      </c>
      <c r="L222" s="321">
        <v>10.2</v>
      </c>
      <c r="M222" s="321">
        <v>6.1</v>
      </c>
      <c r="N222" s="322">
        <f>+1.2</f>
        <v>1.2</v>
      </c>
      <c r="O222" t="str">
        <f>IFERROR(__xludf.DUMMYFUNCTION("regexextract(B222,""[\w]* [\w]*"")"),"Josh Jackson")</f>
        <v>Josh Jackson</v>
      </c>
      <c r="P222" t="str">
        <f t="shared" si="2"/>
        <v>Josh Jackson</v>
      </c>
      <c r="Q222" t="str">
        <f t="shared" si="3"/>
        <v>Josh Jackson</v>
      </c>
      <c r="R222" t="s">
        <v>1850</v>
      </c>
      <c r="S222" s="276" t="s">
        <v>47</v>
      </c>
      <c r="T222" t="s">
        <v>48</v>
      </c>
      <c r="U222" t="s">
        <v>1850</v>
      </c>
      <c r="V222" t="s">
        <v>34</v>
      </c>
      <c r="W222" t="str">
        <f t="shared" si="1"/>
        <v>SGSFC</v>
      </c>
    </row>
    <row r="223">
      <c r="A223" s="306">
        <v>213.0</v>
      </c>
      <c r="B223" s="307" t="s">
        <v>2064</v>
      </c>
      <c r="C223" s="308"/>
      <c r="D223" s="308"/>
      <c r="E223" s="320">
        <v>0.6</v>
      </c>
      <c r="F223" s="320">
        <v>2.4</v>
      </c>
      <c r="G223" s="320">
        <v>3.7</v>
      </c>
      <c r="H223" s="320">
        <v>1.6</v>
      </c>
      <c r="I223" s="320">
        <v>1.2</v>
      </c>
      <c r="J223" s="320">
        <v>0.7</v>
      </c>
      <c r="K223" s="320">
        <v>0.9</v>
      </c>
      <c r="L223" s="320">
        <v>9.3</v>
      </c>
      <c r="M223" s="320">
        <v>15.5</v>
      </c>
      <c r="N223" s="324">
        <v>-3.3</v>
      </c>
      <c r="O223" t="str">
        <f>IFERROR(__xludf.DUMMYFUNCTION("regexextract(B223,""[\w]* [\w]*"")"),"Marc Gasol")</f>
        <v>Marc Gasol</v>
      </c>
      <c r="P223" t="str">
        <f t="shared" si="2"/>
        <v>Marc Gasol</v>
      </c>
      <c r="Q223" t="str">
        <f t="shared" si="3"/>
        <v>Marc Gasol</v>
      </c>
      <c r="R223" t="s">
        <v>1850</v>
      </c>
      <c r="S223" s="276" t="s">
        <v>1850</v>
      </c>
      <c r="T223" t="s">
        <v>1850</v>
      </c>
      <c r="U223" t="s">
        <v>1850</v>
      </c>
      <c r="V223" t="s">
        <v>34</v>
      </c>
      <c r="W223" t="str">
        <f t="shared" si="1"/>
        <v>C</v>
      </c>
    </row>
    <row r="224">
      <c r="A224" s="309">
        <v>214.0</v>
      </c>
      <c r="B224" s="310" t="s">
        <v>2065</v>
      </c>
      <c r="C224" s="311"/>
      <c r="D224" s="311"/>
      <c r="E224" s="321">
        <v>2.7</v>
      </c>
      <c r="F224" s="321">
        <v>1.9</v>
      </c>
      <c r="G224" s="321">
        <v>3.2</v>
      </c>
      <c r="H224" s="321">
        <v>2.0</v>
      </c>
      <c r="I224" s="321">
        <v>1.0</v>
      </c>
      <c r="J224" s="321">
        <v>0.4</v>
      </c>
      <c r="K224" s="321">
        <v>1.4</v>
      </c>
      <c r="L224" s="321">
        <v>14.4</v>
      </c>
      <c r="M224" s="321">
        <v>3.1</v>
      </c>
      <c r="N224" s="322">
        <f>+0.5</f>
        <v>0.5</v>
      </c>
      <c r="O224" t="str">
        <f>IFERROR(__xludf.DUMMYFUNCTION("regexextract(B224,""[\w]* [\w]*"")"),"Bryn Forbes")</f>
        <v>Bryn Forbes</v>
      </c>
      <c r="P224" t="str">
        <f t="shared" si="2"/>
        <v>Bryn Forbes</v>
      </c>
      <c r="Q224" t="str">
        <f t="shared" si="3"/>
        <v>Bryn Forbes</v>
      </c>
      <c r="R224" t="s">
        <v>46</v>
      </c>
      <c r="S224" s="276" t="s">
        <v>47</v>
      </c>
      <c r="T224" t="s">
        <v>1850</v>
      </c>
      <c r="U224" t="s">
        <v>1850</v>
      </c>
      <c r="V224" t="s">
        <v>1850</v>
      </c>
      <c r="W224" t="str">
        <f t="shared" si="1"/>
        <v>PGSG</v>
      </c>
    </row>
    <row r="225">
      <c r="A225" s="306">
        <v>215.0</v>
      </c>
      <c r="B225" s="307" t="s">
        <v>2066</v>
      </c>
      <c r="C225" s="308"/>
      <c r="D225" s="308"/>
      <c r="E225" s="320">
        <v>2.3</v>
      </c>
      <c r="F225" s="320">
        <v>0.4</v>
      </c>
      <c r="G225" s="320">
        <v>7.0</v>
      </c>
      <c r="H225" s="320">
        <v>0.9</v>
      </c>
      <c r="I225" s="320">
        <v>0.4</v>
      </c>
      <c r="J225" s="320">
        <v>1.2</v>
      </c>
      <c r="K225" s="320">
        <v>1.8</v>
      </c>
      <c r="L225" s="320">
        <v>12.6</v>
      </c>
      <c r="M225" s="320">
        <v>15.8</v>
      </c>
      <c r="N225" s="324">
        <v>-1.1</v>
      </c>
      <c r="O225" t="str">
        <f>IFERROR(__xludf.DUMMYFUNCTION("regexextract(B225,""[\w]* [\w]*"")"),"Lou Williams")</f>
        <v>Lou Williams</v>
      </c>
      <c r="P225" t="str">
        <f t="shared" si="2"/>
        <v>Lou Williams</v>
      </c>
      <c r="Q225" t="str">
        <f t="shared" si="3"/>
        <v>Lou Williams</v>
      </c>
      <c r="R225" t="s">
        <v>1850</v>
      </c>
      <c r="S225" s="276" t="s">
        <v>47</v>
      </c>
      <c r="T225" t="s">
        <v>1850</v>
      </c>
      <c r="U225" t="s">
        <v>1850</v>
      </c>
      <c r="V225" t="s">
        <v>1850</v>
      </c>
      <c r="W225" t="str">
        <f t="shared" si="1"/>
        <v>SG</v>
      </c>
    </row>
    <row r="226">
      <c r="A226" s="309">
        <v>216.0</v>
      </c>
      <c r="B226" s="310" t="s">
        <v>2067</v>
      </c>
      <c r="C226" s="311"/>
      <c r="D226" s="311"/>
      <c r="E226" s="321">
        <v>2.4</v>
      </c>
      <c r="F226" s="321">
        <v>0.0</v>
      </c>
      <c r="G226" s="321">
        <v>4.9</v>
      </c>
      <c r="H226" s="321">
        <v>0.7</v>
      </c>
      <c r="I226" s="321">
        <v>0.6</v>
      </c>
      <c r="J226" s="321">
        <v>1.8</v>
      </c>
      <c r="K226" s="321">
        <v>0.9</v>
      </c>
      <c r="L226" s="321">
        <v>8.4</v>
      </c>
      <c r="M226" s="321">
        <v>4.6</v>
      </c>
      <c r="N226" s="322">
        <f>+0.6</f>
        <v>0.6</v>
      </c>
      <c r="O226" t="str">
        <f>IFERROR(__xludf.DUMMYFUNCTION("regexextract(B226,""[\w]* [\w]*"")"),"Josh Richardson")</f>
        <v>Josh Richardson</v>
      </c>
      <c r="P226" t="str">
        <f t="shared" si="2"/>
        <v>Josh Richardson</v>
      </c>
      <c r="Q226" t="str">
        <f t="shared" si="3"/>
        <v>Josh Richardson</v>
      </c>
      <c r="R226" t="s">
        <v>1850</v>
      </c>
      <c r="S226" s="276" t="s">
        <v>47</v>
      </c>
      <c r="T226" t="s">
        <v>48</v>
      </c>
      <c r="U226" t="s">
        <v>1850</v>
      </c>
      <c r="V226" t="s">
        <v>34</v>
      </c>
      <c r="W226" t="str">
        <f t="shared" si="1"/>
        <v>SGSFC</v>
      </c>
    </row>
    <row r="227">
      <c r="A227" s="306">
        <v>217.0</v>
      </c>
      <c r="B227" s="307" t="s">
        <v>2068</v>
      </c>
      <c r="C227" s="308"/>
      <c r="D227" s="308"/>
      <c r="E227" s="320">
        <v>3.0</v>
      </c>
      <c r="F227" s="320">
        <v>2.2</v>
      </c>
      <c r="G227" s="320">
        <v>3.2</v>
      </c>
      <c r="H227" s="320">
        <v>4.3</v>
      </c>
      <c r="I227" s="320">
        <v>0.6</v>
      </c>
      <c r="J227" s="320">
        <v>0.1</v>
      </c>
      <c r="K227" s="320">
        <v>2.3</v>
      </c>
      <c r="L227" s="320">
        <v>14.7</v>
      </c>
      <c r="M227" s="320">
        <v>11.6</v>
      </c>
      <c r="N227" s="324">
        <v>-2.1</v>
      </c>
      <c r="O227" t="str">
        <f>IFERROR(__xludf.DUMMYFUNCTION("regexextract(B227,""[\w]* [\w]*"")"),"Paul Millsap")</f>
        <v>Paul Millsap</v>
      </c>
      <c r="P227" t="str">
        <f t="shared" si="2"/>
        <v>Paul Millsap</v>
      </c>
      <c r="Q227" t="str">
        <f t="shared" si="3"/>
        <v>Paul Millsap</v>
      </c>
      <c r="R227" t="s">
        <v>1850</v>
      </c>
      <c r="S227" s="276" t="s">
        <v>1850</v>
      </c>
      <c r="T227" t="s">
        <v>1850</v>
      </c>
      <c r="U227" t="s">
        <v>49</v>
      </c>
      <c r="V227" t="s">
        <v>1850</v>
      </c>
      <c r="W227" t="str">
        <f t="shared" si="1"/>
        <v>PF</v>
      </c>
    </row>
    <row r="228">
      <c r="A228" s="309">
        <v>218.0</v>
      </c>
      <c r="B228" s="310" t="s">
        <v>2069</v>
      </c>
      <c r="C228" s="311"/>
      <c r="D228" s="311"/>
      <c r="E228" s="321">
        <v>0.9</v>
      </c>
      <c r="F228" s="321">
        <v>1.9</v>
      </c>
      <c r="G228" s="321">
        <v>3.2</v>
      </c>
      <c r="H228" s="321">
        <v>3.1</v>
      </c>
      <c r="I228" s="321">
        <v>1.0</v>
      </c>
      <c r="J228" s="321">
        <v>0.3</v>
      </c>
      <c r="K228" s="321">
        <v>1.2</v>
      </c>
      <c r="L228" s="321">
        <v>10.6</v>
      </c>
      <c r="M228" s="321">
        <v>41.0</v>
      </c>
      <c r="N228" s="325">
        <v>-12.2</v>
      </c>
      <c r="O228" t="str">
        <f>IFERROR(__xludf.DUMMYFUNCTION("regexextract(B228,""[\w]* [\w]*"")"),"Maxi Kleber")</f>
        <v>Maxi Kleber</v>
      </c>
      <c r="P228" t="str">
        <f t="shared" si="2"/>
        <v>Maxi Kleber</v>
      </c>
      <c r="Q228" t="str">
        <f t="shared" si="3"/>
        <v>Maxi Kleber</v>
      </c>
      <c r="R228" t="s">
        <v>1850</v>
      </c>
      <c r="S228" s="276" t="s">
        <v>1850</v>
      </c>
      <c r="T228" t="s">
        <v>1850</v>
      </c>
      <c r="U228" t="s">
        <v>49</v>
      </c>
      <c r="V228" t="s">
        <v>1850</v>
      </c>
      <c r="W228" t="str">
        <f t="shared" si="1"/>
        <v>PF</v>
      </c>
    </row>
    <row r="229">
      <c r="A229" s="306">
        <v>219.0</v>
      </c>
      <c r="B229" s="307" t="s">
        <v>2070</v>
      </c>
      <c r="C229" s="308"/>
      <c r="D229" s="308"/>
      <c r="E229" s="320">
        <v>2.9</v>
      </c>
      <c r="F229" s="320">
        <v>1.7</v>
      </c>
      <c r="G229" s="320">
        <v>4.3</v>
      </c>
      <c r="H229" s="320">
        <v>2.3</v>
      </c>
      <c r="I229" s="320">
        <v>0.7</v>
      </c>
      <c r="J229" s="320">
        <v>0.3</v>
      </c>
      <c r="K229" s="320">
        <v>1.1</v>
      </c>
      <c r="L229" s="320">
        <v>12.4</v>
      </c>
      <c r="M229" s="320">
        <v>1.2</v>
      </c>
      <c r="N229" s="323">
        <f>+0.5</f>
        <v>0.5</v>
      </c>
      <c r="O229" t="str">
        <f>IFERROR(__xludf.DUMMYFUNCTION("regexextract(B229,""[\w]* [\w]*"")"),"Danilo Gallinari")</f>
        <v>Danilo Gallinari</v>
      </c>
      <c r="P229" t="str">
        <f t="shared" si="2"/>
        <v>Danilo Gallinari</v>
      </c>
      <c r="Q229" t="str">
        <f t="shared" si="3"/>
        <v>Danilo Gallinari</v>
      </c>
      <c r="R229" t="s">
        <v>1850</v>
      </c>
      <c r="S229" s="276" t="s">
        <v>1850</v>
      </c>
      <c r="T229" t="s">
        <v>48</v>
      </c>
      <c r="U229" t="s">
        <v>49</v>
      </c>
      <c r="V229" t="s">
        <v>1850</v>
      </c>
      <c r="W229" t="str">
        <f t="shared" si="1"/>
        <v>SFPF</v>
      </c>
    </row>
    <row r="230">
      <c r="A230" s="309">
        <v>220.0</v>
      </c>
      <c r="B230" s="310" t="s">
        <v>2071</v>
      </c>
      <c r="C230" s="311"/>
      <c r="D230" s="311"/>
      <c r="E230" s="321">
        <v>1.1</v>
      </c>
      <c r="F230" s="321">
        <v>1.8</v>
      </c>
      <c r="G230" s="321">
        <v>5.7</v>
      </c>
      <c r="H230" s="321">
        <v>2.6</v>
      </c>
      <c r="I230" s="321">
        <v>0.5</v>
      </c>
      <c r="J230" s="321">
        <v>1.1</v>
      </c>
      <c r="K230" s="321">
        <v>2.7</v>
      </c>
      <c r="L230" s="321">
        <v>11.7</v>
      </c>
      <c r="M230" s="321">
        <v>3.0</v>
      </c>
      <c r="N230" s="322">
        <f>+0.7</f>
        <v>0.7</v>
      </c>
      <c r="O230" t="str">
        <f>IFERROR(__xludf.DUMMYFUNCTION("regexextract(B230,""[\w]* [\w]*"")"),"Dwight Howard")</f>
        <v>Dwight Howard</v>
      </c>
      <c r="P230" t="str">
        <f t="shared" si="2"/>
        <v>Dwight Howard</v>
      </c>
      <c r="Q230" t="str">
        <f t="shared" si="3"/>
        <v>Dwight Howard</v>
      </c>
      <c r="R230" t="s">
        <v>1850</v>
      </c>
      <c r="S230" s="276" t="s">
        <v>1850</v>
      </c>
      <c r="T230" t="s">
        <v>1850</v>
      </c>
      <c r="U230" t="s">
        <v>1850</v>
      </c>
      <c r="V230" t="s">
        <v>34</v>
      </c>
      <c r="W230" t="str">
        <f t="shared" si="1"/>
        <v>C</v>
      </c>
    </row>
    <row r="231">
      <c r="A231" s="306">
        <v>221.0</v>
      </c>
      <c r="B231" s="307" t="s">
        <v>2072</v>
      </c>
      <c r="C231" s="308"/>
      <c r="D231" s="308"/>
      <c r="E231" s="320">
        <v>3.1</v>
      </c>
      <c r="F231" s="320">
        <v>0.9</v>
      </c>
      <c r="G231" s="320">
        <v>5.9</v>
      </c>
      <c r="H231" s="320">
        <v>0.9</v>
      </c>
      <c r="I231" s="320">
        <v>0.6</v>
      </c>
      <c r="J231" s="320">
        <v>1.2</v>
      </c>
      <c r="K231" s="320">
        <v>1.1</v>
      </c>
      <c r="L231" s="320">
        <v>10.8</v>
      </c>
      <c r="M231" s="320">
        <v>61.5</v>
      </c>
      <c r="N231" s="324">
        <v>-12.0</v>
      </c>
      <c r="O231" t="str">
        <f>IFERROR(__xludf.DUMMYFUNCTION("regexextract(B231,""[\w]* [\w]*"")"),"Kentavious Caldwell")</f>
        <v>Kentavious Caldwell</v>
      </c>
      <c r="P231" t="str">
        <f t="shared" si="2"/>
        <v>Kentavious Caldwell</v>
      </c>
      <c r="Q231" t="str">
        <f t="shared" si="3"/>
        <v>Kentavious Caldwell</v>
      </c>
      <c r="R231" t="s">
        <v>1850</v>
      </c>
      <c r="S231" s="276" t="s">
        <v>47</v>
      </c>
      <c r="T231" t="s">
        <v>48</v>
      </c>
      <c r="U231" t="s">
        <v>1850</v>
      </c>
      <c r="V231" t="s">
        <v>34</v>
      </c>
      <c r="W231" t="str">
        <f t="shared" si="1"/>
        <v>SGSFC</v>
      </c>
    </row>
    <row r="232">
      <c r="A232" s="309">
        <v>222.0</v>
      </c>
      <c r="B232" s="310" t="s">
        <v>2073</v>
      </c>
      <c r="C232" s="311"/>
      <c r="D232" s="311"/>
      <c r="E232" s="321">
        <v>1.0</v>
      </c>
      <c r="F232" s="321">
        <v>1.7</v>
      </c>
      <c r="G232" s="321">
        <v>5.3</v>
      </c>
      <c r="H232" s="321">
        <v>1.6</v>
      </c>
      <c r="I232" s="321">
        <v>0.8</v>
      </c>
      <c r="J232" s="321">
        <v>0.5</v>
      </c>
      <c r="K232" s="321">
        <v>0.9</v>
      </c>
      <c r="L232" s="321">
        <v>9.1</v>
      </c>
      <c r="M232" s="321">
        <v>28.5</v>
      </c>
      <c r="N232" s="325">
        <v>-9.3</v>
      </c>
      <c r="O232" t="str">
        <f>IFERROR(__xludf.DUMMYFUNCTION("regexextract(B232,""[\w]* [\w]*"")"),"Dwight Powell")</f>
        <v>Dwight Powell</v>
      </c>
      <c r="P232" t="str">
        <f t="shared" si="2"/>
        <v>Dwight Powell</v>
      </c>
      <c r="Q232" t="str">
        <f t="shared" si="3"/>
        <v>Dwight Powell</v>
      </c>
      <c r="R232" t="s">
        <v>1850</v>
      </c>
      <c r="S232" s="276" t="s">
        <v>1850</v>
      </c>
      <c r="T232" t="s">
        <v>1850</v>
      </c>
      <c r="U232" t="s">
        <v>1850</v>
      </c>
      <c r="V232" t="s">
        <v>34</v>
      </c>
      <c r="W232" t="str">
        <f t="shared" si="1"/>
        <v>C</v>
      </c>
    </row>
    <row r="233">
      <c r="A233" s="306">
        <v>223.0</v>
      </c>
      <c r="B233" s="307" t="s">
        <v>2074</v>
      </c>
      <c r="C233" s="308"/>
      <c r="D233" s="308"/>
      <c r="E233" s="320">
        <v>0.9</v>
      </c>
      <c r="F233" s="320">
        <v>1.2</v>
      </c>
      <c r="G233" s="320">
        <v>4.3</v>
      </c>
      <c r="H233" s="320">
        <v>2.4</v>
      </c>
      <c r="I233" s="320">
        <v>1.1</v>
      </c>
      <c r="J233" s="320">
        <v>0.5</v>
      </c>
      <c r="K233" s="320">
        <v>0.9</v>
      </c>
      <c r="L233" s="320">
        <v>8.8</v>
      </c>
      <c r="M233" s="320">
        <v>1.1</v>
      </c>
      <c r="N233" s="323">
        <f>+0.5</f>
        <v>0.5</v>
      </c>
      <c r="O233" t="str">
        <f>IFERROR(__xludf.DUMMYFUNCTION("regexextract(B233,""[\w]* [\w]*"")"),"Onyeka OkongwuO")</f>
        <v>Onyeka OkongwuO</v>
      </c>
      <c r="P233" t="str">
        <f t="shared" si="2"/>
        <v>Onyeka OkongwuO</v>
      </c>
      <c r="Q233" t="str">
        <f t="shared" si="3"/>
        <v>Onyeka Okongwu</v>
      </c>
      <c r="R233" t="s">
        <v>1850</v>
      </c>
      <c r="S233" s="276" t="s">
        <v>1850</v>
      </c>
      <c r="T233" t="s">
        <v>1850</v>
      </c>
      <c r="U233" t="s">
        <v>1850</v>
      </c>
      <c r="V233" t="s">
        <v>34</v>
      </c>
      <c r="W233" t="str">
        <f t="shared" si="1"/>
        <v>C</v>
      </c>
    </row>
    <row r="234">
      <c r="A234" s="309">
        <v>224.0</v>
      </c>
      <c r="B234" s="310" t="s">
        <v>2075</v>
      </c>
      <c r="C234" s="311"/>
      <c r="D234" s="311"/>
      <c r="E234" s="321">
        <v>2.1</v>
      </c>
      <c r="F234" s="321">
        <v>0.2</v>
      </c>
      <c r="G234" s="321">
        <v>6.3</v>
      </c>
      <c r="H234" s="321">
        <v>1.4</v>
      </c>
      <c r="I234" s="321">
        <v>0.8</v>
      </c>
      <c r="J234" s="321">
        <v>0.8</v>
      </c>
      <c r="K234" s="321">
        <v>0.7</v>
      </c>
      <c r="L234" s="321">
        <v>7.7</v>
      </c>
      <c r="M234" s="321">
        <v>3.2</v>
      </c>
      <c r="N234" s="321">
        <v>0.0</v>
      </c>
      <c r="O234" t="str">
        <f>IFERROR(__xludf.DUMMYFUNCTION("regexextract(B234,""[\w]* [\w]*"")"),"Justin Holiday")</f>
        <v>Justin Holiday</v>
      </c>
      <c r="P234" t="str">
        <f t="shared" si="2"/>
        <v>Justin Holiday</v>
      </c>
      <c r="Q234" t="str">
        <f t="shared" si="3"/>
        <v>Justin Holiday</v>
      </c>
      <c r="R234" t="s">
        <v>1850</v>
      </c>
      <c r="S234" s="276" t="s">
        <v>47</v>
      </c>
      <c r="T234" t="s">
        <v>48</v>
      </c>
      <c r="U234" t="s">
        <v>1850</v>
      </c>
      <c r="V234" t="s">
        <v>1850</v>
      </c>
      <c r="W234" t="str">
        <f t="shared" si="1"/>
        <v>SGSF</v>
      </c>
    </row>
    <row r="235">
      <c r="A235" s="306">
        <v>225.0</v>
      </c>
      <c r="B235" s="307" t="s">
        <v>2076</v>
      </c>
      <c r="C235" s="308"/>
      <c r="D235" s="308"/>
      <c r="E235" s="320">
        <v>1.8</v>
      </c>
      <c r="F235" s="320">
        <v>1.7</v>
      </c>
      <c r="G235" s="320">
        <v>4.7</v>
      </c>
      <c r="H235" s="320">
        <v>2.3</v>
      </c>
      <c r="I235" s="320">
        <v>0.6</v>
      </c>
      <c r="J235" s="320">
        <v>0.3</v>
      </c>
      <c r="K235" s="320">
        <v>0.9</v>
      </c>
      <c r="L235" s="320">
        <v>10.1</v>
      </c>
      <c r="M235" s="320">
        <v>2.7</v>
      </c>
      <c r="N235" s="323">
        <f>+0.7</f>
        <v>0.7</v>
      </c>
      <c r="O235" t="str">
        <f>IFERROR(__xludf.DUMMYFUNCTION("regexextract(B235,""[\w]* [\w]*"")"),"Taurean PrinceO")</f>
        <v>Taurean PrinceO</v>
      </c>
      <c r="P235" t="str">
        <f t="shared" si="2"/>
        <v>Taurean PrinceO</v>
      </c>
      <c r="Q235" t="str">
        <f t="shared" si="3"/>
        <v>Taurean Prince</v>
      </c>
      <c r="R235" t="s">
        <v>1850</v>
      </c>
      <c r="S235" s="276" t="s">
        <v>1850</v>
      </c>
      <c r="T235" t="s">
        <v>48</v>
      </c>
      <c r="U235" t="s">
        <v>49</v>
      </c>
      <c r="V235" t="s">
        <v>34</v>
      </c>
      <c r="W235" t="str">
        <f t="shared" si="1"/>
        <v>SFPFC</v>
      </c>
    </row>
    <row r="236">
      <c r="A236" s="309">
        <v>226.0</v>
      </c>
      <c r="B236" s="310" t="s">
        <v>2077</v>
      </c>
      <c r="C236" s="311"/>
      <c r="D236" s="311"/>
      <c r="E236" s="321">
        <v>1.4</v>
      </c>
      <c r="F236" s="321">
        <v>0.9</v>
      </c>
      <c r="G236" s="321">
        <v>6.8</v>
      </c>
      <c r="H236" s="321">
        <v>2.6</v>
      </c>
      <c r="I236" s="321">
        <v>1.3</v>
      </c>
      <c r="J236" s="321">
        <v>0.4</v>
      </c>
      <c r="K236" s="321">
        <v>1.3</v>
      </c>
      <c r="L236" s="321">
        <v>8.9</v>
      </c>
      <c r="M236" s="321">
        <v>4.2</v>
      </c>
      <c r="N236" s="322">
        <f>+0.1</f>
        <v>0.1</v>
      </c>
      <c r="O236" t="str">
        <f>IFERROR(__xludf.DUMMYFUNCTION("regexextract(B236,""[\w]* [\w]*"")"),"Patrick BeverleyO")</f>
        <v>Patrick BeverleyO</v>
      </c>
      <c r="P236" t="str">
        <f t="shared" si="2"/>
        <v>Patrick BeverleyO</v>
      </c>
      <c r="Q236" t="str">
        <f t="shared" si="3"/>
        <v>Patrick Beverley</v>
      </c>
      <c r="R236" t="s">
        <v>46</v>
      </c>
      <c r="S236" s="276" t="s">
        <v>1850</v>
      </c>
      <c r="T236" t="s">
        <v>1850</v>
      </c>
      <c r="U236" t="s">
        <v>1850</v>
      </c>
      <c r="V236" t="s">
        <v>34</v>
      </c>
      <c r="W236" t="str">
        <f t="shared" si="1"/>
        <v>PGC</v>
      </c>
    </row>
    <row r="237">
      <c r="A237" s="306">
        <v>227.0</v>
      </c>
      <c r="B237" s="307" t="s">
        <v>2078</v>
      </c>
      <c r="C237" s="308"/>
      <c r="D237" s="308"/>
      <c r="E237" s="320">
        <v>1.9</v>
      </c>
      <c r="F237" s="320">
        <v>0.9</v>
      </c>
      <c r="G237" s="320">
        <v>4.8</v>
      </c>
      <c r="H237" s="320">
        <v>2.4</v>
      </c>
      <c r="I237" s="320">
        <v>1.1</v>
      </c>
      <c r="J237" s="320">
        <v>0.9</v>
      </c>
      <c r="K237" s="320">
        <v>1.8</v>
      </c>
      <c r="L237" s="320">
        <v>8.6</v>
      </c>
      <c r="M237" s="320">
        <v>2.6</v>
      </c>
      <c r="N237" s="324">
        <v>-0.1</v>
      </c>
      <c r="O237" t="str">
        <f>IFERROR(__xludf.DUMMYFUNCTION("regexextract(B237,""[\w]* [\w]*"")"),"Rajon Rondo")</f>
        <v>Rajon Rondo</v>
      </c>
      <c r="P237" t="str">
        <f t="shared" si="2"/>
        <v>Rajon Rondo</v>
      </c>
      <c r="Q237" t="str">
        <f t="shared" si="3"/>
        <v>Rajon Rond</v>
      </c>
      <c r="R237" t="s">
        <v>46</v>
      </c>
      <c r="S237" s="276" t="s">
        <v>1850</v>
      </c>
      <c r="T237" t="s">
        <v>1850</v>
      </c>
      <c r="U237" t="s">
        <v>1850</v>
      </c>
      <c r="V237" t="s">
        <v>1850</v>
      </c>
      <c r="W237" t="str">
        <f t="shared" si="1"/>
        <v>PG</v>
      </c>
    </row>
    <row r="238">
      <c r="A238" s="309">
        <v>228.0</v>
      </c>
      <c r="B238" s="310" t="s">
        <v>2079</v>
      </c>
      <c r="C238" s="311"/>
      <c r="D238" s="311"/>
      <c r="E238" s="321">
        <v>1.8</v>
      </c>
      <c r="F238" s="321">
        <v>2.0</v>
      </c>
      <c r="G238" s="321">
        <v>3.5</v>
      </c>
      <c r="H238" s="321">
        <v>3.7</v>
      </c>
      <c r="I238" s="321">
        <v>0.6</v>
      </c>
      <c r="J238" s="321">
        <v>0.2</v>
      </c>
      <c r="K238" s="321">
        <v>1.8</v>
      </c>
      <c r="L238" s="321">
        <v>13.1</v>
      </c>
      <c r="M238" s="321">
        <v>46.6</v>
      </c>
      <c r="N238" s="325">
        <v>-15.7</v>
      </c>
      <c r="O238" t="str">
        <f>IFERROR(__xludf.DUMMYFUNCTION("regexextract(B238,""[\w]* [\w]*"")"),"Tristan Thompson")</f>
        <v>Tristan Thompson</v>
      </c>
      <c r="P238" t="str">
        <f t="shared" si="2"/>
        <v>Tristan Thompson</v>
      </c>
      <c r="Q238" t="str">
        <f t="shared" si="3"/>
        <v>Tristan Thompson</v>
      </c>
      <c r="R238" t="s">
        <v>1850</v>
      </c>
      <c r="S238" s="276" t="s">
        <v>1850</v>
      </c>
      <c r="T238" t="s">
        <v>1850</v>
      </c>
      <c r="U238" t="s">
        <v>49</v>
      </c>
      <c r="V238" t="s">
        <v>34</v>
      </c>
      <c r="W238" t="str">
        <f t="shared" si="1"/>
        <v>PFC</v>
      </c>
    </row>
    <row r="239">
      <c r="A239" s="306">
        <v>229.0</v>
      </c>
      <c r="B239" s="307" t="s">
        <v>2080</v>
      </c>
      <c r="C239" s="308"/>
      <c r="D239" s="308"/>
      <c r="E239" s="320">
        <v>2.9</v>
      </c>
      <c r="F239" s="320">
        <v>1.6</v>
      </c>
      <c r="G239" s="320">
        <v>5.0</v>
      </c>
      <c r="H239" s="320">
        <v>3.2</v>
      </c>
      <c r="I239" s="320">
        <v>0.7</v>
      </c>
      <c r="J239" s="320">
        <v>0.3</v>
      </c>
      <c r="K239" s="320">
        <v>1.5</v>
      </c>
      <c r="L239" s="320">
        <v>11.8</v>
      </c>
      <c r="M239" s="320">
        <v>18.4</v>
      </c>
      <c r="N239" s="324">
        <v>-1.4</v>
      </c>
      <c r="O239" t="str">
        <f>IFERROR(__xludf.DUMMYFUNCTION("regexextract(B239,""[\w]* [\w]*"")"),"Jeff Green")</f>
        <v>Jeff Green</v>
      </c>
      <c r="P239" t="str">
        <f t="shared" si="2"/>
        <v>Jeff Green</v>
      </c>
      <c r="Q239" t="str">
        <f t="shared" si="3"/>
        <v>Jeff Green</v>
      </c>
      <c r="R239" t="s">
        <v>1850</v>
      </c>
      <c r="S239" s="276" t="s">
        <v>1850</v>
      </c>
      <c r="T239" t="s">
        <v>1850</v>
      </c>
      <c r="U239" t="s">
        <v>49</v>
      </c>
      <c r="V239" t="s">
        <v>1850</v>
      </c>
      <c r="W239" t="str">
        <f t="shared" si="1"/>
        <v>PF</v>
      </c>
    </row>
    <row r="240">
      <c r="A240" s="309">
        <v>230.0</v>
      </c>
      <c r="B240" s="310" t="s">
        <v>2081</v>
      </c>
      <c r="C240" s="311"/>
      <c r="D240" s="311"/>
      <c r="E240" s="321">
        <v>1.8</v>
      </c>
      <c r="F240" s="321">
        <v>1.4</v>
      </c>
      <c r="G240" s="321">
        <v>5.3</v>
      </c>
      <c r="H240" s="321">
        <v>1.7</v>
      </c>
      <c r="I240" s="321">
        <v>0.6</v>
      </c>
      <c r="J240" s="321">
        <v>0.6</v>
      </c>
      <c r="K240" s="321">
        <v>1.2</v>
      </c>
      <c r="L240" s="321">
        <v>11.4</v>
      </c>
      <c r="M240" s="321">
        <v>3.4</v>
      </c>
      <c r="N240" s="321">
        <v>0.0</v>
      </c>
      <c r="O240" t="str">
        <f>IFERROR(__xludf.DUMMYFUNCTION("regexextract(B240,""[\w]* [\w]*"")"),"Cory Joseph")</f>
        <v>Cory Joseph</v>
      </c>
      <c r="P240" t="str">
        <f t="shared" si="2"/>
        <v>Cory Joseph</v>
      </c>
      <c r="Q240" t="str">
        <f t="shared" si="3"/>
        <v>Cory Joseph</v>
      </c>
      <c r="R240" t="s">
        <v>46</v>
      </c>
      <c r="S240" s="276" t="s">
        <v>1850</v>
      </c>
      <c r="T240" t="s">
        <v>1850</v>
      </c>
      <c r="U240" t="s">
        <v>1850</v>
      </c>
      <c r="V240" t="s">
        <v>34</v>
      </c>
      <c r="W240" t="str">
        <f t="shared" si="1"/>
        <v>PGC</v>
      </c>
    </row>
    <row r="241">
      <c r="A241" s="306">
        <v>231.0</v>
      </c>
      <c r="B241" s="307" t="s">
        <v>2082</v>
      </c>
      <c r="C241" s="308"/>
      <c r="D241" s="308"/>
      <c r="E241" s="320">
        <v>1.6</v>
      </c>
      <c r="F241" s="320">
        <v>1.5</v>
      </c>
      <c r="G241" s="320">
        <v>6.5</v>
      </c>
      <c r="H241" s="320">
        <v>1.9</v>
      </c>
      <c r="I241" s="320">
        <v>0.9</v>
      </c>
      <c r="J241" s="320">
        <v>0.3</v>
      </c>
      <c r="K241" s="320">
        <v>1.0</v>
      </c>
      <c r="L241" s="320">
        <v>8.9</v>
      </c>
      <c r="M241" s="320">
        <v>3.2</v>
      </c>
      <c r="N241" s="324">
        <v>-0.1</v>
      </c>
      <c r="O241" t="str">
        <f>IFERROR(__xludf.DUMMYFUNCTION("regexextract(B241,""[\w]* [\w]*"")"),"Patty Mills")</f>
        <v>Patty Mills</v>
      </c>
      <c r="P241" t="str">
        <f t="shared" si="2"/>
        <v>Patty Mills</v>
      </c>
      <c r="Q241" t="str">
        <f t="shared" si="3"/>
        <v>Patty Mills</v>
      </c>
      <c r="R241" t="s">
        <v>46</v>
      </c>
      <c r="S241" s="276" t="s">
        <v>1850</v>
      </c>
      <c r="T241" t="s">
        <v>1850</v>
      </c>
      <c r="U241" t="s">
        <v>1850</v>
      </c>
      <c r="V241" t="s">
        <v>1850</v>
      </c>
      <c r="W241" t="str">
        <f t="shared" si="1"/>
        <v>PG</v>
      </c>
    </row>
    <row r="242">
      <c r="A242" s="309">
        <v>232.0</v>
      </c>
      <c r="B242" s="310" t="s">
        <v>2083</v>
      </c>
      <c r="C242" s="311"/>
      <c r="D242" s="311"/>
      <c r="E242" s="321">
        <v>1.1</v>
      </c>
      <c r="F242" s="321">
        <v>0.9</v>
      </c>
      <c r="G242" s="321">
        <v>4.9</v>
      </c>
      <c r="H242" s="321">
        <v>2.6</v>
      </c>
      <c r="I242" s="321">
        <v>1.0</v>
      </c>
      <c r="J242" s="321">
        <v>0.3</v>
      </c>
      <c r="K242" s="321">
        <v>1.3</v>
      </c>
      <c r="L242" s="321">
        <v>8.9</v>
      </c>
      <c r="M242" s="321">
        <v>0.8</v>
      </c>
      <c r="N242" s="322">
        <f>+0.1</f>
        <v>0.1</v>
      </c>
      <c r="O242" t="str">
        <f>IFERROR(__xludf.DUMMYFUNCTION("regexextract(B242,""[\w]* [\w]*"")"),"Kira Lewis")</f>
        <v>Kira Lewis</v>
      </c>
      <c r="P242" t="str">
        <f t="shared" si="2"/>
        <v>Kira Lewis</v>
      </c>
      <c r="Q242" t="str">
        <f t="shared" si="3"/>
        <v>Kira Lewis</v>
      </c>
      <c r="R242" t="s">
        <v>46</v>
      </c>
      <c r="S242" s="276" t="s">
        <v>1850</v>
      </c>
      <c r="T242" t="s">
        <v>1850</v>
      </c>
      <c r="U242" t="s">
        <v>1850</v>
      </c>
      <c r="V242" t="s">
        <v>1850</v>
      </c>
      <c r="W242" t="str">
        <f t="shared" si="1"/>
        <v>PG</v>
      </c>
    </row>
    <row r="243">
      <c r="A243" s="306">
        <v>233.0</v>
      </c>
      <c r="B243" s="307" t="s">
        <v>2084</v>
      </c>
      <c r="C243" s="308"/>
      <c r="D243" s="308"/>
      <c r="E243" s="320">
        <v>1.2</v>
      </c>
      <c r="F243" s="320">
        <v>2.0</v>
      </c>
      <c r="G243" s="320">
        <v>3.8</v>
      </c>
      <c r="H243" s="320">
        <v>2.0</v>
      </c>
      <c r="I243" s="320">
        <v>0.9</v>
      </c>
      <c r="J243" s="320">
        <v>0.3</v>
      </c>
      <c r="K243" s="320">
        <v>1.4</v>
      </c>
      <c r="L243" s="320">
        <v>11.3</v>
      </c>
      <c r="M243" s="320">
        <v>0.6</v>
      </c>
      <c r="N243" s="323">
        <f>+0.3</f>
        <v>0.3</v>
      </c>
      <c r="O243" t="str">
        <f>IFERROR(__xludf.DUMMYFUNCTION("regexextract(B243,""[\w]* [\w]*"")"),"James Bouknight")</f>
        <v>James Bouknight</v>
      </c>
      <c r="P243" t="str">
        <f t="shared" si="2"/>
        <v>James Bouknight</v>
      </c>
      <c r="Q243" t="str">
        <f t="shared" si="3"/>
        <v>James Bouknight</v>
      </c>
      <c r="R243" t="s">
        <v>1850</v>
      </c>
      <c r="S243" s="276" t="s">
        <v>47</v>
      </c>
      <c r="T243" t="s">
        <v>1850</v>
      </c>
      <c r="U243" t="s">
        <v>1850</v>
      </c>
      <c r="V243" t="s">
        <v>34</v>
      </c>
      <c r="W243" t="str">
        <f t="shared" si="1"/>
        <v>SGC</v>
      </c>
    </row>
    <row r="244">
      <c r="A244" s="309">
        <v>234.0</v>
      </c>
      <c r="B244" s="310" t="s">
        <v>2085</v>
      </c>
      <c r="C244" s="311"/>
      <c r="D244" s="311"/>
      <c r="E244" s="321">
        <v>1.5</v>
      </c>
      <c r="F244" s="321">
        <v>0.8</v>
      </c>
      <c r="G244" s="321">
        <v>2.8</v>
      </c>
      <c r="H244" s="321">
        <v>4.6</v>
      </c>
      <c r="I244" s="321">
        <v>0.8</v>
      </c>
      <c r="J244" s="321">
        <v>0.2</v>
      </c>
      <c r="K244" s="321">
        <v>1.6</v>
      </c>
      <c r="L244" s="321">
        <v>8.0</v>
      </c>
      <c r="M244" s="321">
        <v>0.9</v>
      </c>
      <c r="N244" s="322">
        <f>+0.2</f>
        <v>0.2</v>
      </c>
      <c r="O244" t="str">
        <f>IFERROR(__xludf.DUMMYFUNCTION("regexextract(B244,""[\w]* [\w]*"")"),"Saben Lee")</f>
        <v>Saben Lee</v>
      </c>
      <c r="P244" t="str">
        <f t="shared" si="2"/>
        <v>Saben Lee</v>
      </c>
      <c r="Q244" t="str">
        <f t="shared" si="3"/>
        <v>Saben Lee</v>
      </c>
      <c r="R244" t="s">
        <v>46</v>
      </c>
      <c r="S244" s="276" t="s">
        <v>1850</v>
      </c>
      <c r="T244" t="s">
        <v>1850</v>
      </c>
      <c r="U244" t="s">
        <v>1850</v>
      </c>
      <c r="V244" t="s">
        <v>1850</v>
      </c>
      <c r="W244" t="str">
        <f t="shared" si="1"/>
        <v>PG</v>
      </c>
    </row>
    <row r="245">
      <c r="A245" s="306">
        <v>235.0</v>
      </c>
      <c r="B245" s="307" t="s">
        <v>2086</v>
      </c>
      <c r="C245" s="308"/>
      <c r="D245" s="308"/>
      <c r="E245" s="320">
        <v>1.0</v>
      </c>
      <c r="F245" s="320">
        <v>1.8</v>
      </c>
      <c r="G245" s="320">
        <v>2.5</v>
      </c>
      <c r="H245" s="320">
        <v>2.5</v>
      </c>
      <c r="I245" s="320">
        <v>0.8</v>
      </c>
      <c r="J245" s="320">
        <v>0.2</v>
      </c>
      <c r="K245" s="320">
        <v>1.3</v>
      </c>
      <c r="L245" s="320">
        <v>12.5</v>
      </c>
      <c r="M245" s="320">
        <v>7.7</v>
      </c>
      <c r="N245" s="324">
        <v>-1.6</v>
      </c>
      <c r="O245" t="str">
        <f>IFERROR(__xludf.DUMMYFUNCTION("regexextract(B245,""[\w]* [\w]*"")"),"Delon Wright")</f>
        <v>Delon Wright</v>
      </c>
      <c r="P245" t="str">
        <f t="shared" si="2"/>
        <v>Delon Wright</v>
      </c>
      <c r="Q245" t="str">
        <f t="shared" si="3"/>
        <v>Delon Wright</v>
      </c>
      <c r="R245" t="s">
        <v>46</v>
      </c>
      <c r="S245" s="276" t="s">
        <v>47</v>
      </c>
      <c r="T245" t="s">
        <v>1850</v>
      </c>
      <c r="U245" t="s">
        <v>1850</v>
      </c>
      <c r="V245" t="s">
        <v>1850</v>
      </c>
      <c r="W245" t="str">
        <f t="shared" si="1"/>
        <v>PGSG</v>
      </c>
    </row>
    <row r="246">
      <c r="A246" s="309">
        <v>236.0</v>
      </c>
      <c r="B246" s="310" t="s">
        <v>2087</v>
      </c>
      <c r="C246" s="311"/>
      <c r="D246" s="311"/>
      <c r="E246" s="321">
        <v>3.2</v>
      </c>
      <c r="F246" s="321">
        <v>2.2</v>
      </c>
      <c r="G246" s="321">
        <v>3.7</v>
      </c>
      <c r="H246" s="321">
        <v>1.7</v>
      </c>
      <c r="I246" s="321">
        <v>0.9</v>
      </c>
      <c r="J246" s="321">
        <v>0.4</v>
      </c>
      <c r="K246" s="321">
        <v>1.5</v>
      </c>
      <c r="L246" s="321">
        <v>14.3</v>
      </c>
      <c r="M246" s="321">
        <v>6.7</v>
      </c>
      <c r="N246" s="325">
        <v>-0.1</v>
      </c>
      <c r="O246" t="str">
        <f>IFERROR(__xludf.DUMMYFUNCTION("regexextract(B246,""[\w]* [\w]*"")"),"Pat Connaughton")</f>
        <v>Pat Connaughton</v>
      </c>
      <c r="P246" t="str">
        <f t="shared" si="2"/>
        <v>Pat Connaughton</v>
      </c>
      <c r="Q246" t="str">
        <f t="shared" si="3"/>
        <v>Pat Connaughton</v>
      </c>
      <c r="R246" t="s">
        <v>1850</v>
      </c>
      <c r="S246" s="276" t="s">
        <v>47</v>
      </c>
      <c r="T246" t="s">
        <v>48</v>
      </c>
      <c r="U246" t="s">
        <v>1850</v>
      </c>
      <c r="V246" t="s">
        <v>34</v>
      </c>
      <c r="W246" t="str">
        <f t="shared" si="1"/>
        <v>SGSFC</v>
      </c>
    </row>
    <row r="247">
      <c r="A247" s="306">
        <v>237.0</v>
      </c>
      <c r="B247" s="307" t="s">
        <v>2088</v>
      </c>
      <c r="C247" s="308"/>
      <c r="D247" s="308"/>
      <c r="E247" s="320">
        <v>2.6</v>
      </c>
      <c r="F247" s="320">
        <v>1.3</v>
      </c>
      <c r="G247" s="320">
        <v>2.5</v>
      </c>
      <c r="H247" s="320">
        <v>3.0</v>
      </c>
      <c r="I247" s="320">
        <v>0.7</v>
      </c>
      <c r="J247" s="320">
        <v>0.3</v>
      </c>
      <c r="K247" s="320">
        <v>1.6</v>
      </c>
      <c r="L247" s="320">
        <v>12.9</v>
      </c>
      <c r="M247" s="320">
        <v>2.3</v>
      </c>
      <c r="N247" s="323">
        <f t="shared" ref="N247:N248" si="9">+0.1</f>
        <v>0.1</v>
      </c>
      <c r="O247" t="str">
        <f>IFERROR(__xludf.DUMMYFUNCTION("regexextract(B247,""[\w]* [\w]*"")"),"Anfernee Simons")</f>
        <v>Anfernee Simons</v>
      </c>
      <c r="P247" t="str">
        <f t="shared" si="2"/>
        <v>Anfernee Simons</v>
      </c>
      <c r="Q247" t="str">
        <f t="shared" si="3"/>
        <v>Anfernee Simons</v>
      </c>
      <c r="R247" t="s">
        <v>46</v>
      </c>
      <c r="S247" s="276" t="s">
        <v>47</v>
      </c>
      <c r="T247" t="s">
        <v>1850</v>
      </c>
      <c r="U247" t="s">
        <v>1850</v>
      </c>
      <c r="V247" t="s">
        <v>1850</v>
      </c>
      <c r="W247" t="str">
        <f t="shared" si="1"/>
        <v>PGSG</v>
      </c>
    </row>
    <row r="248">
      <c r="A248" s="309">
        <v>238.0</v>
      </c>
      <c r="B248" s="310" t="s">
        <v>2089</v>
      </c>
      <c r="C248" s="311"/>
      <c r="D248" s="311"/>
      <c r="E248" s="321">
        <v>0.9</v>
      </c>
      <c r="F248" s="321">
        <v>1.5</v>
      </c>
      <c r="G248" s="321">
        <v>4.8</v>
      </c>
      <c r="H248" s="321">
        <v>2.5</v>
      </c>
      <c r="I248" s="321">
        <v>1.0</v>
      </c>
      <c r="J248" s="321">
        <v>0.5</v>
      </c>
      <c r="K248" s="321">
        <v>1.0</v>
      </c>
      <c r="L248" s="321">
        <v>7.8</v>
      </c>
      <c r="M248" s="321">
        <v>2.0</v>
      </c>
      <c r="N248" s="322">
        <f t="shared" si="9"/>
        <v>0.1</v>
      </c>
      <c r="O248" t="str">
        <f>IFERROR(__xludf.DUMMYFUNCTION("regexextract(B248,""[\w]* [\w]*"")"),"George Hill")</f>
        <v>George Hill</v>
      </c>
      <c r="P248" t="str">
        <f t="shared" si="2"/>
        <v>George Hill</v>
      </c>
      <c r="Q248" t="str">
        <f t="shared" si="3"/>
        <v>George Hill</v>
      </c>
      <c r="R248" t="s">
        <v>46</v>
      </c>
      <c r="S248" s="276" t="s">
        <v>47</v>
      </c>
      <c r="T248" t="s">
        <v>1850</v>
      </c>
      <c r="U248" t="s">
        <v>1850</v>
      </c>
      <c r="V248" t="s">
        <v>1850</v>
      </c>
      <c r="W248" t="str">
        <f t="shared" si="1"/>
        <v>PGSG</v>
      </c>
    </row>
    <row r="249">
      <c r="A249" s="306">
        <v>239.0</v>
      </c>
      <c r="B249" s="307" t="s">
        <v>2090</v>
      </c>
      <c r="C249" s="308"/>
      <c r="D249" s="308"/>
      <c r="E249" s="320">
        <v>3.1</v>
      </c>
      <c r="F249" s="320">
        <v>0.1</v>
      </c>
      <c r="G249" s="320">
        <v>5.5</v>
      </c>
      <c r="H249" s="320">
        <v>0.9</v>
      </c>
      <c r="I249" s="320">
        <v>0.5</v>
      </c>
      <c r="J249" s="320">
        <v>1.0</v>
      </c>
      <c r="K249" s="320">
        <v>0.9</v>
      </c>
      <c r="L249" s="320">
        <v>9.8</v>
      </c>
      <c r="M249" s="320">
        <v>1.0</v>
      </c>
      <c r="N249" s="323">
        <f>+0.3</f>
        <v>0.3</v>
      </c>
      <c r="O249" t="str">
        <f>IFERROR(__xludf.DUMMYFUNCTION("regexextract(B249,""[\w]* [\w]*"")"),"Lonnie Walker")</f>
        <v>Lonnie Walker</v>
      </c>
      <c r="P249" t="str">
        <f t="shared" si="2"/>
        <v>Lonnie Walker</v>
      </c>
      <c r="Q249" t="str">
        <f t="shared" si="3"/>
        <v>Lonnie Walker</v>
      </c>
      <c r="R249" t="s">
        <v>1850</v>
      </c>
      <c r="S249" s="276" t="s">
        <v>47</v>
      </c>
      <c r="T249" t="s">
        <v>48</v>
      </c>
      <c r="U249" t="s">
        <v>1850</v>
      </c>
      <c r="V249" t="s">
        <v>1850</v>
      </c>
      <c r="W249" t="str">
        <f t="shared" si="1"/>
        <v>SGSF</v>
      </c>
    </row>
    <row r="250">
      <c r="A250" s="309">
        <v>240.0</v>
      </c>
      <c r="B250" s="310" t="s">
        <v>2091</v>
      </c>
      <c r="C250" s="311"/>
      <c r="D250" s="311"/>
      <c r="E250" s="321">
        <v>0.5</v>
      </c>
      <c r="F250" s="321">
        <v>0.9</v>
      </c>
      <c r="G250" s="321">
        <v>2.2</v>
      </c>
      <c r="H250" s="321">
        <v>1.3</v>
      </c>
      <c r="I250" s="321">
        <v>1.9</v>
      </c>
      <c r="J250" s="321">
        <v>1.2</v>
      </c>
      <c r="K250" s="321">
        <v>0.7</v>
      </c>
      <c r="L250" s="321">
        <v>5.0</v>
      </c>
      <c r="M250" s="321">
        <v>4.5</v>
      </c>
      <c r="N250" s="322">
        <f>+0.2</f>
        <v>0.2</v>
      </c>
      <c r="O250" t="str">
        <f>IFERROR(__xludf.DUMMYFUNCTION("regexextract(B250,""[\w]* [\w]*"")")," Augustin")</f>
        <v> Augustin</v>
      </c>
      <c r="P250" t="str">
        <f t="shared" si="2"/>
        <v> Augustin</v>
      </c>
      <c r="Q250" t="str">
        <f t="shared" si="3"/>
        <v> Augustin</v>
      </c>
      <c r="R250" t="s">
        <v>46</v>
      </c>
      <c r="S250" s="276" t="s">
        <v>1850</v>
      </c>
      <c r="T250" t="s">
        <v>1850</v>
      </c>
      <c r="U250" t="s">
        <v>1850</v>
      </c>
      <c r="V250" t="s">
        <v>1850</v>
      </c>
      <c r="W250" t="str">
        <f t="shared" si="1"/>
        <v>PG</v>
      </c>
    </row>
    <row r="251">
      <c r="A251" s="306">
        <v>241.0</v>
      </c>
      <c r="B251" s="307" t="s">
        <v>2092</v>
      </c>
      <c r="C251" s="308"/>
      <c r="D251" s="308"/>
      <c r="E251" s="320">
        <v>0.6</v>
      </c>
      <c r="F251" s="320">
        <v>1.3</v>
      </c>
      <c r="G251" s="320">
        <v>5.8</v>
      </c>
      <c r="H251" s="320">
        <v>2.4</v>
      </c>
      <c r="I251" s="320">
        <v>0.8</v>
      </c>
      <c r="J251" s="320">
        <v>0.4</v>
      </c>
      <c r="K251" s="320">
        <v>1.0</v>
      </c>
      <c r="L251" s="320">
        <v>6.3</v>
      </c>
      <c r="M251" s="320">
        <v>2.8</v>
      </c>
      <c r="N251" s="324">
        <v>-0.5</v>
      </c>
      <c r="O251" t="str">
        <f>IFERROR(__xludf.DUMMYFUNCTION("regexextract(B251,""[\w]* [\w]*"")"),"Mo Bamba")</f>
        <v>Mo Bamba</v>
      </c>
      <c r="P251" t="str">
        <f t="shared" si="2"/>
        <v>Mo Bamba</v>
      </c>
      <c r="Q251" t="str">
        <f t="shared" si="3"/>
        <v>Mo Bamba</v>
      </c>
      <c r="R251" t="s">
        <v>1850</v>
      </c>
      <c r="S251" s="276" t="s">
        <v>1850</v>
      </c>
      <c r="T251" t="s">
        <v>1850</v>
      </c>
      <c r="U251" t="s">
        <v>1850</v>
      </c>
      <c r="V251" t="s">
        <v>34</v>
      </c>
      <c r="W251" t="str">
        <f t="shared" si="1"/>
        <v>C</v>
      </c>
    </row>
    <row r="252">
      <c r="A252" s="309">
        <v>242.0</v>
      </c>
      <c r="B252" s="310" t="s">
        <v>2093</v>
      </c>
      <c r="C252" s="311"/>
      <c r="D252" s="311"/>
      <c r="E252" s="321">
        <v>1.6</v>
      </c>
      <c r="F252" s="321">
        <v>1.5</v>
      </c>
      <c r="G252" s="321">
        <v>4.0</v>
      </c>
      <c r="H252" s="321">
        <v>1.3</v>
      </c>
      <c r="I252" s="321">
        <v>1.0</v>
      </c>
      <c r="J252" s="321">
        <v>0.4</v>
      </c>
      <c r="K252" s="321">
        <v>0.5</v>
      </c>
      <c r="L252" s="321">
        <v>10.2</v>
      </c>
      <c r="M252" s="321">
        <v>0.8</v>
      </c>
      <c r="N252" s="322">
        <f>+0.2</f>
        <v>0.2</v>
      </c>
      <c r="O252" t="str">
        <f>IFERROR(__xludf.DUMMYFUNCTION("regexextract(B252,""[\w]* [\w]*"")"),"JaMychal Green")</f>
        <v>JaMychal Green</v>
      </c>
      <c r="P252" t="str">
        <f t="shared" si="2"/>
        <v>JaMychal Green</v>
      </c>
      <c r="Q252" t="str">
        <f t="shared" si="3"/>
        <v>JaMychal Green</v>
      </c>
      <c r="R252" t="s">
        <v>1850</v>
      </c>
      <c r="S252" s="276" t="s">
        <v>1850</v>
      </c>
      <c r="T252" t="s">
        <v>1850</v>
      </c>
      <c r="U252" t="s">
        <v>49</v>
      </c>
      <c r="V252" t="s">
        <v>34</v>
      </c>
      <c r="W252" t="str">
        <f t="shared" si="1"/>
        <v>PFC</v>
      </c>
    </row>
    <row r="253">
      <c r="A253" s="306">
        <v>243.0</v>
      </c>
      <c r="B253" s="307" t="s">
        <v>2094</v>
      </c>
      <c r="C253" s="308"/>
      <c r="D253" s="308"/>
      <c r="E253" s="320">
        <v>3.7</v>
      </c>
      <c r="F253" s="320">
        <v>2.0</v>
      </c>
      <c r="G253" s="320">
        <v>4.5</v>
      </c>
      <c r="H253" s="320">
        <v>4.2</v>
      </c>
      <c r="I253" s="320">
        <v>1.3</v>
      </c>
      <c r="J253" s="320">
        <v>0.3</v>
      </c>
      <c r="K253" s="320">
        <v>2.3</v>
      </c>
      <c r="L253" s="320">
        <v>17.4</v>
      </c>
      <c r="M253" s="320">
        <v>22.9</v>
      </c>
      <c r="N253" s="324">
        <v>-4.2</v>
      </c>
      <c r="O253" t="str">
        <f>IFERROR(__xludf.DUMMYFUNCTION("regexextract(B253,""[\w]* [\w]*"")"),"Danuel House")</f>
        <v>Danuel House</v>
      </c>
      <c r="P253" t="str">
        <f t="shared" si="2"/>
        <v>Danuel House</v>
      </c>
      <c r="Q253" t="str">
        <f t="shared" si="3"/>
        <v>Danuel House</v>
      </c>
      <c r="R253" t="s">
        <v>1850</v>
      </c>
      <c r="S253" s="276" t="s">
        <v>47</v>
      </c>
      <c r="T253" t="s">
        <v>48</v>
      </c>
      <c r="U253" t="s">
        <v>1850</v>
      </c>
      <c r="V253" t="s">
        <v>1850</v>
      </c>
      <c r="W253" t="str">
        <f t="shared" si="1"/>
        <v>SGSF</v>
      </c>
    </row>
    <row r="254">
      <c r="A254" s="309">
        <v>244.0</v>
      </c>
      <c r="B254" s="310" t="s">
        <v>2095</v>
      </c>
      <c r="C254" s="311"/>
      <c r="D254" s="311"/>
      <c r="E254" s="321">
        <v>1.8</v>
      </c>
      <c r="F254" s="321">
        <v>2.9</v>
      </c>
      <c r="G254" s="321">
        <v>3.5</v>
      </c>
      <c r="H254" s="321">
        <v>1.2</v>
      </c>
      <c r="I254" s="321">
        <v>0.6</v>
      </c>
      <c r="J254" s="321">
        <v>0.4</v>
      </c>
      <c r="K254" s="321">
        <v>0.7</v>
      </c>
      <c r="L254" s="321">
        <v>11.8</v>
      </c>
      <c r="M254" s="321">
        <v>1.0</v>
      </c>
      <c r="N254" s="322">
        <f>+0.2</f>
        <v>0.2</v>
      </c>
      <c r="O254" t="str">
        <f>IFERROR(__xludf.DUMMYFUNCTION("regexextract(B254,""[\w]* [\w]*"")"),"Cam Reddish")</f>
        <v>Cam Reddish</v>
      </c>
      <c r="P254" t="str">
        <f t="shared" si="2"/>
        <v>Cam Reddish</v>
      </c>
      <c r="Q254" t="str">
        <f t="shared" si="3"/>
        <v>Cam Reddish</v>
      </c>
      <c r="R254" t="s">
        <v>1850</v>
      </c>
      <c r="S254" s="276" t="s">
        <v>47</v>
      </c>
      <c r="T254" t="s">
        <v>48</v>
      </c>
      <c r="U254" t="s">
        <v>1850</v>
      </c>
      <c r="V254" t="s">
        <v>34</v>
      </c>
      <c r="W254" t="str">
        <f t="shared" si="1"/>
        <v>SGSFC</v>
      </c>
    </row>
    <row r="255">
      <c r="A255" s="306">
        <v>245.0</v>
      </c>
      <c r="B255" s="307" t="s">
        <v>2096</v>
      </c>
      <c r="C255" s="308"/>
      <c r="D255" s="308"/>
      <c r="E255" s="320">
        <v>2.8</v>
      </c>
      <c r="F255" s="320">
        <v>2.2</v>
      </c>
      <c r="G255" s="320">
        <v>7.8</v>
      </c>
      <c r="H255" s="320">
        <v>2.4</v>
      </c>
      <c r="I255" s="320">
        <v>0.5</v>
      </c>
      <c r="J255" s="320">
        <v>0.2</v>
      </c>
      <c r="K255" s="320">
        <v>1.8</v>
      </c>
      <c r="L255" s="320">
        <v>13.4</v>
      </c>
      <c r="M255" s="320">
        <v>8.2</v>
      </c>
      <c r="N255" s="324">
        <v>-0.9</v>
      </c>
      <c r="O255" t="str">
        <f>IFERROR(__xludf.DUMMYFUNCTION("regexextract(B255,""[\w]* [\w]*"")"),"Landry Shamet")</f>
        <v>Landry Shamet</v>
      </c>
      <c r="P255" t="str">
        <f t="shared" si="2"/>
        <v>Landry Shamet</v>
      </c>
      <c r="Q255" t="str">
        <f t="shared" si="3"/>
        <v>Landry Shamet</v>
      </c>
      <c r="R255" t="s">
        <v>1850</v>
      </c>
      <c r="S255" s="276" t="s">
        <v>47</v>
      </c>
      <c r="T255" t="s">
        <v>1850</v>
      </c>
      <c r="U255" t="s">
        <v>1850</v>
      </c>
      <c r="V255" t="s">
        <v>1850</v>
      </c>
      <c r="W255" t="str">
        <f t="shared" si="1"/>
        <v>SG</v>
      </c>
    </row>
    <row r="256">
      <c r="A256" s="309">
        <v>246.0</v>
      </c>
      <c r="B256" s="310" t="s">
        <v>2097</v>
      </c>
      <c r="C256" s="311"/>
      <c r="D256" s="311"/>
      <c r="E256" s="321">
        <v>2.2</v>
      </c>
      <c r="F256" s="321">
        <v>1.2</v>
      </c>
      <c r="G256" s="321">
        <v>3.8</v>
      </c>
      <c r="H256" s="321">
        <v>1.6</v>
      </c>
      <c r="I256" s="321">
        <v>0.9</v>
      </c>
      <c r="J256" s="321">
        <v>0.5</v>
      </c>
      <c r="K256" s="321">
        <v>0.7</v>
      </c>
      <c r="L256" s="321">
        <v>10.7</v>
      </c>
      <c r="M256" s="321">
        <v>2.7</v>
      </c>
      <c r="N256" s="325">
        <v>-0.5</v>
      </c>
      <c r="O256" t="str">
        <f>IFERROR(__xludf.DUMMYFUNCTION("regexextract(B256,""[\w]* [\w]*"")"),"Deni AvdijaDTD")</f>
        <v>Deni AvdijaDTD</v>
      </c>
      <c r="P256" t="str">
        <f t="shared" si="2"/>
        <v>Deni Avdija</v>
      </c>
      <c r="Q256" t="str">
        <f t="shared" si="3"/>
        <v>Deni Avdija</v>
      </c>
      <c r="R256" t="s">
        <v>1850</v>
      </c>
      <c r="S256" s="276" t="s">
        <v>1850</v>
      </c>
      <c r="T256" t="s">
        <v>48</v>
      </c>
      <c r="U256" t="s">
        <v>1850</v>
      </c>
      <c r="V256" t="s">
        <v>1850</v>
      </c>
      <c r="W256" t="str">
        <f t="shared" si="1"/>
        <v>SF</v>
      </c>
    </row>
    <row r="257">
      <c r="A257" s="306">
        <v>247.0</v>
      </c>
      <c r="B257" s="307" t="s">
        <v>2098</v>
      </c>
      <c r="C257" s="308"/>
      <c r="D257" s="308"/>
      <c r="E257" s="320">
        <v>1.8</v>
      </c>
      <c r="F257" s="320">
        <v>0.3</v>
      </c>
      <c r="G257" s="320">
        <v>5.1</v>
      </c>
      <c r="H257" s="320">
        <v>1.8</v>
      </c>
      <c r="I257" s="320">
        <v>0.9</v>
      </c>
      <c r="J257" s="320">
        <v>0.4</v>
      </c>
      <c r="K257" s="320">
        <v>0.9</v>
      </c>
      <c r="L257" s="320">
        <v>8.3</v>
      </c>
      <c r="M257" s="320">
        <v>1.3</v>
      </c>
      <c r="N257" s="320">
        <v>0.0</v>
      </c>
      <c r="O257" t="str">
        <f>IFERROR(__xludf.DUMMYFUNCTION("regexextract(B257,""[\w]* [\w]*"")"),"Willy Hernangomez")</f>
        <v>Willy Hernangomez</v>
      </c>
      <c r="P257" t="str">
        <f t="shared" si="2"/>
        <v>Willy Hernangomez</v>
      </c>
      <c r="Q257" t="str">
        <f t="shared" si="3"/>
        <v>Willy Hernangomez</v>
      </c>
      <c r="R257" t="s">
        <v>1850</v>
      </c>
      <c r="S257" s="276" t="s">
        <v>1850</v>
      </c>
      <c r="T257" t="s">
        <v>1850</v>
      </c>
      <c r="U257" t="s">
        <v>1850</v>
      </c>
      <c r="V257" t="s">
        <v>34</v>
      </c>
      <c r="W257" t="str">
        <f t="shared" si="1"/>
        <v>C</v>
      </c>
    </row>
    <row r="258">
      <c r="A258" s="309">
        <v>248.0</v>
      </c>
      <c r="B258" s="310" t="s">
        <v>2099</v>
      </c>
      <c r="C258" s="311"/>
      <c r="D258" s="311"/>
      <c r="E258" s="321">
        <v>1.5</v>
      </c>
      <c r="F258" s="321">
        <v>0.0</v>
      </c>
      <c r="G258" s="321">
        <v>6.8</v>
      </c>
      <c r="H258" s="321">
        <v>1.0</v>
      </c>
      <c r="I258" s="321">
        <v>0.5</v>
      </c>
      <c r="J258" s="321">
        <v>1.1</v>
      </c>
      <c r="K258" s="321">
        <v>0.8</v>
      </c>
      <c r="L258" s="321">
        <v>7.4</v>
      </c>
      <c r="M258" s="321">
        <v>1.1</v>
      </c>
      <c r="N258" s="322">
        <f>+0.2</f>
        <v>0.2</v>
      </c>
      <c r="O258" t="str">
        <f>IFERROR(__xludf.DUMMYFUNCTION("regexextract(B258,""[\w]* [\w]*"")"),"Gorgui Dieng")</f>
        <v>Gorgui Dieng</v>
      </c>
      <c r="P258" t="str">
        <f t="shared" si="2"/>
        <v>Gorgui Dieng</v>
      </c>
      <c r="Q258" t="str">
        <f t="shared" si="3"/>
        <v>Gorgui Dieng</v>
      </c>
      <c r="R258" t="s">
        <v>1850</v>
      </c>
      <c r="S258" s="276" t="s">
        <v>1850</v>
      </c>
      <c r="T258" t="s">
        <v>1850</v>
      </c>
      <c r="U258" t="s">
        <v>49</v>
      </c>
      <c r="V258" t="s">
        <v>34</v>
      </c>
      <c r="W258" t="str">
        <f t="shared" si="1"/>
        <v>PFC</v>
      </c>
    </row>
    <row r="259">
      <c r="A259" s="306">
        <v>249.0</v>
      </c>
      <c r="B259" s="307" t="s">
        <v>2100</v>
      </c>
      <c r="C259" s="308"/>
      <c r="D259" s="308"/>
      <c r="E259" s="320">
        <v>1.0</v>
      </c>
      <c r="F259" s="320">
        <v>0.6</v>
      </c>
      <c r="G259" s="320">
        <v>3.2</v>
      </c>
      <c r="H259" s="320">
        <v>4.2</v>
      </c>
      <c r="I259" s="320">
        <v>0.7</v>
      </c>
      <c r="J259" s="320">
        <v>0.3</v>
      </c>
      <c r="K259" s="320">
        <v>1.1</v>
      </c>
      <c r="L259" s="320">
        <v>8.4</v>
      </c>
      <c r="M259" s="320">
        <v>0.5</v>
      </c>
      <c r="N259" s="323">
        <f>+0.1</f>
        <v>0.1</v>
      </c>
      <c r="O259" t="str">
        <f>IFERROR(__xludf.DUMMYFUNCTION("regexextract(B259,""[\w]* [\w]*"")"),"Garrett Temple")</f>
        <v>Garrett Temple</v>
      </c>
      <c r="P259" t="str">
        <f t="shared" si="2"/>
        <v>Garrett Temple</v>
      </c>
      <c r="Q259" t="str">
        <f t="shared" si="3"/>
        <v>Garrett Temple</v>
      </c>
      <c r="R259" t="s">
        <v>1850</v>
      </c>
      <c r="S259" s="276" t="s">
        <v>47</v>
      </c>
      <c r="T259" t="s">
        <v>48</v>
      </c>
      <c r="U259" t="s">
        <v>1850</v>
      </c>
      <c r="V259" t="s">
        <v>1850</v>
      </c>
      <c r="W259" t="str">
        <f t="shared" si="1"/>
        <v>SGSF</v>
      </c>
    </row>
    <row r="260">
      <c r="A260" s="309">
        <v>250.0</v>
      </c>
      <c r="B260" s="310" t="s">
        <v>2101</v>
      </c>
      <c r="C260" s="311"/>
      <c r="D260" s="311"/>
      <c r="E260" s="321">
        <v>1.6</v>
      </c>
      <c r="F260" s="321">
        <v>1.7</v>
      </c>
      <c r="G260" s="321">
        <v>3.5</v>
      </c>
      <c r="H260" s="321">
        <v>2.6</v>
      </c>
      <c r="I260" s="321">
        <v>0.8</v>
      </c>
      <c r="J260" s="321">
        <v>0.2</v>
      </c>
      <c r="K260" s="321">
        <v>1.3</v>
      </c>
      <c r="L260" s="321">
        <v>10.6</v>
      </c>
      <c r="M260" s="321">
        <v>1.3</v>
      </c>
      <c r="N260" s="325">
        <v>-0.1</v>
      </c>
      <c r="O260" t="str">
        <f>IFERROR(__xludf.DUMMYFUNCTION("regexextract(B260,""[\w]* [\w]*"")"),"Eric Gordon")</f>
        <v>Eric Gordon</v>
      </c>
      <c r="P260" t="str">
        <f t="shared" si="2"/>
        <v>Eric Gordon</v>
      </c>
      <c r="Q260" t="str">
        <f t="shared" si="3"/>
        <v>Eric Gordon</v>
      </c>
      <c r="R260" t="s">
        <v>1850</v>
      </c>
      <c r="S260" s="276" t="s">
        <v>47</v>
      </c>
      <c r="T260" t="s">
        <v>1850</v>
      </c>
      <c r="U260" t="s">
        <v>1850</v>
      </c>
      <c r="V260" t="s">
        <v>34</v>
      </c>
      <c r="W260" t="str">
        <f t="shared" si="1"/>
        <v>SGC</v>
      </c>
    </row>
    <row r="261">
      <c r="A261" s="298" t="s">
        <v>1844</v>
      </c>
      <c r="C261" s="298" t="s">
        <v>1845</v>
      </c>
      <c r="E261" s="316"/>
      <c r="F261" s="316"/>
      <c r="G261" s="316"/>
      <c r="H261" s="316"/>
      <c r="I261" s="316"/>
      <c r="J261" s="316"/>
      <c r="K261" s="316"/>
      <c r="L261" s="316"/>
      <c r="M261" s="316" t="s">
        <v>1950</v>
      </c>
      <c r="N261" s="316"/>
      <c r="O261" t="str">
        <f>IFERROR(__xludf.DUMMYFUNCTION("regexextract(B261,""[\w]* [\w]*"")"),"#N/A")</f>
        <v>#N/A</v>
      </c>
      <c r="P261" t="str">
        <f t="shared" si="2"/>
        <v>#N/A</v>
      </c>
      <c r="Q261" t="str">
        <f t="shared" si="3"/>
        <v>#N/A</v>
      </c>
      <c r="R261" t="s">
        <v>1850</v>
      </c>
      <c r="S261" s="276" t="s">
        <v>1850</v>
      </c>
      <c r="T261" t="s">
        <v>1850</v>
      </c>
      <c r="U261" t="s">
        <v>1850</v>
      </c>
      <c r="V261" t="s">
        <v>1850</v>
      </c>
      <c r="W261" t="str">
        <f t="shared" si="1"/>
        <v/>
      </c>
    </row>
    <row r="262">
      <c r="A262" s="301" t="s">
        <v>1846</v>
      </c>
      <c r="B262" s="302" t="s">
        <v>3</v>
      </c>
      <c r="C262" s="301" t="s">
        <v>1847</v>
      </c>
      <c r="D262" s="303" t="s">
        <v>1848</v>
      </c>
      <c r="E262" s="317" t="s">
        <v>428</v>
      </c>
      <c r="F262" s="318">
        <v>0.625</v>
      </c>
      <c r="G262" s="317" t="s">
        <v>110</v>
      </c>
      <c r="H262" s="317" t="s">
        <v>12</v>
      </c>
      <c r="I262" s="317" t="s">
        <v>13</v>
      </c>
      <c r="J262" s="317" t="s">
        <v>14</v>
      </c>
      <c r="K262" s="317" t="s">
        <v>15</v>
      </c>
      <c r="L262" s="317" t="s">
        <v>10</v>
      </c>
      <c r="M262" s="317" t="s">
        <v>1951</v>
      </c>
      <c r="N262" s="319" t="str">
        <f>+/-</f>
        <v>#ERROR!</v>
      </c>
      <c r="O262" t="str">
        <f>IFERROR(__xludf.DUMMYFUNCTION("regexextract(B262,""[\w]* [\w]*"")"),"#N/A")</f>
        <v>#N/A</v>
      </c>
      <c r="P262" t="str">
        <f t="shared" si="2"/>
        <v>#N/A</v>
      </c>
      <c r="Q262" t="str">
        <f t="shared" si="3"/>
        <v>#N/A</v>
      </c>
      <c r="R262" t="s">
        <v>1850</v>
      </c>
      <c r="S262" s="276" t="s">
        <v>1850</v>
      </c>
      <c r="T262" t="s">
        <v>1850</v>
      </c>
      <c r="U262" t="s">
        <v>1850</v>
      </c>
      <c r="V262" t="s">
        <v>1850</v>
      </c>
      <c r="W262" t="str">
        <f t="shared" si="1"/>
        <v/>
      </c>
    </row>
    <row r="263">
      <c r="A263" s="306">
        <v>251.0</v>
      </c>
      <c r="B263" s="307" t="s">
        <v>2102</v>
      </c>
      <c r="C263" s="308"/>
      <c r="D263" s="308"/>
      <c r="E263" s="320">
        <v>1.1</v>
      </c>
      <c r="F263" s="320">
        <v>2.2</v>
      </c>
      <c r="G263" s="320">
        <v>3.7</v>
      </c>
      <c r="H263" s="320">
        <v>1.5</v>
      </c>
      <c r="I263" s="320">
        <v>0.7</v>
      </c>
      <c r="J263" s="320">
        <v>0.3</v>
      </c>
      <c r="K263" s="320">
        <v>0.8</v>
      </c>
      <c r="L263" s="320">
        <v>10.6</v>
      </c>
      <c r="M263" s="320">
        <v>1.5</v>
      </c>
      <c r="N263" s="323">
        <f>+0.2</f>
        <v>0.2</v>
      </c>
      <c r="O263" t="str">
        <f>IFERROR(__xludf.DUMMYFUNCTION("regexextract(B263,""[\w]* [\w]*"")"),"Kent Bazemore")</f>
        <v>Kent Bazemore</v>
      </c>
      <c r="P263" t="str">
        <f t="shared" si="2"/>
        <v>Kent Bazemore</v>
      </c>
      <c r="Q263" t="str">
        <f t="shared" si="3"/>
        <v>Kent Bazemore</v>
      </c>
      <c r="R263" t="s">
        <v>1850</v>
      </c>
      <c r="S263" s="276" t="s">
        <v>47</v>
      </c>
      <c r="T263" t="s">
        <v>48</v>
      </c>
      <c r="U263" t="s">
        <v>1850</v>
      </c>
      <c r="V263" t="s">
        <v>1850</v>
      </c>
      <c r="W263" t="str">
        <f t="shared" si="1"/>
        <v>SGSF</v>
      </c>
    </row>
    <row r="264">
      <c r="A264" s="309">
        <v>252.0</v>
      </c>
      <c r="B264" s="310" t="s">
        <v>2103</v>
      </c>
      <c r="C264" s="311"/>
      <c r="D264" s="311"/>
      <c r="E264" s="321">
        <v>0.8</v>
      </c>
      <c r="F264" s="321">
        <v>0.6</v>
      </c>
      <c r="G264" s="321">
        <v>1.9</v>
      </c>
      <c r="H264" s="321">
        <v>4.1</v>
      </c>
      <c r="I264" s="321">
        <v>0.9</v>
      </c>
      <c r="J264" s="321">
        <v>0.1</v>
      </c>
      <c r="K264" s="321">
        <v>0.7</v>
      </c>
      <c r="L264" s="321">
        <v>6.8</v>
      </c>
      <c r="M264" s="321">
        <v>0.4</v>
      </c>
      <c r="N264" s="322">
        <f>+0.1</f>
        <v>0.1</v>
      </c>
      <c r="O264" t="str">
        <f>IFERROR(__xludf.DUMMYFUNCTION("regexextract(B264,""[\w]* [\w]*"")"),"Alex Caruso")</f>
        <v>Alex Caruso</v>
      </c>
      <c r="P264" t="str">
        <f t="shared" si="2"/>
        <v>Alex Caruso</v>
      </c>
      <c r="Q264" t="str">
        <f t="shared" si="3"/>
        <v>Alex Carus</v>
      </c>
      <c r="R264" t="s">
        <v>46</v>
      </c>
      <c r="S264" s="276" t="s">
        <v>47</v>
      </c>
      <c r="T264" t="s">
        <v>1850</v>
      </c>
      <c r="U264" t="s">
        <v>1850</v>
      </c>
      <c r="V264" t="s">
        <v>34</v>
      </c>
      <c r="W264" t="str">
        <f t="shared" si="1"/>
        <v>PGSGC</v>
      </c>
    </row>
    <row r="265">
      <c r="A265" s="306">
        <v>253.0</v>
      </c>
      <c r="B265" s="307" t="s">
        <v>2104</v>
      </c>
      <c r="C265" s="308"/>
      <c r="D265" s="308"/>
      <c r="E265" s="320">
        <v>1.5</v>
      </c>
      <c r="F265" s="320">
        <v>2.4</v>
      </c>
      <c r="G265" s="320">
        <v>2.3</v>
      </c>
      <c r="H265" s="320">
        <v>1.2</v>
      </c>
      <c r="I265" s="320">
        <v>0.9</v>
      </c>
      <c r="J265" s="320">
        <v>0.2</v>
      </c>
      <c r="K265" s="320">
        <v>0.6</v>
      </c>
      <c r="L265" s="320">
        <v>12.8</v>
      </c>
      <c r="M265" s="320">
        <v>11.6</v>
      </c>
      <c r="N265" s="324">
        <v>-0.8</v>
      </c>
      <c r="O265" t="str">
        <f>IFERROR(__xludf.DUMMYFUNCTION("regexextract(B265,""[\w]* [\w]*"")"),"Grayson Allen")</f>
        <v>Grayson Allen</v>
      </c>
      <c r="P265" t="str">
        <f t="shared" si="2"/>
        <v>Grayson Allen</v>
      </c>
      <c r="Q265" t="str">
        <f t="shared" si="3"/>
        <v>Grayson Allen</v>
      </c>
      <c r="R265" t="s">
        <v>1850</v>
      </c>
      <c r="S265" s="276" t="s">
        <v>47</v>
      </c>
      <c r="T265" t="s">
        <v>1850</v>
      </c>
      <c r="U265" t="s">
        <v>1850</v>
      </c>
      <c r="V265" t="s">
        <v>1850</v>
      </c>
      <c r="W265" t="str">
        <f t="shared" si="1"/>
        <v>SG</v>
      </c>
    </row>
    <row r="266">
      <c r="A266" s="309">
        <v>254.0</v>
      </c>
      <c r="B266" s="310" t="s">
        <v>2105</v>
      </c>
      <c r="C266" s="311"/>
      <c r="D266" s="311"/>
      <c r="E266" s="321">
        <v>0.9</v>
      </c>
      <c r="F266" s="321">
        <v>2.3</v>
      </c>
      <c r="G266" s="321">
        <v>3.1</v>
      </c>
      <c r="H266" s="321">
        <v>1.6</v>
      </c>
      <c r="I266" s="321">
        <v>0.8</v>
      </c>
      <c r="J266" s="321">
        <v>0.2</v>
      </c>
      <c r="K266" s="321">
        <v>0.7</v>
      </c>
      <c r="L266" s="321">
        <v>10.5</v>
      </c>
      <c r="M266" s="321">
        <v>2.1</v>
      </c>
      <c r="N266" s="325">
        <v>-0.4</v>
      </c>
      <c r="O266" t="str">
        <f>IFERROR(__xludf.DUMMYFUNCTION("regexextract(B266,""[\w]* [\w]*"")"),"Elfrid Payton")</f>
        <v>Elfrid Payton</v>
      </c>
      <c r="P266" t="str">
        <f t="shared" si="2"/>
        <v>Elfrid Payton</v>
      </c>
      <c r="Q266" t="str">
        <f t="shared" si="3"/>
        <v>Elfrid Payton</v>
      </c>
      <c r="R266" t="s">
        <v>46</v>
      </c>
      <c r="S266" s="276" t="s">
        <v>1850</v>
      </c>
      <c r="T266" t="s">
        <v>1850</v>
      </c>
      <c r="U266" t="s">
        <v>1850</v>
      </c>
      <c r="V266" t="s">
        <v>1850</v>
      </c>
      <c r="W266" t="str">
        <f t="shared" si="1"/>
        <v>PG</v>
      </c>
    </row>
    <row r="267">
      <c r="A267" s="306">
        <v>255.0</v>
      </c>
      <c r="B267" s="307" t="s">
        <v>2106</v>
      </c>
      <c r="C267" s="308"/>
      <c r="D267" s="308"/>
      <c r="E267" s="320">
        <v>1.8</v>
      </c>
      <c r="F267" s="320">
        <v>0.0</v>
      </c>
      <c r="G267" s="320">
        <v>5.7</v>
      </c>
      <c r="H267" s="320">
        <v>1.2</v>
      </c>
      <c r="I267" s="320">
        <v>0.7</v>
      </c>
      <c r="J267" s="320">
        <v>0.9</v>
      </c>
      <c r="K267" s="320">
        <v>0.7</v>
      </c>
      <c r="L267" s="320">
        <v>7.3</v>
      </c>
      <c r="M267" s="320">
        <v>0.4</v>
      </c>
      <c r="N267" s="323">
        <f>+0.2</f>
        <v>0.2</v>
      </c>
      <c r="O267" t="str">
        <f>IFERROR(__xludf.DUMMYFUNCTION("regexextract(B267,""[\w]* [\w]*"")"),"Frank Kaminsky")</f>
        <v>Frank Kaminsky</v>
      </c>
      <c r="P267" t="str">
        <f t="shared" si="2"/>
        <v>Frank Kaminsky</v>
      </c>
      <c r="Q267" t="str">
        <f t="shared" si="3"/>
        <v>Frank Kaminsky</v>
      </c>
      <c r="R267" t="s">
        <v>1850</v>
      </c>
      <c r="S267" s="276" t="s">
        <v>1850</v>
      </c>
      <c r="T267" t="s">
        <v>1850</v>
      </c>
      <c r="U267" t="s">
        <v>49</v>
      </c>
      <c r="V267" t="s">
        <v>34</v>
      </c>
      <c r="W267" t="str">
        <f t="shared" si="1"/>
        <v>PFC</v>
      </c>
    </row>
    <row r="268">
      <c r="A268" s="309">
        <v>256.0</v>
      </c>
      <c r="B268" s="310" t="s">
        <v>2107</v>
      </c>
      <c r="C268" s="311"/>
      <c r="D268" s="311"/>
      <c r="E268" s="321">
        <v>3.7</v>
      </c>
      <c r="F268" s="321">
        <v>0.5</v>
      </c>
      <c r="G268" s="321">
        <v>5.1</v>
      </c>
      <c r="H268" s="321">
        <v>1.9</v>
      </c>
      <c r="I268" s="321">
        <v>0.8</v>
      </c>
      <c r="J268" s="321">
        <v>0.4</v>
      </c>
      <c r="K268" s="321">
        <v>1.4</v>
      </c>
      <c r="L268" s="321">
        <v>11.2</v>
      </c>
      <c r="M268" s="321">
        <v>0.9</v>
      </c>
      <c r="N268" s="321">
        <v>0.0</v>
      </c>
      <c r="O268" t="str">
        <f>IFERROR(__xludf.DUMMYFUNCTION("regexextract(B268,""[\w]* [\w]*"")"),"Gary Harris")</f>
        <v>Gary Harris</v>
      </c>
      <c r="P268" t="str">
        <f t="shared" si="2"/>
        <v>Gary Harris</v>
      </c>
      <c r="Q268" t="str">
        <f t="shared" si="3"/>
        <v>Gary Harris</v>
      </c>
      <c r="R268" t="s">
        <v>1850</v>
      </c>
      <c r="S268" s="276" t="s">
        <v>47</v>
      </c>
      <c r="T268" t="s">
        <v>1850</v>
      </c>
      <c r="U268" t="s">
        <v>1850</v>
      </c>
      <c r="V268" t="s">
        <v>1850</v>
      </c>
      <c r="W268" t="str">
        <f t="shared" si="1"/>
        <v>SG</v>
      </c>
    </row>
    <row r="269">
      <c r="A269" s="306">
        <v>257.0</v>
      </c>
      <c r="B269" s="307" t="s">
        <v>2108</v>
      </c>
      <c r="C269" s="308"/>
      <c r="D269" s="308"/>
      <c r="E269" s="320">
        <v>2.1</v>
      </c>
      <c r="F269" s="320">
        <v>1.6</v>
      </c>
      <c r="G269" s="320">
        <v>3.6</v>
      </c>
      <c r="H269" s="320">
        <v>1.3</v>
      </c>
      <c r="I269" s="320">
        <v>0.6</v>
      </c>
      <c r="J269" s="320">
        <v>0.5</v>
      </c>
      <c r="K269" s="320">
        <v>1.0</v>
      </c>
      <c r="L269" s="320">
        <v>12.3</v>
      </c>
      <c r="M269" s="320">
        <v>31.3</v>
      </c>
      <c r="N269" s="324">
        <v>-2.4</v>
      </c>
      <c r="O269" t="str">
        <f>IFERROR(__xludf.DUMMYFUNCTION("regexextract(B269,""[\w]* [\w]*"")"),"Furkan Korkmaz")</f>
        <v>Furkan Korkmaz</v>
      </c>
      <c r="P269" t="str">
        <f t="shared" si="2"/>
        <v>Furkan Korkmaz</v>
      </c>
      <c r="Q269" t="str">
        <f t="shared" si="3"/>
        <v>Furkan Korkmaz</v>
      </c>
      <c r="R269" t="s">
        <v>1850</v>
      </c>
      <c r="S269" s="276" t="s">
        <v>47</v>
      </c>
      <c r="T269" t="s">
        <v>1850</v>
      </c>
      <c r="U269" t="s">
        <v>1850</v>
      </c>
      <c r="V269" t="s">
        <v>1850</v>
      </c>
      <c r="W269" t="str">
        <f t="shared" si="1"/>
        <v>SG</v>
      </c>
    </row>
    <row r="270">
      <c r="A270" s="309">
        <v>258.0</v>
      </c>
      <c r="B270" s="310" t="s">
        <v>2109</v>
      </c>
      <c r="C270" s="311"/>
      <c r="D270" s="311"/>
      <c r="E270" s="321">
        <v>2.1</v>
      </c>
      <c r="F270" s="321">
        <v>0.8</v>
      </c>
      <c r="G270" s="321">
        <v>4.2</v>
      </c>
      <c r="H270" s="321">
        <v>1.0</v>
      </c>
      <c r="I270" s="321">
        <v>0.5</v>
      </c>
      <c r="J270" s="321">
        <v>0.9</v>
      </c>
      <c r="K270" s="321">
        <v>0.9</v>
      </c>
      <c r="L270" s="321">
        <v>9.9</v>
      </c>
      <c r="M270" s="321">
        <v>1.7</v>
      </c>
      <c r="N270" s="325">
        <v>-0.2</v>
      </c>
      <c r="O270" t="str">
        <f>IFERROR(__xludf.DUMMYFUNCTION("regexextract(B270,""[\w]* [\w]*"")"),"Austin Rivers")</f>
        <v>Austin Rivers</v>
      </c>
      <c r="P270" t="str">
        <f t="shared" si="2"/>
        <v>Austin Rivers</v>
      </c>
      <c r="Q270" t="str">
        <f t="shared" si="3"/>
        <v>Austin Rivers</v>
      </c>
      <c r="R270" t="s">
        <v>1850</v>
      </c>
      <c r="S270" s="276" t="s">
        <v>47</v>
      </c>
      <c r="T270" t="s">
        <v>1850</v>
      </c>
      <c r="U270" t="s">
        <v>1850</v>
      </c>
      <c r="V270" t="s">
        <v>1850</v>
      </c>
      <c r="W270" t="str">
        <f t="shared" si="1"/>
        <v>SG</v>
      </c>
    </row>
    <row r="271">
      <c r="A271" s="306">
        <v>259.0</v>
      </c>
      <c r="B271" s="307" t="s">
        <v>2110</v>
      </c>
      <c r="C271" s="308"/>
      <c r="D271" s="308"/>
      <c r="E271" s="320">
        <v>1.2</v>
      </c>
      <c r="F271" s="320">
        <v>1.2</v>
      </c>
      <c r="G271" s="320">
        <v>3.2</v>
      </c>
      <c r="H271" s="320">
        <v>2.8</v>
      </c>
      <c r="I271" s="320">
        <v>1.2</v>
      </c>
      <c r="J271" s="320">
        <v>0.5</v>
      </c>
      <c r="K271" s="320">
        <v>1.4</v>
      </c>
      <c r="L271" s="320">
        <v>8.2</v>
      </c>
      <c r="M271" s="320">
        <v>1.2</v>
      </c>
      <c r="N271" s="320">
        <v>0.0</v>
      </c>
      <c r="O271" t="str">
        <f>IFERROR(__xludf.DUMMYFUNCTION("regexextract(B271,""[\w]* [\w]*"")"),"Jamal MurrayO")</f>
        <v>Jamal MurrayO</v>
      </c>
      <c r="P271" t="str">
        <f t="shared" si="2"/>
        <v>Jamal MurrayO</v>
      </c>
      <c r="Q271" t="str">
        <f t="shared" si="3"/>
        <v>Jamal Murray</v>
      </c>
      <c r="R271" t="s">
        <v>46</v>
      </c>
      <c r="S271" s="276" t="s">
        <v>47</v>
      </c>
      <c r="T271" t="s">
        <v>1850</v>
      </c>
      <c r="U271" t="s">
        <v>1850</v>
      </c>
      <c r="V271" t="s">
        <v>1850</v>
      </c>
      <c r="W271" t="str">
        <f t="shared" si="1"/>
        <v>PGSG</v>
      </c>
    </row>
    <row r="272">
      <c r="A272" s="309">
        <v>260.0</v>
      </c>
      <c r="B272" s="310" t="s">
        <v>2111</v>
      </c>
      <c r="C272" s="311"/>
      <c r="D272" s="311"/>
      <c r="E272" s="321">
        <v>2.1</v>
      </c>
      <c r="F272" s="321">
        <v>0.0</v>
      </c>
      <c r="G272" s="321">
        <v>5.3</v>
      </c>
      <c r="H272" s="321">
        <v>1.0</v>
      </c>
      <c r="I272" s="321">
        <v>0.7</v>
      </c>
      <c r="J272" s="321">
        <v>1.2</v>
      </c>
      <c r="K272" s="321">
        <v>0.6</v>
      </c>
      <c r="L272" s="321">
        <v>6.9</v>
      </c>
      <c r="M272" s="321">
        <v>1.7</v>
      </c>
      <c r="N272" s="322">
        <f>+0.2</f>
        <v>0.2</v>
      </c>
      <c r="O272" t="str">
        <f>IFERROR(__xludf.DUMMYFUNCTION("regexextract(B272,""[\w]* [\w]*"")"),"Trevor ArizaO")</f>
        <v>Trevor ArizaO</v>
      </c>
      <c r="P272" t="str">
        <f t="shared" si="2"/>
        <v>Trevor ArizaO</v>
      </c>
      <c r="Q272" t="str">
        <f t="shared" si="3"/>
        <v>Trevor Ariza</v>
      </c>
      <c r="R272" t="s">
        <v>1850</v>
      </c>
      <c r="S272" s="276" t="s">
        <v>1850</v>
      </c>
      <c r="T272" t="s">
        <v>48</v>
      </c>
      <c r="U272" t="s">
        <v>1850</v>
      </c>
      <c r="V272" t="s">
        <v>1850</v>
      </c>
      <c r="W272" t="str">
        <f t="shared" si="1"/>
        <v>SF</v>
      </c>
    </row>
    <row r="273">
      <c r="A273" s="306">
        <v>261.0</v>
      </c>
      <c r="B273" s="307" t="s">
        <v>2112</v>
      </c>
      <c r="C273" s="308"/>
      <c r="D273" s="308"/>
      <c r="E273" s="320">
        <v>2.8</v>
      </c>
      <c r="F273" s="320">
        <v>1.5</v>
      </c>
      <c r="G273" s="320">
        <v>4.5</v>
      </c>
      <c r="H273" s="320">
        <v>1.8</v>
      </c>
      <c r="I273" s="320">
        <v>0.8</v>
      </c>
      <c r="J273" s="320">
        <v>0.4</v>
      </c>
      <c r="K273" s="320">
        <v>1.5</v>
      </c>
      <c r="L273" s="320">
        <v>13.2</v>
      </c>
      <c r="M273" s="320">
        <v>42.9</v>
      </c>
      <c r="N273" s="324">
        <v>-13.0</v>
      </c>
      <c r="O273" t="str">
        <f>IFERROR(__xludf.DUMMYFUNCTION("regexextract(B273,""[\w]* [\w]*"")"),"Luke Kennard")</f>
        <v>Luke Kennard</v>
      </c>
      <c r="P273" t="str">
        <f t="shared" si="2"/>
        <v>Luke Kennard</v>
      </c>
      <c r="Q273" t="str">
        <f t="shared" si="3"/>
        <v>Luke Kennard</v>
      </c>
      <c r="R273" t="s">
        <v>1850</v>
      </c>
      <c r="S273" s="276" t="s">
        <v>47</v>
      </c>
      <c r="T273" t="s">
        <v>1850</v>
      </c>
      <c r="U273" t="s">
        <v>1850</v>
      </c>
      <c r="V273" t="s">
        <v>34</v>
      </c>
      <c r="W273" t="str">
        <f t="shared" si="1"/>
        <v>SGC</v>
      </c>
    </row>
    <row r="274">
      <c r="A274" s="309">
        <v>262.0</v>
      </c>
      <c r="B274" s="310" t="s">
        <v>2113</v>
      </c>
      <c r="C274" s="311"/>
      <c r="D274" s="311"/>
      <c r="E274" s="321">
        <v>3.3</v>
      </c>
      <c r="F274" s="321">
        <v>1.2</v>
      </c>
      <c r="G274" s="321">
        <v>3.9</v>
      </c>
      <c r="H274" s="321">
        <v>2.2</v>
      </c>
      <c r="I274" s="321">
        <v>0.8</v>
      </c>
      <c r="J274" s="321">
        <v>0.7</v>
      </c>
      <c r="K274" s="321">
        <v>2.1</v>
      </c>
      <c r="L274" s="321">
        <v>12.5</v>
      </c>
      <c r="M274" s="321">
        <v>1.7</v>
      </c>
      <c r="N274" s="325">
        <v>-0.2</v>
      </c>
      <c r="O274" t="str">
        <f>IFERROR(__xludf.DUMMYFUNCTION("regexextract(B274,""[\w]* [\w]*"")"),"Wayne Ellington")</f>
        <v>Wayne Ellington</v>
      </c>
      <c r="P274" t="str">
        <f t="shared" si="2"/>
        <v>Wayne Ellington</v>
      </c>
      <c r="Q274" t="str">
        <f t="shared" si="3"/>
        <v>Wayne Ellington</v>
      </c>
      <c r="R274" t="s">
        <v>1850</v>
      </c>
      <c r="S274" s="276" t="s">
        <v>47</v>
      </c>
      <c r="T274" t="s">
        <v>1850</v>
      </c>
      <c r="U274" t="s">
        <v>1850</v>
      </c>
      <c r="V274" t="s">
        <v>1850</v>
      </c>
      <c r="W274" t="str">
        <f t="shared" si="1"/>
        <v>SG</v>
      </c>
    </row>
    <row r="275">
      <c r="A275" s="306">
        <v>263.0</v>
      </c>
      <c r="B275" s="307" t="s">
        <v>2114</v>
      </c>
      <c r="C275" s="308"/>
      <c r="D275" s="308"/>
      <c r="E275" s="320">
        <v>1.3</v>
      </c>
      <c r="F275" s="320">
        <v>1.0</v>
      </c>
      <c r="G275" s="320">
        <v>4.8</v>
      </c>
      <c r="H275" s="320">
        <v>2.6</v>
      </c>
      <c r="I275" s="320">
        <v>0.6</v>
      </c>
      <c r="J275" s="320">
        <v>0.9</v>
      </c>
      <c r="K275" s="320">
        <v>1.1</v>
      </c>
      <c r="L275" s="320">
        <v>6.6</v>
      </c>
      <c r="M275" s="320">
        <v>1.5</v>
      </c>
      <c r="N275" s="320">
        <v>0.0</v>
      </c>
      <c r="O275" t="str">
        <f>IFERROR(__xludf.DUMMYFUNCTION("regexextract(B275,""[\w]* [\w]*"")"),"Kenyon Martin")</f>
        <v>Kenyon Martin</v>
      </c>
      <c r="P275" t="str">
        <f t="shared" si="2"/>
        <v>Kenyon Martin</v>
      </c>
      <c r="Q275" t="str">
        <f t="shared" si="3"/>
        <v>Kenyon Martin</v>
      </c>
      <c r="R275" t="s">
        <v>1850</v>
      </c>
      <c r="S275" s="276" t="s">
        <v>1850</v>
      </c>
      <c r="T275" t="s">
        <v>48</v>
      </c>
      <c r="U275" t="s">
        <v>1850</v>
      </c>
      <c r="V275" t="s">
        <v>1850</v>
      </c>
      <c r="W275" t="str">
        <f t="shared" si="1"/>
        <v>SF</v>
      </c>
    </row>
    <row r="276">
      <c r="A276" s="309">
        <v>264.0</v>
      </c>
      <c r="B276" s="310" t="s">
        <v>2115</v>
      </c>
      <c r="C276" s="311"/>
      <c r="D276" s="311"/>
      <c r="E276" s="321">
        <v>1.2</v>
      </c>
      <c r="F276" s="321">
        <v>2.5</v>
      </c>
      <c r="G276" s="321">
        <v>2.2</v>
      </c>
      <c r="H276" s="321">
        <v>1.4</v>
      </c>
      <c r="I276" s="321">
        <v>0.5</v>
      </c>
      <c r="J276" s="321">
        <v>0.0</v>
      </c>
      <c r="K276" s="321">
        <v>0.9</v>
      </c>
      <c r="L276" s="321">
        <v>12.2</v>
      </c>
      <c r="M276" s="321">
        <v>0.6</v>
      </c>
      <c r="N276" s="322">
        <f t="shared" ref="N276:N277" si="10">+0.1</f>
        <v>0.1</v>
      </c>
      <c r="O276" t="str">
        <f>IFERROR(__xludf.DUMMYFUNCTION("regexextract(B276,""[\w]* [\w]*"")"),"Justise Winslow")</f>
        <v>Justise Winslow</v>
      </c>
      <c r="P276" t="str">
        <f t="shared" si="2"/>
        <v>Justise Winslow</v>
      </c>
      <c r="Q276" t="str">
        <f t="shared" si="3"/>
        <v>Justise Winslow</v>
      </c>
      <c r="R276" t="s">
        <v>1850</v>
      </c>
      <c r="S276" s="276" t="s">
        <v>1850</v>
      </c>
      <c r="T276" t="s">
        <v>48</v>
      </c>
      <c r="U276" t="s">
        <v>1850</v>
      </c>
      <c r="V276" t="s">
        <v>34</v>
      </c>
      <c r="W276" t="str">
        <f t="shared" si="1"/>
        <v>SFC</v>
      </c>
    </row>
    <row r="277">
      <c r="A277" s="306">
        <v>265.0</v>
      </c>
      <c r="B277" s="307" t="s">
        <v>2116</v>
      </c>
      <c r="C277" s="308"/>
      <c r="D277" s="308"/>
      <c r="E277" s="320">
        <v>2.9</v>
      </c>
      <c r="F277" s="320">
        <v>1.1</v>
      </c>
      <c r="G277" s="320">
        <v>2.1</v>
      </c>
      <c r="H277" s="320">
        <v>3.5</v>
      </c>
      <c r="I277" s="320">
        <v>0.7</v>
      </c>
      <c r="J277" s="320">
        <v>0.1</v>
      </c>
      <c r="K277" s="320">
        <v>1.7</v>
      </c>
      <c r="L277" s="320">
        <v>11.8</v>
      </c>
      <c r="M277" s="320">
        <v>1.8</v>
      </c>
      <c r="N277" s="323">
        <f t="shared" si="10"/>
        <v>0.1</v>
      </c>
      <c r="O277" t="str">
        <f>IFERROR(__xludf.DUMMYFUNCTION("regexextract(B277,""[\w]* [\w]*"")"),"JaVale McGee")</f>
        <v>JaVale McGee</v>
      </c>
      <c r="P277" t="str">
        <f t="shared" si="2"/>
        <v>JaVale McGee</v>
      </c>
      <c r="Q277" t="str">
        <f t="shared" si="3"/>
        <v>JaVale McGee</v>
      </c>
      <c r="R277" t="s">
        <v>1850</v>
      </c>
      <c r="S277" s="276" t="s">
        <v>1850</v>
      </c>
      <c r="T277" t="s">
        <v>1850</v>
      </c>
      <c r="U277" t="s">
        <v>1850</v>
      </c>
      <c r="V277" t="s">
        <v>34</v>
      </c>
      <c r="W277" t="str">
        <f t="shared" si="1"/>
        <v>C</v>
      </c>
    </row>
    <row r="278">
      <c r="A278" s="309">
        <v>266.0</v>
      </c>
      <c r="B278" s="310" t="s">
        <v>2117</v>
      </c>
      <c r="C278" s="311"/>
      <c r="D278" s="311"/>
      <c r="E278" s="321">
        <v>1.7</v>
      </c>
      <c r="F278" s="321">
        <v>1.3</v>
      </c>
      <c r="G278" s="321">
        <v>2.9</v>
      </c>
      <c r="H278" s="321">
        <v>2.4</v>
      </c>
      <c r="I278" s="321">
        <v>0.9</v>
      </c>
      <c r="J278" s="321">
        <v>0.4</v>
      </c>
      <c r="K278" s="321">
        <v>1.2</v>
      </c>
      <c r="L278" s="321">
        <v>10.9</v>
      </c>
      <c r="M278" s="321">
        <v>2.1</v>
      </c>
      <c r="N278" s="325">
        <v>-0.2</v>
      </c>
      <c r="O278" t="str">
        <f>IFERROR(__xludf.DUMMYFUNCTION("regexextract(B278,""[\w]* [\w]*"")"),"Jordan Poole")</f>
        <v>Jordan Poole</v>
      </c>
      <c r="P278" t="str">
        <f t="shared" si="2"/>
        <v>Jordan Poole</v>
      </c>
      <c r="Q278" t="str">
        <f t="shared" si="3"/>
        <v>Jordan Poole</v>
      </c>
      <c r="R278" t="s">
        <v>46</v>
      </c>
      <c r="S278" s="276" t="s">
        <v>47</v>
      </c>
      <c r="T278" t="s">
        <v>1850</v>
      </c>
      <c r="U278" t="s">
        <v>1850</v>
      </c>
      <c r="V278" t="s">
        <v>1850</v>
      </c>
      <c r="W278" t="str">
        <f t="shared" si="1"/>
        <v>PGSG</v>
      </c>
    </row>
    <row r="279">
      <c r="A279" s="306">
        <v>267.0</v>
      </c>
      <c r="B279" s="307" t="s">
        <v>2118</v>
      </c>
      <c r="C279" s="308"/>
      <c r="D279" s="308"/>
      <c r="E279" s="320">
        <v>2.0</v>
      </c>
      <c r="F279" s="320">
        <v>0.7</v>
      </c>
      <c r="G279" s="320">
        <v>4.5</v>
      </c>
      <c r="H279" s="320">
        <v>1.5</v>
      </c>
      <c r="I279" s="320">
        <v>0.8</v>
      </c>
      <c r="J279" s="320">
        <v>0.6</v>
      </c>
      <c r="K279" s="320">
        <v>0.9</v>
      </c>
      <c r="L279" s="320">
        <v>8.6</v>
      </c>
      <c r="M279" s="320">
        <v>1.5</v>
      </c>
      <c r="N279" s="324">
        <v>-0.1</v>
      </c>
      <c r="O279" t="str">
        <f>IFERROR(__xludf.DUMMYFUNCTION("regexextract(B279,""[\w]* [\w]*"")"),"Juancho HernangomezDTD")</f>
        <v>Juancho HernangomezDTD</v>
      </c>
      <c r="P279" t="str">
        <f t="shared" si="2"/>
        <v>Juancho Hernangomez</v>
      </c>
      <c r="Q279" t="str">
        <f t="shared" si="3"/>
        <v>Juancho Hernangomez</v>
      </c>
      <c r="R279" t="s">
        <v>1850</v>
      </c>
      <c r="S279" s="276" t="s">
        <v>1850</v>
      </c>
      <c r="T279" t="s">
        <v>48</v>
      </c>
      <c r="U279" t="s">
        <v>49</v>
      </c>
      <c r="V279" t="s">
        <v>34</v>
      </c>
      <c r="W279" t="str">
        <f t="shared" si="1"/>
        <v>SFPFC</v>
      </c>
    </row>
    <row r="280">
      <c r="A280" s="309">
        <v>268.0</v>
      </c>
      <c r="B280" s="310" t="s">
        <v>2119</v>
      </c>
      <c r="C280" s="311"/>
      <c r="D280" s="311"/>
      <c r="E280" s="321">
        <v>1.0</v>
      </c>
      <c r="F280" s="321">
        <v>1.6</v>
      </c>
      <c r="G280" s="321">
        <v>5.2</v>
      </c>
      <c r="H280" s="321">
        <v>1.2</v>
      </c>
      <c r="I280" s="321">
        <v>0.4</v>
      </c>
      <c r="J280" s="321">
        <v>0.9</v>
      </c>
      <c r="K280" s="321">
        <v>0.7</v>
      </c>
      <c r="L280" s="321">
        <v>7.7</v>
      </c>
      <c r="M280" s="321">
        <v>0.6</v>
      </c>
      <c r="N280" s="322">
        <f>+0.1</f>
        <v>0.1</v>
      </c>
      <c r="O280" t="str">
        <f>IFERROR(__xludf.DUMMYFUNCTION("regexextract(B280,""[\w]* [\w]*"")"),"PJ Dozier")</f>
        <v>PJ Dozier</v>
      </c>
      <c r="P280" t="str">
        <f t="shared" si="2"/>
        <v>PJ Dozier</v>
      </c>
      <c r="Q280" t="str">
        <f t="shared" si="3"/>
        <v>PJ Dozier</v>
      </c>
      <c r="R280" t="s">
        <v>46</v>
      </c>
      <c r="S280" s="276" t="s">
        <v>1850</v>
      </c>
      <c r="T280" t="s">
        <v>1850</v>
      </c>
      <c r="U280" t="s">
        <v>1850</v>
      </c>
      <c r="V280" t="s">
        <v>1850</v>
      </c>
      <c r="W280" t="str">
        <f t="shared" si="1"/>
        <v>PG</v>
      </c>
    </row>
    <row r="281">
      <c r="A281" s="306">
        <v>269.0</v>
      </c>
      <c r="B281" s="307" t="s">
        <v>2120</v>
      </c>
      <c r="C281" s="308"/>
      <c r="D281" s="308"/>
      <c r="E281" s="320">
        <v>3.6</v>
      </c>
      <c r="F281" s="320">
        <v>2.0</v>
      </c>
      <c r="G281" s="320">
        <v>4.2</v>
      </c>
      <c r="H281" s="320">
        <v>1.6</v>
      </c>
      <c r="I281" s="320">
        <v>0.6</v>
      </c>
      <c r="J281" s="320">
        <v>0.2</v>
      </c>
      <c r="K281" s="320">
        <v>0.9</v>
      </c>
      <c r="L281" s="320">
        <v>13.7</v>
      </c>
      <c r="M281" s="320">
        <v>4.9</v>
      </c>
      <c r="N281" s="324">
        <v>-0.6</v>
      </c>
      <c r="O281" t="str">
        <f>IFERROR(__xludf.DUMMYFUNCTION("regexextract(B281,""[\w]* [\w]*"")"),"Torrey Craig")</f>
        <v>Torrey Craig</v>
      </c>
      <c r="P281" t="str">
        <f t="shared" si="2"/>
        <v>Torrey Craig</v>
      </c>
      <c r="Q281" t="str">
        <f t="shared" si="3"/>
        <v>Torrey Craig</v>
      </c>
      <c r="R281" t="s">
        <v>1850</v>
      </c>
      <c r="S281" s="276" t="s">
        <v>1850</v>
      </c>
      <c r="T281" t="s">
        <v>48</v>
      </c>
      <c r="U281" t="s">
        <v>1850</v>
      </c>
      <c r="V281" t="s">
        <v>34</v>
      </c>
      <c r="W281" t="str">
        <f t="shared" si="1"/>
        <v>SFC</v>
      </c>
    </row>
    <row r="282">
      <c r="A282" s="309">
        <v>270.0</v>
      </c>
      <c r="B282" s="310" t="s">
        <v>2121</v>
      </c>
      <c r="C282" s="311"/>
      <c r="D282" s="311"/>
      <c r="E282" s="321">
        <v>2.9</v>
      </c>
      <c r="F282" s="321">
        <v>0.1</v>
      </c>
      <c r="G282" s="321">
        <v>7.7</v>
      </c>
      <c r="H282" s="321">
        <v>0.8</v>
      </c>
      <c r="I282" s="321">
        <v>0.4</v>
      </c>
      <c r="J282" s="321">
        <v>0.9</v>
      </c>
      <c r="K282" s="321">
        <v>1.4</v>
      </c>
      <c r="L282" s="321">
        <v>7.0</v>
      </c>
      <c r="M282" s="321">
        <v>10.4</v>
      </c>
      <c r="N282" s="325">
        <v>-0.4</v>
      </c>
      <c r="O282" t="str">
        <f>IFERROR(__xludf.DUMMYFUNCTION("regexextract(B282,""[\w]* [\w]*"")"),"DeAndre Jordan")</f>
        <v>DeAndre Jordan</v>
      </c>
      <c r="P282" t="str">
        <f t="shared" si="2"/>
        <v>DeAndre Jordan</v>
      </c>
      <c r="Q282" t="str">
        <f t="shared" si="3"/>
        <v>DeAndre Jordan</v>
      </c>
      <c r="R282" t="s">
        <v>1850</v>
      </c>
      <c r="S282" s="276" t="s">
        <v>1850</v>
      </c>
      <c r="T282" t="s">
        <v>1850</v>
      </c>
      <c r="U282" t="s">
        <v>1850</v>
      </c>
      <c r="V282" t="s">
        <v>34</v>
      </c>
      <c r="W282" t="str">
        <f t="shared" si="1"/>
        <v>C</v>
      </c>
    </row>
    <row r="283">
      <c r="A283" s="306">
        <v>271.0</v>
      </c>
      <c r="B283" s="307" t="s">
        <v>2122</v>
      </c>
      <c r="C283" s="308"/>
      <c r="D283" s="308"/>
      <c r="E283" s="320">
        <v>1.6</v>
      </c>
      <c r="F283" s="320">
        <v>1.6</v>
      </c>
      <c r="G283" s="320">
        <v>2.4</v>
      </c>
      <c r="H283" s="320">
        <v>1.6</v>
      </c>
      <c r="I283" s="320">
        <v>0.8</v>
      </c>
      <c r="J283" s="320">
        <v>0.3</v>
      </c>
      <c r="K283" s="320">
        <v>0.9</v>
      </c>
      <c r="L283" s="320">
        <v>9.4</v>
      </c>
      <c r="M283" s="320">
        <v>3.5</v>
      </c>
      <c r="N283" s="324">
        <v>-0.6</v>
      </c>
      <c r="O283" t="str">
        <f>IFERROR(__xludf.DUMMYFUNCTION("regexextract(B283,""[\w]* [\w]*"")"),"Eric Paschall")</f>
        <v>Eric Paschall</v>
      </c>
      <c r="P283" t="str">
        <f t="shared" si="2"/>
        <v>Eric Paschall</v>
      </c>
      <c r="Q283" t="str">
        <f t="shared" si="3"/>
        <v>Eric Paschall</v>
      </c>
      <c r="R283" t="s">
        <v>1850</v>
      </c>
      <c r="S283" s="276" t="s">
        <v>1850</v>
      </c>
      <c r="T283" t="s">
        <v>1850</v>
      </c>
      <c r="U283" t="s">
        <v>49</v>
      </c>
      <c r="V283" t="s">
        <v>34</v>
      </c>
      <c r="W283" t="str">
        <f t="shared" si="1"/>
        <v>PFC</v>
      </c>
    </row>
    <row r="284">
      <c r="A284" s="309">
        <v>272.0</v>
      </c>
      <c r="B284" s="310" t="s">
        <v>2123</v>
      </c>
      <c r="C284" s="311"/>
      <c r="D284" s="311"/>
      <c r="E284" s="321">
        <v>2.5</v>
      </c>
      <c r="F284" s="321">
        <v>0.2</v>
      </c>
      <c r="G284" s="321">
        <v>4.7</v>
      </c>
      <c r="H284" s="321">
        <v>1.2</v>
      </c>
      <c r="I284" s="321">
        <v>0.7</v>
      </c>
      <c r="J284" s="321">
        <v>0.6</v>
      </c>
      <c r="K284" s="321">
        <v>0.8</v>
      </c>
      <c r="L284" s="321">
        <v>7.7</v>
      </c>
      <c r="M284" s="321">
        <v>0.4</v>
      </c>
      <c r="N284" s="322">
        <f>+0.1</f>
        <v>0.1</v>
      </c>
      <c r="O284" t="str">
        <f>IFERROR(__xludf.DUMMYFUNCTION("regexextract(B284,""[\w]* [\w]*"")"),"Aaron Holiday")</f>
        <v>Aaron Holiday</v>
      </c>
      <c r="P284" t="str">
        <f t="shared" si="2"/>
        <v>Aaron Holiday</v>
      </c>
      <c r="Q284" t="str">
        <f t="shared" si="3"/>
        <v>Aaron Holiday</v>
      </c>
      <c r="R284" t="s">
        <v>46</v>
      </c>
      <c r="S284" s="276" t="s">
        <v>47</v>
      </c>
      <c r="T284" t="s">
        <v>1850</v>
      </c>
      <c r="U284" t="s">
        <v>1850</v>
      </c>
      <c r="V284" t="s">
        <v>1850</v>
      </c>
      <c r="W284" t="str">
        <f t="shared" si="1"/>
        <v>PGSG</v>
      </c>
    </row>
    <row r="285">
      <c r="A285" s="306">
        <v>273.0</v>
      </c>
      <c r="B285" s="307" t="s">
        <v>2124</v>
      </c>
      <c r="C285" s="308"/>
      <c r="D285" s="308"/>
      <c r="E285" s="320">
        <v>1.8</v>
      </c>
      <c r="F285" s="320">
        <v>0.0</v>
      </c>
      <c r="G285" s="320">
        <v>5.2</v>
      </c>
      <c r="H285" s="320">
        <v>0.6</v>
      </c>
      <c r="I285" s="320">
        <v>0.7</v>
      </c>
      <c r="J285" s="320">
        <v>1.1</v>
      </c>
      <c r="K285" s="320">
        <v>0.9</v>
      </c>
      <c r="L285" s="320">
        <v>7.1</v>
      </c>
      <c r="M285" s="320">
        <v>0.7</v>
      </c>
      <c r="N285" s="320">
        <v>0.0</v>
      </c>
      <c r="O285" t="str">
        <f>IFERROR(__xludf.DUMMYFUNCTION("regexextract(B285,""[\w]* [\w]*"")"),"Raul Neto")</f>
        <v>Raul Neto</v>
      </c>
      <c r="P285" t="str">
        <f t="shared" si="2"/>
        <v>Raul Neto</v>
      </c>
      <c r="Q285" t="str">
        <f t="shared" si="3"/>
        <v>Raul Net</v>
      </c>
      <c r="R285" t="s">
        <v>46</v>
      </c>
      <c r="S285" s="276" t="s">
        <v>1850</v>
      </c>
      <c r="T285" t="s">
        <v>1850</v>
      </c>
      <c r="U285" t="s">
        <v>1850</v>
      </c>
      <c r="V285" t="s">
        <v>1850</v>
      </c>
      <c r="W285" t="str">
        <f t="shared" si="1"/>
        <v>PG</v>
      </c>
    </row>
    <row r="286">
      <c r="A286" s="309">
        <v>274.0</v>
      </c>
      <c r="B286" s="310" t="s">
        <v>2125</v>
      </c>
      <c r="C286" s="311"/>
      <c r="D286" s="311"/>
      <c r="E286" s="321">
        <v>0.9</v>
      </c>
      <c r="F286" s="321">
        <v>1.8</v>
      </c>
      <c r="G286" s="321">
        <v>2.9</v>
      </c>
      <c r="H286" s="321">
        <v>1.3</v>
      </c>
      <c r="I286" s="321">
        <v>0.9</v>
      </c>
      <c r="J286" s="321">
        <v>0.5</v>
      </c>
      <c r="K286" s="321">
        <v>0.7</v>
      </c>
      <c r="L286" s="321">
        <v>8.1</v>
      </c>
      <c r="M286" s="321">
        <v>3.0</v>
      </c>
      <c r="N286" s="325">
        <v>-0.4</v>
      </c>
      <c r="O286" t="str">
        <f>IFERROR(__xludf.DUMMYFUNCTION("regexextract(B286,""[\w]* [\w]*"")"),"Sterling Brown")</f>
        <v>Sterling Brown</v>
      </c>
      <c r="P286" t="str">
        <f t="shared" si="2"/>
        <v>Sterling Brown</v>
      </c>
      <c r="Q286" t="str">
        <f t="shared" si="3"/>
        <v>Sterling Brown</v>
      </c>
      <c r="R286" t="s">
        <v>1850</v>
      </c>
      <c r="S286" s="276" t="s">
        <v>47</v>
      </c>
      <c r="T286" t="s">
        <v>48</v>
      </c>
      <c r="U286" t="s">
        <v>1850</v>
      </c>
      <c r="V286" t="s">
        <v>1850</v>
      </c>
      <c r="W286" t="str">
        <f t="shared" si="1"/>
        <v>SGSF</v>
      </c>
    </row>
    <row r="287">
      <c r="A287" s="306">
        <v>275.0</v>
      </c>
      <c r="B287" s="307" t="s">
        <v>2126</v>
      </c>
      <c r="C287" s="308"/>
      <c r="D287" s="308"/>
      <c r="E287" s="320">
        <v>1.5</v>
      </c>
      <c r="F287" s="320">
        <v>1.7</v>
      </c>
      <c r="G287" s="320">
        <v>3.9</v>
      </c>
      <c r="H287" s="320">
        <v>1.7</v>
      </c>
      <c r="I287" s="320">
        <v>0.7</v>
      </c>
      <c r="J287" s="320">
        <v>0.4</v>
      </c>
      <c r="K287" s="320">
        <v>1.4</v>
      </c>
      <c r="L287" s="320">
        <v>9.9</v>
      </c>
      <c r="M287" s="320">
        <v>0.4</v>
      </c>
      <c r="N287" s="320">
        <v>0.0</v>
      </c>
      <c r="O287" t="str">
        <f>IFERROR(__xludf.DUMMYFUNCTION("regexextract(B287,""[\w]* [\w]*"")"),"Moritz Wagner")</f>
        <v>Moritz Wagner</v>
      </c>
      <c r="P287" t="str">
        <f t="shared" si="2"/>
        <v>Moritz Wagner</v>
      </c>
      <c r="Q287" t="str">
        <f t="shared" si="3"/>
        <v>Moritz Wagner</v>
      </c>
      <c r="R287" t="s">
        <v>1850</v>
      </c>
      <c r="S287" s="276" t="s">
        <v>1850</v>
      </c>
      <c r="T287" t="s">
        <v>1850</v>
      </c>
      <c r="U287" t="s">
        <v>49</v>
      </c>
      <c r="V287" t="s">
        <v>34</v>
      </c>
      <c r="W287" t="str">
        <f t="shared" si="1"/>
        <v>PFC</v>
      </c>
    </row>
    <row r="288">
      <c r="A288" s="309">
        <v>276.0</v>
      </c>
      <c r="B288" s="310" t="s">
        <v>2127</v>
      </c>
      <c r="C288" s="311"/>
      <c r="D288" s="311"/>
      <c r="E288" s="321">
        <v>1.1</v>
      </c>
      <c r="F288" s="321">
        <v>1.4</v>
      </c>
      <c r="G288" s="321">
        <v>4.1</v>
      </c>
      <c r="H288" s="321">
        <v>2.8</v>
      </c>
      <c r="I288" s="321">
        <v>0.8</v>
      </c>
      <c r="J288" s="321">
        <v>0.6</v>
      </c>
      <c r="K288" s="321">
        <v>1.0</v>
      </c>
      <c r="L288" s="321">
        <v>7.1</v>
      </c>
      <c r="M288" s="321">
        <v>1.5</v>
      </c>
      <c r="N288" s="325">
        <v>-0.2</v>
      </c>
      <c r="O288" t="str">
        <f>IFERROR(__xludf.DUMMYFUNCTION("regexextract(B288,""[\w]* [\w]*"")"),"Jalen McDaniels")</f>
        <v>Jalen McDaniels</v>
      </c>
      <c r="P288" t="str">
        <f t="shared" si="2"/>
        <v>Jalen McDaniels</v>
      </c>
      <c r="Q288" t="str">
        <f t="shared" si="3"/>
        <v>Jalen McDaniels</v>
      </c>
      <c r="R288" t="s">
        <v>1850</v>
      </c>
      <c r="S288" s="276" t="s">
        <v>1850</v>
      </c>
      <c r="T288" t="s">
        <v>1850</v>
      </c>
      <c r="U288" t="s">
        <v>49</v>
      </c>
      <c r="V288" t="s">
        <v>34</v>
      </c>
      <c r="W288" t="str">
        <f t="shared" si="1"/>
        <v>PFC</v>
      </c>
    </row>
    <row r="289">
      <c r="A289" s="306">
        <v>277.0</v>
      </c>
      <c r="B289" s="307" t="s">
        <v>2128</v>
      </c>
      <c r="C289" s="308"/>
      <c r="D289" s="308"/>
      <c r="E289" s="320">
        <v>0.6</v>
      </c>
      <c r="F289" s="320">
        <v>0.8</v>
      </c>
      <c r="G289" s="320">
        <v>3.0</v>
      </c>
      <c r="H289" s="320">
        <v>5.2</v>
      </c>
      <c r="I289" s="320">
        <v>0.9</v>
      </c>
      <c r="J289" s="320">
        <v>0.1</v>
      </c>
      <c r="K289" s="320">
        <v>2.0</v>
      </c>
      <c r="L289" s="320">
        <v>6.5</v>
      </c>
      <c r="M289" s="320">
        <v>3.1</v>
      </c>
      <c r="N289" s="323">
        <f>+0.3</f>
        <v>0.3</v>
      </c>
      <c r="O289" t="str">
        <f>IFERROR(__xludf.DUMMYFUNCTION("regexextract(B289,""[\w]* [\w]*"")"),"Dwayne Bacon")</f>
        <v>Dwayne Bacon</v>
      </c>
      <c r="P289" t="str">
        <f t="shared" si="2"/>
        <v>Dwayne Bacon</v>
      </c>
      <c r="Q289" t="str">
        <f t="shared" si="3"/>
        <v>Dwayne Bacon</v>
      </c>
      <c r="R289" t="s">
        <v>1850</v>
      </c>
      <c r="S289" s="276" t="s">
        <v>47</v>
      </c>
      <c r="T289" t="s">
        <v>1850</v>
      </c>
      <c r="U289" t="s">
        <v>1850</v>
      </c>
      <c r="V289" t="s">
        <v>34</v>
      </c>
      <c r="W289" t="str">
        <f t="shared" si="1"/>
        <v>SGC</v>
      </c>
    </row>
    <row r="290">
      <c r="A290" s="309">
        <v>278.0</v>
      </c>
      <c r="B290" s="310" t="s">
        <v>2129</v>
      </c>
      <c r="C290" s="311"/>
      <c r="D290" s="311"/>
      <c r="E290" s="321">
        <v>2.1</v>
      </c>
      <c r="F290" s="321">
        <v>0.0</v>
      </c>
      <c r="G290" s="321">
        <v>7.6</v>
      </c>
      <c r="H290" s="321">
        <v>1.4</v>
      </c>
      <c r="I290" s="321">
        <v>0.4</v>
      </c>
      <c r="J290" s="321">
        <v>0.6</v>
      </c>
      <c r="K290" s="321">
        <v>1.2</v>
      </c>
      <c r="L290" s="321">
        <v>7.9</v>
      </c>
      <c r="M290" s="321">
        <v>1.5</v>
      </c>
      <c r="N290" s="325">
        <v>-0.1</v>
      </c>
      <c r="O290" t="str">
        <f>IFERROR(__xludf.DUMMYFUNCTION("regexextract(B290,""[\w]* [\w]*"")"),"Damion Lee")</f>
        <v>Damion Lee</v>
      </c>
      <c r="P290" t="str">
        <f t="shared" si="2"/>
        <v>Damion Lee</v>
      </c>
      <c r="Q290" t="str">
        <f t="shared" si="3"/>
        <v>Damion Lee</v>
      </c>
      <c r="R290" t="s">
        <v>1850</v>
      </c>
      <c r="S290" s="276" t="s">
        <v>47</v>
      </c>
      <c r="T290" t="s">
        <v>48</v>
      </c>
      <c r="U290" t="s">
        <v>1850</v>
      </c>
      <c r="V290" t="s">
        <v>1850</v>
      </c>
      <c r="W290" t="str">
        <f t="shared" si="1"/>
        <v>SGSF</v>
      </c>
    </row>
    <row r="291">
      <c r="A291" s="306">
        <v>279.0</v>
      </c>
      <c r="B291" s="307" t="s">
        <v>2130</v>
      </c>
      <c r="C291" s="308"/>
      <c r="D291" s="308"/>
      <c r="E291" s="320">
        <v>2.1</v>
      </c>
      <c r="F291" s="320">
        <v>1.3</v>
      </c>
      <c r="G291" s="320">
        <v>3.3</v>
      </c>
      <c r="H291" s="320">
        <v>1.3</v>
      </c>
      <c r="I291" s="320">
        <v>0.5</v>
      </c>
      <c r="J291" s="320">
        <v>0.4</v>
      </c>
      <c r="K291" s="320">
        <v>0.8</v>
      </c>
      <c r="L291" s="320">
        <v>9.6</v>
      </c>
      <c r="M291" s="320">
        <v>1.8</v>
      </c>
      <c r="N291" s="324">
        <v>-0.4</v>
      </c>
      <c r="O291" t="str">
        <f>IFERROR(__xludf.DUMMYFUNCTION("regexextract(B291,""[\w]* [\w]*"")"),"Aaron Nesmith")</f>
        <v>Aaron Nesmith</v>
      </c>
      <c r="P291" t="str">
        <f t="shared" si="2"/>
        <v>Aaron Nesmith</v>
      </c>
      <c r="Q291" t="str">
        <f t="shared" si="3"/>
        <v>Aaron Nesmith</v>
      </c>
      <c r="R291" t="s">
        <v>1850</v>
      </c>
      <c r="S291" s="276" t="s">
        <v>1850</v>
      </c>
      <c r="T291" t="s">
        <v>48</v>
      </c>
      <c r="U291" t="s">
        <v>1850</v>
      </c>
      <c r="V291" t="s">
        <v>1850</v>
      </c>
      <c r="W291" t="str">
        <f t="shared" si="1"/>
        <v>SF</v>
      </c>
    </row>
    <row r="292">
      <c r="A292" s="309">
        <v>280.0</v>
      </c>
      <c r="B292" s="310" t="s">
        <v>2131</v>
      </c>
      <c r="C292" s="311"/>
      <c r="D292" s="311"/>
      <c r="E292" s="321">
        <v>1.0</v>
      </c>
      <c r="F292" s="321">
        <v>0.6</v>
      </c>
      <c r="G292" s="321">
        <v>2.5</v>
      </c>
      <c r="H292" s="321">
        <v>3.2</v>
      </c>
      <c r="I292" s="321">
        <v>0.8</v>
      </c>
      <c r="J292" s="321">
        <v>0.3</v>
      </c>
      <c r="K292" s="321">
        <v>1.0</v>
      </c>
      <c r="L292" s="321">
        <v>6.7</v>
      </c>
      <c r="M292" s="321">
        <v>2.1</v>
      </c>
      <c r="N292" s="325">
        <v>-0.7</v>
      </c>
      <c r="O292" t="str">
        <f>IFERROR(__xludf.DUMMYFUNCTION("regexextract(B292,""[\w]* [\w]*"")"),"Juan Toscano")</f>
        <v>Juan Toscano</v>
      </c>
      <c r="P292" t="str">
        <f t="shared" si="2"/>
        <v>Juan Toscano</v>
      </c>
      <c r="Q292" t="str">
        <f t="shared" si="3"/>
        <v>Juan Toscan</v>
      </c>
      <c r="R292" t="s">
        <v>1850</v>
      </c>
      <c r="S292" s="276" t="s">
        <v>1850</v>
      </c>
      <c r="T292" t="s">
        <v>48</v>
      </c>
      <c r="U292" t="s">
        <v>49</v>
      </c>
      <c r="V292" t="s">
        <v>34</v>
      </c>
      <c r="W292" t="str">
        <f t="shared" si="1"/>
        <v>SFPFC</v>
      </c>
    </row>
    <row r="293">
      <c r="A293" s="306">
        <v>281.0</v>
      </c>
      <c r="B293" s="307" t="s">
        <v>2132</v>
      </c>
      <c r="C293" s="308"/>
      <c r="D293" s="308"/>
      <c r="E293" s="320">
        <v>1.2</v>
      </c>
      <c r="F293" s="320">
        <v>2.1</v>
      </c>
      <c r="G293" s="320">
        <v>1.6</v>
      </c>
      <c r="H293" s="320">
        <v>2.1</v>
      </c>
      <c r="I293" s="320">
        <v>0.6</v>
      </c>
      <c r="J293" s="320">
        <v>0.1</v>
      </c>
      <c r="K293" s="320">
        <v>0.9</v>
      </c>
      <c r="L293" s="320">
        <v>9.8</v>
      </c>
      <c r="M293" s="320">
        <v>3.2</v>
      </c>
      <c r="N293" s="320">
        <v>0.0</v>
      </c>
      <c r="O293" t="str">
        <f>IFERROR(__xludf.DUMMYFUNCTION("regexextract(B293,""[\w]* [\w]*"")"),"Josh Okogie")</f>
        <v>Josh Okogie</v>
      </c>
      <c r="P293" t="str">
        <f t="shared" si="2"/>
        <v>Josh Okogie</v>
      </c>
      <c r="Q293" t="str">
        <f t="shared" si="3"/>
        <v>Josh Okogie</v>
      </c>
      <c r="R293" t="s">
        <v>1850</v>
      </c>
      <c r="S293" s="276" t="s">
        <v>47</v>
      </c>
      <c r="T293" t="s">
        <v>48</v>
      </c>
      <c r="U293" t="s">
        <v>1850</v>
      </c>
      <c r="V293" t="s">
        <v>1850</v>
      </c>
      <c r="W293" t="str">
        <f t="shared" si="1"/>
        <v>SGSF</v>
      </c>
    </row>
    <row r="294">
      <c r="A294" s="309">
        <v>282.0</v>
      </c>
      <c r="B294" s="310" t="s">
        <v>2133</v>
      </c>
      <c r="C294" s="311"/>
      <c r="D294" s="311"/>
      <c r="E294" s="321">
        <v>1.2</v>
      </c>
      <c r="F294" s="321">
        <v>1.0</v>
      </c>
      <c r="G294" s="321">
        <v>1.7</v>
      </c>
      <c r="H294" s="321">
        <v>3.0</v>
      </c>
      <c r="I294" s="321">
        <v>0.9</v>
      </c>
      <c r="J294" s="321">
        <v>0.2</v>
      </c>
      <c r="K294" s="321">
        <v>0.8</v>
      </c>
      <c r="L294" s="321">
        <v>8.5</v>
      </c>
      <c r="M294" s="321">
        <v>0.9</v>
      </c>
      <c r="N294" s="325">
        <v>-0.1</v>
      </c>
      <c r="O294" t="str">
        <f>IFERROR(__xludf.DUMMYFUNCTION("regexextract(B294,""[\w]* [\w]*"")"),"Andre Iguodala")</f>
        <v>Andre Iguodala</v>
      </c>
      <c r="P294" t="str">
        <f t="shared" si="2"/>
        <v>Andre Iguodala</v>
      </c>
      <c r="Q294" t="str">
        <f t="shared" si="3"/>
        <v>Andre Iguodala</v>
      </c>
      <c r="R294" t="s">
        <v>1850</v>
      </c>
      <c r="S294" s="276" t="s">
        <v>47</v>
      </c>
      <c r="T294" t="s">
        <v>48</v>
      </c>
      <c r="U294" t="s">
        <v>1850</v>
      </c>
      <c r="V294" t="s">
        <v>1850</v>
      </c>
      <c r="W294" t="str">
        <f t="shared" si="1"/>
        <v>SGSF</v>
      </c>
    </row>
    <row r="295">
      <c r="A295" s="306">
        <v>283.0</v>
      </c>
      <c r="B295" s="307" t="s">
        <v>2134</v>
      </c>
      <c r="C295" s="308"/>
      <c r="D295" s="308"/>
      <c r="E295" s="320">
        <v>1.9</v>
      </c>
      <c r="F295" s="320">
        <v>1.4</v>
      </c>
      <c r="G295" s="320">
        <v>2.3</v>
      </c>
      <c r="H295" s="320">
        <v>2.1</v>
      </c>
      <c r="I295" s="320">
        <v>0.9</v>
      </c>
      <c r="J295" s="320">
        <v>0.3</v>
      </c>
      <c r="K295" s="320">
        <v>1.7</v>
      </c>
      <c r="L295" s="320">
        <v>9.7</v>
      </c>
      <c r="M295" s="320">
        <v>3.2</v>
      </c>
      <c r="N295" s="324">
        <v>-0.5</v>
      </c>
      <c r="O295" t="str">
        <f>IFERROR(__xludf.DUMMYFUNCTION("regexextract(B295,""[\w]* [\w]*"")"),"Kevon Looney")</f>
        <v>Kevon Looney</v>
      </c>
      <c r="P295" t="str">
        <f t="shared" si="2"/>
        <v>Kevon Looney</v>
      </c>
      <c r="Q295" t="str">
        <f t="shared" si="3"/>
        <v>Kevon Looney</v>
      </c>
      <c r="R295" t="s">
        <v>1850</v>
      </c>
      <c r="S295" s="276" t="s">
        <v>1850</v>
      </c>
      <c r="T295" t="s">
        <v>1850</v>
      </c>
      <c r="U295" t="s">
        <v>49</v>
      </c>
      <c r="V295" t="s">
        <v>1850</v>
      </c>
      <c r="W295" t="str">
        <f t="shared" si="1"/>
        <v>PF</v>
      </c>
    </row>
    <row r="296">
      <c r="A296" s="309">
        <v>284.0</v>
      </c>
      <c r="B296" s="310" t="s">
        <v>2135</v>
      </c>
      <c r="C296" s="311"/>
      <c r="D296" s="311"/>
      <c r="E296" s="321">
        <v>2.2</v>
      </c>
      <c r="F296" s="321">
        <v>0.2</v>
      </c>
      <c r="G296" s="321">
        <v>2.4</v>
      </c>
      <c r="H296" s="321">
        <v>4.2</v>
      </c>
      <c r="I296" s="321">
        <v>0.8</v>
      </c>
      <c r="J296" s="321">
        <v>0.3</v>
      </c>
      <c r="K296" s="321">
        <v>1.3</v>
      </c>
      <c r="L296" s="321">
        <v>6.5</v>
      </c>
      <c r="M296" s="321">
        <v>0.2</v>
      </c>
      <c r="N296" s="322">
        <f>+0.1</f>
        <v>0.1</v>
      </c>
      <c r="O296" t="str">
        <f>IFERROR(__xludf.DUMMYFUNCTION("regexextract(B296,""[\w]* [\w]*"")"),"Mike Muscala")</f>
        <v>Mike Muscala</v>
      </c>
      <c r="P296" t="str">
        <f t="shared" si="2"/>
        <v>Mike Muscala</v>
      </c>
      <c r="Q296" t="str">
        <f t="shared" si="3"/>
        <v>Mike Muscala</v>
      </c>
      <c r="R296" t="s">
        <v>1850</v>
      </c>
      <c r="S296" s="276" t="s">
        <v>1850</v>
      </c>
      <c r="T296" t="s">
        <v>1850</v>
      </c>
      <c r="U296" t="s">
        <v>49</v>
      </c>
      <c r="V296" t="s">
        <v>34</v>
      </c>
      <c r="W296" t="str">
        <f t="shared" si="1"/>
        <v>PFC</v>
      </c>
    </row>
    <row r="297">
      <c r="A297" s="306">
        <v>285.0</v>
      </c>
      <c r="B297" s="307" t="s">
        <v>2136</v>
      </c>
      <c r="C297" s="308"/>
      <c r="D297" s="308"/>
      <c r="E297" s="320">
        <v>1.3</v>
      </c>
      <c r="F297" s="320">
        <v>0.6</v>
      </c>
      <c r="G297" s="320">
        <v>2.8</v>
      </c>
      <c r="H297" s="320">
        <v>2.7</v>
      </c>
      <c r="I297" s="320">
        <v>1.0</v>
      </c>
      <c r="J297" s="320">
        <v>0.3</v>
      </c>
      <c r="K297" s="320">
        <v>0.8</v>
      </c>
      <c r="L297" s="320">
        <v>6.3</v>
      </c>
      <c r="M297" s="320">
        <v>50.4</v>
      </c>
      <c r="N297" s="324">
        <v>-17.3</v>
      </c>
      <c r="O297" t="str">
        <f>IFERROR(__xludf.DUMMYFUNCTION("regexextract(B297,""[\w]* [\w]*"")"),"DeMarcus Cousins")</f>
        <v>DeMarcus Cousins</v>
      </c>
      <c r="P297" t="str">
        <f t="shared" si="2"/>
        <v>DeMarcus Cousins</v>
      </c>
      <c r="Q297" t="str">
        <f t="shared" si="3"/>
        <v>DeMarcus Cousins</v>
      </c>
      <c r="R297" t="s">
        <v>1850</v>
      </c>
      <c r="S297" s="276" t="s">
        <v>1850</v>
      </c>
      <c r="T297" t="s">
        <v>1850</v>
      </c>
      <c r="U297" t="s">
        <v>1850</v>
      </c>
      <c r="V297" t="s">
        <v>34</v>
      </c>
      <c r="W297" t="str">
        <f t="shared" si="1"/>
        <v>C</v>
      </c>
    </row>
    <row r="298">
      <c r="A298" s="309">
        <v>286.0</v>
      </c>
      <c r="B298" s="310" t="s">
        <v>2137</v>
      </c>
      <c r="C298" s="311"/>
      <c r="D298" s="311"/>
      <c r="E298" s="321">
        <v>0.6</v>
      </c>
      <c r="F298" s="321">
        <v>1.2</v>
      </c>
      <c r="G298" s="321">
        <v>4.6</v>
      </c>
      <c r="H298" s="321">
        <v>1.4</v>
      </c>
      <c r="I298" s="321">
        <v>0.6</v>
      </c>
      <c r="J298" s="321">
        <v>0.4</v>
      </c>
      <c r="K298" s="321">
        <v>0.6</v>
      </c>
      <c r="L298" s="321">
        <v>6.4</v>
      </c>
      <c r="M298" s="321">
        <v>0.8</v>
      </c>
      <c r="N298" s="321">
        <v>0.0</v>
      </c>
      <c r="O298" t="str">
        <f>IFERROR(__xludf.DUMMYFUNCTION("regexextract(B298,""[\w]* [\w]*"")"),"Jarrett CulverDTD")</f>
        <v>Jarrett CulverDTD</v>
      </c>
      <c r="P298" t="str">
        <f t="shared" si="2"/>
        <v>Jarrett Culver</v>
      </c>
      <c r="Q298" t="str">
        <f t="shared" si="3"/>
        <v>Jarrett Culver</v>
      </c>
      <c r="R298" t="s">
        <v>1850</v>
      </c>
      <c r="S298" s="276" t="s">
        <v>47</v>
      </c>
      <c r="T298" t="s">
        <v>48</v>
      </c>
      <c r="U298" t="s">
        <v>1850</v>
      </c>
      <c r="V298" t="s">
        <v>34</v>
      </c>
      <c r="W298" t="str">
        <f t="shared" si="1"/>
        <v>SGSFC</v>
      </c>
    </row>
    <row r="299">
      <c r="A299" s="306">
        <v>287.0</v>
      </c>
      <c r="B299" s="307" t="s">
        <v>2138</v>
      </c>
      <c r="C299" s="308"/>
      <c r="D299" s="308"/>
      <c r="E299" s="320">
        <v>1.4</v>
      </c>
      <c r="F299" s="320">
        <v>2.0</v>
      </c>
      <c r="G299" s="320">
        <v>2.8</v>
      </c>
      <c r="H299" s="320">
        <v>1.8</v>
      </c>
      <c r="I299" s="320">
        <v>0.4</v>
      </c>
      <c r="J299" s="320">
        <v>0.2</v>
      </c>
      <c r="K299" s="320">
        <v>1.0</v>
      </c>
      <c r="L299" s="320">
        <v>10.2</v>
      </c>
      <c r="M299" s="320">
        <v>0.6</v>
      </c>
      <c r="N299" s="320">
        <v>0.0</v>
      </c>
      <c r="O299" t="str">
        <f>IFERROR(__xludf.DUMMYFUNCTION("regexextract(B299,""[\w]* [\w]*"")"),"Bismack Biyombo")</f>
        <v>Bismack Biyombo</v>
      </c>
      <c r="P299" t="str">
        <f t="shared" si="2"/>
        <v>Bismack Biyombo</v>
      </c>
      <c r="Q299" t="str">
        <f t="shared" si="3"/>
        <v>Bismack Biyomb</v>
      </c>
      <c r="R299" t="s">
        <v>1850</v>
      </c>
      <c r="S299" s="276" t="s">
        <v>1850</v>
      </c>
      <c r="T299" t="s">
        <v>1850</v>
      </c>
      <c r="U299" t="s">
        <v>1850</v>
      </c>
      <c r="V299" t="s">
        <v>34</v>
      </c>
      <c r="W299" t="str">
        <f t="shared" si="1"/>
        <v>C</v>
      </c>
    </row>
    <row r="300">
      <c r="A300" s="309">
        <v>288.0</v>
      </c>
      <c r="B300" s="310" t="s">
        <v>2139</v>
      </c>
      <c r="C300" s="311"/>
      <c r="D300" s="311"/>
      <c r="E300" s="321">
        <v>1.6</v>
      </c>
      <c r="F300" s="321">
        <v>1.1</v>
      </c>
      <c r="G300" s="321">
        <v>2.5</v>
      </c>
      <c r="H300" s="321">
        <v>2.6</v>
      </c>
      <c r="I300" s="321">
        <v>0.8</v>
      </c>
      <c r="J300" s="321">
        <v>0.1</v>
      </c>
      <c r="K300" s="321">
        <v>1.0</v>
      </c>
      <c r="L300" s="321">
        <v>8.8</v>
      </c>
      <c r="M300" s="321">
        <v>0.4</v>
      </c>
      <c r="N300" s="322">
        <f t="shared" ref="N300:N301" si="11">+0.1</f>
        <v>0.1</v>
      </c>
      <c r="O300" t="str">
        <f>IFERROR(__xludf.DUMMYFUNCTION("regexextract(B300,""[\w]* [\w]*"")"),"Maurice Harkless")</f>
        <v>Maurice Harkless</v>
      </c>
      <c r="P300" t="str">
        <f t="shared" si="2"/>
        <v>Maurice Harkless</v>
      </c>
      <c r="Q300" t="str">
        <f t="shared" si="3"/>
        <v>Maurice Harkless</v>
      </c>
      <c r="R300" t="s">
        <v>1850</v>
      </c>
      <c r="S300" s="276" t="s">
        <v>1850</v>
      </c>
      <c r="T300" t="s">
        <v>48</v>
      </c>
      <c r="U300" t="s">
        <v>1850</v>
      </c>
      <c r="V300" t="s">
        <v>34</v>
      </c>
      <c r="W300" t="str">
        <f t="shared" si="1"/>
        <v>SFC</v>
      </c>
    </row>
    <row r="301">
      <c r="A301" s="306">
        <v>289.0</v>
      </c>
      <c r="B301" s="307" t="s">
        <v>2140</v>
      </c>
      <c r="C301" s="308"/>
      <c r="D301" s="308"/>
      <c r="E301" s="320">
        <v>1.3</v>
      </c>
      <c r="F301" s="320">
        <v>1.5</v>
      </c>
      <c r="G301" s="320">
        <v>2.8</v>
      </c>
      <c r="H301" s="320">
        <v>1.6</v>
      </c>
      <c r="I301" s="320">
        <v>0.6</v>
      </c>
      <c r="J301" s="320">
        <v>0.3</v>
      </c>
      <c r="K301" s="320">
        <v>1.0</v>
      </c>
      <c r="L301" s="320">
        <v>10.5</v>
      </c>
      <c r="M301" s="320">
        <v>1.1</v>
      </c>
      <c r="N301" s="323">
        <f t="shared" si="11"/>
        <v>0.1</v>
      </c>
      <c r="O301" t="str">
        <f>IFERROR(__xludf.DUMMYFUNCTION("regexextract(B301,""[\w]* [\w]*"")"),"James Johnson")</f>
        <v>James Johnson</v>
      </c>
      <c r="P301" t="str">
        <f t="shared" si="2"/>
        <v>James Johnson</v>
      </c>
      <c r="Q301" t="str">
        <f t="shared" si="3"/>
        <v>James Johnson</v>
      </c>
      <c r="R301" t="s">
        <v>1850</v>
      </c>
      <c r="S301" s="276" t="s">
        <v>1850</v>
      </c>
      <c r="T301" t="s">
        <v>48</v>
      </c>
      <c r="U301" t="s">
        <v>49</v>
      </c>
      <c r="V301" t="s">
        <v>1850</v>
      </c>
      <c r="W301" t="str">
        <f t="shared" si="1"/>
        <v>SFPF</v>
      </c>
    </row>
    <row r="302">
      <c r="A302" s="309">
        <v>290.0</v>
      </c>
      <c r="B302" s="310" t="s">
        <v>2141</v>
      </c>
      <c r="C302" s="311"/>
      <c r="D302" s="311"/>
      <c r="E302" s="321">
        <v>2.0</v>
      </c>
      <c r="F302" s="321">
        <v>1.3</v>
      </c>
      <c r="G302" s="321">
        <v>1.8</v>
      </c>
      <c r="H302" s="321">
        <v>3.7</v>
      </c>
      <c r="I302" s="321">
        <v>0.5</v>
      </c>
      <c r="J302" s="321">
        <v>0.0</v>
      </c>
      <c r="K302" s="321">
        <v>1.2</v>
      </c>
      <c r="L302" s="321">
        <v>8.3</v>
      </c>
      <c r="M302" s="321">
        <v>0.2</v>
      </c>
      <c r="N302" s="321">
        <v>0.0</v>
      </c>
      <c r="O302" t="str">
        <f>IFERROR(__xludf.DUMMYFUNCTION("regexextract(B302,""[\w]* [\w]*"")"),"Cody Martin")</f>
        <v>Cody Martin</v>
      </c>
      <c r="P302" t="str">
        <f t="shared" si="2"/>
        <v>Cody Martin</v>
      </c>
      <c r="Q302" t="str">
        <f t="shared" si="3"/>
        <v>Cody Martin</v>
      </c>
      <c r="R302" t="s">
        <v>1850</v>
      </c>
      <c r="S302" s="276" t="s">
        <v>1850</v>
      </c>
      <c r="T302" t="s">
        <v>48</v>
      </c>
      <c r="U302" t="s">
        <v>1850</v>
      </c>
      <c r="V302" t="s">
        <v>34</v>
      </c>
      <c r="W302" t="str">
        <f t="shared" si="1"/>
        <v>SFC</v>
      </c>
    </row>
    <row r="303">
      <c r="A303" s="306">
        <v>291.0</v>
      </c>
      <c r="B303" s="307" t="s">
        <v>2142</v>
      </c>
      <c r="C303" s="308"/>
      <c r="D303" s="308"/>
      <c r="E303" s="320">
        <v>1.4</v>
      </c>
      <c r="F303" s="320">
        <v>0.8</v>
      </c>
      <c r="G303" s="320">
        <v>5.8</v>
      </c>
      <c r="H303" s="320">
        <v>0.8</v>
      </c>
      <c r="I303" s="320">
        <v>0.3</v>
      </c>
      <c r="J303" s="320">
        <v>1.3</v>
      </c>
      <c r="K303" s="320">
        <v>0.8</v>
      </c>
      <c r="L303" s="320">
        <v>7.8</v>
      </c>
      <c r="M303" s="320">
        <v>5.0</v>
      </c>
      <c r="N303" s="324">
        <v>-0.7</v>
      </c>
      <c r="O303" t="str">
        <f>IFERROR(__xludf.DUMMYFUNCTION("regexextract(B303,""[\w]* [\w]*"")"),"Michael Carter")</f>
        <v>Michael Carter</v>
      </c>
      <c r="P303" t="str">
        <f t="shared" si="2"/>
        <v>Michael Carter</v>
      </c>
      <c r="Q303" t="str">
        <f t="shared" si="3"/>
        <v>Michael Carter</v>
      </c>
      <c r="R303" t="s">
        <v>46</v>
      </c>
      <c r="S303" s="276" t="s">
        <v>1850</v>
      </c>
      <c r="T303" t="s">
        <v>1850</v>
      </c>
      <c r="U303" t="s">
        <v>1850</v>
      </c>
      <c r="V303" t="s">
        <v>34</v>
      </c>
      <c r="W303" t="str">
        <f t="shared" si="1"/>
        <v>PGC</v>
      </c>
    </row>
    <row r="304">
      <c r="A304" s="309">
        <v>292.0</v>
      </c>
      <c r="B304" s="310" t="s">
        <v>2143</v>
      </c>
      <c r="C304" s="311"/>
      <c r="D304" s="311"/>
      <c r="E304" s="321">
        <v>1.0</v>
      </c>
      <c r="F304" s="321">
        <v>1.3</v>
      </c>
      <c r="G304" s="321">
        <v>5.4</v>
      </c>
      <c r="H304" s="321">
        <v>0.8</v>
      </c>
      <c r="I304" s="321">
        <v>0.5</v>
      </c>
      <c r="J304" s="321">
        <v>0.4</v>
      </c>
      <c r="K304" s="321">
        <v>1.0</v>
      </c>
      <c r="L304" s="321">
        <v>7.8</v>
      </c>
      <c r="M304" s="321">
        <v>0.4</v>
      </c>
      <c r="N304" s="321">
        <v>0.0</v>
      </c>
      <c r="O304" t="str">
        <f>IFERROR(__xludf.DUMMYFUNCTION("regexextract(B304,""[\w]* [\w]*"")"),"Farouq Aminu")</f>
        <v>Farouq Aminu</v>
      </c>
      <c r="P304" t="str">
        <f t="shared" si="2"/>
        <v>Farouq Aminu</v>
      </c>
      <c r="Q304" t="str">
        <f t="shared" si="3"/>
        <v>Farouq Aminu</v>
      </c>
      <c r="R304" t="s">
        <v>1850</v>
      </c>
      <c r="S304" s="276" t="s">
        <v>1850</v>
      </c>
      <c r="T304" t="s">
        <v>1850</v>
      </c>
      <c r="U304" t="s">
        <v>49</v>
      </c>
      <c r="V304" t="s">
        <v>1850</v>
      </c>
      <c r="W304" t="str">
        <f t="shared" si="1"/>
        <v>PF</v>
      </c>
    </row>
    <row r="305">
      <c r="A305" s="306">
        <v>293.0</v>
      </c>
      <c r="B305" s="307" t="s">
        <v>2144</v>
      </c>
      <c r="C305" s="308"/>
      <c r="D305" s="308"/>
      <c r="E305" s="320">
        <v>1.4</v>
      </c>
      <c r="F305" s="320">
        <v>1.5</v>
      </c>
      <c r="G305" s="320">
        <v>3.4</v>
      </c>
      <c r="H305" s="320">
        <v>1.3</v>
      </c>
      <c r="I305" s="320">
        <v>0.7</v>
      </c>
      <c r="J305" s="320">
        <v>0.4</v>
      </c>
      <c r="K305" s="320">
        <v>0.8</v>
      </c>
      <c r="L305" s="320">
        <v>8.2</v>
      </c>
      <c r="M305" s="320">
        <v>0.3</v>
      </c>
      <c r="N305" s="323">
        <f>+0.1</f>
        <v>0.1</v>
      </c>
      <c r="O305" t="str">
        <f>IFERROR(__xludf.DUMMYFUNCTION("regexextract(B305,""[\w]* [\w]*"")")," Wilson")</f>
        <v> Wilson</v>
      </c>
      <c r="P305" t="str">
        <f t="shared" si="2"/>
        <v> Wilson</v>
      </c>
      <c r="Q305" t="str">
        <f t="shared" si="3"/>
        <v> Wilson</v>
      </c>
      <c r="R305" t="s">
        <v>1850</v>
      </c>
      <c r="S305" s="276" t="s">
        <v>1850</v>
      </c>
      <c r="T305" t="s">
        <v>1850</v>
      </c>
      <c r="U305" t="s">
        <v>49</v>
      </c>
      <c r="V305" t="s">
        <v>34</v>
      </c>
      <c r="W305" t="str">
        <f t="shared" si="1"/>
        <v>PFC</v>
      </c>
    </row>
    <row r="306">
      <c r="A306" s="309">
        <v>294.0</v>
      </c>
      <c r="B306" s="310" t="s">
        <v>2145</v>
      </c>
      <c r="C306" s="311"/>
      <c r="D306" s="311"/>
      <c r="E306" s="321">
        <v>2.4</v>
      </c>
      <c r="F306" s="321">
        <v>1.5</v>
      </c>
      <c r="G306" s="321">
        <v>3.5</v>
      </c>
      <c r="H306" s="321">
        <v>1.3</v>
      </c>
      <c r="I306" s="321">
        <v>1.1</v>
      </c>
      <c r="J306" s="321">
        <v>0.4</v>
      </c>
      <c r="K306" s="321">
        <v>1.4</v>
      </c>
      <c r="L306" s="321">
        <v>11.0</v>
      </c>
      <c r="M306" s="321">
        <v>3.9</v>
      </c>
      <c r="N306" s="325">
        <v>-0.2</v>
      </c>
      <c r="O306" t="str">
        <f>IFERROR(__xludf.DUMMYFUNCTION("regexextract(B306,""[\w]* [\w]*"")"),"Trey Burke")</f>
        <v>Trey Burke</v>
      </c>
      <c r="P306" t="str">
        <f t="shared" si="2"/>
        <v>Trey Burke</v>
      </c>
      <c r="Q306" t="str">
        <f t="shared" si="3"/>
        <v>Trey Burke</v>
      </c>
      <c r="R306" t="s">
        <v>46</v>
      </c>
      <c r="S306" s="276" t="s">
        <v>47</v>
      </c>
      <c r="T306" t="s">
        <v>1850</v>
      </c>
      <c r="U306" t="s">
        <v>1850</v>
      </c>
      <c r="V306" t="s">
        <v>1850</v>
      </c>
      <c r="W306" t="str">
        <f t="shared" si="1"/>
        <v>PGSG</v>
      </c>
    </row>
    <row r="307">
      <c r="A307" s="306">
        <v>295.0</v>
      </c>
      <c r="B307" s="307" t="s">
        <v>2146</v>
      </c>
      <c r="C307" s="308"/>
      <c r="D307" s="308"/>
      <c r="E307" s="320">
        <v>1.3</v>
      </c>
      <c r="F307" s="320">
        <v>2.1</v>
      </c>
      <c r="G307" s="320">
        <v>1.8</v>
      </c>
      <c r="H307" s="320">
        <v>1.6</v>
      </c>
      <c r="I307" s="320">
        <v>0.5</v>
      </c>
      <c r="J307" s="320">
        <v>0.2</v>
      </c>
      <c r="K307" s="320">
        <v>0.7</v>
      </c>
      <c r="L307" s="320">
        <v>9.4</v>
      </c>
      <c r="M307" s="320">
        <v>0.6</v>
      </c>
      <c r="N307" s="324">
        <v>-0.1</v>
      </c>
      <c r="O307" t="str">
        <f>IFERROR(__xludf.DUMMYFUNCTION("regexextract(B307,""[\w]* [\w]*"")"),"Zach CollinsO")</f>
        <v>Zach CollinsO</v>
      </c>
      <c r="P307" t="str">
        <f t="shared" si="2"/>
        <v>Zach CollinsO</v>
      </c>
      <c r="Q307" t="str">
        <f t="shared" si="3"/>
        <v>Zach Collins</v>
      </c>
      <c r="R307" t="s">
        <v>1850</v>
      </c>
      <c r="S307" s="276" t="s">
        <v>1850</v>
      </c>
      <c r="T307" t="s">
        <v>1850</v>
      </c>
      <c r="U307" t="s">
        <v>1850</v>
      </c>
      <c r="V307" t="s">
        <v>34</v>
      </c>
      <c r="W307" t="str">
        <f t="shared" si="1"/>
        <v>C</v>
      </c>
    </row>
    <row r="308">
      <c r="A308" s="309">
        <v>296.0</v>
      </c>
      <c r="B308" s="310" t="s">
        <v>2147</v>
      </c>
      <c r="C308" s="311"/>
      <c r="D308" s="311"/>
      <c r="E308" s="321">
        <v>0.9</v>
      </c>
      <c r="F308" s="321">
        <v>1.1</v>
      </c>
      <c r="G308" s="321">
        <v>5.3</v>
      </c>
      <c r="H308" s="321">
        <v>1.3</v>
      </c>
      <c r="I308" s="321">
        <v>0.7</v>
      </c>
      <c r="J308" s="321">
        <v>0.3</v>
      </c>
      <c r="K308" s="321">
        <v>0.7</v>
      </c>
      <c r="L308" s="321">
        <v>7.0</v>
      </c>
      <c r="M308" s="321">
        <v>1.1</v>
      </c>
      <c r="N308" s="325">
        <v>-0.1</v>
      </c>
      <c r="O308" t="str">
        <f>IFERROR(__xludf.DUMMYFUNCTION("regexextract(B308,""[\w]* [\w]*"")"),"Edmond SumnerO")</f>
        <v>Edmond SumnerO</v>
      </c>
      <c r="P308" t="str">
        <f t="shared" si="2"/>
        <v>Edmond SumnerO</v>
      </c>
      <c r="Q308" t="str">
        <f t="shared" si="3"/>
        <v>Edmond Sumner</v>
      </c>
      <c r="R308" t="s">
        <v>1850</v>
      </c>
      <c r="S308" s="276" t="s">
        <v>47</v>
      </c>
      <c r="T308" t="s">
        <v>1850</v>
      </c>
      <c r="U308" t="s">
        <v>1850</v>
      </c>
      <c r="V308" t="s">
        <v>1850</v>
      </c>
      <c r="W308" t="str">
        <f t="shared" si="1"/>
        <v>SG</v>
      </c>
    </row>
    <row r="309">
      <c r="A309" s="306">
        <v>297.0</v>
      </c>
      <c r="B309" s="307" t="s">
        <v>2148</v>
      </c>
      <c r="C309" s="308"/>
      <c r="D309" s="308"/>
      <c r="E309" s="320">
        <v>2.1</v>
      </c>
      <c r="F309" s="320">
        <v>0.1</v>
      </c>
      <c r="G309" s="320">
        <v>6.2</v>
      </c>
      <c r="H309" s="320">
        <v>1.0</v>
      </c>
      <c r="I309" s="320">
        <v>0.4</v>
      </c>
      <c r="J309" s="320">
        <v>0.4</v>
      </c>
      <c r="K309" s="320">
        <v>0.8</v>
      </c>
      <c r="L309" s="320">
        <v>7.3</v>
      </c>
      <c r="M309" s="320">
        <v>0.6</v>
      </c>
      <c r="N309" s="324">
        <v>-0.1</v>
      </c>
      <c r="O309" t="str">
        <f>IFERROR(__xludf.DUMMYFUNCTION("regexextract(B309,""[\w]* [\w]*"")"),"Georges Niang")</f>
        <v>Georges Niang</v>
      </c>
      <c r="P309" t="str">
        <f t="shared" si="2"/>
        <v>Georges Niang</v>
      </c>
      <c r="Q309" t="str">
        <f t="shared" si="3"/>
        <v>Georges Niang</v>
      </c>
      <c r="R309" t="s">
        <v>1850</v>
      </c>
      <c r="S309" s="276" t="s">
        <v>1850</v>
      </c>
      <c r="T309" t="s">
        <v>1850</v>
      </c>
      <c r="U309" t="s">
        <v>49</v>
      </c>
      <c r="V309" t="s">
        <v>1850</v>
      </c>
      <c r="W309" t="str">
        <f t="shared" si="1"/>
        <v>PF</v>
      </c>
    </row>
    <row r="310">
      <c r="A310" s="309">
        <v>298.0</v>
      </c>
      <c r="B310" s="310" t="s">
        <v>2149</v>
      </c>
      <c r="C310" s="311"/>
      <c r="D310" s="311"/>
      <c r="E310" s="321">
        <v>1.5</v>
      </c>
      <c r="F310" s="321">
        <v>0.6</v>
      </c>
      <c r="G310" s="321">
        <v>4.2</v>
      </c>
      <c r="H310" s="321">
        <v>1.1</v>
      </c>
      <c r="I310" s="321">
        <v>0.7</v>
      </c>
      <c r="J310" s="321">
        <v>0.6</v>
      </c>
      <c r="K310" s="321">
        <v>0.8</v>
      </c>
      <c r="L310" s="321">
        <v>6.5</v>
      </c>
      <c r="M310" s="321">
        <v>0.2</v>
      </c>
      <c r="N310" s="321">
        <v>0.0</v>
      </c>
      <c r="O310" t="str">
        <f>IFERROR(__xludf.DUMMYFUNCTION("regexextract(B310,""[\w]* [\w]*"")"),"Aron Baynes")</f>
        <v>Aron Baynes</v>
      </c>
      <c r="P310" t="str">
        <f t="shared" si="2"/>
        <v>Aron Baynes</v>
      </c>
      <c r="Q310" t="str">
        <f t="shared" si="3"/>
        <v>Aron Baynes</v>
      </c>
      <c r="R310" t="s">
        <v>1850</v>
      </c>
      <c r="S310" s="276" t="s">
        <v>1850</v>
      </c>
      <c r="T310" t="s">
        <v>1850</v>
      </c>
      <c r="U310" t="s">
        <v>1850</v>
      </c>
      <c r="V310" t="s">
        <v>34</v>
      </c>
      <c r="W310" t="str">
        <f t="shared" si="1"/>
        <v>C</v>
      </c>
    </row>
    <row r="311">
      <c r="A311" s="306">
        <v>299.0</v>
      </c>
      <c r="B311" s="307" t="s">
        <v>2150</v>
      </c>
      <c r="C311" s="308"/>
      <c r="D311" s="308"/>
      <c r="E311" s="320">
        <v>1.0</v>
      </c>
      <c r="F311" s="320">
        <v>1.3</v>
      </c>
      <c r="G311" s="320">
        <v>2.7</v>
      </c>
      <c r="H311" s="320">
        <v>2.0</v>
      </c>
      <c r="I311" s="320">
        <v>0.7</v>
      </c>
      <c r="J311" s="320">
        <v>0.4</v>
      </c>
      <c r="K311" s="320">
        <v>0.9</v>
      </c>
      <c r="L311" s="320">
        <v>7.5</v>
      </c>
      <c r="M311" s="320">
        <v>0.2</v>
      </c>
      <c r="N311" s="320">
        <v>0.0</v>
      </c>
      <c r="O311" t="str">
        <f>IFERROR(__xludf.DUMMYFUNCTION("regexextract(B311,""[\w]* [\w]*"")"),"Brad Wanamaker")</f>
        <v>Brad Wanamaker</v>
      </c>
      <c r="P311" t="str">
        <f t="shared" si="2"/>
        <v>Brad Wanamaker</v>
      </c>
      <c r="Q311" t="str">
        <f t="shared" si="3"/>
        <v>Brad Wanamaker</v>
      </c>
      <c r="R311" t="s">
        <v>46</v>
      </c>
      <c r="S311" s="276" t="s">
        <v>1850</v>
      </c>
      <c r="T311" t="s">
        <v>1850</v>
      </c>
      <c r="U311" t="s">
        <v>1850</v>
      </c>
      <c r="V311" t="s">
        <v>34</v>
      </c>
      <c r="W311" t="str">
        <f t="shared" si="1"/>
        <v>PGC</v>
      </c>
    </row>
    <row r="312">
      <c r="A312" s="309">
        <v>300.0</v>
      </c>
      <c r="B312" s="310" t="s">
        <v>2151</v>
      </c>
      <c r="C312" s="311"/>
      <c r="D312" s="311"/>
      <c r="E312" s="321">
        <v>2.7</v>
      </c>
      <c r="F312" s="321">
        <v>2.3</v>
      </c>
      <c r="G312" s="321">
        <v>1.7</v>
      </c>
      <c r="H312" s="321">
        <v>1.7</v>
      </c>
      <c r="I312" s="321">
        <v>0.5</v>
      </c>
      <c r="J312" s="321">
        <v>0.3</v>
      </c>
      <c r="K312" s="321">
        <v>1.2</v>
      </c>
      <c r="L312" s="321">
        <v>13.4</v>
      </c>
      <c r="M312" s="321">
        <v>5.2</v>
      </c>
      <c r="N312" s="325">
        <v>-1.5</v>
      </c>
      <c r="O312" t="str">
        <f>IFERROR(__xludf.DUMMYFUNCTION("regexextract(B312,""[\w]* [\w]*"")"),"Robin Lopez")</f>
        <v>Robin Lopez</v>
      </c>
      <c r="P312" t="str">
        <f t="shared" si="2"/>
        <v>Robin Lopez</v>
      </c>
      <c r="Q312" t="str">
        <f t="shared" si="3"/>
        <v>Robin Lopez</v>
      </c>
      <c r="R312" t="s">
        <v>1850</v>
      </c>
      <c r="S312" s="276" t="s">
        <v>1850</v>
      </c>
      <c r="T312" t="s">
        <v>1850</v>
      </c>
      <c r="U312" t="s">
        <v>1850</v>
      </c>
      <c r="V312" t="s">
        <v>34</v>
      </c>
      <c r="W312" t="str">
        <f t="shared" si="1"/>
        <v>C</v>
      </c>
    </row>
    <row r="313">
      <c r="A313" s="316" t="s">
        <v>2152</v>
      </c>
      <c r="M313" s="316" t="s">
        <v>1950</v>
      </c>
      <c r="O313" t="str">
        <f>IFERROR(__xludf.DUMMYFUNCTION("regexextract(B313,""[\w]* [\w]*"")"),"#N/A")</f>
        <v>#N/A</v>
      </c>
      <c r="P313" t="str">
        <f t="shared" si="2"/>
        <v>#N/A</v>
      </c>
      <c r="Q313" t="str">
        <f t="shared" si="3"/>
        <v>#N/A</v>
      </c>
      <c r="R313" t="s">
        <v>1850</v>
      </c>
      <c r="S313" s="276" t="s">
        <v>1850</v>
      </c>
      <c r="T313" t="s">
        <v>1850</v>
      </c>
      <c r="U313" t="s">
        <v>1850</v>
      </c>
      <c r="V313" t="s">
        <v>1850</v>
      </c>
      <c r="W313" t="str">
        <f t="shared" si="1"/>
        <v/>
      </c>
    </row>
    <row r="314">
      <c r="A314" s="317" t="s">
        <v>183</v>
      </c>
      <c r="B314" s="317" t="s">
        <v>1243</v>
      </c>
      <c r="C314" s="317" t="s">
        <v>427</v>
      </c>
      <c r="D314" s="317" t="s">
        <v>1244</v>
      </c>
      <c r="E314" s="317" t="s">
        <v>428</v>
      </c>
      <c r="F314" s="318">
        <v>0.625</v>
      </c>
      <c r="G314" s="317" t="s">
        <v>110</v>
      </c>
      <c r="H314" s="317" t="s">
        <v>12</v>
      </c>
      <c r="I314" s="317" t="s">
        <v>13</v>
      </c>
      <c r="J314" s="317" t="s">
        <v>14</v>
      </c>
      <c r="K314" s="317" t="s">
        <v>15</v>
      </c>
      <c r="L314" s="317" t="s">
        <v>10</v>
      </c>
      <c r="M314" s="317" t="s">
        <v>1951</v>
      </c>
      <c r="N314" s="319" t="str">
        <f>+/-</f>
        <v>#ERROR!</v>
      </c>
      <c r="O314" t="str">
        <f>IFERROR(__xludf.DUMMYFUNCTION("regexextract(B314,""[\w]* [\w]*"")"),"#N/A")</f>
        <v>#N/A</v>
      </c>
      <c r="P314" t="str">
        <f t="shared" si="2"/>
        <v>#N/A</v>
      </c>
      <c r="Q314" t="str">
        <f t="shared" si="3"/>
        <v>#N/A</v>
      </c>
      <c r="R314" t="s">
        <v>1850</v>
      </c>
      <c r="S314" s="276" t="s">
        <v>1850</v>
      </c>
      <c r="T314" t="s">
        <v>1850</v>
      </c>
      <c r="U314" t="s">
        <v>1850</v>
      </c>
      <c r="V314" t="s">
        <v>1850</v>
      </c>
      <c r="W314" t="str">
        <f t="shared" si="1"/>
        <v/>
      </c>
    </row>
    <row r="315">
      <c r="A315" s="320">
        <v>19.2</v>
      </c>
      <c r="B315" s="320">
        <v>2.5</v>
      </c>
      <c r="C315" s="320">
        <v>6.1</v>
      </c>
      <c r="D315" s="320">
        <v>1.1</v>
      </c>
      <c r="E315" s="320">
        <v>1.5</v>
      </c>
      <c r="F315" s="320">
        <v>1.0</v>
      </c>
      <c r="G315" s="320">
        <v>3.3</v>
      </c>
      <c r="H315" s="320">
        <v>1.4</v>
      </c>
      <c r="I315" s="320">
        <v>0.9</v>
      </c>
      <c r="J315" s="320">
        <v>0.5</v>
      </c>
      <c r="K315" s="320">
        <v>1.2</v>
      </c>
      <c r="L315" s="320">
        <v>7.2</v>
      </c>
      <c r="M315" s="320">
        <v>1.1</v>
      </c>
      <c r="N315" s="324">
        <v>-0.2</v>
      </c>
      <c r="O315" t="str">
        <f>IFERROR(__xludf.DUMMYFUNCTION("regexextract(B315,""[\w]* [\w]*"")"),"#VALUE!")</f>
        <v>#VALUE!</v>
      </c>
      <c r="P315" t="str">
        <f t="shared" si="2"/>
        <v>#VALUE!</v>
      </c>
      <c r="Q315" t="str">
        <f t="shared" si="3"/>
        <v>#VALUE!</v>
      </c>
      <c r="R315" t="s">
        <v>1850</v>
      </c>
      <c r="S315" s="276" t="s">
        <v>1850</v>
      </c>
      <c r="T315" t="s">
        <v>1850</v>
      </c>
      <c r="U315" t="s">
        <v>1850</v>
      </c>
      <c r="V315" t="s">
        <v>1850</v>
      </c>
      <c r="W315" t="str">
        <f t="shared" si="1"/>
        <v/>
      </c>
    </row>
    <row r="316">
      <c r="A316" s="321">
        <v>20.0</v>
      </c>
      <c r="B316" s="321">
        <v>2.2</v>
      </c>
      <c r="C316" s="321">
        <v>5.1</v>
      </c>
      <c r="D316" s="321">
        <v>1.0</v>
      </c>
      <c r="E316" s="321">
        <v>1.4</v>
      </c>
      <c r="F316" s="321">
        <v>0.9</v>
      </c>
      <c r="G316" s="321">
        <v>2.6</v>
      </c>
      <c r="H316" s="321">
        <v>2.5</v>
      </c>
      <c r="I316" s="321">
        <v>1.1</v>
      </c>
      <c r="J316" s="321">
        <v>0.3</v>
      </c>
      <c r="K316" s="321">
        <v>1.2</v>
      </c>
      <c r="L316" s="321">
        <v>6.3</v>
      </c>
      <c r="M316" s="321">
        <v>5.8</v>
      </c>
      <c r="N316" s="325">
        <v>-0.2</v>
      </c>
      <c r="O316" t="str">
        <f>IFERROR(__xludf.DUMMYFUNCTION("regexextract(B316,""[\w]* [\w]*"")"),"#VALUE!")</f>
        <v>#VALUE!</v>
      </c>
      <c r="P316" t="str">
        <f t="shared" si="2"/>
        <v>#VALUE!</v>
      </c>
      <c r="Q316" t="str">
        <f t="shared" si="3"/>
        <v>#VALUE!</v>
      </c>
      <c r="R316" t="s">
        <v>1850</v>
      </c>
      <c r="S316" s="276" t="s">
        <v>1850</v>
      </c>
      <c r="T316" t="s">
        <v>1850</v>
      </c>
      <c r="U316" t="s">
        <v>1850</v>
      </c>
      <c r="V316" t="s">
        <v>1850</v>
      </c>
      <c r="W316" t="str">
        <f t="shared" si="1"/>
        <v/>
      </c>
    </row>
    <row r="317">
      <c r="A317" s="320">
        <v>21.4</v>
      </c>
      <c r="B317" s="320">
        <v>3.1</v>
      </c>
      <c r="C317" s="320">
        <v>7.3</v>
      </c>
      <c r="D317" s="320">
        <v>1.4</v>
      </c>
      <c r="E317" s="320">
        <v>1.6</v>
      </c>
      <c r="F317" s="320">
        <v>1.7</v>
      </c>
      <c r="G317" s="320">
        <v>2.6</v>
      </c>
      <c r="H317" s="320">
        <v>1.8</v>
      </c>
      <c r="I317" s="320">
        <v>0.7</v>
      </c>
      <c r="J317" s="320">
        <v>0.1</v>
      </c>
      <c r="K317" s="320">
        <v>0.9</v>
      </c>
      <c r="L317" s="320">
        <v>9.2</v>
      </c>
      <c r="M317" s="320">
        <v>0.9</v>
      </c>
      <c r="N317" s="324">
        <v>-0.1</v>
      </c>
      <c r="O317" t="str">
        <f>IFERROR(__xludf.DUMMYFUNCTION("regexextract(B317,""[\w]* [\w]*"")"),"#VALUE!")</f>
        <v>#VALUE!</v>
      </c>
      <c r="P317" t="str">
        <f t="shared" si="2"/>
        <v>#VALUE!</v>
      </c>
      <c r="Q317" t="str">
        <f t="shared" si="3"/>
        <v>#VALUE!</v>
      </c>
      <c r="R317" t="s">
        <v>1850</v>
      </c>
      <c r="S317" s="276" t="s">
        <v>1850</v>
      </c>
      <c r="T317" t="s">
        <v>1850</v>
      </c>
      <c r="U317" t="s">
        <v>1850</v>
      </c>
      <c r="V317" t="s">
        <v>1850</v>
      </c>
      <c r="W317" t="str">
        <f t="shared" si="1"/>
        <v/>
      </c>
    </row>
    <row r="318">
      <c r="A318" s="321">
        <v>18.2</v>
      </c>
      <c r="B318" s="321">
        <v>3.1</v>
      </c>
      <c r="C318" s="321">
        <v>7.1</v>
      </c>
      <c r="D318" s="321">
        <v>0.8</v>
      </c>
      <c r="E318" s="321">
        <v>1.2</v>
      </c>
      <c r="F318" s="321">
        <v>0.3</v>
      </c>
      <c r="G318" s="321">
        <v>2.8</v>
      </c>
      <c r="H318" s="321">
        <v>3.4</v>
      </c>
      <c r="I318" s="321">
        <v>0.7</v>
      </c>
      <c r="J318" s="321">
        <v>0.2</v>
      </c>
      <c r="K318" s="321">
        <v>1.3</v>
      </c>
      <c r="L318" s="321">
        <v>7.3</v>
      </c>
      <c r="M318" s="321">
        <v>0.6</v>
      </c>
      <c r="N318" s="321">
        <v>0.0</v>
      </c>
      <c r="O318" t="str">
        <f>IFERROR(__xludf.DUMMYFUNCTION("regexextract(B318,""[\w]* [\w]*"")"),"#VALUE!")</f>
        <v>#VALUE!</v>
      </c>
      <c r="P318" t="str">
        <f t="shared" si="2"/>
        <v>#VALUE!</v>
      </c>
      <c r="Q318" t="str">
        <f t="shared" si="3"/>
        <v>#VALUE!</v>
      </c>
      <c r="R318" t="s">
        <v>1850</v>
      </c>
      <c r="S318" s="276" t="s">
        <v>1850</v>
      </c>
      <c r="T318" t="s">
        <v>1850</v>
      </c>
      <c r="U318" t="s">
        <v>1850</v>
      </c>
      <c r="V318" t="s">
        <v>1850</v>
      </c>
      <c r="W318" t="str">
        <f t="shared" si="1"/>
        <v/>
      </c>
    </row>
    <row r="319">
      <c r="A319" s="320">
        <v>17.0</v>
      </c>
      <c r="B319" s="320">
        <v>2.9</v>
      </c>
      <c r="C319" s="320">
        <v>6.3</v>
      </c>
      <c r="D319" s="320">
        <v>1.2</v>
      </c>
      <c r="E319" s="320">
        <v>1.8</v>
      </c>
      <c r="F319" s="320">
        <v>0.9</v>
      </c>
      <c r="G319" s="320">
        <v>4.1</v>
      </c>
      <c r="H319" s="320">
        <v>1.7</v>
      </c>
      <c r="I319" s="320">
        <v>0.3</v>
      </c>
      <c r="J319" s="320">
        <v>0.3</v>
      </c>
      <c r="K319" s="320">
        <v>0.7</v>
      </c>
      <c r="L319" s="320">
        <v>7.9</v>
      </c>
      <c r="M319" s="320">
        <v>0.2</v>
      </c>
      <c r="N319" s="320">
        <v>0.0</v>
      </c>
      <c r="O319" t="str">
        <f>IFERROR(__xludf.DUMMYFUNCTION("regexextract(B319,""[\w]* [\w]*"")"),"#VALUE!")</f>
        <v>#VALUE!</v>
      </c>
      <c r="P319" t="str">
        <f t="shared" si="2"/>
        <v>#VALUE!</v>
      </c>
      <c r="Q319" t="str">
        <f t="shared" si="3"/>
        <v>#VALUE!</v>
      </c>
      <c r="R319" t="s">
        <v>1850</v>
      </c>
      <c r="S319" s="276" t="s">
        <v>1850</v>
      </c>
      <c r="T319" t="s">
        <v>1850</v>
      </c>
      <c r="U319" t="s">
        <v>1850</v>
      </c>
      <c r="V319" t="s">
        <v>1850</v>
      </c>
      <c r="W319" t="str">
        <f t="shared" si="1"/>
        <v/>
      </c>
    </row>
    <row r="320">
      <c r="A320" s="321">
        <v>23.7</v>
      </c>
      <c r="B320" s="321">
        <v>3.1</v>
      </c>
      <c r="C320" s="321">
        <v>7.6</v>
      </c>
      <c r="D320" s="321">
        <v>1.3</v>
      </c>
      <c r="E320" s="321">
        <v>1.6</v>
      </c>
      <c r="F320" s="321">
        <v>1.0</v>
      </c>
      <c r="G320" s="321">
        <v>2.0</v>
      </c>
      <c r="H320" s="321">
        <v>1.7</v>
      </c>
      <c r="I320" s="321">
        <v>0.8</v>
      </c>
      <c r="J320" s="321">
        <v>0.2</v>
      </c>
      <c r="K320" s="321">
        <v>0.8</v>
      </c>
      <c r="L320" s="321">
        <v>8.6</v>
      </c>
      <c r="M320" s="321">
        <v>0.5</v>
      </c>
      <c r="N320" s="321">
        <v>0.0</v>
      </c>
      <c r="O320" t="str">
        <f>IFERROR(__xludf.DUMMYFUNCTION("regexextract(B320,""[\w]* [\w]*"")"),"#VALUE!")</f>
        <v>#VALUE!</v>
      </c>
      <c r="P320" t="str">
        <f t="shared" si="2"/>
        <v>#VALUE!</v>
      </c>
      <c r="Q320" t="str">
        <f t="shared" si="3"/>
        <v>#VALUE!</v>
      </c>
      <c r="R320" t="s">
        <v>1850</v>
      </c>
      <c r="S320" s="276" t="s">
        <v>1850</v>
      </c>
      <c r="T320" t="s">
        <v>1850</v>
      </c>
      <c r="U320" t="s">
        <v>1850</v>
      </c>
      <c r="V320" t="s">
        <v>1850</v>
      </c>
      <c r="W320" t="str">
        <f t="shared" si="1"/>
        <v/>
      </c>
    </row>
    <row r="321">
      <c r="A321" s="320">
        <v>19.5</v>
      </c>
      <c r="B321" s="320">
        <v>3.1</v>
      </c>
      <c r="C321" s="320">
        <v>7.5</v>
      </c>
      <c r="D321" s="320">
        <v>1.0</v>
      </c>
      <c r="E321" s="320">
        <v>1.3</v>
      </c>
      <c r="F321" s="320">
        <v>1.8</v>
      </c>
      <c r="G321" s="320">
        <v>2.2</v>
      </c>
      <c r="H321" s="320">
        <v>1.3</v>
      </c>
      <c r="I321" s="320">
        <v>0.7</v>
      </c>
      <c r="J321" s="320">
        <v>0.2</v>
      </c>
      <c r="K321" s="320">
        <v>0.8</v>
      </c>
      <c r="L321" s="320">
        <v>8.9</v>
      </c>
      <c r="M321" s="320">
        <v>0.5</v>
      </c>
      <c r="N321" s="320">
        <v>0.0</v>
      </c>
      <c r="O321" t="str">
        <f>IFERROR(__xludf.DUMMYFUNCTION("regexextract(B321,""[\w]* [\w]*"")"),"#VALUE!")</f>
        <v>#VALUE!</v>
      </c>
      <c r="P321" t="str">
        <f t="shared" si="2"/>
        <v>#VALUE!</v>
      </c>
      <c r="Q321" t="str">
        <f t="shared" si="3"/>
        <v>#VALUE!</v>
      </c>
      <c r="R321" t="s">
        <v>1850</v>
      </c>
      <c r="S321" s="276" t="s">
        <v>1850</v>
      </c>
      <c r="T321" t="s">
        <v>1850</v>
      </c>
      <c r="U321" t="s">
        <v>1850</v>
      </c>
      <c r="V321" t="s">
        <v>1850</v>
      </c>
      <c r="W321" t="str">
        <f t="shared" si="1"/>
        <v/>
      </c>
    </row>
    <row r="322">
      <c r="A322" s="321">
        <v>23.6</v>
      </c>
      <c r="B322" s="321">
        <v>2.9</v>
      </c>
      <c r="C322" s="321">
        <v>6.9</v>
      </c>
      <c r="D322" s="321">
        <v>0.6</v>
      </c>
      <c r="E322" s="321">
        <v>0.9</v>
      </c>
      <c r="F322" s="321">
        <v>1.5</v>
      </c>
      <c r="G322" s="321">
        <v>2.3</v>
      </c>
      <c r="H322" s="321">
        <v>2.2</v>
      </c>
      <c r="I322" s="321">
        <v>0.8</v>
      </c>
      <c r="J322" s="321">
        <v>0.1</v>
      </c>
      <c r="K322" s="321">
        <v>1.0</v>
      </c>
      <c r="L322" s="321">
        <v>7.9</v>
      </c>
      <c r="M322" s="321">
        <v>0.5</v>
      </c>
      <c r="N322" s="325">
        <v>-0.1</v>
      </c>
      <c r="O322" t="str">
        <f>IFERROR(__xludf.DUMMYFUNCTION("regexextract(B322,""[\w]* [\w]*"")"),"#VALUE!")</f>
        <v>#VALUE!</v>
      </c>
      <c r="P322" t="str">
        <f t="shared" si="2"/>
        <v>#VALUE!</v>
      </c>
      <c r="Q322" t="str">
        <f t="shared" si="3"/>
        <v>#VALUE!</v>
      </c>
      <c r="R322" t="s">
        <v>1850</v>
      </c>
      <c r="S322" s="276" t="s">
        <v>1850</v>
      </c>
      <c r="T322" t="s">
        <v>1850</v>
      </c>
      <c r="U322" t="s">
        <v>1850</v>
      </c>
      <c r="V322" t="s">
        <v>1850</v>
      </c>
      <c r="W322" t="str">
        <f t="shared" si="1"/>
        <v/>
      </c>
    </row>
    <row r="323">
      <c r="A323" s="320">
        <v>34.4</v>
      </c>
      <c r="B323" s="320">
        <v>7.5</v>
      </c>
      <c r="C323" s="320">
        <v>16.1</v>
      </c>
      <c r="D323" s="320">
        <v>2.8</v>
      </c>
      <c r="E323" s="320">
        <v>3.2</v>
      </c>
      <c r="F323" s="320">
        <v>2.4</v>
      </c>
      <c r="G323" s="320">
        <v>4.0</v>
      </c>
      <c r="H323" s="320">
        <v>4.8</v>
      </c>
      <c r="I323" s="320">
        <v>1.2</v>
      </c>
      <c r="J323" s="320">
        <v>0.3</v>
      </c>
      <c r="K323" s="320">
        <v>2.2</v>
      </c>
      <c r="L323" s="320">
        <v>20.2</v>
      </c>
      <c r="M323" s="320">
        <v>67.6</v>
      </c>
      <c r="N323" s="324">
        <v>-13.2</v>
      </c>
      <c r="O323" t="str">
        <f>IFERROR(__xludf.DUMMYFUNCTION("regexextract(B323,""[\w]* [\w]*"")"),"#VALUE!")</f>
        <v>#VALUE!</v>
      </c>
      <c r="P323" t="str">
        <f t="shared" si="2"/>
        <v>#VALUE!</v>
      </c>
      <c r="Q323" t="str">
        <f t="shared" si="3"/>
        <v>#VALUE!</v>
      </c>
      <c r="R323" t="s">
        <v>1850</v>
      </c>
      <c r="S323" s="276" t="s">
        <v>1850</v>
      </c>
      <c r="T323" t="s">
        <v>1850</v>
      </c>
      <c r="U323" t="s">
        <v>1850</v>
      </c>
      <c r="V323" t="s">
        <v>1850</v>
      </c>
      <c r="W323" t="str">
        <f t="shared" si="1"/>
        <v/>
      </c>
    </row>
    <row r="324">
      <c r="A324" s="321">
        <v>21.4</v>
      </c>
      <c r="B324" s="321">
        <v>2.4</v>
      </c>
      <c r="C324" s="321">
        <v>5.8</v>
      </c>
      <c r="D324" s="321">
        <v>1.0</v>
      </c>
      <c r="E324" s="321">
        <v>1.2</v>
      </c>
      <c r="F324" s="321">
        <v>1.2</v>
      </c>
      <c r="G324" s="321">
        <v>3.5</v>
      </c>
      <c r="H324" s="321">
        <v>1.6</v>
      </c>
      <c r="I324" s="321">
        <v>0.9</v>
      </c>
      <c r="J324" s="321">
        <v>0.3</v>
      </c>
      <c r="K324" s="321">
        <v>0.7</v>
      </c>
      <c r="L324" s="321">
        <v>7.0</v>
      </c>
      <c r="M324" s="321">
        <v>2.7</v>
      </c>
      <c r="N324" s="325">
        <v>-0.8</v>
      </c>
      <c r="O324" t="str">
        <f>IFERROR(__xludf.DUMMYFUNCTION("regexextract(B324,""[\w]* [\w]*"")"),"#VALUE!")</f>
        <v>#VALUE!</v>
      </c>
      <c r="P324" t="str">
        <f t="shared" si="2"/>
        <v>#VALUE!</v>
      </c>
      <c r="Q324" t="str">
        <f t="shared" si="3"/>
        <v>#VALUE!</v>
      </c>
      <c r="R324" t="s">
        <v>1850</v>
      </c>
      <c r="S324" s="276" t="s">
        <v>1850</v>
      </c>
      <c r="T324" t="s">
        <v>1850</v>
      </c>
      <c r="U324" t="s">
        <v>1850</v>
      </c>
      <c r="V324" t="s">
        <v>1850</v>
      </c>
      <c r="W324" t="str">
        <f t="shared" si="1"/>
        <v/>
      </c>
    </row>
    <row r="325">
      <c r="A325" s="320">
        <v>20.6</v>
      </c>
      <c r="B325" s="320">
        <v>3.3</v>
      </c>
      <c r="C325" s="320">
        <v>7.2</v>
      </c>
      <c r="D325" s="320">
        <v>0.8</v>
      </c>
      <c r="E325" s="320">
        <v>0.9</v>
      </c>
      <c r="F325" s="320">
        <v>1.7</v>
      </c>
      <c r="G325" s="320">
        <v>2.6</v>
      </c>
      <c r="H325" s="320">
        <v>1.9</v>
      </c>
      <c r="I325" s="320">
        <v>0.3</v>
      </c>
      <c r="J325" s="320">
        <v>0.1</v>
      </c>
      <c r="K325" s="320">
        <v>0.8</v>
      </c>
      <c r="L325" s="320">
        <v>9.1</v>
      </c>
      <c r="M325" s="320">
        <v>0.5</v>
      </c>
      <c r="N325" s="320">
        <v>0.0</v>
      </c>
      <c r="O325" t="str">
        <f>IFERROR(__xludf.DUMMYFUNCTION("regexextract(B325,""[\w]* [\w]*"")"),"#VALUE!")</f>
        <v>#VALUE!</v>
      </c>
      <c r="P325" t="str">
        <f t="shared" si="2"/>
        <v>#VALUE!</v>
      </c>
      <c r="Q325" t="str">
        <f t="shared" si="3"/>
        <v>#VALUE!</v>
      </c>
      <c r="R325" t="s">
        <v>1850</v>
      </c>
      <c r="S325" s="276" t="s">
        <v>1850</v>
      </c>
      <c r="T325" t="s">
        <v>1850</v>
      </c>
      <c r="U325" t="s">
        <v>1850</v>
      </c>
      <c r="V325" t="s">
        <v>1850</v>
      </c>
      <c r="W325" t="str">
        <f t="shared" si="1"/>
        <v/>
      </c>
    </row>
    <row r="326">
      <c r="A326" s="321">
        <v>21.6</v>
      </c>
      <c r="B326" s="321">
        <v>3.0</v>
      </c>
      <c r="C326" s="321">
        <v>7.2</v>
      </c>
      <c r="D326" s="321">
        <v>0.6</v>
      </c>
      <c r="E326" s="321">
        <v>0.7</v>
      </c>
      <c r="F326" s="321">
        <v>2.4</v>
      </c>
      <c r="G326" s="321">
        <v>1.9</v>
      </c>
      <c r="H326" s="321">
        <v>1.4</v>
      </c>
      <c r="I326" s="321">
        <v>0.5</v>
      </c>
      <c r="J326" s="321">
        <v>0.2</v>
      </c>
      <c r="K326" s="321">
        <v>0.7</v>
      </c>
      <c r="L326" s="321">
        <v>9.0</v>
      </c>
      <c r="M326" s="321">
        <v>0.3</v>
      </c>
      <c r="N326" s="322">
        <f>+0.1</f>
        <v>0.1</v>
      </c>
      <c r="O326" t="str">
        <f>IFERROR(__xludf.DUMMYFUNCTION("regexextract(B326,""[\w]* [\w]*"")"),"#VALUE!")</f>
        <v>#VALUE!</v>
      </c>
      <c r="P326" t="str">
        <f t="shared" si="2"/>
        <v>#VALUE!</v>
      </c>
      <c r="Q326" t="str">
        <f t="shared" si="3"/>
        <v>#VALUE!</v>
      </c>
      <c r="R326" t="s">
        <v>1850</v>
      </c>
      <c r="S326" s="276" t="s">
        <v>1850</v>
      </c>
      <c r="T326" t="s">
        <v>1850</v>
      </c>
      <c r="U326" t="s">
        <v>1850</v>
      </c>
      <c r="V326" t="s">
        <v>1850</v>
      </c>
      <c r="W326" t="str">
        <f t="shared" si="1"/>
        <v/>
      </c>
    </row>
    <row r="327">
      <c r="A327" s="320">
        <v>18.2</v>
      </c>
      <c r="B327" s="320">
        <v>2.7</v>
      </c>
      <c r="C327" s="320">
        <v>5.4</v>
      </c>
      <c r="D327" s="320">
        <v>1.0</v>
      </c>
      <c r="E327" s="320">
        <v>1.4</v>
      </c>
      <c r="F327" s="320">
        <v>0.6</v>
      </c>
      <c r="G327" s="320">
        <v>4.1</v>
      </c>
      <c r="H327" s="320">
        <v>0.8</v>
      </c>
      <c r="I327" s="320">
        <v>0.5</v>
      </c>
      <c r="J327" s="320">
        <v>0.7</v>
      </c>
      <c r="K327" s="320">
        <v>0.6</v>
      </c>
      <c r="L327" s="320">
        <v>7.0</v>
      </c>
      <c r="M327" s="320">
        <v>1.9</v>
      </c>
      <c r="N327" s="324">
        <v>-0.3</v>
      </c>
      <c r="O327" t="str">
        <f>IFERROR(__xludf.DUMMYFUNCTION("regexextract(B327,""[\w]* [\w]*"")"),"#VALUE!")</f>
        <v>#VALUE!</v>
      </c>
      <c r="P327" t="str">
        <f t="shared" si="2"/>
        <v>#VALUE!</v>
      </c>
      <c r="Q327" t="str">
        <f t="shared" si="3"/>
        <v>#VALUE!</v>
      </c>
      <c r="R327" t="s">
        <v>1850</v>
      </c>
      <c r="S327" s="276" t="s">
        <v>1850</v>
      </c>
      <c r="T327" t="s">
        <v>1850</v>
      </c>
      <c r="U327" t="s">
        <v>1850</v>
      </c>
      <c r="V327" t="s">
        <v>1850</v>
      </c>
      <c r="W327" t="str">
        <f t="shared" si="1"/>
        <v/>
      </c>
    </row>
    <row r="328">
      <c r="A328" s="321">
        <v>21.1</v>
      </c>
      <c r="B328" s="321">
        <v>3.2</v>
      </c>
      <c r="C328" s="321">
        <v>8.3</v>
      </c>
      <c r="D328" s="321">
        <v>0.9</v>
      </c>
      <c r="E328" s="321">
        <v>1.5</v>
      </c>
      <c r="F328" s="321">
        <v>0.7</v>
      </c>
      <c r="G328" s="321">
        <v>4.3</v>
      </c>
      <c r="H328" s="321">
        <v>2.6</v>
      </c>
      <c r="I328" s="321">
        <v>0.7</v>
      </c>
      <c r="J328" s="321">
        <v>0.3</v>
      </c>
      <c r="K328" s="321">
        <v>1.5</v>
      </c>
      <c r="L328" s="321">
        <v>8.1</v>
      </c>
      <c r="M328" s="321">
        <v>0.3</v>
      </c>
      <c r="N328" s="321">
        <v>0.0</v>
      </c>
      <c r="O328" t="str">
        <f>IFERROR(__xludf.DUMMYFUNCTION("regexextract(B328,""[\w]* [\w]*"")"),"#VALUE!")</f>
        <v>#VALUE!</v>
      </c>
      <c r="P328" t="str">
        <f t="shared" si="2"/>
        <v>#VALUE!</v>
      </c>
      <c r="Q328" t="str">
        <f t="shared" si="3"/>
        <v>#VALUE!</v>
      </c>
      <c r="R328" t="s">
        <v>1850</v>
      </c>
      <c r="S328" s="276" t="s">
        <v>1850</v>
      </c>
      <c r="T328" t="s">
        <v>1850</v>
      </c>
      <c r="U328" t="s">
        <v>1850</v>
      </c>
      <c r="V328" t="s">
        <v>1850</v>
      </c>
      <c r="W328" t="str">
        <f t="shared" si="1"/>
        <v/>
      </c>
    </row>
    <row r="329">
      <c r="A329" s="320">
        <v>13.9</v>
      </c>
      <c r="B329" s="320">
        <v>2.9</v>
      </c>
      <c r="C329" s="320">
        <v>5.0</v>
      </c>
      <c r="D329" s="320">
        <v>0.8</v>
      </c>
      <c r="E329" s="320">
        <v>1.2</v>
      </c>
      <c r="F329" s="320">
        <v>0.1</v>
      </c>
      <c r="G329" s="320">
        <v>4.8</v>
      </c>
      <c r="H329" s="320">
        <v>0.6</v>
      </c>
      <c r="I329" s="320">
        <v>0.4</v>
      </c>
      <c r="J329" s="320">
        <v>1.2</v>
      </c>
      <c r="K329" s="320">
        <v>1.0</v>
      </c>
      <c r="L329" s="320">
        <v>6.6</v>
      </c>
      <c r="M329" s="320">
        <v>1.3</v>
      </c>
      <c r="N329" s="324">
        <v>-0.1</v>
      </c>
      <c r="O329" t="str">
        <f>IFERROR(__xludf.DUMMYFUNCTION("regexextract(B329,""[\w]* [\w]*"")"),"#VALUE!")</f>
        <v>#VALUE!</v>
      </c>
      <c r="P329" t="str">
        <f t="shared" si="2"/>
        <v>#VALUE!</v>
      </c>
      <c r="Q329" t="str">
        <f t="shared" si="3"/>
        <v>#VALUE!</v>
      </c>
      <c r="R329" t="s">
        <v>1850</v>
      </c>
      <c r="S329" s="276" t="s">
        <v>1850</v>
      </c>
      <c r="T329" t="s">
        <v>1850</v>
      </c>
      <c r="U329" t="s">
        <v>1850</v>
      </c>
      <c r="V329" t="s">
        <v>1850</v>
      </c>
      <c r="W329" t="str">
        <f t="shared" si="1"/>
        <v/>
      </c>
    </row>
    <row r="330">
      <c r="A330" s="321">
        <v>19.3</v>
      </c>
      <c r="B330" s="321">
        <v>3.4</v>
      </c>
      <c r="C330" s="321">
        <v>8.6</v>
      </c>
      <c r="D330" s="321">
        <v>1.8</v>
      </c>
      <c r="E330" s="321">
        <v>2.1</v>
      </c>
      <c r="F330" s="321">
        <v>1.6</v>
      </c>
      <c r="G330" s="321">
        <v>1.8</v>
      </c>
      <c r="H330" s="321">
        <v>2.0</v>
      </c>
      <c r="I330" s="321">
        <v>0.5</v>
      </c>
      <c r="J330" s="321">
        <v>0.2</v>
      </c>
      <c r="K330" s="321">
        <v>1.0</v>
      </c>
      <c r="L330" s="321">
        <v>10.2</v>
      </c>
      <c r="M330" s="321">
        <v>3.3</v>
      </c>
      <c r="N330" s="322">
        <f>+0.1</f>
        <v>0.1</v>
      </c>
      <c r="O330" t="str">
        <f>IFERROR(__xludf.DUMMYFUNCTION("regexextract(B330,""[\w]* [\w]*"")"),"#VALUE!")</f>
        <v>#VALUE!</v>
      </c>
      <c r="P330" t="str">
        <f t="shared" si="2"/>
        <v>#VALUE!</v>
      </c>
      <c r="Q330" t="str">
        <f t="shared" si="3"/>
        <v>#VALUE!</v>
      </c>
      <c r="R330" t="s">
        <v>1850</v>
      </c>
      <c r="S330" s="276" t="s">
        <v>1850</v>
      </c>
      <c r="T330" t="s">
        <v>1850</v>
      </c>
      <c r="U330" t="s">
        <v>1850</v>
      </c>
      <c r="V330" t="s">
        <v>1850</v>
      </c>
      <c r="W330" t="str">
        <f t="shared" si="1"/>
        <v/>
      </c>
    </row>
    <row r="331">
      <c r="A331" s="320">
        <v>21.3</v>
      </c>
      <c r="B331" s="320">
        <v>2.7</v>
      </c>
      <c r="C331" s="320">
        <v>6.4</v>
      </c>
      <c r="D331" s="320">
        <v>1.3</v>
      </c>
      <c r="E331" s="320">
        <v>2.0</v>
      </c>
      <c r="F331" s="320">
        <v>1.2</v>
      </c>
      <c r="G331" s="320">
        <v>4.7</v>
      </c>
      <c r="H331" s="320">
        <v>0.9</v>
      </c>
      <c r="I331" s="320">
        <v>0.5</v>
      </c>
      <c r="J331" s="320">
        <v>0.2</v>
      </c>
      <c r="K331" s="320">
        <v>0.7</v>
      </c>
      <c r="L331" s="320">
        <v>7.9</v>
      </c>
      <c r="M331" s="320">
        <v>0.2</v>
      </c>
      <c r="N331" s="320">
        <v>0.0</v>
      </c>
      <c r="O331" t="str">
        <f>IFERROR(__xludf.DUMMYFUNCTION("regexextract(B331,""[\w]* [\w]*"")"),"#VALUE!")</f>
        <v>#VALUE!</v>
      </c>
      <c r="P331" t="str">
        <f t="shared" si="2"/>
        <v>#VALUE!</v>
      </c>
      <c r="Q331" t="str">
        <f t="shared" si="3"/>
        <v>#VALUE!</v>
      </c>
      <c r="R331" t="s">
        <v>1850</v>
      </c>
      <c r="S331" s="276" t="s">
        <v>1850</v>
      </c>
      <c r="T331" t="s">
        <v>1850</v>
      </c>
      <c r="U331" t="s">
        <v>1850</v>
      </c>
      <c r="V331" t="s">
        <v>1850</v>
      </c>
      <c r="W331" t="str">
        <f t="shared" si="1"/>
        <v/>
      </c>
    </row>
    <row r="332">
      <c r="A332" s="321">
        <v>19.4</v>
      </c>
      <c r="B332" s="321">
        <v>2.6</v>
      </c>
      <c r="C332" s="321">
        <v>6.3</v>
      </c>
      <c r="D332" s="321">
        <v>0.8</v>
      </c>
      <c r="E332" s="321">
        <v>1.2</v>
      </c>
      <c r="F332" s="321">
        <v>0.8</v>
      </c>
      <c r="G332" s="321">
        <v>3.2</v>
      </c>
      <c r="H332" s="321">
        <v>1.7</v>
      </c>
      <c r="I332" s="321">
        <v>0.6</v>
      </c>
      <c r="J332" s="321">
        <v>0.4</v>
      </c>
      <c r="K332" s="321">
        <v>0.8</v>
      </c>
      <c r="L332" s="321">
        <v>6.8</v>
      </c>
      <c r="M332" s="321">
        <v>0.3</v>
      </c>
      <c r="N332" s="325">
        <v>-0.1</v>
      </c>
      <c r="O332" t="str">
        <f>IFERROR(__xludf.DUMMYFUNCTION("regexextract(B332,""[\w]* [\w]*"")"),"#VALUE!")</f>
        <v>#VALUE!</v>
      </c>
      <c r="P332" t="str">
        <f t="shared" si="2"/>
        <v>#VALUE!</v>
      </c>
      <c r="Q332" t="str">
        <f t="shared" si="3"/>
        <v>#VALUE!</v>
      </c>
      <c r="R332" t="s">
        <v>1850</v>
      </c>
      <c r="S332" s="276" t="s">
        <v>1850</v>
      </c>
      <c r="T332" t="s">
        <v>1850</v>
      </c>
      <c r="U332" t="s">
        <v>1850</v>
      </c>
      <c r="V332" t="s">
        <v>1850</v>
      </c>
      <c r="W332" t="str">
        <f t="shared" si="1"/>
        <v/>
      </c>
    </row>
    <row r="333">
      <c r="A333" s="320">
        <v>17.6</v>
      </c>
      <c r="B333" s="320">
        <v>2.2</v>
      </c>
      <c r="C333" s="320">
        <v>4.6</v>
      </c>
      <c r="D333" s="320">
        <v>0.4</v>
      </c>
      <c r="E333" s="320">
        <v>0.6</v>
      </c>
      <c r="F333" s="320">
        <v>0.8</v>
      </c>
      <c r="G333" s="320">
        <v>3.7</v>
      </c>
      <c r="H333" s="320">
        <v>0.9</v>
      </c>
      <c r="I333" s="320">
        <v>0.5</v>
      </c>
      <c r="J333" s="320">
        <v>0.6</v>
      </c>
      <c r="K333" s="320">
        <v>0.5</v>
      </c>
      <c r="L333" s="320">
        <v>5.5</v>
      </c>
      <c r="M333" s="320">
        <v>0.2</v>
      </c>
      <c r="N333" s="320">
        <v>0.0</v>
      </c>
      <c r="O333" t="str">
        <f>IFERROR(__xludf.DUMMYFUNCTION("regexextract(B333,""[\w]* [\w]*"")"),"#VALUE!")</f>
        <v>#VALUE!</v>
      </c>
      <c r="P333" t="str">
        <f t="shared" si="2"/>
        <v>#VALUE!</v>
      </c>
      <c r="Q333" t="str">
        <f t="shared" si="3"/>
        <v>#VALUE!</v>
      </c>
      <c r="R333" t="s">
        <v>1850</v>
      </c>
      <c r="S333" s="276" t="s">
        <v>1850</v>
      </c>
      <c r="T333" t="s">
        <v>1850</v>
      </c>
      <c r="U333" t="s">
        <v>1850</v>
      </c>
      <c r="V333" t="s">
        <v>1850</v>
      </c>
      <c r="W333" t="str">
        <f t="shared" si="1"/>
        <v/>
      </c>
    </row>
    <row r="334">
      <c r="A334" s="321">
        <v>16.0</v>
      </c>
      <c r="B334" s="321">
        <v>2.4</v>
      </c>
      <c r="C334" s="321">
        <v>3.3</v>
      </c>
      <c r="D334" s="321">
        <v>0.7</v>
      </c>
      <c r="E334" s="321">
        <v>1.3</v>
      </c>
      <c r="F334" s="321">
        <v>0.0</v>
      </c>
      <c r="G334" s="321">
        <v>5.8</v>
      </c>
      <c r="H334" s="321">
        <v>1.2</v>
      </c>
      <c r="I334" s="321">
        <v>0.2</v>
      </c>
      <c r="J334" s="321">
        <v>0.8</v>
      </c>
      <c r="K334" s="321">
        <v>1.1</v>
      </c>
      <c r="L334" s="321">
        <v>5.6</v>
      </c>
      <c r="M334" s="321">
        <v>4.1</v>
      </c>
      <c r="N334" s="325">
        <v>-0.6</v>
      </c>
      <c r="O334" t="str">
        <f>IFERROR(__xludf.DUMMYFUNCTION("regexextract(B334,""[\w]* [\w]*"")"),"#VALUE!")</f>
        <v>#VALUE!</v>
      </c>
      <c r="P334" t="str">
        <f t="shared" si="2"/>
        <v>#VALUE!</v>
      </c>
      <c r="Q334" t="str">
        <f t="shared" si="3"/>
        <v>#VALUE!</v>
      </c>
      <c r="R334" t="s">
        <v>1850</v>
      </c>
      <c r="S334" s="276" t="s">
        <v>1850</v>
      </c>
      <c r="T334" t="s">
        <v>1850</v>
      </c>
      <c r="U334" t="s">
        <v>1850</v>
      </c>
      <c r="V334" t="s">
        <v>1850</v>
      </c>
      <c r="W334" t="str">
        <f t="shared" si="1"/>
        <v/>
      </c>
    </row>
    <row r="335">
      <c r="A335" s="320">
        <v>19.7</v>
      </c>
      <c r="B335" s="320">
        <v>4.0</v>
      </c>
      <c r="C335" s="320">
        <v>8.0</v>
      </c>
      <c r="D335" s="320">
        <v>1.9</v>
      </c>
      <c r="E335" s="320">
        <v>2.6</v>
      </c>
      <c r="F335" s="320">
        <v>0.5</v>
      </c>
      <c r="G335" s="320">
        <v>3.4</v>
      </c>
      <c r="H335" s="320">
        <v>1.5</v>
      </c>
      <c r="I335" s="320">
        <v>0.4</v>
      </c>
      <c r="J335" s="320">
        <v>0.2</v>
      </c>
      <c r="K335" s="320">
        <v>1.2</v>
      </c>
      <c r="L335" s="320">
        <v>10.4</v>
      </c>
      <c r="M335" s="320">
        <v>0.4</v>
      </c>
      <c r="N335" s="320">
        <v>0.0</v>
      </c>
      <c r="O335" t="str">
        <f>IFERROR(__xludf.DUMMYFUNCTION("regexextract(B335,""[\w]* [\w]*"")"),"#VALUE!")</f>
        <v>#VALUE!</v>
      </c>
      <c r="P335" t="str">
        <f t="shared" si="2"/>
        <v>#VALUE!</v>
      </c>
      <c r="Q335" t="str">
        <f t="shared" si="3"/>
        <v>#VALUE!</v>
      </c>
      <c r="R335" t="s">
        <v>1850</v>
      </c>
      <c r="S335" s="276" t="s">
        <v>1850</v>
      </c>
      <c r="T335" t="s">
        <v>1850</v>
      </c>
      <c r="U335" t="s">
        <v>1850</v>
      </c>
      <c r="V335" t="s">
        <v>1850</v>
      </c>
      <c r="W335" t="str">
        <f t="shared" si="1"/>
        <v/>
      </c>
    </row>
    <row r="336">
      <c r="A336" s="321">
        <v>18.8</v>
      </c>
      <c r="B336" s="321">
        <v>2.8</v>
      </c>
      <c r="C336" s="321">
        <v>7.0</v>
      </c>
      <c r="D336" s="321">
        <v>1.0</v>
      </c>
      <c r="E336" s="321">
        <v>1.2</v>
      </c>
      <c r="F336" s="321">
        <v>1.1</v>
      </c>
      <c r="G336" s="321">
        <v>1.6</v>
      </c>
      <c r="H336" s="321">
        <v>2.3</v>
      </c>
      <c r="I336" s="321">
        <v>0.7</v>
      </c>
      <c r="J336" s="321">
        <v>0.2</v>
      </c>
      <c r="K336" s="321">
        <v>1.1</v>
      </c>
      <c r="L336" s="321">
        <v>7.7</v>
      </c>
      <c r="M336" s="321">
        <v>0.7</v>
      </c>
      <c r="N336" s="325">
        <v>-0.1</v>
      </c>
      <c r="O336" t="str">
        <f>IFERROR(__xludf.DUMMYFUNCTION("regexextract(B336,""[\w]* [\w]*"")"),"#VALUE!")</f>
        <v>#VALUE!</v>
      </c>
      <c r="P336" t="str">
        <f t="shared" si="2"/>
        <v>#VALUE!</v>
      </c>
      <c r="Q336" t="str">
        <f t="shared" si="3"/>
        <v>#VALUE!</v>
      </c>
      <c r="R336" t="s">
        <v>1850</v>
      </c>
      <c r="S336" s="276" t="s">
        <v>1850</v>
      </c>
      <c r="T336" t="s">
        <v>1850</v>
      </c>
      <c r="U336" t="s">
        <v>1850</v>
      </c>
      <c r="V336" t="s">
        <v>1850</v>
      </c>
      <c r="W336" t="str">
        <f t="shared" si="1"/>
        <v/>
      </c>
    </row>
    <row r="337">
      <c r="A337" s="320">
        <v>17.2</v>
      </c>
      <c r="B337" s="320">
        <v>2.6</v>
      </c>
      <c r="C337" s="320">
        <v>5.5</v>
      </c>
      <c r="D337" s="320">
        <v>0.9</v>
      </c>
      <c r="E337" s="320">
        <v>1.0</v>
      </c>
      <c r="F337" s="320">
        <v>0.8</v>
      </c>
      <c r="G337" s="320">
        <v>1.9</v>
      </c>
      <c r="H337" s="320">
        <v>2.0</v>
      </c>
      <c r="I337" s="320">
        <v>0.8</v>
      </c>
      <c r="J337" s="320">
        <v>0.1</v>
      </c>
      <c r="K337" s="320">
        <v>0.8</v>
      </c>
      <c r="L337" s="320">
        <v>6.8</v>
      </c>
      <c r="M337" s="320">
        <v>0.6</v>
      </c>
      <c r="N337" s="324">
        <v>-0.2</v>
      </c>
      <c r="O337" t="str">
        <f>IFERROR(__xludf.DUMMYFUNCTION("regexextract(B337,""[\w]* [\w]*"")"),"#VALUE!")</f>
        <v>#VALUE!</v>
      </c>
      <c r="P337" t="str">
        <f t="shared" si="2"/>
        <v>#VALUE!</v>
      </c>
      <c r="Q337" t="str">
        <f t="shared" si="3"/>
        <v>#VALUE!</v>
      </c>
      <c r="R337" t="s">
        <v>1850</v>
      </c>
      <c r="S337" s="276" t="s">
        <v>1850</v>
      </c>
      <c r="T337" t="s">
        <v>1850</v>
      </c>
      <c r="U337" t="s">
        <v>1850</v>
      </c>
      <c r="V337" t="s">
        <v>1850</v>
      </c>
      <c r="W337" t="str">
        <f t="shared" si="1"/>
        <v/>
      </c>
    </row>
    <row r="338">
      <c r="A338" s="321">
        <v>20.5</v>
      </c>
      <c r="B338" s="321">
        <v>2.6</v>
      </c>
      <c r="C338" s="321">
        <v>5.9</v>
      </c>
      <c r="D338" s="321">
        <v>0.5</v>
      </c>
      <c r="E338" s="321">
        <v>0.7</v>
      </c>
      <c r="F338" s="321">
        <v>1.4</v>
      </c>
      <c r="G338" s="321">
        <v>4.0</v>
      </c>
      <c r="H338" s="321">
        <v>1.3</v>
      </c>
      <c r="I338" s="321">
        <v>0.6</v>
      </c>
      <c r="J338" s="321">
        <v>0.2</v>
      </c>
      <c r="K338" s="321">
        <v>0.8</v>
      </c>
      <c r="L338" s="321">
        <v>7.0</v>
      </c>
      <c r="M338" s="321">
        <v>0.3</v>
      </c>
      <c r="N338" s="325">
        <v>-0.1</v>
      </c>
      <c r="O338" t="str">
        <f>IFERROR(__xludf.DUMMYFUNCTION("regexextract(B338,""[\w]* [\w]*"")"),"#VALUE!")</f>
        <v>#VALUE!</v>
      </c>
      <c r="P338" t="str">
        <f t="shared" si="2"/>
        <v>#VALUE!</v>
      </c>
      <c r="Q338" t="str">
        <f t="shared" si="3"/>
        <v>#VALUE!</v>
      </c>
      <c r="R338" t="s">
        <v>1850</v>
      </c>
      <c r="S338" s="276" t="s">
        <v>1850</v>
      </c>
      <c r="T338" t="s">
        <v>1850</v>
      </c>
      <c r="U338" t="s">
        <v>1850</v>
      </c>
      <c r="V338" t="s">
        <v>1850</v>
      </c>
      <c r="W338" t="str">
        <f t="shared" si="1"/>
        <v/>
      </c>
    </row>
    <row r="339">
      <c r="A339" s="320">
        <v>16.2</v>
      </c>
      <c r="B339" s="320">
        <v>2.4</v>
      </c>
      <c r="C339" s="320">
        <v>5.2</v>
      </c>
      <c r="D339" s="320">
        <v>1.5</v>
      </c>
      <c r="E339" s="320">
        <v>1.9</v>
      </c>
      <c r="F339" s="320">
        <v>0.7</v>
      </c>
      <c r="G339" s="320">
        <v>3.4</v>
      </c>
      <c r="H339" s="320">
        <v>1.1</v>
      </c>
      <c r="I339" s="320">
        <v>0.6</v>
      </c>
      <c r="J339" s="320">
        <v>0.4</v>
      </c>
      <c r="K339" s="320">
        <v>1.0</v>
      </c>
      <c r="L339" s="320">
        <v>7.1</v>
      </c>
      <c r="M339" s="320">
        <v>0.4</v>
      </c>
      <c r="N339" s="320">
        <v>0.0</v>
      </c>
      <c r="O339" t="str">
        <f>IFERROR(__xludf.DUMMYFUNCTION("regexextract(B339,""[\w]* [\w]*"")"),"#VALUE!")</f>
        <v>#VALUE!</v>
      </c>
      <c r="P339" t="str">
        <f t="shared" si="2"/>
        <v>#VALUE!</v>
      </c>
      <c r="Q339" t="str">
        <f t="shared" si="3"/>
        <v>#VALUE!</v>
      </c>
      <c r="R339" t="s">
        <v>1850</v>
      </c>
      <c r="S339" s="276" t="s">
        <v>1850</v>
      </c>
      <c r="T339" t="s">
        <v>1850</v>
      </c>
      <c r="U339" t="s">
        <v>1850</v>
      </c>
      <c r="V339" t="s">
        <v>1850</v>
      </c>
      <c r="W339" t="str">
        <f t="shared" si="1"/>
        <v/>
      </c>
    </row>
    <row r="340">
      <c r="A340" s="321">
        <v>19.2</v>
      </c>
      <c r="B340" s="321">
        <v>2.8</v>
      </c>
      <c r="C340" s="321">
        <v>6.0</v>
      </c>
      <c r="D340" s="321">
        <v>0.9</v>
      </c>
      <c r="E340" s="321">
        <v>1.3</v>
      </c>
      <c r="F340" s="321">
        <v>0.7</v>
      </c>
      <c r="G340" s="321">
        <v>3.6</v>
      </c>
      <c r="H340" s="321">
        <v>1.1</v>
      </c>
      <c r="I340" s="321">
        <v>0.6</v>
      </c>
      <c r="J340" s="321">
        <v>0.4</v>
      </c>
      <c r="K340" s="321">
        <v>0.9</v>
      </c>
      <c r="L340" s="321">
        <v>7.3</v>
      </c>
      <c r="M340" s="321">
        <v>0.3</v>
      </c>
      <c r="N340" s="321">
        <v>0.0</v>
      </c>
      <c r="O340" t="str">
        <f>IFERROR(__xludf.DUMMYFUNCTION("regexextract(B340,""[\w]* [\w]*"")"),"#VALUE!")</f>
        <v>#VALUE!</v>
      </c>
      <c r="P340" t="str">
        <f t="shared" si="2"/>
        <v>#VALUE!</v>
      </c>
      <c r="Q340" t="str">
        <f t="shared" si="3"/>
        <v>#VALUE!</v>
      </c>
      <c r="R340" t="s">
        <v>1850</v>
      </c>
      <c r="S340" s="276" t="s">
        <v>1850</v>
      </c>
      <c r="T340" t="s">
        <v>1850</v>
      </c>
      <c r="U340" t="s">
        <v>1850</v>
      </c>
      <c r="V340" t="s">
        <v>1850</v>
      </c>
      <c r="W340" t="str">
        <f t="shared" si="1"/>
        <v/>
      </c>
    </row>
    <row r="341">
      <c r="A341" s="320">
        <v>22.3</v>
      </c>
      <c r="B341" s="320">
        <v>3.4</v>
      </c>
      <c r="C341" s="320">
        <v>8.5</v>
      </c>
      <c r="D341" s="320">
        <v>1.6</v>
      </c>
      <c r="E341" s="320">
        <v>2.0</v>
      </c>
      <c r="F341" s="320">
        <v>0.7</v>
      </c>
      <c r="G341" s="320">
        <v>2.8</v>
      </c>
      <c r="H341" s="320">
        <v>1.2</v>
      </c>
      <c r="I341" s="320">
        <v>0.5</v>
      </c>
      <c r="J341" s="320">
        <v>0.1</v>
      </c>
      <c r="K341" s="320">
        <v>0.6</v>
      </c>
      <c r="L341" s="320">
        <v>9.1</v>
      </c>
      <c r="M341" s="320">
        <v>0.5</v>
      </c>
      <c r="N341" s="324">
        <v>-0.1</v>
      </c>
      <c r="O341" t="str">
        <f>IFERROR(__xludf.DUMMYFUNCTION("regexextract(B341,""[\w]* [\w]*"")"),"#VALUE!")</f>
        <v>#VALUE!</v>
      </c>
      <c r="P341" t="str">
        <f t="shared" si="2"/>
        <v>#VALUE!</v>
      </c>
      <c r="Q341" t="str">
        <f t="shared" si="3"/>
        <v>#VALUE!</v>
      </c>
      <c r="R341" t="s">
        <v>1850</v>
      </c>
      <c r="S341" s="276" t="s">
        <v>1850</v>
      </c>
      <c r="T341" t="s">
        <v>1850</v>
      </c>
      <c r="U341" t="s">
        <v>1850</v>
      </c>
      <c r="V341" t="s">
        <v>1850</v>
      </c>
      <c r="W341" t="str">
        <f t="shared" si="1"/>
        <v/>
      </c>
    </row>
    <row r="342">
      <c r="A342" s="321">
        <v>18.9</v>
      </c>
      <c r="B342" s="321">
        <v>2.5</v>
      </c>
      <c r="C342" s="321">
        <v>5.7</v>
      </c>
      <c r="D342" s="321">
        <v>1.0</v>
      </c>
      <c r="E342" s="321">
        <v>1.1</v>
      </c>
      <c r="F342" s="321">
        <v>1.3</v>
      </c>
      <c r="G342" s="321">
        <v>3.2</v>
      </c>
      <c r="H342" s="321">
        <v>1.4</v>
      </c>
      <c r="I342" s="321">
        <v>0.7</v>
      </c>
      <c r="J342" s="321">
        <v>0.1</v>
      </c>
      <c r="K342" s="321">
        <v>0.7</v>
      </c>
      <c r="L342" s="321">
        <v>7.3</v>
      </c>
      <c r="M342" s="321">
        <v>0.3</v>
      </c>
      <c r="N342" s="321">
        <v>0.0</v>
      </c>
      <c r="O342" t="str">
        <f>IFERROR(__xludf.DUMMYFUNCTION("regexextract(B342,""[\w]* [\w]*"")"),"#VALUE!")</f>
        <v>#VALUE!</v>
      </c>
      <c r="P342" t="str">
        <f t="shared" si="2"/>
        <v>#VALUE!</v>
      </c>
      <c r="Q342" t="str">
        <f t="shared" si="3"/>
        <v>#VALUE!</v>
      </c>
      <c r="R342" t="s">
        <v>1850</v>
      </c>
      <c r="S342" s="276" t="s">
        <v>1850</v>
      </c>
      <c r="T342" t="s">
        <v>1850</v>
      </c>
      <c r="U342" t="s">
        <v>1850</v>
      </c>
      <c r="V342" t="s">
        <v>1850</v>
      </c>
      <c r="W342" t="str">
        <f t="shared" si="1"/>
        <v/>
      </c>
    </row>
    <row r="343">
      <c r="A343" s="320">
        <v>19.4</v>
      </c>
      <c r="B343" s="320">
        <v>2.5</v>
      </c>
      <c r="C343" s="320">
        <v>5.5</v>
      </c>
      <c r="D343" s="320">
        <v>0.6</v>
      </c>
      <c r="E343" s="320">
        <v>0.8</v>
      </c>
      <c r="F343" s="320">
        <v>1.4</v>
      </c>
      <c r="G343" s="320">
        <v>3.7</v>
      </c>
      <c r="H343" s="320">
        <v>0.7</v>
      </c>
      <c r="I343" s="320">
        <v>0.4</v>
      </c>
      <c r="J343" s="320">
        <v>0.3</v>
      </c>
      <c r="K343" s="320">
        <v>0.7</v>
      </c>
      <c r="L343" s="320">
        <v>7.0</v>
      </c>
      <c r="M343" s="320">
        <v>0.5</v>
      </c>
      <c r="N343" s="320">
        <v>0.0</v>
      </c>
      <c r="O343" t="str">
        <f>IFERROR(__xludf.DUMMYFUNCTION("regexextract(B343,""[\w]* [\w]*"")"),"#VALUE!")</f>
        <v>#VALUE!</v>
      </c>
      <c r="P343" t="str">
        <f t="shared" si="2"/>
        <v>#VALUE!</v>
      </c>
      <c r="Q343" t="str">
        <f t="shared" si="3"/>
        <v>#VALUE!</v>
      </c>
      <c r="R343" t="s">
        <v>1850</v>
      </c>
      <c r="S343" s="276" t="s">
        <v>1850</v>
      </c>
      <c r="T343" t="s">
        <v>1850</v>
      </c>
      <c r="U343" t="s">
        <v>1850</v>
      </c>
      <c r="V343" t="s">
        <v>1850</v>
      </c>
      <c r="W343" t="str">
        <f t="shared" si="1"/>
        <v/>
      </c>
    </row>
    <row r="344">
      <c r="A344" s="321">
        <v>19.4</v>
      </c>
      <c r="B344" s="321">
        <v>2.1</v>
      </c>
      <c r="C344" s="321">
        <v>3.7</v>
      </c>
      <c r="D344" s="321">
        <v>0.3</v>
      </c>
      <c r="E344" s="321">
        <v>0.5</v>
      </c>
      <c r="F344" s="321">
        <v>0.6</v>
      </c>
      <c r="G344" s="321">
        <v>4.0</v>
      </c>
      <c r="H344" s="321">
        <v>2.5</v>
      </c>
      <c r="I344" s="321">
        <v>0.7</v>
      </c>
      <c r="J344" s="321">
        <v>0.4</v>
      </c>
      <c r="K344" s="321">
        <v>1.1</v>
      </c>
      <c r="L344" s="321">
        <v>5.2</v>
      </c>
      <c r="M344" s="321">
        <v>1.1</v>
      </c>
      <c r="N344" s="325">
        <v>-0.3</v>
      </c>
      <c r="O344" t="str">
        <f>IFERROR(__xludf.DUMMYFUNCTION("regexextract(B344,""[\w]* [\w]*"")"),"#VALUE!")</f>
        <v>#VALUE!</v>
      </c>
      <c r="P344" t="str">
        <f t="shared" si="2"/>
        <v>#VALUE!</v>
      </c>
      <c r="Q344" t="str">
        <f t="shared" si="3"/>
        <v>#VALUE!</v>
      </c>
      <c r="R344" t="s">
        <v>1850</v>
      </c>
      <c r="S344" s="276" t="s">
        <v>1850</v>
      </c>
      <c r="T344" t="s">
        <v>1850</v>
      </c>
      <c r="U344" t="s">
        <v>1850</v>
      </c>
      <c r="V344" t="s">
        <v>1850</v>
      </c>
      <c r="W344" t="str">
        <f t="shared" si="1"/>
        <v/>
      </c>
    </row>
    <row r="345">
      <c r="A345" s="320">
        <v>20.3</v>
      </c>
      <c r="B345" s="320">
        <v>2.0</v>
      </c>
      <c r="C345" s="320">
        <v>4.9</v>
      </c>
      <c r="D345" s="320">
        <v>1.6</v>
      </c>
      <c r="E345" s="320">
        <v>2.1</v>
      </c>
      <c r="F345" s="320">
        <v>0.5</v>
      </c>
      <c r="G345" s="320">
        <v>2.9</v>
      </c>
      <c r="H345" s="320">
        <v>1.1</v>
      </c>
      <c r="I345" s="320">
        <v>0.9</v>
      </c>
      <c r="J345" s="320">
        <v>0.4</v>
      </c>
      <c r="K345" s="320">
        <v>0.9</v>
      </c>
      <c r="L345" s="320">
        <v>6.2</v>
      </c>
      <c r="M345" s="320">
        <v>0.2</v>
      </c>
      <c r="N345" s="320">
        <v>0.0</v>
      </c>
      <c r="O345" t="str">
        <f>IFERROR(__xludf.DUMMYFUNCTION("regexextract(B345,""[\w]* [\w]*"")"),"#VALUE!")</f>
        <v>#VALUE!</v>
      </c>
      <c r="P345" t="str">
        <f t="shared" si="2"/>
        <v>#VALUE!</v>
      </c>
      <c r="Q345" t="str">
        <f t="shared" si="3"/>
        <v>#VALUE!</v>
      </c>
      <c r="R345" t="s">
        <v>1850</v>
      </c>
      <c r="S345" s="276" t="s">
        <v>1850</v>
      </c>
      <c r="T345" t="s">
        <v>1850</v>
      </c>
      <c r="U345" t="s">
        <v>1850</v>
      </c>
      <c r="V345" t="s">
        <v>1850</v>
      </c>
      <c r="W345" t="str">
        <f t="shared" si="1"/>
        <v/>
      </c>
    </row>
    <row r="346">
      <c r="A346" s="321">
        <v>19.3</v>
      </c>
      <c r="B346" s="321">
        <v>1.5</v>
      </c>
      <c r="C346" s="321">
        <v>3.6</v>
      </c>
      <c r="D346" s="321">
        <v>0.4</v>
      </c>
      <c r="E346" s="321">
        <v>0.6</v>
      </c>
      <c r="F346" s="321">
        <v>0.8</v>
      </c>
      <c r="G346" s="321">
        <v>3.2</v>
      </c>
      <c r="H346" s="321">
        <v>2.2</v>
      </c>
      <c r="I346" s="321">
        <v>0.8</v>
      </c>
      <c r="J346" s="321">
        <v>0.6</v>
      </c>
      <c r="K346" s="321">
        <v>0.9</v>
      </c>
      <c r="L346" s="321">
        <v>4.2</v>
      </c>
      <c r="M346" s="321">
        <v>3.7</v>
      </c>
      <c r="N346" s="325">
        <v>-0.6</v>
      </c>
      <c r="O346" t="str">
        <f>IFERROR(__xludf.DUMMYFUNCTION("regexextract(B346,""[\w]* [\w]*"")"),"#VALUE!")</f>
        <v>#VALUE!</v>
      </c>
      <c r="P346" t="str">
        <f t="shared" si="2"/>
        <v>#VALUE!</v>
      </c>
      <c r="Q346" t="str">
        <f t="shared" si="3"/>
        <v>#VALUE!</v>
      </c>
      <c r="R346" t="s">
        <v>1850</v>
      </c>
      <c r="S346" s="276" t="s">
        <v>1850</v>
      </c>
      <c r="T346" t="s">
        <v>1850</v>
      </c>
      <c r="U346" t="s">
        <v>1850</v>
      </c>
      <c r="V346" t="s">
        <v>1850</v>
      </c>
      <c r="W346" t="str">
        <f t="shared" si="1"/>
        <v/>
      </c>
    </row>
    <row r="347">
      <c r="A347" s="320">
        <v>17.1</v>
      </c>
      <c r="B347" s="320">
        <v>1.8</v>
      </c>
      <c r="C347" s="320">
        <v>3.3</v>
      </c>
      <c r="D347" s="320">
        <v>0.5</v>
      </c>
      <c r="E347" s="320">
        <v>0.8</v>
      </c>
      <c r="F347" s="320">
        <v>0.1</v>
      </c>
      <c r="G347" s="320">
        <v>4.7</v>
      </c>
      <c r="H347" s="320">
        <v>1.6</v>
      </c>
      <c r="I347" s="320">
        <v>0.4</v>
      </c>
      <c r="J347" s="320">
        <v>0.4</v>
      </c>
      <c r="K347" s="320">
        <v>0.6</v>
      </c>
      <c r="L347" s="320">
        <v>4.2</v>
      </c>
      <c r="M347" s="320">
        <v>0.4</v>
      </c>
      <c r="N347" s="320">
        <v>0.0</v>
      </c>
      <c r="O347" t="str">
        <f>IFERROR(__xludf.DUMMYFUNCTION("regexextract(B347,""[\w]* [\w]*"")"),"#VALUE!")</f>
        <v>#VALUE!</v>
      </c>
      <c r="P347" t="str">
        <f t="shared" si="2"/>
        <v>#VALUE!</v>
      </c>
      <c r="Q347" t="str">
        <f t="shared" si="3"/>
        <v>#VALUE!</v>
      </c>
      <c r="R347" t="s">
        <v>1850</v>
      </c>
      <c r="S347" s="276" t="s">
        <v>1850</v>
      </c>
      <c r="T347" t="s">
        <v>1850</v>
      </c>
      <c r="U347" t="s">
        <v>1850</v>
      </c>
      <c r="V347" t="s">
        <v>1850</v>
      </c>
      <c r="W347" t="str">
        <f t="shared" si="1"/>
        <v/>
      </c>
    </row>
    <row r="348">
      <c r="A348" s="321">
        <v>17.0</v>
      </c>
      <c r="B348" s="321">
        <v>2.6</v>
      </c>
      <c r="C348" s="321">
        <v>6.0</v>
      </c>
      <c r="D348" s="321">
        <v>0.9</v>
      </c>
      <c r="E348" s="321">
        <v>1.0</v>
      </c>
      <c r="F348" s="321">
        <v>1.6</v>
      </c>
      <c r="G348" s="321">
        <v>3.3</v>
      </c>
      <c r="H348" s="321">
        <v>0.9</v>
      </c>
      <c r="I348" s="321">
        <v>0.2</v>
      </c>
      <c r="J348" s="321">
        <v>0.4</v>
      </c>
      <c r="K348" s="321">
        <v>0.6</v>
      </c>
      <c r="L348" s="321">
        <v>7.5</v>
      </c>
      <c r="M348" s="321">
        <v>0.2</v>
      </c>
      <c r="N348" s="321">
        <v>0.0</v>
      </c>
      <c r="O348" t="str">
        <f>IFERROR(__xludf.DUMMYFUNCTION("regexextract(B348,""[\w]* [\w]*"")"),"#VALUE!")</f>
        <v>#VALUE!</v>
      </c>
      <c r="P348" t="str">
        <f t="shared" si="2"/>
        <v>#VALUE!</v>
      </c>
      <c r="Q348" t="str">
        <f t="shared" si="3"/>
        <v>#VALUE!</v>
      </c>
      <c r="R348" t="s">
        <v>1850</v>
      </c>
      <c r="S348" s="276" t="s">
        <v>1850</v>
      </c>
      <c r="T348" t="s">
        <v>1850</v>
      </c>
      <c r="U348" t="s">
        <v>1850</v>
      </c>
      <c r="V348" t="s">
        <v>1850</v>
      </c>
      <c r="W348" t="str">
        <f t="shared" si="1"/>
        <v/>
      </c>
    </row>
    <row r="349">
      <c r="A349" s="320">
        <v>19.7</v>
      </c>
      <c r="B349" s="320">
        <v>3.9</v>
      </c>
      <c r="C349" s="320">
        <v>8.8</v>
      </c>
      <c r="D349" s="320">
        <v>2.1</v>
      </c>
      <c r="E349" s="320">
        <v>2.8</v>
      </c>
      <c r="F349" s="320">
        <v>1.1</v>
      </c>
      <c r="G349" s="320">
        <v>6.9</v>
      </c>
      <c r="H349" s="320">
        <v>2.3</v>
      </c>
      <c r="I349" s="320">
        <v>1.0</v>
      </c>
      <c r="J349" s="320">
        <v>0.8</v>
      </c>
      <c r="K349" s="320">
        <v>1.8</v>
      </c>
      <c r="L349" s="320">
        <v>11.0</v>
      </c>
      <c r="M349" s="320">
        <v>2.9</v>
      </c>
      <c r="N349" s="324">
        <v>-0.5</v>
      </c>
      <c r="O349" t="str">
        <f>IFERROR(__xludf.DUMMYFUNCTION("regexextract(B349,""[\w]* [\w]*"")"),"#VALUE!")</f>
        <v>#VALUE!</v>
      </c>
      <c r="P349" t="str">
        <f t="shared" si="2"/>
        <v>#VALUE!</v>
      </c>
      <c r="Q349" t="str">
        <f t="shared" si="3"/>
        <v>#VALUE!</v>
      </c>
      <c r="R349" t="s">
        <v>1850</v>
      </c>
      <c r="S349" s="276" t="s">
        <v>1850</v>
      </c>
      <c r="T349" t="s">
        <v>1850</v>
      </c>
      <c r="U349" t="s">
        <v>1850</v>
      </c>
      <c r="V349" t="s">
        <v>1850</v>
      </c>
      <c r="W349" t="str">
        <f t="shared" si="1"/>
        <v/>
      </c>
    </row>
    <row r="350">
      <c r="A350" s="321">
        <v>19.3</v>
      </c>
      <c r="B350" s="321">
        <v>2.8</v>
      </c>
      <c r="C350" s="321">
        <v>7.0</v>
      </c>
      <c r="D350" s="321">
        <v>0.8</v>
      </c>
      <c r="E350" s="321">
        <v>1.6</v>
      </c>
      <c r="F350" s="321">
        <v>0.7</v>
      </c>
      <c r="G350" s="321">
        <v>3.2</v>
      </c>
      <c r="H350" s="321">
        <v>1.2</v>
      </c>
      <c r="I350" s="321">
        <v>0.7</v>
      </c>
      <c r="J350" s="321">
        <v>0.4</v>
      </c>
      <c r="K350" s="321">
        <v>1.1</v>
      </c>
      <c r="L350" s="321">
        <v>7.2</v>
      </c>
      <c r="M350" s="321">
        <v>0.2</v>
      </c>
      <c r="N350" s="321">
        <v>0.0</v>
      </c>
      <c r="O350" t="str">
        <f>IFERROR(__xludf.DUMMYFUNCTION("regexextract(B350,""[\w]* [\w]*"")"),"#VALUE!")</f>
        <v>#VALUE!</v>
      </c>
      <c r="P350" t="str">
        <f t="shared" si="2"/>
        <v>#VALUE!</v>
      </c>
      <c r="Q350" t="str">
        <f t="shared" si="3"/>
        <v>#VALUE!</v>
      </c>
      <c r="R350" t="s">
        <v>1850</v>
      </c>
      <c r="S350" s="276" t="s">
        <v>1850</v>
      </c>
      <c r="T350" t="s">
        <v>1850</v>
      </c>
      <c r="U350" t="s">
        <v>1850</v>
      </c>
      <c r="V350" t="s">
        <v>1850</v>
      </c>
      <c r="W350" t="str">
        <f t="shared" si="1"/>
        <v/>
      </c>
    </row>
    <row r="351">
      <c r="A351" s="320">
        <v>19.5</v>
      </c>
      <c r="B351" s="320">
        <v>2.3</v>
      </c>
      <c r="C351" s="320">
        <v>4.0</v>
      </c>
      <c r="D351" s="320">
        <v>1.0</v>
      </c>
      <c r="E351" s="320">
        <v>1.9</v>
      </c>
      <c r="F351" s="320">
        <v>0.0</v>
      </c>
      <c r="G351" s="320">
        <v>5.4</v>
      </c>
      <c r="H351" s="320">
        <v>1.1</v>
      </c>
      <c r="I351" s="320">
        <v>0.2</v>
      </c>
      <c r="J351" s="320">
        <v>1.0</v>
      </c>
      <c r="K351" s="320">
        <v>1.0</v>
      </c>
      <c r="L351" s="320">
        <v>5.5</v>
      </c>
      <c r="M351" s="320">
        <v>0.3</v>
      </c>
      <c r="N351" s="320">
        <v>0.0</v>
      </c>
      <c r="O351" t="str">
        <f>IFERROR(__xludf.DUMMYFUNCTION("regexextract(B351,""[\w]* [\w]*"")"),"#VALUE!")</f>
        <v>#VALUE!</v>
      </c>
      <c r="P351" t="str">
        <f t="shared" si="2"/>
        <v>#VALUE!</v>
      </c>
      <c r="Q351" t="str">
        <f t="shared" si="3"/>
        <v>#VALUE!</v>
      </c>
      <c r="R351" t="s">
        <v>1850</v>
      </c>
      <c r="S351" s="276" t="s">
        <v>1850</v>
      </c>
      <c r="T351" t="s">
        <v>1850</v>
      </c>
      <c r="U351" t="s">
        <v>1850</v>
      </c>
      <c r="V351" t="s">
        <v>1850</v>
      </c>
      <c r="W351" t="str">
        <f t="shared" si="1"/>
        <v/>
      </c>
    </row>
    <row r="352">
      <c r="A352" s="321">
        <v>19.2</v>
      </c>
      <c r="B352" s="321">
        <v>2.0</v>
      </c>
      <c r="C352" s="321">
        <v>4.2</v>
      </c>
      <c r="D352" s="321">
        <v>0.7</v>
      </c>
      <c r="E352" s="321">
        <v>1.0</v>
      </c>
      <c r="F352" s="321">
        <v>0.5</v>
      </c>
      <c r="G352" s="321">
        <v>2.9</v>
      </c>
      <c r="H352" s="321">
        <v>1.0</v>
      </c>
      <c r="I352" s="321">
        <v>0.8</v>
      </c>
      <c r="J352" s="321">
        <v>0.5</v>
      </c>
      <c r="K352" s="321">
        <v>0.6</v>
      </c>
      <c r="L352" s="321">
        <v>5.1</v>
      </c>
      <c r="M352" s="321">
        <v>0.1</v>
      </c>
      <c r="N352" s="321">
        <v>0.0</v>
      </c>
      <c r="O352" t="str">
        <f>IFERROR(__xludf.DUMMYFUNCTION("regexextract(B352,""[\w]* [\w]*"")"),"#VALUE!")</f>
        <v>#VALUE!</v>
      </c>
      <c r="P352" t="str">
        <f t="shared" si="2"/>
        <v>#VALUE!</v>
      </c>
      <c r="Q352" t="str">
        <f t="shared" si="3"/>
        <v>#VALUE!</v>
      </c>
      <c r="R352" t="s">
        <v>1850</v>
      </c>
      <c r="S352" s="276" t="s">
        <v>1850</v>
      </c>
      <c r="T352" t="s">
        <v>1850</v>
      </c>
      <c r="U352" t="s">
        <v>1850</v>
      </c>
      <c r="V352" t="s">
        <v>1850</v>
      </c>
      <c r="W352" t="str">
        <f t="shared" si="1"/>
        <v/>
      </c>
    </row>
    <row r="353">
      <c r="A353" s="320">
        <v>18.2</v>
      </c>
      <c r="B353" s="320">
        <v>2.6</v>
      </c>
      <c r="C353" s="320">
        <v>5.8</v>
      </c>
      <c r="D353" s="320">
        <v>0.8</v>
      </c>
      <c r="E353" s="320">
        <v>1.3</v>
      </c>
      <c r="F353" s="320">
        <v>0.7</v>
      </c>
      <c r="G353" s="320">
        <v>3.1</v>
      </c>
      <c r="H353" s="320">
        <v>1.9</v>
      </c>
      <c r="I353" s="320">
        <v>0.7</v>
      </c>
      <c r="J353" s="320">
        <v>0.7</v>
      </c>
      <c r="K353" s="320">
        <v>1.1</v>
      </c>
      <c r="L353" s="320">
        <v>6.7</v>
      </c>
      <c r="M353" s="320">
        <v>0.2</v>
      </c>
      <c r="N353" s="320">
        <v>0.0</v>
      </c>
      <c r="O353" t="str">
        <f>IFERROR(__xludf.DUMMYFUNCTION("regexextract(B353,""[\w]* [\w]*"")"),"#VALUE!")</f>
        <v>#VALUE!</v>
      </c>
      <c r="P353" t="str">
        <f t="shared" si="2"/>
        <v>#VALUE!</v>
      </c>
      <c r="Q353" t="str">
        <f t="shared" si="3"/>
        <v>#VALUE!</v>
      </c>
      <c r="R353" t="s">
        <v>1850</v>
      </c>
      <c r="S353" s="276" t="s">
        <v>1850</v>
      </c>
      <c r="T353" t="s">
        <v>1850</v>
      </c>
      <c r="U353" t="s">
        <v>1850</v>
      </c>
      <c r="V353" t="s">
        <v>1850</v>
      </c>
      <c r="W353" t="str">
        <f t="shared" si="1"/>
        <v/>
      </c>
    </row>
    <row r="354">
      <c r="A354" s="321">
        <v>17.2</v>
      </c>
      <c r="B354" s="321">
        <v>1.7</v>
      </c>
      <c r="C354" s="321">
        <v>3.9</v>
      </c>
      <c r="D354" s="321">
        <v>0.6</v>
      </c>
      <c r="E354" s="321">
        <v>1.0</v>
      </c>
      <c r="F354" s="321">
        <v>0.3</v>
      </c>
      <c r="G354" s="321">
        <v>3.2</v>
      </c>
      <c r="H354" s="321">
        <v>1.8</v>
      </c>
      <c r="I354" s="321">
        <v>0.8</v>
      </c>
      <c r="J354" s="321">
        <v>0.2</v>
      </c>
      <c r="K354" s="321">
        <v>0.8</v>
      </c>
      <c r="L354" s="321">
        <v>4.3</v>
      </c>
      <c r="M354" s="321">
        <v>0.1</v>
      </c>
      <c r="N354" s="321">
        <v>0.0</v>
      </c>
      <c r="O354" t="str">
        <f>IFERROR(__xludf.DUMMYFUNCTION("regexextract(B354,""[\w]* [\w]*"")"),"#VALUE!")</f>
        <v>#VALUE!</v>
      </c>
      <c r="P354" t="str">
        <f t="shared" si="2"/>
        <v>#VALUE!</v>
      </c>
      <c r="Q354" t="str">
        <f t="shared" si="3"/>
        <v>#VALUE!</v>
      </c>
      <c r="R354" t="s">
        <v>1850</v>
      </c>
      <c r="S354" s="276" t="s">
        <v>1850</v>
      </c>
      <c r="T354" t="s">
        <v>1850</v>
      </c>
      <c r="U354" t="s">
        <v>1850</v>
      </c>
      <c r="V354" t="s">
        <v>1850</v>
      </c>
      <c r="W354" t="str">
        <f t="shared" si="1"/>
        <v/>
      </c>
    </row>
    <row r="355">
      <c r="A355" s="320">
        <v>16.9</v>
      </c>
      <c r="B355" s="320">
        <v>2.2</v>
      </c>
      <c r="C355" s="320">
        <v>5.6</v>
      </c>
      <c r="D355" s="320">
        <v>1.2</v>
      </c>
      <c r="E355" s="320">
        <v>1.8</v>
      </c>
      <c r="F355" s="320">
        <v>0.4</v>
      </c>
      <c r="G355" s="320">
        <v>3.0</v>
      </c>
      <c r="H355" s="320">
        <v>2.6</v>
      </c>
      <c r="I355" s="320">
        <v>0.7</v>
      </c>
      <c r="J355" s="320">
        <v>0.4</v>
      </c>
      <c r="K355" s="320">
        <v>1.3</v>
      </c>
      <c r="L355" s="320">
        <v>6.1</v>
      </c>
      <c r="M355" s="320">
        <v>0.4</v>
      </c>
      <c r="N355" s="324">
        <v>-0.1</v>
      </c>
      <c r="O355" t="str">
        <f>IFERROR(__xludf.DUMMYFUNCTION("regexextract(B355,""[\w]* [\w]*"")"),"#VALUE!")</f>
        <v>#VALUE!</v>
      </c>
      <c r="P355" t="str">
        <f t="shared" si="2"/>
        <v>#VALUE!</v>
      </c>
      <c r="Q355" t="str">
        <f t="shared" si="3"/>
        <v>#VALUE!</v>
      </c>
      <c r="R355" t="s">
        <v>1850</v>
      </c>
      <c r="S355" s="276" t="s">
        <v>1850</v>
      </c>
      <c r="T355" t="s">
        <v>1850</v>
      </c>
      <c r="U355" t="s">
        <v>1850</v>
      </c>
      <c r="V355" t="s">
        <v>1850</v>
      </c>
      <c r="W355" t="str">
        <f t="shared" si="1"/>
        <v/>
      </c>
    </row>
    <row r="356">
      <c r="A356" s="321">
        <v>18.0</v>
      </c>
      <c r="B356" s="321">
        <v>1.7</v>
      </c>
      <c r="C356" s="321">
        <v>4.4</v>
      </c>
      <c r="D356" s="321">
        <v>1.0</v>
      </c>
      <c r="E356" s="321">
        <v>1.2</v>
      </c>
      <c r="F356" s="321">
        <v>0.6</v>
      </c>
      <c r="G356" s="321">
        <v>4.6</v>
      </c>
      <c r="H356" s="321">
        <v>1.0</v>
      </c>
      <c r="I356" s="321">
        <v>0.7</v>
      </c>
      <c r="J356" s="321">
        <v>0.3</v>
      </c>
      <c r="K356" s="321">
        <v>0.8</v>
      </c>
      <c r="L356" s="321">
        <v>5.0</v>
      </c>
      <c r="M356" s="321">
        <v>0.1</v>
      </c>
      <c r="N356" s="321">
        <v>0.0</v>
      </c>
      <c r="O356" t="str">
        <f>IFERROR(__xludf.DUMMYFUNCTION("regexextract(B356,""[\w]* [\w]*"")"),"#VALUE!")</f>
        <v>#VALUE!</v>
      </c>
      <c r="P356" t="str">
        <f t="shared" si="2"/>
        <v>#VALUE!</v>
      </c>
      <c r="Q356" t="str">
        <f t="shared" si="3"/>
        <v>#VALUE!</v>
      </c>
      <c r="R356" t="s">
        <v>1850</v>
      </c>
      <c r="S356" s="276" t="s">
        <v>1850</v>
      </c>
      <c r="T356" t="s">
        <v>1850</v>
      </c>
      <c r="U356" t="s">
        <v>1850</v>
      </c>
      <c r="V356" t="s">
        <v>1850</v>
      </c>
      <c r="W356" t="str">
        <f t="shared" si="1"/>
        <v/>
      </c>
    </row>
    <row r="357">
      <c r="A357" s="320">
        <v>12.7</v>
      </c>
      <c r="B357" s="320">
        <v>1.8</v>
      </c>
      <c r="C357" s="320">
        <v>4.4</v>
      </c>
      <c r="D357" s="320">
        <v>0.5</v>
      </c>
      <c r="E357" s="320">
        <v>0.7</v>
      </c>
      <c r="F357" s="320">
        <v>0.8</v>
      </c>
      <c r="G357" s="320">
        <v>3.2</v>
      </c>
      <c r="H357" s="320">
        <v>0.8</v>
      </c>
      <c r="I357" s="320">
        <v>0.3</v>
      </c>
      <c r="J357" s="320">
        <v>0.4</v>
      </c>
      <c r="K357" s="320">
        <v>0.6</v>
      </c>
      <c r="L357" s="320">
        <v>4.8</v>
      </c>
      <c r="M357" s="320">
        <v>0.1</v>
      </c>
      <c r="N357" s="320">
        <v>0.0</v>
      </c>
      <c r="O357" t="str">
        <f>IFERROR(__xludf.DUMMYFUNCTION("regexextract(B357,""[\w]* [\w]*"")"),"#VALUE!")</f>
        <v>#VALUE!</v>
      </c>
      <c r="P357" t="str">
        <f t="shared" si="2"/>
        <v>#VALUE!</v>
      </c>
      <c r="Q357" t="str">
        <f t="shared" si="3"/>
        <v>#VALUE!</v>
      </c>
      <c r="R357" t="s">
        <v>1850</v>
      </c>
      <c r="S357" s="276" t="s">
        <v>1850</v>
      </c>
      <c r="T357" t="s">
        <v>1850</v>
      </c>
      <c r="U357" t="s">
        <v>1850</v>
      </c>
      <c r="V357" t="s">
        <v>1850</v>
      </c>
      <c r="W357" t="str">
        <f t="shared" si="1"/>
        <v/>
      </c>
    </row>
    <row r="358">
      <c r="A358" s="321">
        <v>15.4</v>
      </c>
      <c r="B358" s="321">
        <v>2.7</v>
      </c>
      <c r="C358" s="321">
        <v>6.3</v>
      </c>
      <c r="D358" s="321">
        <v>0.9</v>
      </c>
      <c r="E358" s="321">
        <v>1.1</v>
      </c>
      <c r="F358" s="321">
        <v>0.9</v>
      </c>
      <c r="G358" s="321">
        <v>1.1</v>
      </c>
      <c r="H358" s="321">
        <v>1.7</v>
      </c>
      <c r="I358" s="321">
        <v>0.5</v>
      </c>
      <c r="J358" s="321">
        <v>0.1</v>
      </c>
      <c r="K358" s="321">
        <v>0.6</v>
      </c>
      <c r="L358" s="321">
        <v>7.3</v>
      </c>
      <c r="M358" s="321">
        <v>0.2</v>
      </c>
      <c r="N358" s="321">
        <v>0.0</v>
      </c>
      <c r="O358" t="str">
        <f>IFERROR(__xludf.DUMMYFUNCTION("regexextract(B358,""[\w]* [\w]*"")"),"#VALUE!")</f>
        <v>#VALUE!</v>
      </c>
      <c r="P358" t="str">
        <f t="shared" si="2"/>
        <v>#VALUE!</v>
      </c>
      <c r="Q358" t="str">
        <f t="shared" si="3"/>
        <v>#VALUE!</v>
      </c>
      <c r="R358" t="s">
        <v>1850</v>
      </c>
      <c r="S358" s="276" t="s">
        <v>1850</v>
      </c>
      <c r="T358" t="s">
        <v>1850</v>
      </c>
      <c r="U358" t="s">
        <v>1850</v>
      </c>
      <c r="V358" t="s">
        <v>1850</v>
      </c>
      <c r="W358" t="str">
        <f t="shared" si="1"/>
        <v/>
      </c>
    </row>
    <row r="359">
      <c r="A359" s="320">
        <v>18.4</v>
      </c>
      <c r="B359" s="320">
        <v>2.5</v>
      </c>
      <c r="C359" s="320">
        <v>5.3</v>
      </c>
      <c r="D359" s="320">
        <v>1.3</v>
      </c>
      <c r="E359" s="320">
        <v>1.7</v>
      </c>
      <c r="F359" s="320">
        <v>0.5</v>
      </c>
      <c r="G359" s="320">
        <v>4.2</v>
      </c>
      <c r="H359" s="320">
        <v>1.0</v>
      </c>
      <c r="I359" s="320">
        <v>0.3</v>
      </c>
      <c r="J359" s="320">
        <v>0.8</v>
      </c>
      <c r="K359" s="320">
        <v>1.1</v>
      </c>
      <c r="L359" s="320">
        <v>6.9</v>
      </c>
      <c r="M359" s="320">
        <v>0.7</v>
      </c>
      <c r="N359" s="324">
        <v>-0.2</v>
      </c>
      <c r="O359" t="str">
        <f>IFERROR(__xludf.DUMMYFUNCTION("regexextract(B359,""[\w]* [\w]*"")"),"#VALUE!")</f>
        <v>#VALUE!</v>
      </c>
      <c r="P359" t="str">
        <f t="shared" si="2"/>
        <v>#VALUE!</v>
      </c>
      <c r="Q359" t="str">
        <f t="shared" si="3"/>
        <v>#VALUE!</v>
      </c>
      <c r="R359" t="s">
        <v>1850</v>
      </c>
      <c r="S359" s="276" t="s">
        <v>1850</v>
      </c>
      <c r="T359" t="s">
        <v>1850</v>
      </c>
      <c r="U359" t="s">
        <v>1850</v>
      </c>
      <c r="V359" t="s">
        <v>1850</v>
      </c>
      <c r="W359" t="str">
        <f t="shared" si="1"/>
        <v/>
      </c>
    </row>
    <row r="360">
      <c r="A360" s="321">
        <v>15.6</v>
      </c>
      <c r="B360" s="321">
        <v>2.6</v>
      </c>
      <c r="C360" s="321">
        <v>5.1</v>
      </c>
      <c r="D360" s="321">
        <v>1.1</v>
      </c>
      <c r="E360" s="321">
        <v>1.4</v>
      </c>
      <c r="F360" s="321">
        <v>0.6</v>
      </c>
      <c r="G360" s="321">
        <v>1.7</v>
      </c>
      <c r="H360" s="321">
        <v>1.0</v>
      </c>
      <c r="I360" s="321">
        <v>0.6</v>
      </c>
      <c r="J360" s="321">
        <v>0.2</v>
      </c>
      <c r="K360" s="321">
        <v>0.9</v>
      </c>
      <c r="L360" s="321">
        <v>6.8</v>
      </c>
      <c r="M360" s="321">
        <v>0.2</v>
      </c>
      <c r="N360" s="325">
        <v>-0.1</v>
      </c>
      <c r="O360" t="str">
        <f>IFERROR(__xludf.DUMMYFUNCTION("regexextract(B360,""[\w]* [\w]*"")"),"#VALUE!")</f>
        <v>#VALUE!</v>
      </c>
      <c r="P360" t="str">
        <f t="shared" si="2"/>
        <v>#VALUE!</v>
      </c>
      <c r="Q360" t="str">
        <f t="shared" si="3"/>
        <v>#VALUE!</v>
      </c>
      <c r="R360" t="s">
        <v>1850</v>
      </c>
      <c r="S360" s="276" t="s">
        <v>1850</v>
      </c>
      <c r="T360" t="s">
        <v>1850</v>
      </c>
      <c r="U360" t="s">
        <v>1850</v>
      </c>
      <c r="V360" t="s">
        <v>1850</v>
      </c>
      <c r="W360" t="str">
        <f t="shared" si="1"/>
        <v/>
      </c>
    </row>
    <row r="361">
      <c r="A361" s="320">
        <v>14.4</v>
      </c>
      <c r="B361" s="320">
        <v>2.2</v>
      </c>
      <c r="C361" s="320">
        <v>5.0</v>
      </c>
      <c r="D361" s="320">
        <v>0.3</v>
      </c>
      <c r="E361" s="320">
        <v>0.3</v>
      </c>
      <c r="F361" s="320">
        <v>1.5</v>
      </c>
      <c r="G361" s="320">
        <v>2.2</v>
      </c>
      <c r="H361" s="320">
        <v>0.7</v>
      </c>
      <c r="I361" s="320">
        <v>0.3</v>
      </c>
      <c r="J361" s="320">
        <v>0.1</v>
      </c>
      <c r="K361" s="320">
        <v>0.6</v>
      </c>
      <c r="L361" s="320">
        <v>6.2</v>
      </c>
      <c r="M361" s="320">
        <v>0.1</v>
      </c>
      <c r="N361" s="320">
        <v>0.0</v>
      </c>
      <c r="O361" t="str">
        <f>IFERROR(__xludf.DUMMYFUNCTION("regexextract(B361,""[\w]* [\w]*"")"),"#VALUE!")</f>
        <v>#VALUE!</v>
      </c>
      <c r="P361" t="str">
        <f t="shared" si="2"/>
        <v>#VALUE!</v>
      </c>
      <c r="Q361" t="str">
        <f t="shared" si="3"/>
        <v>#VALUE!</v>
      </c>
      <c r="R361" t="s">
        <v>1850</v>
      </c>
      <c r="S361" s="276" t="s">
        <v>1850</v>
      </c>
      <c r="T361" t="s">
        <v>1850</v>
      </c>
      <c r="U361" t="s">
        <v>1850</v>
      </c>
      <c r="V361" t="s">
        <v>1850</v>
      </c>
      <c r="W361" t="str">
        <f t="shared" si="1"/>
        <v/>
      </c>
    </row>
    <row r="362">
      <c r="A362" s="321">
        <v>19.0</v>
      </c>
      <c r="B362" s="321">
        <v>2.9</v>
      </c>
      <c r="C362" s="321">
        <v>6.3</v>
      </c>
      <c r="D362" s="321">
        <v>0.8</v>
      </c>
      <c r="E362" s="321">
        <v>1.1</v>
      </c>
      <c r="F362" s="321">
        <v>0.7</v>
      </c>
      <c r="G362" s="321">
        <v>5.2</v>
      </c>
      <c r="H362" s="321">
        <v>1.1</v>
      </c>
      <c r="I362" s="321">
        <v>0.3</v>
      </c>
      <c r="J362" s="321">
        <v>0.5</v>
      </c>
      <c r="K362" s="321">
        <v>0.9</v>
      </c>
      <c r="L362" s="321">
        <v>7.4</v>
      </c>
      <c r="M362" s="321">
        <v>0.2</v>
      </c>
      <c r="N362" s="321">
        <v>0.0</v>
      </c>
      <c r="O362" t="str">
        <f>IFERROR(__xludf.DUMMYFUNCTION("regexextract(B362,""[\w]* [\w]*"")"),"#VALUE!")</f>
        <v>#VALUE!</v>
      </c>
      <c r="P362" t="str">
        <f t="shared" si="2"/>
        <v>#VALUE!</v>
      </c>
      <c r="Q362" t="str">
        <f t="shared" si="3"/>
        <v>#VALUE!</v>
      </c>
      <c r="R362" t="s">
        <v>1850</v>
      </c>
      <c r="S362" s="276" t="s">
        <v>1850</v>
      </c>
      <c r="T362" t="s">
        <v>1850</v>
      </c>
      <c r="U362" t="s">
        <v>1850</v>
      </c>
      <c r="V362" t="s">
        <v>1850</v>
      </c>
      <c r="W362" t="str">
        <f t="shared" si="1"/>
        <v/>
      </c>
    </row>
    <row r="363">
      <c r="A363" s="320">
        <v>17.2</v>
      </c>
      <c r="B363" s="320">
        <v>1.9</v>
      </c>
      <c r="C363" s="320">
        <v>4.8</v>
      </c>
      <c r="D363" s="320">
        <v>1.4</v>
      </c>
      <c r="E363" s="320">
        <v>1.6</v>
      </c>
      <c r="F363" s="320">
        <v>0.4</v>
      </c>
      <c r="G363" s="320">
        <v>1.7</v>
      </c>
      <c r="H363" s="320">
        <v>2.6</v>
      </c>
      <c r="I363" s="320">
        <v>0.7</v>
      </c>
      <c r="J363" s="320">
        <v>0.2</v>
      </c>
      <c r="K363" s="320">
        <v>1.1</v>
      </c>
      <c r="L363" s="320">
        <v>5.7</v>
      </c>
      <c r="M363" s="320">
        <v>0.1</v>
      </c>
      <c r="N363" s="320">
        <v>0.0</v>
      </c>
      <c r="O363" t="str">
        <f>IFERROR(__xludf.DUMMYFUNCTION("regexextract(B363,""[\w]* [\w]*"")"),"#VALUE!")</f>
        <v>#VALUE!</v>
      </c>
      <c r="P363" t="str">
        <f t="shared" si="2"/>
        <v>#VALUE!</v>
      </c>
      <c r="Q363" t="str">
        <f t="shared" si="3"/>
        <v>#VALUE!</v>
      </c>
      <c r="R363" t="s">
        <v>1850</v>
      </c>
      <c r="S363" s="276" t="s">
        <v>1850</v>
      </c>
      <c r="T363" t="s">
        <v>1850</v>
      </c>
      <c r="U363" t="s">
        <v>1850</v>
      </c>
      <c r="V363" t="s">
        <v>1850</v>
      </c>
      <c r="W363" t="str">
        <f t="shared" si="1"/>
        <v/>
      </c>
    </row>
    <row r="364">
      <c r="A364" s="321">
        <v>13.3</v>
      </c>
      <c r="B364" s="321">
        <v>2.5</v>
      </c>
      <c r="C364" s="321">
        <v>4.2</v>
      </c>
      <c r="D364" s="321">
        <v>0.8</v>
      </c>
      <c r="E364" s="321">
        <v>1.1</v>
      </c>
      <c r="F364" s="321">
        <v>0.1</v>
      </c>
      <c r="G364" s="321">
        <v>2.5</v>
      </c>
      <c r="H364" s="321">
        <v>0.6</v>
      </c>
      <c r="I364" s="321">
        <v>0.1</v>
      </c>
      <c r="J364" s="321">
        <v>0.5</v>
      </c>
      <c r="K364" s="321">
        <v>0.8</v>
      </c>
      <c r="L364" s="321">
        <v>5.9</v>
      </c>
      <c r="M364" s="321">
        <v>0.3</v>
      </c>
      <c r="N364" s="321">
        <v>0.0</v>
      </c>
      <c r="O364" t="str">
        <f>IFERROR(__xludf.DUMMYFUNCTION("regexextract(B364,""[\w]* [\w]*"")"),"#VALUE!")</f>
        <v>#VALUE!</v>
      </c>
      <c r="P364" t="str">
        <f t="shared" si="2"/>
        <v>#VALUE!</v>
      </c>
      <c r="Q364" t="str">
        <f t="shared" si="3"/>
        <v>#VALUE!</v>
      </c>
      <c r="R364" t="s">
        <v>1850</v>
      </c>
      <c r="S364" s="276" t="s">
        <v>1850</v>
      </c>
      <c r="T364" t="s">
        <v>1850</v>
      </c>
      <c r="U364" t="s">
        <v>1850</v>
      </c>
      <c r="V364" t="s">
        <v>1850</v>
      </c>
      <c r="W364" t="str">
        <f t="shared" si="1"/>
        <v/>
      </c>
    </row>
    <row r="365">
      <c r="A365" s="298" t="s">
        <v>2153</v>
      </c>
      <c r="C365" s="300"/>
      <c r="D365" s="300"/>
      <c r="E365" s="300"/>
      <c r="F365" s="300"/>
      <c r="G365" s="300"/>
      <c r="O365" t="str">
        <f>IFERROR(__xludf.DUMMYFUNCTION("regexextract(B365,""[\w]* [\w]*"")"),"#N/A")</f>
        <v>#N/A</v>
      </c>
      <c r="P365" t="str">
        <f t="shared" si="2"/>
        <v>#N/A</v>
      </c>
      <c r="Q365" t="str">
        <f t="shared" si="3"/>
        <v>#N/A</v>
      </c>
      <c r="R365" t="s">
        <v>1850</v>
      </c>
      <c r="S365" s="276" t="s">
        <v>1850</v>
      </c>
      <c r="T365" t="s">
        <v>1850</v>
      </c>
      <c r="U365" t="s">
        <v>1850</v>
      </c>
      <c r="V365" t="s">
        <v>1850</v>
      </c>
      <c r="W365" t="str">
        <f t="shared" si="1"/>
        <v/>
      </c>
    </row>
    <row r="366">
      <c r="A366" s="326" t="s">
        <v>2154</v>
      </c>
      <c r="B366" s="326" t="s">
        <v>2155</v>
      </c>
      <c r="C366" s="304"/>
      <c r="D366" s="304"/>
      <c r="E366" s="304"/>
      <c r="F366" s="304"/>
      <c r="G366" s="304"/>
      <c r="O366" t="str">
        <f>IFERROR(__xludf.DUMMYFUNCTION("regexextract(B366,""[\w]* [\w]*"")"),"#N/A")</f>
        <v>#N/A</v>
      </c>
      <c r="P366" t="str">
        <f t="shared" si="2"/>
        <v>#N/A</v>
      </c>
      <c r="Q366" t="str">
        <f t="shared" si="3"/>
        <v>#N/A</v>
      </c>
      <c r="R366" t="s">
        <v>1850</v>
      </c>
      <c r="S366" s="276" t="s">
        <v>1850</v>
      </c>
      <c r="T366" t="s">
        <v>1850</v>
      </c>
      <c r="U366" t="s">
        <v>1850</v>
      </c>
      <c r="V366" t="s">
        <v>1850</v>
      </c>
      <c r="W366" t="str">
        <f t="shared" si="1"/>
        <v/>
      </c>
    </row>
    <row r="367">
      <c r="A367" s="320">
        <v>1176.0</v>
      </c>
      <c r="B367" s="320">
        <v>16.1</v>
      </c>
      <c r="C367" s="300"/>
      <c r="D367" s="300"/>
      <c r="E367" s="300"/>
      <c r="F367" s="300"/>
      <c r="G367" s="300"/>
      <c r="O367" t="str">
        <f>IFERROR(__xludf.DUMMYFUNCTION("regexextract(B367,""[\w]* [\w]*"")"),"#VALUE!")</f>
        <v>#VALUE!</v>
      </c>
      <c r="P367" t="str">
        <f t="shared" si="2"/>
        <v>#VALUE!</v>
      </c>
      <c r="Q367" t="str">
        <f t="shared" si="3"/>
        <v>#VALUE!</v>
      </c>
      <c r="R367" t="s">
        <v>1850</v>
      </c>
      <c r="S367" s="276" t="s">
        <v>1850</v>
      </c>
      <c r="T367" t="s">
        <v>1850</v>
      </c>
      <c r="U367" t="s">
        <v>1850</v>
      </c>
      <c r="V367" t="s">
        <v>1850</v>
      </c>
      <c r="W367" t="str">
        <f t="shared" si="1"/>
        <v/>
      </c>
    </row>
    <row r="368">
      <c r="A368" s="327">
        <v>1166.0</v>
      </c>
      <c r="B368" s="327">
        <v>16.9</v>
      </c>
      <c r="C368" s="304"/>
      <c r="D368" s="304"/>
      <c r="E368" s="304"/>
      <c r="F368" s="304"/>
      <c r="G368" s="304"/>
      <c r="O368" t="str">
        <f>IFERROR(__xludf.DUMMYFUNCTION("regexextract(B368,""[\w]* [\w]*"")"),"#VALUE!")</f>
        <v>#VALUE!</v>
      </c>
      <c r="P368" t="str">
        <f t="shared" si="2"/>
        <v>#VALUE!</v>
      </c>
      <c r="Q368" t="str">
        <f t="shared" si="3"/>
        <v>#VALUE!</v>
      </c>
      <c r="R368" t="s">
        <v>1850</v>
      </c>
      <c r="S368" s="276" t="s">
        <v>1850</v>
      </c>
      <c r="T368" t="s">
        <v>1850</v>
      </c>
      <c r="U368" t="s">
        <v>1850</v>
      </c>
      <c r="V368" t="s">
        <v>1850</v>
      </c>
      <c r="W368" t="str">
        <f t="shared" si="1"/>
        <v/>
      </c>
    </row>
    <row r="369">
      <c r="A369" s="320">
        <v>1152.0</v>
      </c>
      <c r="B369" s="320">
        <v>17.2</v>
      </c>
      <c r="C369" s="300"/>
      <c r="D369" s="300"/>
      <c r="E369" s="300"/>
      <c r="F369" s="300"/>
      <c r="G369" s="300"/>
      <c r="O369" t="str">
        <f>IFERROR(__xludf.DUMMYFUNCTION("regexextract(B369,""[\w]* [\w]*"")"),"#VALUE!")</f>
        <v>#VALUE!</v>
      </c>
      <c r="P369" t="str">
        <f t="shared" si="2"/>
        <v>#VALUE!</v>
      </c>
      <c r="Q369" t="str">
        <f t="shared" si="3"/>
        <v>#VALUE!</v>
      </c>
      <c r="R369" t="s">
        <v>1850</v>
      </c>
      <c r="S369" s="276" t="s">
        <v>1850</v>
      </c>
      <c r="T369" t="s">
        <v>1850</v>
      </c>
      <c r="U369" t="s">
        <v>1850</v>
      </c>
      <c r="V369" t="s">
        <v>1850</v>
      </c>
      <c r="W369" t="str">
        <f t="shared" si="1"/>
        <v/>
      </c>
    </row>
    <row r="370">
      <c r="A370" s="327">
        <v>1151.0</v>
      </c>
      <c r="B370" s="327">
        <v>16.9</v>
      </c>
      <c r="C370" s="304"/>
      <c r="D370" s="304"/>
      <c r="E370" s="304"/>
      <c r="F370" s="304"/>
      <c r="G370" s="304"/>
      <c r="O370" t="str">
        <f>IFERROR(__xludf.DUMMYFUNCTION("regexextract(B370,""[\w]* [\w]*"")"),"#VALUE!")</f>
        <v>#VALUE!</v>
      </c>
      <c r="P370" t="str">
        <f t="shared" si="2"/>
        <v>#VALUE!</v>
      </c>
      <c r="Q370" t="str">
        <f t="shared" si="3"/>
        <v>#VALUE!</v>
      </c>
      <c r="R370" t="s">
        <v>1850</v>
      </c>
      <c r="S370" s="276" t="s">
        <v>1850</v>
      </c>
      <c r="T370" t="s">
        <v>1850</v>
      </c>
      <c r="U370" t="s">
        <v>1850</v>
      </c>
      <c r="V370" t="s">
        <v>1850</v>
      </c>
      <c r="W370" t="str">
        <f t="shared" si="1"/>
        <v/>
      </c>
    </row>
    <row r="371">
      <c r="A371" s="320">
        <v>1148.0</v>
      </c>
      <c r="B371" s="320">
        <v>16.2</v>
      </c>
      <c r="C371" s="300"/>
      <c r="D371" s="300"/>
      <c r="E371" s="300"/>
      <c r="F371" s="300"/>
      <c r="G371" s="300"/>
      <c r="O371" t="str">
        <f>IFERROR(__xludf.DUMMYFUNCTION("regexextract(B371,""[\w]* [\w]*"")"),"#VALUE!")</f>
        <v>#VALUE!</v>
      </c>
      <c r="P371" t="str">
        <f t="shared" si="2"/>
        <v>#VALUE!</v>
      </c>
      <c r="Q371" t="str">
        <f t="shared" si="3"/>
        <v>#VALUE!</v>
      </c>
      <c r="R371" t="s">
        <v>1850</v>
      </c>
      <c r="S371" s="276" t="s">
        <v>1850</v>
      </c>
      <c r="T371" t="s">
        <v>1850</v>
      </c>
      <c r="U371" t="s">
        <v>1850</v>
      </c>
      <c r="V371" t="s">
        <v>1850</v>
      </c>
      <c r="W371" t="str">
        <f t="shared" si="1"/>
        <v/>
      </c>
    </row>
    <row r="372">
      <c r="A372" s="327">
        <v>1136.0</v>
      </c>
      <c r="B372" s="327">
        <v>15.8</v>
      </c>
      <c r="C372" s="304"/>
      <c r="D372" s="304"/>
      <c r="E372" s="304"/>
      <c r="F372" s="304"/>
      <c r="G372" s="304"/>
      <c r="O372" t="str">
        <f>IFERROR(__xludf.DUMMYFUNCTION("regexextract(B372,""[\w]* [\w]*"")"),"#VALUE!")</f>
        <v>#VALUE!</v>
      </c>
      <c r="P372" t="str">
        <f t="shared" si="2"/>
        <v>#VALUE!</v>
      </c>
      <c r="Q372" t="str">
        <f t="shared" si="3"/>
        <v>#VALUE!</v>
      </c>
      <c r="R372" t="s">
        <v>1850</v>
      </c>
      <c r="S372" s="276" t="s">
        <v>1850</v>
      </c>
      <c r="T372" t="s">
        <v>1850</v>
      </c>
      <c r="U372" t="s">
        <v>1850</v>
      </c>
      <c r="V372" t="s">
        <v>1850</v>
      </c>
      <c r="W372" t="str">
        <f t="shared" si="1"/>
        <v/>
      </c>
    </row>
    <row r="373">
      <c r="A373" s="320">
        <v>1134.0</v>
      </c>
      <c r="B373" s="320">
        <v>15.8</v>
      </c>
      <c r="C373" s="300"/>
      <c r="D373" s="300"/>
      <c r="E373" s="300"/>
      <c r="F373" s="300"/>
      <c r="G373" s="300"/>
      <c r="O373" t="str">
        <f>IFERROR(__xludf.DUMMYFUNCTION("regexextract(B373,""[\w]* [\w]*"")"),"#VALUE!")</f>
        <v>#VALUE!</v>
      </c>
      <c r="P373" t="str">
        <f t="shared" si="2"/>
        <v>#VALUE!</v>
      </c>
      <c r="Q373" t="str">
        <f t="shared" si="3"/>
        <v>#VALUE!</v>
      </c>
      <c r="R373" t="s">
        <v>1850</v>
      </c>
      <c r="S373" s="276" t="s">
        <v>1850</v>
      </c>
      <c r="T373" t="s">
        <v>1850</v>
      </c>
      <c r="U373" t="s">
        <v>1850</v>
      </c>
      <c r="V373" t="s">
        <v>1850</v>
      </c>
      <c r="W373" t="str">
        <f t="shared" si="1"/>
        <v/>
      </c>
    </row>
    <row r="374">
      <c r="A374" s="327">
        <v>1131.0</v>
      </c>
      <c r="B374" s="327">
        <v>16.4</v>
      </c>
      <c r="C374" s="304"/>
      <c r="D374" s="304"/>
      <c r="E374" s="304"/>
      <c r="F374" s="304"/>
      <c r="G374" s="304"/>
      <c r="O374" t="str">
        <f>IFERROR(__xludf.DUMMYFUNCTION("regexextract(B374,""[\w]* [\w]*"")"),"#VALUE!")</f>
        <v>#VALUE!</v>
      </c>
      <c r="P374" t="str">
        <f t="shared" si="2"/>
        <v>#VALUE!</v>
      </c>
      <c r="Q374" t="str">
        <f t="shared" si="3"/>
        <v>#VALUE!</v>
      </c>
      <c r="R374" t="s">
        <v>1850</v>
      </c>
      <c r="S374" s="276" t="s">
        <v>1850</v>
      </c>
      <c r="T374" t="s">
        <v>1850</v>
      </c>
      <c r="U374" t="s">
        <v>1850</v>
      </c>
      <c r="V374" t="s">
        <v>1850</v>
      </c>
      <c r="W374" t="str">
        <f t="shared" si="1"/>
        <v/>
      </c>
    </row>
    <row r="375">
      <c r="A375" s="320">
        <v>1126.0</v>
      </c>
      <c r="B375" s="320">
        <v>36.3</v>
      </c>
      <c r="C375" s="300"/>
      <c r="D375" s="300"/>
      <c r="E375" s="300"/>
      <c r="F375" s="300"/>
      <c r="G375" s="300"/>
      <c r="O375" t="str">
        <f>IFERROR(__xludf.DUMMYFUNCTION("regexextract(B375,""[\w]* [\w]*"")"),"#VALUE!")</f>
        <v>#VALUE!</v>
      </c>
      <c r="P375" t="str">
        <f t="shared" si="2"/>
        <v>#VALUE!</v>
      </c>
      <c r="Q375" t="str">
        <f t="shared" si="3"/>
        <v>#VALUE!</v>
      </c>
      <c r="R375" t="s">
        <v>1850</v>
      </c>
      <c r="S375" s="276" t="s">
        <v>1850</v>
      </c>
      <c r="T375" t="s">
        <v>1850</v>
      </c>
      <c r="U375" t="s">
        <v>1850</v>
      </c>
      <c r="V375" t="s">
        <v>1850</v>
      </c>
      <c r="W375" t="str">
        <f t="shared" si="1"/>
        <v/>
      </c>
    </row>
    <row r="376">
      <c r="A376" s="327">
        <v>1123.0</v>
      </c>
      <c r="B376" s="327">
        <v>17.0</v>
      </c>
      <c r="C376" s="304"/>
      <c r="D376" s="304"/>
      <c r="E376" s="304"/>
      <c r="F376" s="304"/>
      <c r="G376" s="304"/>
      <c r="O376" t="str">
        <f>IFERROR(__xludf.DUMMYFUNCTION("regexextract(B376,""[\w]* [\w]*"")"),"#VALUE!")</f>
        <v>#VALUE!</v>
      </c>
      <c r="P376" t="str">
        <f t="shared" si="2"/>
        <v>#VALUE!</v>
      </c>
      <c r="Q376" t="str">
        <f t="shared" si="3"/>
        <v>#VALUE!</v>
      </c>
      <c r="R376" t="s">
        <v>1850</v>
      </c>
      <c r="S376" s="276" t="s">
        <v>1850</v>
      </c>
      <c r="T376" t="s">
        <v>1850</v>
      </c>
      <c r="U376" t="s">
        <v>1850</v>
      </c>
      <c r="V376" t="s">
        <v>1850</v>
      </c>
      <c r="W376" t="str">
        <f t="shared" si="1"/>
        <v/>
      </c>
    </row>
    <row r="377">
      <c r="A377" s="320">
        <v>1116.0</v>
      </c>
      <c r="B377" s="320">
        <v>16.4</v>
      </c>
      <c r="C377" s="300"/>
      <c r="D377" s="300"/>
      <c r="E377" s="300"/>
      <c r="F377" s="300"/>
      <c r="G377" s="300"/>
      <c r="O377" t="str">
        <f>IFERROR(__xludf.DUMMYFUNCTION("regexextract(B377,""[\w]* [\w]*"")"),"#VALUE!")</f>
        <v>#VALUE!</v>
      </c>
      <c r="P377" t="str">
        <f t="shared" si="2"/>
        <v>#VALUE!</v>
      </c>
      <c r="Q377" t="str">
        <f t="shared" si="3"/>
        <v>#VALUE!</v>
      </c>
      <c r="R377" t="s">
        <v>1850</v>
      </c>
      <c r="S377" s="276" t="s">
        <v>1850</v>
      </c>
      <c r="T377" t="s">
        <v>1850</v>
      </c>
      <c r="U377" t="s">
        <v>1850</v>
      </c>
      <c r="V377" t="s">
        <v>1850</v>
      </c>
      <c r="W377" t="str">
        <f t="shared" si="1"/>
        <v/>
      </c>
    </row>
    <row r="378">
      <c r="A378" s="327">
        <v>1116.0</v>
      </c>
      <c r="B378" s="327">
        <v>16.2</v>
      </c>
      <c r="C378" s="304"/>
      <c r="D378" s="304"/>
      <c r="E378" s="304"/>
      <c r="F378" s="304"/>
      <c r="G378" s="304"/>
      <c r="O378" t="str">
        <f>IFERROR(__xludf.DUMMYFUNCTION("regexextract(B378,""[\w]* [\w]*"")"),"#VALUE!")</f>
        <v>#VALUE!</v>
      </c>
      <c r="P378" t="str">
        <f t="shared" si="2"/>
        <v>#VALUE!</v>
      </c>
      <c r="Q378" t="str">
        <f t="shared" si="3"/>
        <v>#VALUE!</v>
      </c>
      <c r="R378" t="s">
        <v>1850</v>
      </c>
      <c r="S378" s="276" t="s">
        <v>1850</v>
      </c>
      <c r="T378" t="s">
        <v>1850</v>
      </c>
      <c r="U378" t="s">
        <v>1850</v>
      </c>
      <c r="V378" t="s">
        <v>1850</v>
      </c>
      <c r="W378" t="str">
        <f t="shared" si="1"/>
        <v/>
      </c>
    </row>
    <row r="379">
      <c r="A379" s="320">
        <v>1115.0</v>
      </c>
      <c r="B379" s="320">
        <v>16.6</v>
      </c>
      <c r="C379" s="300"/>
      <c r="D379" s="300"/>
      <c r="E379" s="300"/>
      <c r="F379" s="300"/>
      <c r="G379" s="300"/>
      <c r="O379" t="str">
        <f>IFERROR(__xludf.DUMMYFUNCTION("regexextract(B379,""[\w]* [\w]*"")"),"#VALUE!")</f>
        <v>#VALUE!</v>
      </c>
      <c r="P379" t="str">
        <f t="shared" si="2"/>
        <v>#VALUE!</v>
      </c>
      <c r="Q379" t="str">
        <f t="shared" si="3"/>
        <v>#VALUE!</v>
      </c>
      <c r="R379" t="s">
        <v>1850</v>
      </c>
      <c r="S379" s="276" t="s">
        <v>1850</v>
      </c>
      <c r="T379" t="s">
        <v>1850</v>
      </c>
      <c r="U379" t="s">
        <v>1850</v>
      </c>
      <c r="V379" t="s">
        <v>1850</v>
      </c>
      <c r="W379" t="str">
        <f t="shared" si="1"/>
        <v/>
      </c>
    </row>
    <row r="380">
      <c r="A380" s="327">
        <v>1115.0</v>
      </c>
      <c r="B380" s="327">
        <v>16.9</v>
      </c>
      <c r="C380" s="304"/>
      <c r="D380" s="304"/>
      <c r="E380" s="304"/>
      <c r="F380" s="304"/>
      <c r="G380" s="304"/>
      <c r="O380" t="str">
        <f>IFERROR(__xludf.DUMMYFUNCTION("regexextract(B380,""[\w]* [\w]*"")"),"#VALUE!")</f>
        <v>#VALUE!</v>
      </c>
      <c r="P380" t="str">
        <f t="shared" si="2"/>
        <v>#VALUE!</v>
      </c>
      <c r="Q380" t="str">
        <f t="shared" si="3"/>
        <v>#VALUE!</v>
      </c>
      <c r="R380" t="s">
        <v>1850</v>
      </c>
      <c r="S380" s="276" t="s">
        <v>1850</v>
      </c>
      <c r="T380" t="s">
        <v>1850</v>
      </c>
      <c r="U380" t="s">
        <v>1850</v>
      </c>
      <c r="V380" t="s">
        <v>1850</v>
      </c>
      <c r="W380" t="str">
        <f t="shared" si="1"/>
        <v/>
      </c>
    </row>
    <row r="381">
      <c r="A381" s="320">
        <v>1114.0</v>
      </c>
      <c r="B381" s="320">
        <v>17.4</v>
      </c>
      <c r="C381" s="300"/>
      <c r="D381" s="315"/>
      <c r="E381" s="300"/>
      <c r="F381" s="300"/>
      <c r="G381" s="300"/>
      <c r="O381" t="str">
        <f>IFERROR(__xludf.DUMMYFUNCTION("regexextract(B381,""[\w]* [\w]*"")"),"#VALUE!")</f>
        <v>#VALUE!</v>
      </c>
      <c r="P381" t="str">
        <f t="shared" si="2"/>
        <v>#VALUE!</v>
      </c>
      <c r="Q381" t="str">
        <f t="shared" si="3"/>
        <v>#VALUE!</v>
      </c>
      <c r="R381" t="s">
        <v>1850</v>
      </c>
      <c r="S381" s="276" t="s">
        <v>1850</v>
      </c>
      <c r="T381" t="s">
        <v>1850</v>
      </c>
      <c r="U381" t="s">
        <v>1850</v>
      </c>
      <c r="V381" t="s">
        <v>1850</v>
      </c>
      <c r="W381" t="str">
        <f t="shared" si="1"/>
        <v/>
      </c>
    </row>
    <row r="382">
      <c r="A382" s="327">
        <v>1104.0</v>
      </c>
      <c r="B382" s="327">
        <v>16.2</v>
      </c>
      <c r="C382" s="304"/>
      <c r="D382" s="304"/>
      <c r="E382" s="304"/>
      <c r="F382" s="304"/>
      <c r="G382" s="304"/>
      <c r="O382" t="str">
        <f>IFERROR(__xludf.DUMMYFUNCTION("regexextract(B382,""[\w]* [\w]*"")"),"#VALUE!")</f>
        <v>#VALUE!</v>
      </c>
      <c r="P382" t="str">
        <f t="shared" si="2"/>
        <v>#VALUE!</v>
      </c>
      <c r="Q382" t="str">
        <f t="shared" si="3"/>
        <v>#VALUE!</v>
      </c>
      <c r="R382" t="s">
        <v>1850</v>
      </c>
      <c r="S382" s="276" t="s">
        <v>1850</v>
      </c>
      <c r="T382" t="s">
        <v>1850</v>
      </c>
      <c r="U382" t="s">
        <v>1850</v>
      </c>
      <c r="V382" t="s">
        <v>1850</v>
      </c>
      <c r="W382" t="str">
        <f t="shared" si="1"/>
        <v/>
      </c>
    </row>
    <row r="383">
      <c r="A383" s="320">
        <v>1090.0</v>
      </c>
      <c r="B383" s="320">
        <v>15.4</v>
      </c>
      <c r="C383" s="300"/>
      <c r="D383" s="300"/>
      <c r="E383" s="300"/>
      <c r="F383" s="300"/>
      <c r="G383" s="300"/>
      <c r="O383" t="str">
        <f>IFERROR(__xludf.DUMMYFUNCTION("regexextract(B383,""[\w]* [\w]*"")"),"#VALUE!")</f>
        <v>#VALUE!</v>
      </c>
      <c r="P383" t="str">
        <f t="shared" si="2"/>
        <v>#VALUE!</v>
      </c>
      <c r="Q383" t="str">
        <f t="shared" si="3"/>
        <v>#VALUE!</v>
      </c>
      <c r="R383" t="s">
        <v>1850</v>
      </c>
      <c r="S383" s="276" t="s">
        <v>1850</v>
      </c>
      <c r="T383" t="s">
        <v>1850</v>
      </c>
      <c r="U383" t="s">
        <v>1850</v>
      </c>
      <c r="V383" t="s">
        <v>1850</v>
      </c>
      <c r="W383" t="str">
        <f t="shared" si="1"/>
        <v/>
      </c>
    </row>
    <row r="384">
      <c r="A384" s="327">
        <v>1079.0</v>
      </c>
      <c r="B384" s="327">
        <v>15.2</v>
      </c>
      <c r="C384" s="304"/>
      <c r="D384" s="304"/>
      <c r="E384" s="304"/>
      <c r="F384" s="304"/>
      <c r="G384" s="304"/>
      <c r="O384" t="str">
        <f>IFERROR(__xludf.DUMMYFUNCTION("regexextract(B384,""[\w]* [\w]*"")"),"#VALUE!")</f>
        <v>#VALUE!</v>
      </c>
      <c r="P384" t="str">
        <f t="shared" si="2"/>
        <v>#VALUE!</v>
      </c>
      <c r="Q384" t="str">
        <f t="shared" si="3"/>
        <v>#VALUE!</v>
      </c>
      <c r="R384" t="s">
        <v>1850</v>
      </c>
      <c r="S384" s="276" t="s">
        <v>1850</v>
      </c>
      <c r="T384" t="s">
        <v>1850</v>
      </c>
      <c r="U384" t="s">
        <v>1850</v>
      </c>
      <c r="V384" t="s">
        <v>1850</v>
      </c>
      <c r="W384" t="str">
        <f t="shared" si="1"/>
        <v/>
      </c>
    </row>
    <row r="385">
      <c r="A385" s="320">
        <v>1078.0</v>
      </c>
      <c r="B385" s="320">
        <v>14.8</v>
      </c>
      <c r="C385" s="300"/>
      <c r="D385" s="300"/>
      <c r="E385" s="300"/>
      <c r="F385" s="300"/>
      <c r="G385" s="300"/>
      <c r="O385" t="str">
        <f>IFERROR(__xludf.DUMMYFUNCTION("regexextract(B385,""[\w]* [\w]*"")"),"#VALUE!")</f>
        <v>#VALUE!</v>
      </c>
      <c r="P385" t="str">
        <f t="shared" si="2"/>
        <v>#VALUE!</v>
      </c>
      <c r="Q385" t="str">
        <f t="shared" si="3"/>
        <v>#VALUE!</v>
      </c>
      <c r="R385" t="s">
        <v>1850</v>
      </c>
      <c r="S385" s="276" t="s">
        <v>1850</v>
      </c>
      <c r="T385" t="s">
        <v>1850</v>
      </c>
      <c r="U385" t="s">
        <v>1850</v>
      </c>
      <c r="V385" t="s">
        <v>1850</v>
      </c>
      <c r="W385" t="str">
        <f t="shared" si="1"/>
        <v/>
      </c>
    </row>
    <row r="386">
      <c r="A386" s="327">
        <v>1077.0</v>
      </c>
      <c r="B386" s="327">
        <v>16.6</v>
      </c>
      <c r="C386" s="304"/>
      <c r="D386" s="304"/>
      <c r="E386" s="304"/>
      <c r="F386" s="304"/>
      <c r="G386" s="304"/>
      <c r="O386" t="str">
        <f>IFERROR(__xludf.DUMMYFUNCTION("regexextract(B386,""[\w]* [\w]*"")"),"#VALUE!")</f>
        <v>#VALUE!</v>
      </c>
      <c r="P386" t="str">
        <f t="shared" si="2"/>
        <v>#VALUE!</v>
      </c>
      <c r="Q386" t="str">
        <f t="shared" si="3"/>
        <v>#VALUE!</v>
      </c>
      <c r="R386" t="s">
        <v>1850</v>
      </c>
      <c r="S386" s="276" t="s">
        <v>1850</v>
      </c>
      <c r="T386" t="s">
        <v>1850</v>
      </c>
      <c r="U386" t="s">
        <v>1850</v>
      </c>
      <c r="V386" t="s">
        <v>1850</v>
      </c>
      <c r="W386" t="str">
        <f t="shared" si="1"/>
        <v/>
      </c>
    </row>
    <row r="387">
      <c r="A387" s="320">
        <v>1076.0</v>
      </c>
      <c r="B387" s="320">
        <v>16.6</v>
      </c>
      <c r="C387" s="300"/>
      <c r="D387" s="300"/>
      <c r="E387" s="300"/>
      <c r="F387" s="300"/>
      <c r="G387" s="300"/>
      <c r="O387" t="str">
        <f>IFERROR(__xludf.DUMMYFUNCTION("regexextract(B387,""[\w]* [\w]*"")"),"#VALUE!")</f>
        <v>#VALUE!</v>
      </c>
      <c r="P387" t="str">
        <f t="shared" si="2"/>
        <v>#VALUE!</v>
      </c>
      <c r="Q387" t="str">
        <f t="shared" si="3"/>
        <v>#VALUE!</v>
      </c>
      <c r="R387" t="s">
        <v>1850</v>
      </c>
      <c r="S387" s="276" t="s">
        <v>1850</v>
      </c>
      <c r="T387" t="s">
        <v>1850</v>
      </c>
      <c r="U387" t="s">
        <v>1850</v>
      </c>
      <c r="V387" t="s">
        <v>1850</v>
      </c>
      <c r="W387" t="str">
        <f t="shared" si="1"/>
        <v/>
      </c>
    </row>
    <row r="388">
      <c r="A388" s="327">
        <v>1076.0</v>
      </c>
      <c r="B388" s="327">
        <v>14.7</v>
      </c>
      <c r="C388" s="304"/>
      <c r="D388" s="304"/>
      <c r="E388" s="304"/>
      <c r="F388" s="304"/>
      <c r="G388" s="304"/>
      <c r="O388" t="str">
        <f>IFERROR(__xludf.DUMMYFUNCTION("regexextract(B388,""[\w]* [\w]*"")"),"#VALUE!")</f>
        <v>#VALUE!</v>
      </c>
      <c r="P388" t="str">
        <f t="shared" si="2"/>
        <v>#VALUE!</v>
      </c>
      <c r="Q388" t="str">
        <f t="shared" si="3"/>
        <v>#VALUE!</v>
      </c>
      <c r="R388" t="s">
        <v>1850</v>
      </c>
      <c r="S388" s="276" t="s">
        <v>1850</v>
      </c>
      <c r="T388" t="s">
        <v>1850</v>
      </c>
      <c r="U388" t="s">
        <v>1850</v>
      </c>
      <c r="V388" t="s">
        <v>1850</v>
      </c>
      <c r="W388" t="str">
        <f t="shared" si="1"/>
        <v/>
      </c>
    </row>
    <row r="389">
      <c r="A389" s="320">
        <v>1075.0</v>
      </c>
      <c r="B389" s="320">
        <v>14.9</v>
      </c>
      <c r="C389" s="300"/>
      <c r="D389" s="300"/>
      <c r="E389" s="300"/>
      <c r="F389" s="300"/>
      <c r="G389" s="300"/>
      <c r="O389" t="str">
        <f>IFERROR(__xludf.DUMMYFUNCTION("regexextract(B389,""[\w]* [\w]*"")"),"#VALUE!")</f>
        <v>#VALUE!</v>
      </c>
      <c r="P389" t="str">
        <f t="shared" si="2"/>
        <v>#VALUE!</v>
      </c>
      <c r="Q389" t="str">
        <f t="shared" si="3"/>
        <v>#VALUE!</v>
      </c>
      <c r="R389" t="s">
        <v>1850</v>
      </c>
      <c r="S389" s="276" t="s">
        <v>1850</v>
      </c>
      <c r="T389" t="s">
        <v>1850</v>
      </c>
      <c r="U389" t="s">
        <v>1850</v>
      </c>
      <c r="V389" t="s">
        <v>1850</v>
      </c>
      <c r="W389" t="str">
        <f t="shared" si="1"/>
        <v/>
      </c>
    </row>
    <row r="390">
      <c r="A390" s="327">
        <v>1069.0</v>
      </c>
      <c r="B390" s="327">
        <v>15.7</v>
      </c>
      <c r="C390" s="304"/>
      <c r="D390" s="304"/>
      <c r="E390" s="304"/>
      <c r="F390" s="304"/>
      <c r="G390" s="304"/>
      <c r="O390" t="str">
        <f>IFERROR(__xludf.DUMMYFUNCTION("regexextract(B390,""[\w]* [\w]*"")"),"#VALUE!")</f>
        <v>#VALUE!</v>
      </c>
      <c r="P390" t="str">
        <f t="shared" si="2"/>
        <v>#VALUE!</v>
      </c>
      <c r="Q390" t="str">
        <f t="shared" si="3"/>
        <v>#VALUE!</v>
      </c>
      <c r="R390" t="s">
        <v>1850</v>
      </c>
      <c r="S390" s="276" t="s">
        <v>1850</v>
      </c>
      <c r="T390" t="s">
        <v>1850</v>
      </c>
      <c r="U390" t="s">
        <v>1850</v>
      </c>
      <c r="V390" t="s">
        <v>1850</v>
      </c>
      <c r="W390" t="str">
        <f t="shared" si="1"/>
        <v/>
      </c>
    </row>
    <row r="391">
      <c r="A391" s="320">
        <v>1065.0</v>
      </c>
      <c r="B391" s="320">
        <v>14.6</v>
      </c>
      <c r="C391" s="300"/>
      <c r="D391" s="300"/>
      <c r="E391" s="300"/>
      <c r="F391" s="300"/>
      <c r="G391" s="300"/>
      <c r="O391" t="str">
        <f>IFERROR(__xludf.DUMMYFUNCTION("regexextract(B391,""[\w]* [\w]*"")"),"#VALUE!")</f>
        <v>#VALUE!</v>
      </c>
      <c r="P391" t="str">
        <f t="shared" si="2"/>
        <v>#VALUE!</v>
      </c>
      <c r="Q391" t="str">
        <f t="shared" si="3"/>
        <v>#VALUE!</v>
      </c>
      <c r="R391" t="s">
        <v>1850</v>
      </c>
      <c r="S391" s="276" t="s">
        <v>1850</v>
      </c>
      <c r="T391" t="s">
        <v>1850</v>
      </c>
      <c r="U391" t="s">
        <v>1850</v>
      </c>
      <c r="V391" t="s">
        <v>1850</v>
      </c>
      <c r="W391" t="str">
        <f t="shared" si="1"/>
        <v/>
      </c>
    </row>
    <row r="392">
      <c r="A392" s="327">
        <v>1052.0</v>
      </c>
      <c r="B392" s="327">
        <v>15.2</v>
      </c>
      <c r="C392" s="304"/>
      <c r="D392" s="304"/>
      <c r="E392" s="304"/>
      <c r="F392" s="304"/>
      <c r="G392" s="304"/>
      <c r="O392" t="str">
        <f>IFERROR(__xludf.DUMMYFUNCTION("regexextract(B392,""[\w]* [\w]*"")"),"#VALUE!")</f>
        <v>#VALUE!</v>
      </c>
      <c r="P392" t="str">
        <f t="shared" si="2"/>
        <v>#VALUE!</v>
      </c>
      <c r="Q392" t="str">
        <f t="shared" si="3"/>
        <v>#VALUE!</v>
      </c>
      <c r="R392" t="s">
        <v>1850</v>
      </c>
      <c r="S392" s="276" t="s">
        <v>1850</v>
      </c>
      <c r="T392" t="s">
        <v>1850</v>
      </c>
      <c r="U392" t="s">
        <v>1850</v>
      </c>
      <c r="V392" t="s">
        <v>1850</v>
      </c>
      <c r="W392" t="str">
        <f t="shared" si="1"/>
        <v/>
      </c>
    </row>
    <row r="393">
      <c r="A393" s="320">
        <v>1029.0</v>
      </c>
      <c r="B393" s="320">
        <v>14.1</v>
      </c>
      <c r="C393" s="300"/>
      <c r="D393" s="300"/>
      <c r="E393" s="300"/>
      <c r="F393" s="300"/>
      <c r="G393" s="300"/>
      <c r="O393" t="str">
        <f>IFERROR(__xludf.DUMMYFUNCTION("regexextract(B393,""[\w]* [\w]*"")"),"#VALUE!")</f>
        <v>#VALUE!</v>
      </c>
      <c r="P393" t="str">
        <f t="shared" si="2"/>
        <v>#VALUE!</v>
      </c>
      <c r="Q393" t="str">
        <f t="shared" si="3"/>
        <v>#VALUE!</v>
      </c>
      <c r="R393" t="s">
        <v>1850</v>
      </c>
      <c r="S393" s="276" t="s">
        <v>1850</v>
      </c>
      <c r="T393" t="s">
        <v>1850</v>
      </c>
      <c r="U393" t="s">
        <v>1850</v>
      </c>
      <c r="V393" t="s">
        <v>1850</v>
      </c>
      <c r="W393" t="str">
        <f t="shared" si="1"/>
        <v/>
      </c>
    </row>
    <row r="394">
      <c r="A394" s="327">
        <v>1024.0</v>
      </c>
      <c r="B394" s="327">
        <v>15.5</v>
      </c>
      <c r="C394" s="304"/>
      <c r="D394" s="304"/>
      <c r="E394" s="304"/>
      <c r="F394" s="304"/>
      <c r="G394" s="304"/>
      <c r="O394" t="str">
        <f>IFERROR(__xludf.DUMMYFUNCTION("regexextract(B394,""[\w]* [\w]*"")"),"#VALUE!")</f>
        <v>#VALUE!</v>
      </c>
      <c r="P394" t="str">
        <f t="shared" si="2"/>
        <v>#VALUE!</v>
      </c>
      <c r="Q394" t="str">
        <f t="shared" si="3"/>
        <v>#VALUE!</v>
      </c>
      <c r="R394" t="s">
        <v>1850</v>
      </c>
      <c r="S394" s="276" t="s">
        <v>1850</v>
      </c>
      <c r="T394" t="s">
        <v>1850</v>
      </c>
      <c r="U394" t="s">
        <v>1850</v>
      </c>
      <c r="V394" t="s">
        <v>1850</v>
      </c>
      <c r="W394" t="str">
        <f t="shared" si="1"/>
        <v/>
      </c>
    </row>
    <row r="395">
      <c r="A395" s="320">
        <v>1022.0</v>
      </c>
      <c r="B395" s="320">
        <v>14.2</v>
      </c>
      <c r="C395" s="300"/>
      <c r="D395" s="300"/>
      <c r="E395" s="300"/>
      <c r="F395" s="300"/>
      <c r="G395" s="300"/>
      <c r="O395" t="str">
        <f>IFERROR(__xludf.DUMMYFUNCTION("regexextract(B395,""[\w]* [\w]*"")"),"#VALUE!")</f>
        <v>#VALUE!</v>
      </c>
      <c r="P395" t="str">
        <f t="shared" si="2"/>
        <v>#VALUE!</v>
      </c>
      <c r="Q395" t="str">
        <f t="shared" si="3"/>
        <v>#VALUE!</v>
      </c>
      <c r="R395" t="s">
        <v>1850</v>
      </c>
      <c r="S395" s="276" t="s">
        <v>1850</v>
      </c>
      <c r="T395" t="s">
        <v>1850</v>
      </c>
      <c r="U395" t="s">
        <v>1850</v>
      </c>
      <c r="V395" t="s">
        <v>1850</v>
      </c>
      <c r="W395" t="str">
        <f t="shared" si="1"/>
        <v/>
      </c>
    </row>
    <row r="396">
      <c r="A396" s="327">
        <v>1004.0</v>
      </c>
      <c r="B396" s="327">
        <v>17.3</v>
      </c>
      <c r="C396" s="304"/>
      <c r="D396" s="304"/>
      <c r="E396" s="304"/>
      <c r="F396" s="304"/>
      <c r="G396" s="304"/>
      <c r="O396" t="str">
        <f>IFERROR(__xludf.DUMMYFUNCTION("regexextract(B396,""[\w]* [\w]*"")"),"#VALUE!")</f>
        <v>#VALUE!</v>
      </c>
      <c r="P396" t="str">
        <f t="shared" si="2"/>
        <v>#VALUE!</v>
      </c>
      <c r="Q396" t="str">
        <f t="shared" si="3"/>
        <v>#VALUE!</v>
      </c>
      <c r="R396" t="s">
        <v>1850</v>
      </c>
      <c r="S396" s="276" t="s">
        <v>1850</v>
      </c>
      <c r="T396" t="s">
        <v>1850</v>
      </c>
      <c r="U396" t="s">
        <v>1850</v>
      </c>
      <c r="V396" t="s">
        <v>1850</v>
      </c>
      <c r="W396" t="str">
        <f t="shared" si="1"/>
        <v/>
      </c>
    </row>
    <row r="397">
      <c r="A397" s="320">
        <v>997.0</v>
      </c>
      <c r="B397" s="320">
        <v>13.8</v>
      </c>
      <c r="C397" s="300"/>
      <c r="D397" s="300"/>
      <c r="E397" s="300"/>
      <c r="F397" s="300"/>
      <c r="G397" s="300"/>
      <c r="O397" t="str">
        <f>IFERROR(__xludf.DUMMYFUNCTION("regexextract(B397,""[\w]* [\w]*"")"),"#VALUE!")</f>
        <v>#VALUE!</v>
      </c>
      <c r="P397" t="str">
        <f t="shared" si="2"/>
        <v>#VALUE!</v>
      </c>
      <c r="Q397" t="str">
        <f t="shared" si="3"/>
        <v>#VALUE!</v>
      </c>
      <c r="R397" t="s">
        <v>1850</v>
      </c>
      <c r="S397" s="276" t="s">
        <v>1850</v>
      </c>
      <c r="T397" t="s">
        <v>1850</v>
      </c>
      <c r="U397" t="s">
        <v>1850</v>
      </c>
      <c r="V397" t="s">
        <v>1850</v>
      </c>
      <c r="W397" t="str">
        <f t="shared" si="1"/>
        <v/>
      </c>
    </row>
    <row r="398">
      <c r="A398" s="327">
        <v>991.0</v>
      </c>
      <c r="B398" s="327">
        <v>15.5</v>
      </c>
      <c r="C398" s="304"/>
      <c r="D398" s="304"/>
      <c r="E398" s="304"/>
      <c r="F398" s="304"/>
      <c r="G398" s="304"/>
      <c r="O398" t="str">
        <f>IFERROR(__xludf.DUMMYFUNCTION("regexextract(B398,""[\w]* [\w]*"")"),"#VALUE!")</f>
        <v>#VALUE!</v>
      </c>
      <c r="P398" t="str">
        <f t="shared" si="2"/>
        <v>#VALUE!</v>
      </c>
      <c r="Q398" t="str">
        <f t="shared" si="3"/>
        <v>#VALUE!</v>
      </c>
      <c r="R398" t="s">
        <v>1850</v>
      </c>
      <c r="S398" s="276" t="s">
        <v>1850</v>
      </c>
      <c r="T398" t="s">
        <v>1850</v>
      </c>
      <c r="U398" t="s">
        <v>1850</v>
      </c>
      <c r="V398" t="s">
        <v>1850</v>
      </c>
      <c r="W398" t="str">
        <f t="shared" si="1"/>
        <v/>
      </c>
    </row>
    <row r="399">
      <c r="A399" s="320">
        <v>952.0</v>
      </c>
      <c r="B399" s="320">
        <v>14.2</v>
      </c>
      <c r="C399" s="300"/>
      <c r="D399" s="300"/>
      <c r="E399" s="300"/>
      <c r="F399" s="300"/>
      <c r="G399" s="300"/>
      <c r="O399" t="str">
        <f>IFERROR(__xludf.DUMMYFUNCTION("regexextract(B399,""[\w]* [\w]*"")"),"#VALUE!")</f>
        <v>#VALUE!</v>
      </c>
      <c r="P399" t="str">
        <f t="shared" si="2"/>
        <v>#VALUE!</v>
      </c>
      <c r="Q399" t="str">
        <f t="shared" si="3"/>
        <v>#VALUE!</v>
      </c>
      <c r="R399" t="s">
        <v>1850</v>
      </c>
      <c r="S399" s="276" t="s">
        <v>1850</v>
      </c>
      <c r="T399" t="s">
        <v>1850</v>
      </c>
      <c r="U399" t="s">
        <v>1850</v>
      </c>
      <c r="V399" t="s">
        <v>1850</v>
      </c>
      <c r="W399" t="str">
        <f t="shared" si="1"/>
        <v/>
      </c>
    </row>
    <row r="400">
      <c r="A400" s="327">
        <v>946.0</v>
      </c>
      <c r="B400" s="327">
        <v>14.3</v>
      </c>
      <c r="C400" s="304"/>
      <c r="D400" s="304"/>
      <c r="E400" s="304"/>
      <c r="F400" s="304"/>
      <c r="G400" s="304"/>
      <c r="O400" t="str">
        <f>IFERROR(__xludf.DUMMYFUNCTION("regexextract(B400,""[\w]* [\w]*"")"),"#VALUE!")</f>
        <v>#VALUE!</v>
      </c>
      <c r="P400" t="str">
        <f t="shared" si="2"/>
        <v>#VALUE!</v>
      </c>
      <c r="Q400" t="str">
        <f t="shared" si="3"/>
        <v>#VALUE!</v>
      </c>
      <c r="R400" t="s">
        <v>1850</v>
      </c>
      <c r="S400" s="276" t="s">
        <v>1850</v>
      </c>
      <c r="T400" t="s">
        <v>1850</v>
      </c>
      <c r="U400" t="s">
        <v>1850</v>
      </c>
      <c r="V400" t="s">
        <v>1850</v>
      </c>
      <c r="W400" t="str">
        <f t="shared" si="1"/>
        <v/>
      </c>
    </row>
    <row r="401">
      <c r="A401" s="320">
        <v>945.0</v>
      </c>
      <c r="B401" s="320">
        <v>25.5</v>
      </c>
      <c r="C401" s="300"/>
      <c r="D401" s="300"/>
      <c r="E401" s="300"/>
      <c r="F401" s="300"/>
      <c r="G401" s="300"/>
      <c r="O401" t="str">
        <f>IFERROR(__xludf.DUMMYFUNCTION("regexextract(B401,""[\w]* [\w]*"")"),"#VALUE!")</f>
        <v>#VALUE!</v>
      </c>
      <c r="P401" t="str">
        <f t="shared" si="2"/>
        <v>#VALUE!</v>
      </c>
      <c r="Q401" t="str">
        <f t="shared" si="3"/>
        <v>#VALUE!</v>
      </c>
      <c r="R401" t="s">
        <v>1850</v>
      </c>
      <c r="S401" s="276" t="s">
        <v>1850</v>
      </c>
      <c r="T401" t="s">
        <v>1850</v>
      </c>
      <c r="U401" t="s">
        <v>1850</v>
      </c>
      <c r="V401" t="s">
        <v>1850</v>
      </c>
      <c r="W401" t="str">
        <f t="shared" si="1"/>
        <v/>
      </c>
    </row>
    <row r="402">
      <c r="A402" s="327">
        <v>942.0</v>
      </c>
      <c r="B402" s="327">
        <v>13.7</v>
      </c>
      <c r="C402" s="304"/>
      <c r="D402" s="304"/>
      <c r="E402" s="304"/>
      <c r="F402" s="304"/>
      <c r="G402" s="304"/>
      <c r="O402" t="str">
        <f>IFERROR(__xludf.DUMMYFUNCTION("regexextract(B402,""[\w]* [\w]*"")"),"#VALUE!")</f>
        <v>#VALUE!</v>
      </c>
      <c r="P402" t="str">
        <f t="shared" si="2"/>
        <v>#VALUE!</v>
      </c>
      <c r="Q402" t="str">
        <f t="shared" si="3"/>
        <v>#VALUE!</v>
      </c>
      <c r="R402" t="s">
        <v>1850</v>
      </c>
      <c r="S402" s="276" t="s">
        <v>1850</v>
      </c>
      <c r="T402" t="s">
        <v>1850</v>
      </c>
      <c r="U402" t="s">
        <v>1850</v>
      </c>
      <c r="V402" t="s">
        <v>1850</v>
      </c>
      <c r="W402" t="str">
        <f t="shared" si="1"/>
        <v/>
      </c>
    </row>
    <row r="403">
      <c r="A403" s="320">
        <v>934.0</v>
      </c>
      <c r="B403" s="320">
        <v>15.6</v>
      </c>
      <c r="C403" s="300"/>
      <c r="D403" s="300"/>
      <c r="E403" s="300"/>
      <c r="F403" s="300"/>
      <c r="G403" s="300"/>
      <c r="O403" t="str">
        <f>IFERROR(__xludf.DUMMYFUNCTION("regexextract(B403,""[\w]* [\w]*"")"),"#VALUE!")</f>
        <v>#VALUE!</v>
      </c>
      <c r="P403" t="str">
        <f t="shared" si="2"/>
        <v>#VALUE!</v>
      </c>
      <c r="Q403" t="str">
        <f t="shared" si="3"/>
        <v>#VALUE!</v>
      </c>
      <c r="R403" t="s">
        <v>1850</v>
      </c>
      <c r="S403" s="276" t="s">
        <v>1850</v>
      </c>
      <c r="T403" t="s">
        <v>1850</v>
      </c>
      <c r="U403" t="s">
        <v>1850</v>
      </c>
      <c r="V403" t="s">
        <v>1850</v>
      </c>
      <c r="W403" t="str">
        <f t="shared" si="1"/>
        <v/>
      </c>
    </row>
    <row r="404">
      <c r="A404" s="327">
        <v>905.0</v>
      </c>
      <c r="B404" s="327">
        <v>13.9</v>
      </c>
      <c r="C404" s="304"/>
      <c r="D404" s="304"/>
      <c r="E404" s="304"/>
      <c r="F404" s="304"/>
      <c r="G404" s="304"/>
      <c r="O404" t="str">
        <f>IFERROR(__xludf.DUMMYFUNCTION("regexextract(B404,""[\w]* [\w]*"")"),"#VALUE!")</f>
        <v>#VALUE!</v>
      </c>
      <c r="P404" t="str">
        <f t="shared" si="2"/>
        <v>#VALUE!</v>
      </c>
      <c r="Q404" t="str">
        <f t="shared" si="3"/>
        <v>#VALUE!</v>
      </c>
      <c r="R404" t="s">
        <v>1850</v>
      </c>
      <c r="S404" s="276" t="s">
        <v>1850</v>
      </c>
      <c r="T404" t="s">
        <v>1850</v>
      </c>
      <c r="U404" t="s">
        <v>1850</v>
      </c>
      <c r="V404" t="s">
        <v>1850</v>
      </c>
      <c r="W404" t="str">
        <f t="shared" si="1"/>
        <v/>
      </c>
    </row>
    <row r="405">
      <c r="A405" s="320">
        <v>902.0</v>
      </c>
      <c r="B405" s="320">
        <v>16.7</v>
      </c>
      <c r="C405" s="300"/>
      <c r="D405" s="300"/>
      <c r="E405" s="300"/>
      <c r="F405" s="300"/>
      <c r="G405" s="300"/>
      <c r="O405" t="str">
        <f>IFERROR(__xludf.DUMMYFUNCTION("regexextract(B405,""[\w]* [\w]*"")"),"#VALUE!")</f>
        <v>#VALUE!</v>
      </c>
      <c r="P405" t="str">
        <f t="shared" si="2"/>
        <v>#VALUE!</v>
      </c>
      <c r="Q405" t="str">
        <f t="shared" si="3"/>
        <v>#VALUE!</v>
      </c>
      <c r="R405" t="s">
        <v>1850</v>
      </c>
      <c r="S405" s="276" t="s">
        <v>1850</v>
      </c>
      <c r="T405" t="s">
        <v>1850</v>
      </c>
      <c r="U405" t="s">
        <v>1850</v>
      </c>
      <c r="V405" t="s">
        <v>1850</v>
      </c>
      <c r="W405" t="str">
        <f t="shared" si="1"/>
        <v/>
      </c>
    </row>
    <row r="406">
      <c r="A406" s="327">
        <v>891.0</v>
      </c>
      <c r="B406" s="327">
        <v>12.9</v>
      </c>
      <c r="C406" s="304"/>
      <c r="D406" s="304"/>
      <c r="E406" s="304"/>
      <c r="F406" s="304"/>
      <c r="G406" s="304"/>
      <c r="O406" t="str">
        <f>IFERROR(__xludf.DUMMYFUNCTION("regexextract(B406,""[\w]* [\w]*"")"),"#VALUE!")</f>
        <v>#VALUE!</v>
      </c>
      <c r="P406" t="str">
        <f t="shared" si="2"/>
        <v>#VALUE!</v>
      </c>
      <c r="Q406" t="str">
        <f t="shared" si="3"/>
        <v>#VALUE!</v>
      </c>
      <c r="R406" t="s">
        <v>1850</v>
      </c>
      <c r="S406" s="276" t="s">
        <v>1850</v>
      </c>
      <c r="T406" t="s">
        <v>1850</v>
      </c>
      <c r="U406" t="s">
        <v>1850</v>
      </c>
      <c r="V406" t="s">
        <v>1850</v>
      </c>
      <c r="W406" t="str">
        <f t="shared" si="1"/>
        <v/>
      </c>
    </row>
    <row r="407">
      <c r="A407" s="320">
        <v>882.0</v>
      </c>
      <c r="B407" s="320">
        <v>14.7</v>
      </c>
      <c r="C407" s="300"/>
      <c r="D407" s="300"/>
      <c r="E407" s="300"/>
      <c r="F407" s="300"/>
      <c r="G407" s="300"/>
      <c r="O407" t="str">
        <f>IFERROR(__xludf.DUMMYFUNCTION("regexextract(B407,""[\w]* [\w]*"")"),"#VALUE!")</f>
        <v>#VALUE!</v>
      </c>
      <c r="P407" t="str">
        <f t="shared" si="2"/>
        <v>#VALUE!</v>
      </c>
      <c r="Q407" t="str">
        <f t="shared" si="3"/>
        <v>#VALUE!</v>
      </c>
      <c r="R407" t="s">
        <v>1850</v>
      </c>
      <c r="S407" s="276" t="s">
        <v>1850</v>
      </c>
      <c r="T407" t="s">
        <v>1850</v>
      </c>
      <c r="U407" t="s">
        <v>1850</v>
      </c>
      <c r="V407" t="s">
        <v>1850</v>
      </c>
      <c r="W407" t="str">
        <f t="shared" si="1"/>
        <v/>
      </c>
    </row>
    <row r="408">
      <c r="A408" s="327">
        <v>877.0</v>
      </c>
      <c r="B408" s="327">
        <v>13.5</v>
      </c>
      <c r="C408" s="304"/>
      <c r="D408" s="304"/>
      <c r="E408" s="304"/>
      <c r="F408" s="304"/>
      <c r="G408" s="304"/>
      <c r="O408" t="str">
        <f>IFERROR(__xludf.DUMMYFUNCTION("regexextract(B408,""[\w]* [\w]*"")"),"#VALUE!")</f>
        <v>#VALUE!</v>
      </c>
      <c r="P408" t="str">
        <f t="shared" si="2"/>
        <v>#VALUE!</v>
      </c>
      <c r="Q408" t="str">
        <f t="shared" si="3"/>
        <v>#VALUE!</v>
      </c>
      <c r="R408" t="s">
        <v>1850</v>
      </c>
      <c r="S408" s="276" t="s">
        <v>1850</v>
      </c>
      <c r="T408" t="s">
        <v>1850</v>
      </c>
      <c r="U408" t="s">
        <v>1850</v>
      </c>
      <c r="V408" t="s">
        <v>1850</v>
      </c>
      <c r="W408" t="str">
        <f t="shared" si="1"/>
        <v/>
      </c>
    </row>
    <row r="409">
      <c r="A409" s="320">
        <v>381.0</v>
      </c>
      <c r="B409" s="320">
        <v>10.9</v>
      </c>
      <c r="C409" s="300"/>
      <c r="D409" s="300"/>
      <c r="E409" s="300"/>
      <c r="F409" s="300"/>
      <c r="G409" s="300"/>
      <c r="O409" t="str">
        <f>IFERROR(__xludf.DUMMYFUNCTION("regexextract(B409,""[\w]* [\w]*"")"),"#VALUE!")</f>
        <v>#VALUE!</v>
      </c>
      <c r="P409" t="str">
        <f t="shared" si="2"/>
        <v>#VALUE!</v>
      </c>
      <c r="Q409" t="str">
        <f t="shared" si="3"/>
        <v>#VALUE!</v>
      </c>
      <c r="R409" t="s">
        <v>1850</v>
      </c>
      <c r="S409" s="276" t="s">
        <v>1850</v>
      </c>
      <c r="T409" t="s">
        <v>1850</v>
      </c>
      <c r="U409" t="s">
        <v>1850</v>
      </c>
      <c r="V409" t="s">
        <v>1850</v>
      </c>
      <c r="W409" t="str">
        <f t="shared" si="1"/>
        <v/>
      </c>
    </row>
    <row r="410">
      <c r="A410" s="327">
        <v>876.0</v>
      </c>
      <c r="B410" s="327">
        <v>12.9</v>
      </c>
      <c r="C410" s="304"/>
      <c r="D410" s="304"/>
      <c r="E410" s="304"/>
      <c r="F410" s="304"/>
      <c r="G410" s="304"/>
      <c r="O410" t="str">
        <f>IFERROR(__xludf.DUMMYFUNCTION("regexextract(B410,""[\w]* [\w]*"")"),"#VALUE!")</f>
        <v>#VALUE!</v>
      </c>
      <c r="P410" t="str">
        <f t="shared" si="2"/>
        <v>#VALUE!</v>
      </c>
      <c r="Q410" t="str">
        <f t="shared" si="3"/>
        <v>#VALUE!</v>
      </c>
      <c r="R410" t="s">
        <v>1850</v>
      </c>
      <c r="S410" s="276" t="s">
        <v>1850</v>
      </c>
      <c r="T410" t="s">
        <v>1850</v>
      </c>
      <c r="U410" t="s">
        <v>1850</v>
      </c>
      <c r="V410" t="s">
        <v>1850</v>
      </c>
      <c r="W410" t="str">
        <f t="shared" si="1"/>
        <v/>
      </c>
    </row>
    <row r="411">
      <c r="A411" s="320">
        <v>862.0</v>
      </c>
      <c r="B411" s="320">
        <v>15.1</v>
      </c>
      <c r="C411" s="300"/>
      <c r="D411" s="300"/>
      <c r="E411" s="300"/>
      <c r="F411" s="300"/>
      <c r="G411" s="300"/>
      <c r="O411" t="str">
        <f>IFERROR(__xludf.DUMMYFUNCTION("regexextract(B411,""[\w]* [\w]*"")"),"#VALUE!")</f>
        <v>#VALUE!</v>
      </c>
      <c r="P411" t="str">
        <f t="shared" si="2"/>
        <v>#VALUE!</v>
      </c>
      <c r="Q411" t="str">
        <f t="shared" si="3"/>
        <v>#VALUE!</v>
      </c>
      <c r="R411" t="s">
        <v>1850</v>
      </c>
      <c r="S411" s="276" t="s">
        <v>1850</v>
      </c>
      <c r="T411" t="s">
        <v>1850</v>
      </c>
      <c r="U411" t="s">
        <v>1850</v>
      </c>
      <c r="V411" t="s">
        <v>1850</v>
      </c>
      <c r="W411" t="str">
        <f t="shared" si="1"/>
        <v/>
      </c>
    </row>
    <row r="412">
      <c r="A412" s="327">
        <v>846.0</v>
      </c>
      <c r="B412" s="327">
        <v>12.3</v>
      </c>
      <c r="C412" s="304"/>
      <c r="D412" s="304"/>
      <c r="E412" s="304"/>
      <c r="F412" s="304"/>
      <c r="G412" s="304"/>
      <c r="O412" t="str">
        <f>IFERROR(__xludf.DUMMYFUNCTION("regexextract(B412,""[\w]* [\w]*"")"),"#VALUE!")</f>
        <v>#VALUE!</v>
      </c>
      <c r="P412" t="str">
        <f t="shared" si="2"/>
        <v>#VALUE!</v>
      </c>
      <c r="Q412" t="str">
        <f t="shared" si="3"/>
        <v>#VALUE!</v>
      </c>
      <c r="R412" t="s">
        <v>1850</v>
      </c>
      <c r="S412" s="276" t="s">
        <v>1850</v>
      </c>
      <c r="T412" t="s">
        <v>1850</v>
      </c>
      <c r="U412" t="s">
        <v>1850</v>
      </c>
      <c r="V412" t="s">
        <v>1850</v>
      </c>
      <c r="W412" t="str">
        <f t="shared" si="1"/>
        <v/>
      </c>
    </row>
    <row r="413">
      <c r="A413" s="320">
        <v>808.0</v>
      </c>
      <c r="B413" s="320">
        <v>11.1</v>
      </c>
      <c r="C413" s="300"/>
      <c r="D413" s="300"/>
      <c r="E413" s="300"/>
      <c r="F413" s="300"/>
      <c r="G413" s="300"/>
      <c r="O413" t="str">
        <f>IFERROR(__xludf.DUMMYFUNCTION("regexextract(B413,""[\w]* [\w]*"")"),"#VALUE!")</f>
        <v>#VALUE!</v>
      </c>
      <c r="P413" t="str">
        <f t="shared" si="2"/>
        <v>#VALUE!</v>
      </c>
      <c r="Q413" t="str">
        <f t="shared" si="3"/>
        <v>#VALUE!</v>
      </c>
      <c r="R413" t="s">
        <v>1850</v>
      </c>
      <c r="S413" s="276" t="s">
        <v>1850</v>
      </c>
      <c r="T413" t="s">
        <v>1850</v>
      </c>
      <c r="U413" t="s">
        <v>1850</v>
      </c>
      <c r="V413" t="s">
        <v>1850</v>
      </c>
      <c r="W413" t="str">
        <f t="shared" si="1"/>
        <v/>
      </c>
    </row>
    <row r="414">
      <c r="A414" s="327">
        <v>794.0</v>
      </c>
      <c r="B414" s="327">
        <v>16.2</v>
      </c>
      <c r="C414" s="304"/>
      <c r="D414" s="304"/>
      <c r="E414" s="304"/>
      <c r="F414" s="304"/>
      <c r="G414" s="304"/>
      <c r="O414" t="str">
        <f>IFERROR(__xludf.DUMMYFUNCTION("regexextract(B414,""[\w]* [\w]*"")"),"#VALUE!")</f>
        <v>#VALUE!</v>
      </c>
      <c r="P414" t="str">
        <f t="shared" si="2"/>
        <v>#VALUE!</v>
      </c>
      <c r="Q414" t="str">
        <f t="shared" si="3"/>
        <v>#VALUE!</v>
      </c>
      <c r="R414" t="s">
        <v>1850</v>
      </c>
      <c r="S414" s="276" t="s">
        <v>1850</v>
      </c>
      <c r="T414" t="s">
        <v>1850</v>
      </c>
      <c r="U414" t="s">
        <v>1850</v>
      </c>
      <c r="V414" t="s">
        <v>1850</v>
      </c>
      <c r="W414" t="str">
        <f t="shared" si="1"/>
        <v/>
      </c>
    </row>
    <row r="415">
      <c r="A415" s="320">
        <v>778.0</v>
      </c>
      <c r="B415" s="320">
        <v>13.4</v>
      </c>
      <c r="C415" s="300"/>
      <c r="D415" s="300"/>
      <c r="E415" s="300"/>
      <c r="F415" s="300"/>
      <c r="G415" s="300"/>
      <c r="O415" t="str">
        <f>IFERROR(__xludf.DUMMYFUNCTION("regexextract(B415,""[\w]* [\w]*"")"),"#VALUE!")</f>
        <v>#VALUE!</v>
      </c>
      <c r="P415" t="str">
        <f t="shared" si="2"/>
        <v>#VALUE!</v>
      </c>
      <c r="Q415" t="str">
        <f t="shared" si="3"/>
        <v>#VALUE!</v>
      </c>
      <c r="R415" t="s">
        <v>1850</v>
      </c>
      <c r="S415" s="276" t="s">
        <v>1850</v>
      </c>
      <c r="T415" t="s">
        <v>1850</v>
      </c>
      <c r="U415" t="s">
        <v>1850</v>
      </c>
      <c r="V415" t="s">
        <v>1850</v>
      </c>
      <c r="W415" t="str">
        <f t="shared" si="1"/>
        <v/>
      </c>
    </row>
    <row r="416">
      <c r="A416" s="327">
        <v>747.0</v>
      </c>
      <c r="B416" s="327">
        <v>11.0</v>
      </c>
      <c r="C416" s="304"/>
      <c r="D416" s="304"/>
      <c r="E416" s="304"/>
      <c r="F416" s="304"/>
      <c r="G416" s="304"/>
      <c r="O416" t="str">
        <f>IFERROR(__xludf.DUMMYFUNCTION("regexextract(B416,""[\w]* [\w]*"")"),"#VALUE!")</f>
        <v>#VALUE!</v>
      </c>
      <c r="P416" t="str">
        <f t="shared" si="2"/>
        <v>#VALUE!</v>
      </c>
      <c r="Q416" t="str">
        <f t="shared" si="3"/>
        <v>#VALUE!</v>
      </c>
      <c r="R416" t="s">
        <v>1850</v>
      </c>
      <c r="S416" s="276" t="s">
        <v>1850</v>
      </c>
      <c r="T416" t="s">
        <v>1850</v>
      </c>
      <c r="U416" t="s">
        <v>1850</v>
      </c>
      <c r="V416" t="s">
        <v>1850</v>
      </c>
      <c r="W416" t="str">
        <f t="shared" si="1"/>
        <v/>
      </c>
    </row>
    <row r="417">
      <c r="A417" s="300"/>
      <c r="B417" s="307"/>
      <c r="C417" s="300"/>
      <c r="D417" s="300"/>
      <c r="E417" s="300"/>
      <c r="F417" s="300"/>
      <c r="G417" s="300"/>
      <c r="O417" t="str">
        <f>IFERROR(__xludf.DUMMYFUNCTION("regexextract(B417,""[\w]* [\w]*"")"),"#N/A")</f>
        <v>#N/A</v>
      </c>
      <c r="P417" t="str">
        <f t="shared" si="2"/>
        <v>#N/A</v>
      </c>
      <c r="Q417" t="str">
        <f t="shared" si="3"/>
        <v>#N/A</v>
      </c>
      <c r="R417" t="s">
        <v>1850</v>
      </c>
      <c r="S417" s="276" t="s">
        <v>1850</v>
      </c>
      <c r="T417" t="s">
        <v>1850</v>
      </c>
      <c r="U417" t="s">
        <v>1850</v>
      </c>
      <c r="V417" t="s">
        <v>1850</v>
      </c>
      <c r="W417" t="str">
        <f t="shared" si="1"/>
        <v/>
      </c>
    </row>
    <row r="418">
      <c r="A418" s="304"/>
      <c r="B418" s="310"/>
      <c r="C418" s="304"/>
      <c r="D418" s="304"/>
      <c r="E418" s="304"/>
      <c r="F418" s="304"/>
      <c r="G418" s="304"/>
      <c r="O418" t="str">
        <f>IFERROR(__xludf.DUMMYFUNCTION("regexextract(B418,""[\w]* [\w]*"")"),"#N/A")</f>
        <v>#N/A</v>
      </c>
      <c r="P418" t="str">
        <f t="shared" si="2"/>
        <v>#N/A</v>
      </c>
      <c r="Q418" t="str">
        <f t="shared" si="3"/>
        <v>#N/A</v>
      </c>
      <c r="R418" t="s">
        <v>1850</v>
      </c>
      <c r="S418" s="276" t="s">
        <v>1850</v>
      </c>
      <c r="T418" t="s">
        <v>1850</v>
      </c>
      <c r="U418" t="s">
        <v>1850</v>
      </c>
      <c r="V418" t="s">
        <v>1850</v>
      </c>
      <c r="W418" t="str">
        <f t="shared" si="1"/>
        <v/>
      </c>
    </row>
    <row r="419">
      <c r="A419" s="300"/>
      <c r="B419" s="307"/>
      <c r="C419" s="300"/>
      <c r="D419" s="300"/>
      <c r="E419" s="300"/>
      <c r="F419" s="300"/>
      <c r="G419" s="300"/>
      <c r="O419" t="str">
        <f>IFERROR(__xludf.DUMMYFUNCTION("regexextract(B419,""[\w]* [\w]*"")"),"#N/A")</f>
        <v>#N/A</v>
      </c>
      <c r="P419" t="str">
        <f t="shared" si="2"/>
        <v>#N/A</v>
      </c>
      <c r="Q419" t="str">
        <f t="shared" si="3"/>
        <v>#N/A</v>
      </c>
      <c r="R419" t="s">
        <v>1850</v>
      </c>
      <c r="S419" s="276" t="s">
        <v>1850</v>
      </c>
      <c r="T419" t="s">
        <v>1850</v>
      </c>
      <c r="U419" t="s">
        <v>1850</v>
      </c>
      <c r="V419" t="s">
        <v>1850</v>
      </c>
      <c r="W419" t="str">
        <f t="shared" si="1"/>
        <v/>
      </c>
    </row>
    <row r="420">
      <c r="A420" s="304"/>
      <c r="B420" s="310"/>
      <c r="C420" s="304"/>
      <c r="D420" s="304"/>
      <c r="E420" s="304"/>
      <c r="F420" s="304"/>
      <c r="G420" s="304"/>
      <c r="O420" t="str">
        <f>IFERROR(__xludf.DUMMYFUNCTION("regexextract(B420,""[\w]* [\w]*"")"),"#N/A")</f>
        <v>#N/A</v>
      </c>
      <c r="P420" t="str">
        <f t="shared" si="2"/>
        <v>#N/A</v>
      </c>
      <c r="Q420" t="str">
        <f t="shared" si="3"/>
        <v>#N/A</v>
      </c>
      <c r="R420" t="s">
        <v>1850</v>
      </c>
      <c r="S420" s="276" t="s">
        <v>1850</v>
      </c>
      <c r="T420" t="s">
        <v>1850</v>
      </c>
      <c r="U420" t="s">
        <v>1850</v>
      </c>
      <c r="V420" t="s">
        <v>1850</v>
      </c>
      <c r="W420" t="str">
        <f t="shared" si="1"/>
        <v/>
      </c>
    </row>
    <row r="421">
      <c r="A421" s="300"/>
      <c r="B421" s="307"/>
      <c r="C421" s="300"/>
      <c r="D421" s="300"/>
      <c r="E421" s="300"/>
      <c r="F421" s="300"/>
      <c r="G421" s="300"/>
      <c r="O421" t="str">
        <f>IFERROR(__xludf.DUMMYFUNCTION("regexextract(B421,""[\w]* [\w]*"")"),"#N/A")</f>
        <v>#N/A</v>
      </c>
      <c r="P421" t="str">
        <f t="shared" si="2"/>
        <v>#N/A</v>
      </c>
      <c r="Q421" t="str">
        <f t="shared" si="3"/>
        <v>#N/A</v>
      </c>
      <c r="R421" t="s">
        <v>1850</v>
      </c>
      <c r="S421" s="276" t="s">
        <v>1850</v>
      </c>
      <c r="T421" t="s">
        <v>1850</v>
      </c>
      <c r="U421" t="s">
        <v>1850</v>
      </c>
      <c r="V421" t="s">
        <v>1850</v>
      </c>
      <c r="W421" t="str">
        <f t="shared" si="1"/>
        <v/>
      </c>
    </row>
    <row r="422">
      <c r="A422" s="304"/>
      <c r="B422" s="310"/>
      <c r="C422" s="304"/>
      <c r="D422" s="304"/>
      <c r="E422" s="304"/>
      <c r="F422" s="304"/>
      <c r="G422" s="304"/>
      <c r="O422" t="str">
        <f>IFERROR(__xludf.DUMMYFUNCTION("regexextract(B422,""[\w]* [\w]*"")"),"#N/A")</f>
        <v>#N/A</v>
      </c>
      <c r="P422" t="str">
        <f t="shared" si="2"/>
        <v>#N/A</v>
      </c>
      <c r="Q422" t="str">
        <f t="shared" si="3"/>
        <v>#N/A</v>
      </c>
      <c r="R422" t="s">
        <v>1850</v>
      </c>
      <c r="S422" s="276" t="s">
        <v>1850</v>
      </c>
      <c r="T422" t="s">
        <v>1850</v>
      </c>
      <c r="U422" t="s">
        <v>1850</v>
      </c>
      <c r="V422" t="s">
        <v>1850</v>
      </c>
      <c r="W422" t="str">
        <f t="shared" si="1"/>
        <v/>
      </c>
    </row>
    <row r="423">
      <c r="A423" s="300"/>
      <c r="B423" s="307"/>
      <c r="C423" s="300"/>
      <c r="D423" s="300"/>
      <c r="E423" s="300"/>
      <c r="F423" s="300"/>
      <c r="G423" s="300"/>
      <c r="O423" t="str">
        <f>IFERROR(__xludf.DUMMYFUNCTION("regexextract(B423,""[\w]* [\w]*"")"),"#N/A")</f>
        <v>#N/A</v>
      </c>
      <c r="P423" t="str">
        <f t="shared" si="2"/>
        <v>#N/A</v>
      </c>
      <c r="Q423" t="str">
        <f t="shared" si="3"/>
        <v>#N/A</v>
      </c>
      <c r="R423" t="s">
        <v>1850</v>
      </c>
      <c r="S423" s="276" t="s">
        <v>1850</v>
      </c>
      <c r="T423" t="s">
        <v>1850</v>
      </c>
      <c r="U423" t="s">
        <v>1850</v>
      </c>
      <c r="V423" t="s">
        <v>1850</v>
      </c>
      <c r="W423" t="str">
        <f t="shared" si="1"/>
        <v/>
      </c>
    </row>
    <row r="424">
      <c r="A424" s="304"/>
      <c r="B424" s="310"/>
      <c r="C424" s="304"/>
      <c r="D424" s="304"/>
      <c r="E424" s="304"/>
      <c r="F424" s="304"/>
      <c r="G424" s="304"/>
      <c r="O424" t="str">
        <f>IFERROR(__xludf.DUMMYFUNCTION("regexextract(B424,""[\w]* [\w]*"")"),"#N/A")</f>
        <v>#N/A</v>
      </c>
      <c r="P424" t="str">
        <f t="shared" si="2"/>
        <v>#N/A</v>
      </c>
      <c r="Q424" t="str">
        <f t="shared" si="3"/>
        <v>#N/A</v>
      </c>
      <c r="R424" t="s">
        <v>1850</v>
      </c>
      <c r="S424" s="276" t="s">
        <v>1850</v>
      </c>
      <c r="T424" t="s">
        <v>1850</v>
      </c>
      <c r="U424" t="s">
        <v>1850</v>
      </c>
      <c r="V424" t="s">
        <v>1850</v>
      </c>
      <c r="W424" t="str">
        <f t="shared" si="1"/>
        <v/>
      </c>
    </row>
    <row r="425">
      <c r="A425" s="300"/>
      <c r="B425" s="307"/>
      <c r="C425" s="300"/>
      <c r="D425" s="300"/>
      <c r="E425" s="300"/>
      <c r="F425" s="300"/>
      <c r="G425" s="300"/>
      <c r="O425" t="str">
        <f>IFERROR(__xludf.DUMMYFUNCTION("regexextract(B425,""[\w]* [\w]*"")"),"#N/A")</f>
        <v>#N/A</v>
      </c>
      <c r="P425" t="str">
        <f t="shared" si="2"/>
        <v>#N/A</v>
      </c>
      <c r="Q425" t="str">
        <f t="shared" si="3"/>
        <v>#N/A</v>
      </c>
      <c r="R425" t="s">
        <v>1850</v>
      </c>
      <c r="S425" s="276" t="s">
        <v>1850</v>
      </c>
      <c r="T425" t="s">
        <v>1850</v>
      </c>
      <c r="U425" t="s">
        <v>1850</v>
      </c>
      <c r="V425" t="s">
        <v>1850</v>
      </c>
      <c r="W425" t="str">
        <f t="shared" si="1"/>
        <v/>
      </c>
    </row>
    <row r="426">
      <c r="A426" s="304"/>
      <c r="B426" s="310"/>
      <c r="C426" s="304"/>
      <c r="D426" s="304"/>
      <c r="E426" s="304"/>
      <c r="F426" s="304"/>
      <c r="G426" s="304"/>
      <c r="O426" t="str">
        <f>IFERROR(__xludf.DUMMYFUNCTION("regexextract(B426,""[\w]* [\w]*"")"),"#N/A")</f>
        <v>#N/A</v>
      </c>
      <c r="P426" t="str">
        <f t="shared" si="2"/>
        <v>#N/A</v>
      </c>
      <c r="Q426" t="str">
        <f t="shared" si="3"/>
        <v>#N/A</v>
      </c>
      <c r="R426" t="s">
        <v>1850</v>
      </c>
      <c r="S426" s="276" t="s">
        <v>1850</v>
      </c>
      <c r="T426" t="s">
        <v>1850</v>
      </c>
      <c r="U426" t="s">
        <v>1850</v>
      </c>
      <c r="V426" t="s">
        <v>1850</v>
      </c>
      <c r="W426" t="str">
        <f t="shared" si="1"/>
        <v/>
      </c>
    </row>
    <row r="427">
      <c r="A427" s="300"/>
      <c r="B427" s="307"/>
      <c r="C427" s="300"/>
      <c r="D427" s="300"/>
      <c r="E427" s="300"/>
      <c r="F427" s="300"/>
      <c r="G427" s="300"/>
      <c r="O427" t="str">
        <f>IFERROR(__xludf.DUMMYFUNCTION("regexextract(B427,""[\w]* [\w]*"")"),"#N/A")</f>
        <v>#N/A</v>
      </c>
      <c r="P427" t="str">
        <f t="shared" si="2"/>
        <v>#N/A</v>
      </c>
      <c r="Q427" t="str">
        <f t="shared" si="3"/>
        <v>#N/A</v>
      </c>
      <c r="R427" t="s">
        <v>1850</v>
      </c>
      <c r="S427" s="276" t="s">
        <v>1850</v>
      </c>
      <c r="T427" t="s">
        <v>1850</v>
      </c>
      <c r="U427" t="s">
        <v>1850</v>
      </c>
      <c r="V427" t="s">
        <v>1850</v>
      </c>
      <c r="W427" t="str">
        <f t="shared" si="1"/>
        <v/>
      </c>
    </row>
    <row r="428">
      <c r="A428" s="304"/>
      <c r="B428" s="310"/>
      <c r="C428" s="304"/>
      <c r="D428" s="304"/>
      <c r="E428" s="304"/>
      <c r="F428" s="304"/>
      <c r="G428" s="304"/>
      <c r="O428" t="str">
        <f>IFERROR(__xludf.DUMMYFUNCTION("regexextract(B428,""[\w]* [\w]*"")"),"#N/A")</f>
        <v>#N/A</v>
      </c>
      <c r="P428" t="str">
        <f t="shared" si="2"/>
        <v>#N/A</v>
      </c>
      <c r="Q428" t="str">
        <f t="shared" si="3"/>
        <v>#N/A</v>
      </c>
      <c r="R428" t="s">
        <v>1850</v>
      </c>
      <c r="S428" s="276" t="s">
        <v>1850</v>
      </c>
      <c r="T428" t="s">
        <v>1850</v>
      </c>
      <c r="U428" t="s">
        <v>1850</v>
      </c>
      <c r="V428" t="s">
        <v>1850</v>
      </c>
      <c r="W428" t="str">
        <f t="shared" si="1"/>
        <v/>
      </c>
    </row>
    <row r="429">
      <c r="A429" s="300"/>
      <c r="B429" s="307"/>
      <c r="C429" s="300"/>
      <c r="D429" s="300"/>
      <c r="E429" s="300"/>
      <c r="F429" s="300"/>
      <c r="G429" s="300"/>
      <c r="O429" t="str">
        <f>IFERROR(__xludf.DUMMYFUNCTION("regexextract(B429,""[\w]* [\w]*"")"),"#N/A")</f>
        <v>#N/A</v>
      </c>
      <c r="P429" t="str">
        <f t="shared" si="2"/>
        <v>#N/A</v>
      </c>
      <c r="Q429" t="str">
        <f t="shared" si="3"/>
        <v>#N/A</v>
      </c>
      <c r="R429" t="s">
        <v>1850</v>
      </c>
      <c r="S429" s="276" t="s">
        <v>1850</v>
      </c>
      <c r="T429" t="s">
        <v>1850</v>
      </c>
      <c r="U429" t="s">
        <v>1850</v>
      </c>
      <c r="V429" t="s">
        <v>1850</v>
      </c>
      <c r="W429" t="str">
        <f t="shared" si="1"/>
        <v/>
      </c>
    </row>
    <row r="430">
      <c r="A430" s="304"/>
      <c r="B430" s="310"/>
      <c r="C430" s="304"/>
      <c r="D430" s="304"/>
      <c r="E430" s="304"/>
      <c r="F430" s="304"/>
      <c r="G430" s="304"/>
      <c r="O430" t="str">
        <f>IFERROR(__xludf.DUMMYFUNCTION("regexextract(B430,""[\w]* [\w]*"")"),"#N/A")</f>
        <v>#N/A</v>
      </c>
      <c r="P430" t="str">
        <f t="shared" si="2"/>
        <v>#N/A</v>
      </c>
      <c r="Q430" t="str">
        <f t="shared" si="3"/>
        <v>#N/A</v>
      </c>
      <c r="R430" t="s">
        <v>1850</v>
      </c>
      <c r="S430" s="276" t="s">
        <v>1850</v>
      </c>
      <c r="T430" t="s">
        <v>1850</v>
      </c>
      <c r="U430" t="s">
        <v>1850</v>
      </c>
      <c r="V430" t="s">
        <v>1850</v>
      </c>
      <c r="W430" t="str">
        <f t="shared" si="1"/>
        <v/>
      </c>
    </row>
    <row r="431">
      <c r="A431" s="300"/>
      <c r="B431" s="307"/>
      <c r="C431" s="300"/>
      <c r="D431" s="300"/>
      <c r="E431" s="300"/>
      <c r="F431" s="300"/>
      <c r="G431" s="300"/>
      <c r="O431" t="str">
        <f>IFERROR(__xludf.DUMMYFUNCTION("regexextract(B431,""[\w]* [\w]*"")"),"#N/A")</f>
        <v>#N/A</v>
      </c>
      <c r="P431" t="str">
        <f t="shared" si="2"/>
        <v>#N/A</v>
      </c>
      <c r="Q431" t="str">
        <f t="shared" si="3"/>
        <v>#N/A</v>
      </c>
      <c r="R431" t="s">
        <v>1850</v>
      </c>
      <c r="S431" s="276" t="s">
        <v>1850</v>
      </c>
      <c r="T431" t="s">
        <v>1850</v>
      </c>
      <c r="U431" t="s">
        <v>1850</v>
      </c>
      <c r="V431" t="s">
        <v>1850</v>
      </c>
      <c r="W431" t="str">
        <f t="shared" si="1"/>
        <v/>
      </c>
    </row>
    <row r="432">
      <c r="A432" s="304"/>
      <c r="B432" s="310"/>
      <c r="C432" s="304"/>
      <c r="D432" s="304"/>
      <c r="E432" s="304"/>
      <c r="F432" s="304"/>
      <c r="G432" s="304"/>
      <c r="O432" t="str">
        <f>IFERROR(__xludf.DUMMYFUNCTION("regexextract(B432,""[\w]* [\w]*"")"),"#N/A")</f>
        <v>#N/A</v>
      </c>
      <c r="P432" t="str">
        <f t="shared" si="2"/>
        <v>#N/A</v>
      </c>
      <c r="Q432" t="str">
        <f t="shared" si="3"/>
        <v>#N/A</v>
      </c>
      <c r="R432" t="s">
        <v>1850</v>
      </c>
      <c r="S432" s="276" t="s">
        <v>1850</v>
      </c>
      <c r="T432" t="s">
        <v>1850</v>
      </c>
      <c r="U432" t="s">
        <v>1850</v>
      </c>
      <c r="V432" t="s">
        <v>1850</v>
      </c>
      <c r="W432" t="str">
        <f t="shared" si="1"/>
        <v/>
      </c>
    </row>
    <row r="433">
      <c r="A433" s="300"/>
      <c r="B433" s="307"/>
      <c r="C433" s="300"/>
      <c r="D433" s="300"/>
      <c r="E433" s="300"/>
      <c r="F433" s="300"/>
      <c r="G433" s="300"/>
      <c r="O433" t="str">
        <f>IFERROR(__xludf.DUMMYFUNCTION("regexextract(B433,""[\w]* [\w]*"")"),"#N/A")</f>
        <v>#N/A</v>
      </c>
      <c r="P433" t="str">
        <f t="shared" si="2"/>
        <v>#N/A</v>
      </c>
      <c r="Q433" t="str">
        <f t="shared" si="3"/>
        <v>#N/A</v>
      </c>
      <c r="R433" t="s">
        <v>1850</v>
      </c>
      <c r="S433" s="276" t="s">
        <v>1850</v>
      </c>
      <c r="T433" t="s">
        <v>1850</v>
      </c>
      <c r="U433" t="s">
        <v>1850</v>
      </c>
      <c r="V433" t="s">
        <v>1850</v>
      </c>
      <c r="W433" t="str">
        <f t="shared" si="1"/>
        <v/>
      </c>
    </row>
    <row r="434">
      <c r="A434" s="304"/>
      <c r="B434" s="310"/>
      <c r="C434" s="304"/>
      <c r="D434" s="304"/>
      <c r="E434" s="304"/>
      <c r="F434" s="304"/>
      <c r="G434" s="304"/>
      <c r="O434" t="str">
        <f>IFERROR(__xludf.DUMMYFUNCTION("regexextract(B434,""[\w]* [\w]*"")"),"#N/A")</f>
        <v>#N/A</v>
      </c>
      <c r="P434" t="str">
        <f t="shared" si="2"/>
        <v>#N/A</v>
      </c>
      <c r="Q434" t="str">
        <f t="shared" si="3"/>
        <v>#N/A</v>
      </c>
      <c r="R434" t="s">
        <v>1850</v>
      </c>
      <c r="S434" s="276" t="s">
        <v>1850</v>
      </c>
      <c r="T434" t="s">
        <v>1850</v>
      </c>
      <c r="U434" t="s">
        <v>1850</v>
      </c>
      <c r="V434" t="s">
        <v>1850</v>
      </c>
      <c r="W434" t="str">
        <f t="shared" si="1"/>
        <v/>
      </c>
    </row>
    <row r="435">
      <c r="A435" s="300"/>
      <c r="B435" s="307"/>
      <c r="C435" s="300"/>
      <c r="D435" s="300"/>
      <c r="E435" s="300"/>
      <c r="F435" s="300"/>
      <c r="G435" s="300"/>
      <c r="O435" t="str">
        <f>IFERROR(__xludf.DUMMYFUNCTION("regexextract(B435,""[\w]* [\w]*"")"),"#N/A")</f>
        <v>#N/A</v>
      </c>
      <c r="P435" t="str">
        <f t="shared" si="2"/>
        <v>#N/A</v>
      </c>
      <c r="Q435" t="str">
        <f t="shared" si="3"/>
        <v>#N/A</v>
      </c>
      <c r="R435" t="s">
        <v>1850</v>
      </c>
      <c r="S435" s="276" t="s">
        <v>1850</v>
      </c>
      <c r="T435" t="s">
        <v>1850</v>
      </c>
      <c r="U435" t="s">
        <v>1850</v>
      </c>
      <c r="V435" t="s">
        <v>1850</v>
      </c>
      <c r="W435" t="str">
        <f t="shared" si="1"/>
        <v/>
      </c>
    </row>
    <row r="436">
      <c r="A436" s="304"/>
      <c r="B436" s="310"/>
      <c r="C436" s="304"/>
      <c r="D436" s="304"/>
      <c r="E436" s="304"/>
      <c r="F436" s="304"/>
      <c r="G436" s="304"/>
      <c r="O436" t="str">
        <f>IFERROR(__xludf.DUMMYFUNCTION("regexextract(B436,""[\w]* [\w]*"")"),"#N/A")</f>
        <v>#N/A</v>
      </c>
      <c r="P436" t="str">
        <f t="shared" si="2"/>
        <v>#N/A</v>
      </c>
      <c r="Q436" t="str">
        <f t="shared" si="3"/>
        <v>#N/A</v>
      </c>
      <c r="R436" t="s">
        <v>1850</v>
      </c>
      <c r="S436" s="276" t="s">
        <v>1850</v>
      </c>
      <c r="T436" t="s">
        <v>1850</v>
      </c>
      <c r="U436" t="s">
        <v>1850</v>
      </c>
      <c r="V436" t="s">
        <v>1850</v>
      </c>
      <c r="W436" t="str">
        <f t="shared" si="1"/>
        <v/>
      </c>
    </row>
    <row r="437">
      <c r="A437" s="300"/>
      <c r="B437" s="307"/>
      <c r="C437" s="300"/>
      <c r="D437" s="300"/>
      <c r="E437" s="300"/>
      <c r="F437" s="300"/>
      <c r="G437" s="300"/>
      <c r="O437" t="str">
        <f>IFERROR(__xludf.DUMMYFUNCTION("regexextract(B437,""[\w]* [\w]*"")"),"#N/A")</f>
        <v>#N/A</v>
      </c>
      <c r="P437" t="str">
        <f t="shared" si="2"/>
        <v>#N/A</v>
      </c>
      <c r="Q437" t="str">
        <f t="shared" si="3"/>
        <v>#N/A</v>
      </c>
      <c r="R437" t="s">
        <v>1850</v>
      </c>
      <c r="S437" s="276" t="s">
        <v>1850</v>
      </c>
      <c r="T437" t="s">
        <v>1850</v>
      </c>
      <c r="U437" t="s">
        <v>1850</v>
      </c>
      <c r="V437" t="s">
        <v>1850</v>
      </c>
      <c r="W437" t="str">
        <f t="shared" si="1"/>
        <v/>
      </c>
    </row>
    <row r="438">
      <c r="A438" s="304"/>
      <c r="B438" s="310"/>
      <c r="C438" s="304"/>
      <c r="D438" s="304"/>
      <c r="E438" s="304"/>
      <c r="F438" s="304"/>
      <c r="G438" s="304"/>
      <c r="O438" t="str">
        <f>IFERROR(__xludf.DUMMYFUNCTION("regexextract(B438,""[\w]* [\w]*"")"),"#N/A")</f>
        <v>#N/A</v>
      </c>
      <c r="P438" t="str">
        <f t="shared" si="2"/>
        <v>#N/A</v>
      </c>
      <c r="Q438" t="str">
        <f t="shared" si="3"/>
        <v>#N/A</v>
      </c>
      <c r="R438" t="s">
        <v>1850</v>
      </c>
      <c r="S438" s="276" t="s">
        <v>1850</v>
      </c>
      <c r="T438" t="s">
        <v>1850</v>
      </c>
      <c r="U438" t="s">
        <v>1850</v>
      </c>
      <c r="V438" t="s">
        <v>1850</v>
      </c>
      <c r="W438" t="str">
        <f t="shared" si="1"/>
        <v/>
      </c>
    </row>
    <row r="439">
      <c r="A439" s="300"/>
      <c r="B439" s="307"/>
      <c r="C439" s="300"/>
      <c r="D439" s="300"/>
      <c r="E439" s="300"/>
      <c r="F439" s="300"/>
      <c r="G439" s="300"/>
      <c r="O439" t="str">
        <f>IFERROR(__xludf.DUMMYFUNCTION("regexextract(B439,""[\w]* [\w]*"")"),"#N/A")</f>
        <v>#N/A</v>
      </c>
      <c r="P439" t="str">
        <f t="shared" si="2"/>
        <v>#N/A</v>
      </c>
      <c r="Q439" t="str">
        <f t="shared" si="3"/>
        <v>#N/A</v>
      </c>
      <c r="R439" t="s">
        <v>1850</v>
      </c>
      <c r="S439" s="276" t="s">
        <v>1850</v>
      </c>
      <c r="T439" t="s">
        <v>1850</v>
      </c>
      <c r="U439" t="s">
        <v>1850</v>
      </c>
      <c r="V439" t="s">
        <v>1850</v>
      </c>
      <c r="W439" t="str">
        <f t="shared" si="1"/>
        <v/>
      </c>
    </row>
    <row r="440">
      <c r="A440" s="304"/>
      <c r="B440" s="310"/>
      <c r="C440" s="304"/>
      <c r="D440" s="304"/>
      <c r="E440" s="304"/>
      <c r="F440" s="304"/>
      <c r="G440" s="304"/>
      <c r="O440" t="str">
        <f>IFERROR(__xludf.DUMMYFUNCTION("regexextract(B440,""[\w]* [\w]*"")"),"#N/A")</f>
        <v>#N/A</v>
      </c>
      <c r="P440" t="str">
        <f t="shared" si="2"/>
        <v>#N/A</v>
      </c>
      <c r="Q440" t="str">
        <f t="shared" si="3"/>
        <v>#N/A</v>
      </c>
      <c r="R440" t="s">
        <v>1850</v>
      </c>
      <c r="S440" s="276" t="s">
        <v>1850</v>
      </c>
      <c r="T440" t="s">
        <v>1850</v>
      </c>
      <c r="U440" t="s">
        <v>1850</v>
      </c>
      <c r="V440" t="s">
        <v>1850</v>
      </c>
      <c r="W440" t="str">
        <f t="shared" si="1"/>
        <v/>
      </c>
    </row>
    <row r="441">
      <c r="A441" s="300"/>
      <c r="B441" s="307"/>
      <c r="C441" s="300"/>
      <c r="D441" s="300"/>
      <c r="E441" s="300"/>
      <c r="F441" s="300"/>
      <c r="G441" s="300"/>
      <c r="O441" t="str">
        <f>IFERROR(__xludf.DUMMYFUNCTION("regexextract(B441,""[\w]* [\w]*"")"),"#N/A")</f>
        <v>#N/A</v>
      </c>
      <c r="P441" t="str">
        <f t="shared" si="2"/>
        <v>#N/A</v>
      </c>
      <c r="Q441" t="str">
        <f t="shared" si="3"/>
        <v>#N/A</v>
      </c>
      <c r="R441" t="s">
        <v>1850</v>
      </c>
      <c r="S441" s="276" t="s">
        <v>1850</v>
      </c>
      <c r="T441" t="s">
        <v>1850</v>
      </c>
      <c r="U441" t="s">
        <v>1850</v>
      </c>
      <c r="V441" t="s">
        <v>1850</v>
      </c>
      <c r="W441" t="str">
        <f t="shared" si="1"/>
        <v/>
      </c>
    </row>
    <row r="442">
      <c r="A442" s="304"/>
      <c r="B442" s="310"/>
      <c r="C442" s="304"/>
      <c r="D442" s="304"/>
      <c r="E442" s="304"/>
      <c r="F442" s="304"/>
      <c r="G442" s="304"/>
      <c r="O442" t="str">
        <f>IFERROR(__xludf.DUMMYFUNCTION("regexextract(B442,""[\w]* [\w]*"")"),"#N/A")</f>
        <v>#N/A</v>
      </c>
      <c r="P442" t="str">
        <f t="shared" si="2"/>
        <v>#N/A</v>
      </c>
      <c r="Q442" t="str">
        <f t="shared" si="3"/>
        <v>#N/A</v>
      </c>
      <c r="R442" t="s">
        <v>1850</v>
      </c>
      <c r="S442" s="276" t="s">
        <v>1850</v>
      </c>
      <c r="T442" t="s">
        <v>1850</v>
      </c>
      <c r="U442" t="s">
        <v>1850</v>
      </c>
      <c r="V442" t="s">
        <v>1850</v>
      </c>
      <c r="W442" t="str">
        <f t="shared" si="1"/>
        <v/>
      </c>
    </row>
    <row r="443">
      <c r="A443" s="300"/>
      <c r="B443" s="307"/>
      <c r="C443" s="300"/>
      <c r="D443" s="300"/>
      <c r="E443" s="300"/>
      <c r="F443" s="300"/>
      <c r="G443" s="300"/>
      <c r="O443" t="str">
        <f>IFERROR(__xludf.DUMMYFUNCTION("regexextract(B443,""[\w]* [\w]*"")"),"#N/A")</f>
        <v>#N/A</v>
      </c>
      <c r="P443" t="str">
        <f t="shared" si="2"/>
        <v>#N/A</v>
      </c>
      <c r="Q443" t="str">
        <f t="shared" si="3"/>
        <v>#N/A</v>
      </c>
      <c r="R443" t="s">
        <v>1850</v>
      </c>
      <c r="S443" s="276" t="s">
        <v>1850</v>
      </c>
      <c r="T443" t="s">
        <v>1850</v>
      </c>
      <c r="U443" t="s">
        <v>1850</v>
      </c>
      <c r="V443" t="s">
        <v>1850</v>
      </c>
      <c r="W443" t="str">
        <f t="shared" si="1"/>
        <v/>
      </c>
    </row>
    <row r="444">
      <c r="A444" s="304"/>
      <c r="B444" s="310"/>
      <c r="C444" s="304"/>
      <c r="D444" s="304"/>
      <c r="E444" s="304"/>
      <c r="F444" s="304"/>
      <c r="G444" s="304"/>
      <c r="O444" t="str">
        <f>IFERROR(__xludf.DUMMYFUNCTION("regexextract(B444,""[\w]* [\w]*"")"),"#N/A")</f>
        <v>#N/A</v>
      </c>
      <c r="P444" t="str">
        <f t="shared" si="2"/>
        <v>#N/A</v>
      </c>
      <c r="Q444" t="str">
        <f t="shared" si="3"/>
        <v>#N/A</v>
      </c>
      <c r="R444" t="s">
        <v>1850</v>
      </c>
      <c r="S444" s="276" t="s">
        <v>1850</v>
      </c>
      <c r="T444" t="s">
        <v>1850</v>
      </c>
      <c r="U444" t="s">
        <v>1850</v>
      </c>
      <c r="V444" t="s">
        <v>1850</v>
      </c>
      <c r="W444" t="str">
        <f t="shared" si="1"/>
        <v/>
      </c>
    </row>
    <row r="445">
      <c r="A445" s="300"/>
      <c r="B445" s="307"/>
      <c r="C445" s="300"/>
      <c r="D445" s="300"/>
      <c r="E445" s="300"/>
      <c r="F445" s="300"/>
      <c r="G445" s="300"/>
      <c r="O445" t="str">
        <f>IFERROR(__xludf.DUMMYFUNCTION("regexextract(B445,""[\w]* [\w]*"")"),"#N/A")</f>
        <v>#N/A</v>
      </c>
      <c r="P445" t="str">
        <f t="shared" si="2"/>
        <v>#N/A</v>
      </c>
      <c r="Q445" t="str">
        <f t="shared" si="3"/>
        <v>#N/A</v>
      </c>
      <c r="R445" t="s">
        <v>1850</v>
      </c>
      <c r="S445" s="276" t="s">
        <v>1850</v>
      </c>
      <c r="T445" t="s">
        <v>1850</v>
      </c>
      <c r="U445" t="s">
        <v>1850</v>
      </c>
      <c r="V445" t="s">
        <v>1850</v>
      </c>
      <c r="W445" t="str">
        <f t="shared" si="1"/>
        <v/>
      </c>
    </row>
    <row r="446">
      <c r="A446" s="304"/>
      <c r="B446" s="310"/>
      <c r="C446" s="304"/>
      <c r="D446" s="304"/>
      <c r="E446" s="304"/>
      <c r="F446" s="304"/>
      <c r="G446" s="304"/>
      <c r="O446" t="str">
        <f>IFERROR(__xludf.DUMMYFUNCTION("regexextract(B446,""[\w]* [\w]*"")"),"#N/A")</f>
        <v>#N/A</v>
      </c>
      <c r="P446" t="str">
        <f t="shared" si="2"/>
        <v>#N/A</v>
      </c>
      <c r="Q446" t="str">
        <f t="shared" si="3"/>
        <v>#N/A</v>
      </c>
      <c r="R446" t="s">
        <v>1850</v>
      </c>
      <c r="S446" s="276" t="s">
        <v>1850</v>
      </c>
      <c r="T446" t="s">
        <v>1850</v>
      </c>
      <c r="U446" t="s">
        <v>1850</v>
      </c>
      <c r="V446" t="s">
        <v>1850</v>
      </c>
      <c r="W446" t="str">
        <f t="shared" si="1"/>
        <v/>
      </c>
    </row>
    <row r="447">
      <c r="A447" s="300"/>
      <c r="B447" s="307"/>
      <c r="C447" s="300"/>
      <c r="D447" s="300"/>
      <c r="E447" s="300"/>
      <c r="F447" s="300"/>
      <c r="G447" s="300"/>
      <c r="O447" t="str">
        <f>IFERROR(__xludf.DUMMYFUNCTION("regexextract(B447,""[\w]* [\w]*"")"),"#N/A")</f>
        <v>#N/A</v>
      </c>
      <c r="P447" t="str">
        <f t="shared" si="2"/>
        <v>#N/A</v>
      </c>
      <c r="Q447" t="str">
        <f t="shared" si="3"/>
        <v>#N/A</v>
      </c>
      <c r="R447" t="s">
        <v>1850</v>
      </c>
      <c r="S447" s="276" t="s">
        <v>1850</v>
      </c>
      <c r="T447" t="s">
        <v>1850</v>
      </c>
      <c r="U447" t="s">
        <v>1850</v>
      </c>
      <c r="V447" t="s">
        <v>1850</v>
      </c>
      <c r="W447" t="str">
        <f t="shared" si="1"/>
        <v/>
      </c>
    </row>
    <row r="448">
      <c r="A448" s="304"/>
      <c r="B448" s="310"/>
      <c r="C448" s="304"/>
      <c r="D448" s="304"/>
      <c r="E448" s="304"/>
      <c r="F448" s="304"/>
      <c r="G448" s="304"/>
      <c r="O448" t="str">
        <f>IFERROR(__xludf.DUMMYFUNCTION("regexextract(B448,""[\w]* [\w]*"")"),"#N/A")</f>
        <v>#N/A</v>
      </c>
      <c r="P448" t="str">
        <f t="shared" si="2"/>
        <v>#N/A</v>
      </c>
      <c r="Q448" t="str">
        <f t="shared" si="3"/>
        <v>#N/A</v>
      </c>
      <c r="R448" t="s">
        <v>1850</v>
      </c>
      <c r="S448" s="276" t="s">
        <v>1850</v>
      </c>
      <c r="T448" t="s">
        <v>1850</v>
      </c>
      <c r="U448" t="s">
        <v>1850</v>
      </c>
      <c r="V448" t="s">
        <v>1850</v>
      </c>
      <c r="W448" t="str">
        <f t="shared" si="1"/>
        <v/>
      </c>
    </row>
    <row r="449">
      <c r="A449" s="300"/>
      <c r="B449" s="307"/>
      <c r="C449" s="300"/>
      <c r="D449" s="300"/>
      <c r="E449" s="300"/>
      <c r="F449" s="300"/>
      <c r="G449" s="300"/>
      <c r="O449" t="str">
        <f>IFERROR(__xludf.DUMMYFUNCTION("regexextract(B449,""[\w]* [\w]*"")"),"#N/A")</f>
        <v>#N/A</v>
      </c>
      <c r="P449" t="str">
        <f t="shared" si="2"/>
        <v>#N/A</v>
      </c>
      <c r="Q449" t="str">
        <f t="shared" si="3"/>
        <v>#N/A</v>
      </c>
      <c r="R449" t="s">
        <v>1850</v>
      </c>
      <c r="S449" s="276" t="s">
        <v>1850</v>
      </c>
      <c r="T449" t="s">
        <v>1850</v>
      </c>
      <c r="U449" t="s">
        <v>1850</v>
      </c>
      <c r="V449" t="s">
        <v>1850</v>
      </c>
      <c r="W449" t="str">
        <f t="shared" si="1"/>
        <v/>
      </c>
    </row>
    <row r="450">
      <c r="A450" s="304"/>
      <c r="B450" s="310"/>
      <c r="C450" s="304"/>
      <c r="D450" s="304"/>
      <c r="E450" s="304"/>
      <c r="F450" s="304"/>
      <c r="G450" s="304"/>
      <c r="O450" t="str">
        <f>IFERROR(__xludf.DUMMYFUNCTION("regexextract(B450,""[\w]* [\w]*"")"),"#N/A")</f>
        <v>#N/A</v>
      </c>
      <c r="P450" t="str">
        <f t="shared" si="2"/>
        <v>#N/A</v>
      </c>
      <c r="Q450" t="str">
        <f t="shared" si="3"/>
        <v>#N/A</v>
      </c>
      <c r="R450" t="s">
        <v>1850</v>
      </c>
      <c r="S450" s="276" t="s">
        <v>1850</v>
      </c>
      <c r="T450" t="s">
        <v>1850</v>
      </c>
      <c r="U450" t="s">
        <v>1850</v>
      </c>
      <c r="V450" t="s">
        <v>1850</v>
      </c>
      <c r="W450" t="str">
        <f t="shared" si="1"/>
        <v/>
      </c>
    </row>
    <row r="451">
      <c r="A451" s="300"/>
      <c r="B451" s="307"/>
      <c r="C451" s="300"/>
      <c r="D451" s="300"/>
      <c r="E451" s="300"/>
      <c r="F451" s="300"/>
      <c r="G451" s="300"/>
      <c r="O451" t="str">
        <f>IFERROR(__xludf.DUMMYFUNCTION("regexextract(B451,""[\w]* [\w]*"")"),"#N/A")</f>
        <v>#N/A</v>
      </c>
      <c r="P451" t="str">
        <f t="shared" si="2"/>
        <v>#N/A</v>
      </c>
      <c r="Q451" t="str">
        <f t="shared" si="3"/>
        <v>#N/A</v>
      </c>
      <c r="R451" t="s">
        <v>1850</v>
      </c>
      <c r="S451" s="276" t="s">
        <v>1850</v>
      </c>
      <c r="T451" t="s">
        <v>1850</v>
      </c>
      <c r="U451" t="s">
        <v>1850</v>
      </c>
      <c r="V451" t="s">
        <v>1850</v>
      </c>
      <c r="W451" t="str">
        <f t="shared" si="1"/>
        <v/>
      </c>
    </row>
    <row r="452">
      <c r="A452" s="304"/>
      <c r="B452" s="310"/>
      <c r="C452" s="304"/>
      <c r="D452" s="304"/>
      <c r="E452" s="304"/>
      <c r="F452" s="304"/>
      <c r="G452" s="304"/>
      <c r="O452" t="str">
        <f>IFERROR(__xludf.DUMMYFUNCTION("regexextract(B452,""[\w]* [\w]*"")"),"#N/A")</f>
        <v>#N/A</v>
      </c>
      <c r="P452" t="str">
        <f t="shared" si="2"/>
        <v>#N/A</v>
      </c>
      <c r="Q452" t="str">
        <f t="shared" si="3"/>
        <v>#N/A</v>
      </c>
      <c r="R452" t="s">
        <v>1850</v>
      </c>
      <c r="S452" s="276" t="s">
        <v>1850</v>
      </c>
      <c r="T452" t="s">
        <v>1850</v>
      </c>
      <c r="U452" t="s">
        <v>1850</v>
      </c>
      <c r="V452" t="s">
        <v>1850</v>
      </c>
      <c r="W452" t="str">
        <f t="shared" si="1"/>
        <v/>
      </c>
    </row>
    <row r="453">
      <c r="A453" s="300"/>
      <c r="B453" s="307"/>
      <c r="C453" s="300"/>
      <c r="D453" s="300"/>
      <c r="E453" s="300"/>
      <c r="F453" s="300"/>
      <c r="G453" s="300"/>
      <c r="O453" t="str">
        <f>IFERROR(__xludf.DUMMYFUNCTION("regexextract(B453,""[\w]* [\w]*"")"),"#N/A")</f>
        <v>#N/A</v>
      </c>
      <c r="P453" t="str">
        <f t="shared" si="2"/>
        <v>#N/A</v>
      </c>
      <c r="Q453" t="str">
        <f t="shared" si="3"/>
        <v>#N/A</v>
      </c>
      <c r="R453" t="s">
        <v>1850</v>
      </c>
      <c r="S453" s="276" t="s">
        <v>1850</v>
      </c>
      <c r="T453" t="s">
        <v>1850</v>
      </c>
      <c r="U453" t="s">
        <v>1850</v>
      </c>
      <c r="V453" t="s">
        <v>1850</v>
      </c>
      <c r="W453" t="str">
        <f t="shared" si="1"/>
        <v/>
      </c>
    </row>
    <row r="454">
      <c r="A454" s="304"/>
      <c r="B454" s="310"/>
      <c r="C454" s="304"/>
      <c r="D454" s="304"/>
      <c r="E454" s="304"/>
      <c r="F454" s="304"/>
      <c r="G454" s="304"/>
      <c r="O454" t="str">
        <f>IFERROR(__xludf.DUMMYFUNCTION("regexextract(B454,""[\w]* [\w]*"")"),"#N/A")</f>
        <v>#N/A</v>
      </c>
      <c r="P454" t="str">
        <f t="shared" si="2"/>
        <v>#N/A</v>
      </c>
      <c r="Q454" t="str">
        <f t="shared" si="3"/>
        <v>#N/A</v>
      </c>
      <c r="R454" t="s">
        <v>1850</v>
      </c>
      <c r="S454" s="276" t="s">
        <v>1850</v>
      </c>
      <c r="T454" t="s">
        <v>1850</v>
      </c>
      <c r="U454" t="s">
        <v>1850</v>
      </c>
      <c r="V454" t="s">
        <v>1850</v>
      </c>
      <c r="W454" t="str">
        <f t="shared" si="1"/>
        <v/>
      </c>
    </row>
    <row r="455">
      <c r="A455" s="300"/>
      <c r="B455" s="307"/>
      <c r="C455" s="300"/>
      <c r="D455" s="300"/>
      <c r="E455" s="300"/>
      <c r="F455" s="300"/>
      <c r="G455" s="300"/>
      <c r="O455" t="str">
        <f>IFERROR(__xludf.DUMMYFUNCTION("regexextract(B455,""[\w]* [\w]*"")"),"#N/A")</f>
        <v>#N/A</v>
      </c>
      <c r="P455" t="str">
        <f t="shared" si="2"/>
        <v>#N/A</v>
      </c>
      <c r="Q455" t="str">
        <f t="shared" si="3"/>
        <v>#N/A</v>
      </c>
      <c r="R455" t="s">
        <v>1850</v>
      </c>
      <c r="S455" s="276" t="s">
        <v>1850</v>
      </c>
      <c r="T455" t="s">
        <v>1850</v>
      </c>
      <c r="U455" t="s">
        <v>1850</v>
      </c>
      <c r="V455" t="s">
        <v>1850</v>
      </c>
      <c r="W455" t="str">
        <f t="shared" si="1"/>
        <v/>
      </c>
    </row>
    <row r="456">
      <c r="A456" s="304"/>
      <c r="B456" s="310"/>
      <c r="C456" s="304"/>
      <c r="D456" s="304"/>
      <c r="E456" s="304"/>
      <c r="F456" s="304"/>
      <c r="G456" s="304"/>
      <c r="O456" t="str">
        <f>IFERROR(__xludf.DUMMYFUNCTION("regexextract(B456,""[\w]* [\w]*"")"),"#N/A")</f>
        <v>#N/A</v>
      </c>
      <c r="P456" t="str">
        <f t="shared" si="2"/>
        <v>#N/A</v>
      </c>
      <c r="Q456" t="str">
        <f t="shared" si="3"/>
        <v>#N/A</v>
      </c>
      <c r="R456" t="s">
        <v>1850</v>
      </c>
      <c r="S456" s="276" t="s">
        <v>1850</v>
      </c>
      <c r="T456" t="s">
        <v>1850</v>
      </c>
      <c r="U456" t="s">
        <v>1850</v>
      </c>
      <c r="V456" t="s">
        <v>1850</v>
      </c>
      <c r="W456" t="str">
        <f t="shared" si="1"/>
        <v/>
      </c>
    </row>
    <row r="457">
      <c r="A457" s="300"/>
      <c r="B457" s="307"/>
      <c r="C457" s="300"/>
      <c r="D457" s="300"/>
      <c r="E457" s="300"/>
      <c r="F457" s="300"/>
      <c r="G457" s="300"/>
      <c r="O457" t="str">
        <f>IFERROR(__xludf.DUMMYFUNCTION("regexextract(B457,""[\w]* [\w]*"")"),"#N/A")</f>
        <v>#N/A</v>
      </c>
      <c r="P457" t="str">
        <f t="shared" si="2"/>
        <v>#N/A</v>
      </c>
      <c r="Q457" t="str">
        <f t="shared" si="3"/>
        <v>#N/A</v>
      </c>
      <c r="R457" t="s">
        <v>1850</v>
      </c>
      <c r="S457" s="276" t="s">
        <v>1850</v>
      </c>
      <c r="T457" t="s">
        <v>1850</v>
      </c>
      <c r="U457" t="s">
        <v>1850</v>
      </c>
      <c r="V457" t="s">
        <v>1850</v>
      </c>
      <c r="W457" t="str">
        <f t="shared" si="1"/>
        <v/>
      </c>
    </row>
    <row r="458">
      <c r="A458" s="304"/>
      <c r="B458" s="310"/>
      <c r="C458" s="304"/>
      <c r="D458" s="304"/>
      <c r="E458" s="304"/>
      <c r="F458" s="304"/>
      <c r="G458" s="304"/>
      <c r="O458" t="str">
        <f>IFERROR(__xludf.DUMMYFUNCTION("regexextract(B458,""[\w]* [\w]*"")"),"#N/A")</f>
        <v>#N/A</v>
      </c>
      <c r="P458" t="str">
        <f t="shared" si="2"/>
        <v>#N/A</v>
      </c>
      <c r="Q458" t="str">
        <f t="shared" si="3"/>
        <v>#N/A</v>
      </c>
      <c r="R458" t="s">
        <v>1850</v>
      </c>
      <c r="S458" s="276" t="s">
        <v>1850</v>
      </c>
      <c r="T458" t="s">
        <v>1850</v>
      </c>
      <c r="U458" t="s">
        <v>1850</v>
      </c>
      <c r="V458" t="s">
        <v>1850</v>
      </c>
      <c r="W458" t="str">
        <f t="shared" si="1"/>
        <v/>
      </c>
    </row>
    <row r="459">
      <c r="A459" s="300"/>
      <c r="B459" s="307"/>
      <c r="C459" s="300"/>
      <c r="D459" s="300"/>
      <c r="E459" s="300"/>
      <c r="F459" s="300"/>
      <c r="G459" s="300"/>
      <c r="O459" t="str">
        <f>IFERROR(__xludf.DUMMYFUNCTION("regexextract(B459,""[\w]* [\w]*"")"),"#N/A")</f>
        <v>#N/A</v>
      </c>
      <c r="P459" t="str">
        <f t="shared" si="2"/>
        <v>#N/A</v>
      </c>
      <c r="Q459" t="str">
        <f t="shared" si="3"/>
        <v>#N/A</v>
      </c>
      <c r="R459" t="s">
        <v>1850</v>
      </c>
      <c r="S459" s="276" t="s">
        <v>1850</v>
      </c>
      <c r="T459" t="s">
        <v>1850</v>
      </c>
      <c r="U459" t="s">
        <v>1850</v>
      </c>
      <c r="V459" t="s">
        <v>1850</v>
      </c>
      <c r="W459" t="str">
        <f t="shared" si="1"/>
        <v/>
      </c>
    </row>
    <row r="460">
      <c r="A460" s="304"/>
      <c r="B460" s="310"/>
      <c r="C460" s="304"/>
      <c r="D460" s="304"/>
      <c r="E460" s="304"/>
      <c r="F460" s="304"/>
      <c r="G460" s="304"/>
      <c r="O460" t="str">
        <f>IFERROR(__xludf.DUMMYFUNCTION("regexextract(B460,""[\w]* [\w]*"")"),"#N/A")</f>
        <v>#N/A</v>
      </c>
      <c r="P460" t="str">
        <f t="shared" si="2"/>
        <v>#N/A</v>
      </c>
      <c r="Q460" t="str">
        <f t="shared" si="3"/>
        <v>#N/A</v>
      </c>
      <c r="R460" t="s">
        <v>1850</v>
      </c>
      <c r="S460" s="276" t="s">
        <v>1850</v>
      </c>
      <c r="T460" t="s">
        <v>1850</v>
      </c>
      <c r="U460" t="s">
        <v>1850</v>
      </c>
      <c r="V460" t="s">
        <v>1850</v>
      </c>
      <c r="W460" t="str">
        <f t="shared" si="1"/>
        <v/>
      </c>
    </row>
    <row r="461">
      <c r="A461" s="300"/>
      <c r="B461" s="307"/>
      <c r="C461" s="300"/>
      <c r="D461" s="300"/>
      <c r="E461" s="300"/>
      <c r="F461" s="300"/>
      <c r="G461" s="300"/>
      <c r="O461" t="str">
        <f>IFERROR(__xludf.DUMMYFUNCTION("regexextract(B461,""[\w]* [\w]*"")"),"#N/A")</f>
        <v>#N/A</v>
      </c>
      <c r="P461" t="str">
        <f t="shared" si="2"/>
        <v>#N/A</v>
      </c>
      <c r="Q461" t="str">
        <f t="shared" si="3"/>
        <v>#N/A</v>
      </c>
      <c r="R461" t="s">
        <v>1850</v>
      </c>
      <c r="S461" s="276" t="s">
        <v>1850</v>
      </c>
      <c r="T461" t="s">
        <v>1850</v>
      </c>
      <c r="U461" t="s">
        <v>1850</v>
      </c>
      <c r="V461" t="s">
        <v>1850</v>
      </c>
      <c r="W461" t="str">
        <f t="shared" si="1"/>
        <v/>
      </c>
    </row>
    <row r="462">
      <c r="A462" s="304"/>
      <c r="B462" s="310"/>
      <c r="C462" s="304"/>
      <c r="D462" s="304"/>
      <c r="E462" s="304"/>
      <c r="F462" s="304"/>
      <c r="G462" s="304"/>
      <c r="O462" t="str">
        <f>IFERROR(__xludf.DUMMYFUNCTION("regexextract(B462,""[\w]* [\w]*"")"),"#N/A")</f>
        <v>#N/A</v>
      </c>
      <c r="P462" t="str">
        <f t="shared" si="2"/>
        <v>#N/A</v>
      </c>
      <c r="Q462" t="str">
        <f t="shared" si="3"/>
        <v>#N/A</v>
      </c>
      <c r="R462" t="s">
        <v>1850</v>
      </c>
      <c r="S462" s="276" t="s">
        <v>1850</v>
      </c>
      <c r="T462" t="s">
        <v>1850</v>
      </c>
      <c r="U462" t="s">
        <v>1850</v>
      </c>
      <c r="V462" t="s">
        <v>1850</v>
      </c>
      <c r="W462" t="str">
        <f t="shared" si="1"/>
        <v/>
      </c>
    </row>
    <row r="463">
      <c r="A463" s="300"/>
      <c r="B463" s="307"/>
      <c r="C463" s="300"/>
      <c r="D463" s="300"/>
      <c r="E463" s="300"/>
      <c r="F463" s="300"/>
      <c r="G463" s="300"/>
      <c r="O463" t="str">
        <f>IFERROR(__xludf.DUMMYFUNCTION("regexextract(B463,""[\w]* [\w]*"")"),"#N/A")</f>
        <v>#N/A</v>
      </c>
      <c r="P463" t="str">
        <f t="shared" si="2"/>
        <v>#N/A</v>
      </c>
      <c r="Q463" t="str">
        <f t="shared" si="3"/>
        <v>#N/A</v>
      </c>
      <c r="R463" t="s">
        <v>1850</v>
      </c>
      <c r="S463" s="276" t="s">
        <v>1850</v>
      </c>
      <c r="T463" t="s">
        <v>1850</v>
      </c>
      <c r="U463" t="s">
        <v>1850</v>
      </c>
      <c r="V463" t="s">
        <v>1850</v>
      </c>
      <c r="W463" t="str">
        <f t="shared" si="1"/>
        <v/>
      </c>
    </row>
    <row r="464">
      <c r="A464" s="304"/>
      <c r="B464" s="310"/>
      <c r="C464" s="304"/>
      <c r="D464" s="304"/>
      <c r="E464" s="304"/>
      <c r="F464" s="304"/>
      <c r="G464" s="304"/>
      <c r="O464" t="str">
        <f>IFERROR(__xludf.DUMMYFUNCTION("regexextract(B464,""[\w]* [\w]*"")"),"#N/A")</f>
        <v>#N/A</v>
      </c>
      <c r="P464" t="str">
        <f t="shared" si="2"/>
        <v>#N/A</v>
      </c>
      <c r="Q464" t="str">
        <f t="shared" si="3"/>
        <v>#N/A</v>
      </c>
      <c r="R464" t="s">
        <v>1850</v>
      </c>
      <c r="S464" s="276" t="s">
        <v>1850</v>
      </c>
      <c r="T464" t="s">
        <v>1850</v>
      </c>
      <c r="U464" t="s">
        <v>1850</v>
      </c>
      <c r="V464" t="s">
        <v>1850</v>
      </c>
      <c r="W464" t="str">
        <f t="shared" si="1"/>
        <v/>
      </c>
    </row>
    <row r="465">
      <c r="A465" s="300"/>
      <c r="B465" s="307"/>
      <c r="C465" s="300"/>
      <c r="D465" s="300"/>
      <c r="E465" s="300"/>
      <c r="F465" s="300"/>
      <c r="G465" s="300"/>
      <c r="O465" t="str">
        <f>IFERROR(__xludf.DUMMYFUNCTION("regexextract(B465,""[\w]* [\w]*"")"),"#N/A")</f>
        <v>#N/A</v>
      </c>
      <c r="P465" t="str">
        <f t="shared" si="2"/>
        <v>#N/A</v>
      </c>
      <c r="Q465" t="str">
        <f t="shared" si="3"/>
        <v>#N/A</v>
      </c>
      <c r="R465" t="s">
        <v>1850</v>
      </c>
      <c r="S465" s="276" t="s">
        <v>1850</v>
      </c>
      <c r="T465" t="s">
        <v>1850</v>
      </c>
      <c r="U465" t="s">
        <v>1850</v>
      </c>
      <c r="V465" t="s">
        <v>1850</v>
      </c>
      <c r="W465" t="str">
        <f t="shared" si="1"/>
        <v/>
      </c>
    </row>
    <row r="466">
      <c r="A466" s="304"/>
      <c r="B466" s="310"/>
      <c r="C466" s="304"/>
      <c r="D466" s="304"/>
      <c r="E466" s="304"/>
      <c r="F466" s="304"/>
      <c r="G466" s="304"/>
      <c r="O466" t="str">
        <f>IFERROR(__xludf.DUMMYFUNCTION("regexextract(B466,""[\w]* [\w]*"")"),"#N/A")</f>
        <v>#N/A</v>
      </c>
      <c r="P466" t="str">
        <f t="shared" si="2"/>
        <v>#N/A</v>
      </c>
      <c r="Q466" t="str">
        <f t="shared" si="3"/>
        <v>#N/A</v>
      </c>
      <c r="R466" t="s">
        <v>1850</v>
      </c>
      <c r="S466" s="276" t="s">
        <v>1850</v>
      </c>
      <c r="T466" t="s">
        <v>1850</v>
      </c>
      <c r="U466" t="s">
        <v>1850</v>
      </c>
      <c r="V466" t="s">
        <v>1850</v>
      </c>
      <c r="W466" t="str">
        <f t="shared" si="1"/>
        <v/>
      </c>
    </row>
    <row r="467">
      <c r="A467" s="300"/>
      <c r="B467" s="307"/>
      <c r="C467" s="300"/>
      <c r="D467" s="300"/>
      <c r="E467" s="300"/>
      <c r="F467" s="300"/>
      <c r="G467" s="300"/>
      <c r="O467" t="str">
        <f>IFERROR(__xludf.DUMMYFUNCTION("regexextract(B467,""[\w]* [\w]*"")"),"#N/A")</f>
        <v>#N/A</v>
      </c>
      <c r="P467" t="str">
        <f t="shared" si="2"/>
        <v>#N/A</v>
      </c>
      <c r="Q467" t="str">
        <f t="shared" si="3"/>
        <v>#N/A</v>
      </c>
      <c r="R467" t="s">
        <v>1850</v>
      </c>
      <c r="S467" s="276" t="s">
        <v>1850</v>
      </c>
      <c r="T467" t="s">
        <v>1850</v>
      </c>
      <c r="U467" t="s">
        <v>1850</v>
      </c>
      <c r="V467" t="s">
        <v>1850</v>
      </c>
      <c r="W467" t="str">
        <f t="shared" si="1"/>
        <v/>
      </c>
    </row>
    <row r="468">
      <c r="A468" s="304"/>
      <c r="B468" s="310"/>
      <c r="C468" s="304"/>
      <c r="D468" s="304"/>
      <c r="E468" s="304"/>
      <c r="F468" s="304"/>
      <c r="G468" s="304"/>
      <c r="O468" t="str">
        <f>IFERROR(__xludf.DUMMYFUNCTION("regexextract(B468,""[\w]* [\w]*"")"),"#N/A")</f>
        <v>#N/A</v>
      </c>
      <c r="P468" t="str">
        <f t="shared" si="2"/>
        <v>#N/A</v>
      </c>
      <c r="Q468" t="str">
        <f t="shared" si="3"/>
        <v>#N/A</v>
      </c>
      <c r="R468" t="s">
        <v>1850</v>
      </c>
      <c r="S468" s="276" t="s">
        <v>1850</v>
      </c>
      <c r="T468" t="s">
        <v>1850</v>
      </c>
      <c r="U468" t="s">
        <v>1850</v>
      </c>
      <c r="V468" t="s">
        <v>1850</v>
      </c>
      <c r="W468" t="str">
        <f t="shared" si="1"/>
        <v/>
      </c>
    </row>
    <row r="469">
      <c r="A469" s="300"/>
      <c r="B469" s="307"/>
      <c r="C469" s="300"/>
      <c r="D469" s="300"/>
      <c r="E469" s="300"/>
      <c r="F469" s="300"/>
      <c r="G469" s="300"/>
      <c r="O469" t="str">
        <f>IFERROR(__xludf.DUMMYFUNCTION("regexextract(B469,""[\w]* [\w]*"")"),"#N/A")</f>
        <v>#N/A</v>
      </c>
      <c r="P469" t="str">
        <f t="shared" si="2"/>
        <v>#N/A</v>
      </c>
      <c r="Q469" t="str">
        <f t="shared" si="3"/>
        <v>#N/A</v>
      </c>
      <c r="R469" t="s">
        <v>1850</v>
      </c>
      <c r="S469" s="276" t="s">
        <v>1850</v>
      </c>
      <c r="T469" t="s">
        <v>1850</v>
      </c>
      <c r="U469" t="s">
        <v>1850</v>
      </c>
      <c r="V469" t="s">
        <v>1850</v>
      </c>
      <c r="W469" t="str">
        <f t="shared" si="1"/>
        <v/>
      </c>
    </row>
    <row r="470">
      <c r="A470" s="304"/>
      <c r="B470" s="310"/>
      <c r="C470" s="304"/>
      <c r="D470" s="304"/>
      <c r="E470" s="304"/>
      <c r="F470" s="304"/>
      <c r="G470" s="304"/>
      <c r="O470" t="str">
        <f>IFERROR(__xludf.DUMMYFUNCTION("regexextract(B470,""[\w]* [\w]*"")"),"#N/A")</f>
        <v>#N/A</v>
      </c>
      <c r="P470" t="str">
        <f t="shared" si="2"/>
        <v>#N/A</v>
      </c>
      <c r="Q470" t="str">
        <f t="shared" si="3"/>
        <v>#N/A</v>
      </c>
      <c r="R470" t="s">
        <v>1850</v>
      </c>
      <c r="S470" s="276" t="s">
        <v>1850</v>
      </c>
      <c r="T470" t="s">
        <v>1850</v>
      </c>
      <c r="U470" t="s">
        <v>1850</v>
      </c>
      <c r="V470" t="s">
        <v>1850</v>
      </c>
      <c r="W470" t="str">
        <f t="shared" si="1"/>
        <v/>
      </c>
    </row>
    <row r="471">
      <c r="A471" s="300"/>
      <c r="B471" s="307"/>
      <c r="C471" s="300"/>
      <c r="D471" s="300"/>
      <c r="E471" s="300"/>
      <c r="F471" s="300"/>
      <c r="G471" s="300"/>
      <c r="O471" t="str">
        <f>IFERROR(__xludf.DUMMYFUNCTION("regexextract(B471,""[\w]* [\w]*"")"),"#N/A")</f>
        <v>#N/A</v>
      </c>
      <c r="P471" t="str">
        <f t="shared" si="2"/>
        <v>#N/A</v>
      </c>
      <c r="Q471" t="str">
        <f t="shared" si="3"/>
        <v>#N/A</v>
      </c>
      <c r="R471" t="s">
        <v>1850</v>
      </c>
      <c r="S471" s="276" t="s">
        <v>1850</v>
      </c>
      <c r="T471" t="s">
        <v>1850</v>
      </c>
      <c r="U471" t="s">
        <v>1850</v>
      </c>
      <c r="V471" t="s">
        <v>1850</v>
      </c>
      <c r="W471" t="str">
        <f t="shared" si="1"/>
        <v/>
      </c>
    </row>
    <row r="472">
      <c r="A472" s="304"/>
      <c r="B472" s="310"/>
      <c r="C472" s="304"/>
      <c r="D472" s="304"/>
      <c r="E472" s="304"/>
      <c r="F472" s="304"/>
      <c r="G472" s="304"/>
      <c r="O472" t="str">
        <f>IFERROR(__xludf.DUMMYFUNCTION("regexextract(B472,""[\w]* [\w]*"")"),"#N/A")</f>
        <v>#N/A</v>
      </c>
      <c r="P472" t="str">
        <f t="shared" si="2"/>
        <v>#N/A</v>
      </c>
      <c r="Q472" t="str">
        <f t="shared" si="3"/>
        <v>#N/A</v>
      </c>
      <c r="R472" t="s">
        <v>1850</v>
      </c>
      <c r="S472" s="276" t="s">
        <v>1850</v>
      </c>
      <c r="T472" t="s">
        <v>1850</v>
      </c>
      <c r="U472" t="s">
        <v>1850</v>
      </c>
      <c r="V472" t="s">
        <v>1850</v>
      </c>
      <c r="W472" t="str">
        <f t="shared" si="1"/>
        <v/>
      </c>
    </row>
    <row r="473">
      <c r="A473" s="300"/>
      <c r="B473" s="307"/>
      <c r="C473" s="300"/>
      <c r="D473" s="300"/>
      <c r="E473" s="300"/>
      <c r="F473" s="300"/>
      <c r="G473" s="300"/>
      <c r="O473" t="str">
        <f>IFERROR(__xludf.DUMMYFUNCTION("regexextract(B473,""[\w]* [\w]*"")"),"#N/A")</f>
        <v>#N/A</v>
      </c>
      <c r="P473" t="str">
        <f t="shared" si="2"/>
        <v>#N/A</v>
      </c>
      <c r="Q473" t="str">
        <f t="shared" si="3"/>
        <v>#N/A</v>
      </c>
      <c r="R473" t="s">
        <v>1850</v>
      </c>
      <c r="S473" s="276" t="s">
        <v>1850</v>
      </c>
      <c r="T473" t="s">
        <v>1850</v>
      </c>
      <c r="U473" t="s">
        <v>1850</v>
      </c>
      <c r="V473" t="s">
        <v>1850</v>
      </c>
      <c r="W473" t="str">
        <f t="shared" si="1"/>
        <v/>
      </c>
    </row>
    <row r="474">
      <c r="A474" s="304"/>
      <c r="B474" s="310"/>
      <c r="C474" s="304"/>
      <c r="D474" s="304"/>
      <c r="E474" s="304"/>
      <c r="F474" s="304"/>
      <c r="G474" s="304"/>
      <c r="O474" t="str">
        <f>IFERROR(__xludf.DUMMYFUNCTION("regexextract(B474,""[\w]* [\w]*"")"),"#N/A")</f>
        <v>#N/A</v>
      </c>
      <c r="P474" t="str">
        <f t="shared" si="2"/>
        <v>#N/A</v>
      </c>
      <c r="Q474" t="str">
        <f t="shared" si="3"/>
        <v>#N/A</v>
      </c>
      <c r="R474" t="s">
        <v>1850</v>
      </c>
      <c r="S474" s="276" t="s">
        <v>1850</v>
      </c>
      <c r="T474" t="s">
        <v>1850</v>
      </c>
      <c r="U474" t="s">
        <v>1850</v>
      </c>
      <c r="V474" t="s">
        <v>1850</v>
      </c>
      <c r="W474" t="str">
        <f t="shared" si="1"/>
        <v/>
      </c>
    </row>
    <row r="475">
      <c r="A475" s="300"/>
      <c r="B475" s="307"/>
      <c r="C475" s="300"/>
      <c r="D475" s="300"/>
      <c r="E475" s="300"/>
      <c r="F475" s="300"/>
      <c r="G475" s="300"/>
      <c r="O475" t="str">
        <f>IFERROR(__xludf.DUMMYFUNCTION("regexextract(B475,""[\w]* [\w]*"")"),"#N/A")</f>
        <v>#N/A</v>
      </c>
      <c r="P475" t="str">
        <f t="shared" si="2"/>
        <v>#N/A</v>
      </c>
      <c r="Q475" t="str">
        <f t="shared" si="3"/>
        <v>#N/A</v>
      </c>
      <c r="R475" t="s">
        <v>1850</v>
      </c>
      <c r="S475" s="276" t="s">
        <v>1850</v>
      </c>
      <c r="T475" t="s">
        <v>1850</v>
      </c>
      <c r="U475" t="s">
        <v>1850</v>
      </c>
      <c r="V475" t="s">
        <v>1850</v>
      </c>
      <c r="W475" t="str">
        <f t="shared" si="1"/>
        <v/>
      </c>
    </row>
    <row r="476">
      <c r="A476" s="304"/>
      <c r="B476" s="310"/>
      <c r="C476" s="304"/>
      <c r="D476" s="304"/>
      <c r="E476" s="304"/>
      <c r="F476" s="304"/>
      <c r="G476" s="304"/>
      <c r="O476" t="str">
        <f>IFERROR(__xludf.DUMMYFUNCTION("regexextract(B476,""[\w]* [\w]*"")"),"#N/A")</f>
        <v>#N/A</v>
      </c>
      <c r="P476" t="str">
        <f t="shared" si="2"/>
        <v>#N/A</v>
      </c>
      <c r="Q476" t="str">
        <f t="shared" si="3"/>
        <v>#N/A</v>
      </c>
      <c r="R476" t="s">
        <v>1850</v>
      </c>
      <c r="S476" s="276" t="s">
        <v>1850</v>
      </c>
      <c r="T476" t="s">
        <v>1850</v>
      </c>
      <c r="U476" t="s">
        <v>1850</v>
      </c>
      <c r="V476" t="s">
        <v>1850</v>
      </c>
      <c r="W476" t="str">
        <f t="shared" si="1"/>
        <v/>
      </c>
    </row>
    <row r="477">
      <c r="A477" s="300"/>
      <c r="B477" s="307"/>
      <c r="C477" s="300"/>
      <c r="D477" s="300"/>
      <c r="E477" s="300"/>
      <c r="F477" s="300"/>
      <c r="G477" s="300"/>
      <c r="O477" t="str">
        <f>IFERROR(__xludf.DUMMYFUNCTION("regexextract(B477,""[\w]* [\w]*"")"),"#N/A")</f>
        <v>#N/A</v>
      </c>
      <c r="P477" t="str">
        <f t="shared" si="2"/>
        <v>#N/A</v>
      </c>
      <c r="Q477" t="str">
        <f t="shared" si="3"/>
        <v>#N/A</v>
      </c>
      <c r="R477" t="s">
        <v>1850</v>
      </c>
      <c r="S477" s="276" t="s">
        <v>1850</v>
      </c>
      <c r="T477" t="s">
        <v>1850</v>
      </c>
      <c r="U477" t="s">
        <v>1850</v>
      </c>
      <c r="V477" t="s">
        <v>1850</v>
      </c>
      <c r="W477" t="str">
        <f t="shared" si="1"/>
        <v/>
      </c>
    </row>
    <row r="478">
      <c r="A478" s="304"/>
      <c r="B478" s="310"/>
      <c r="C478" s="304"/>
      <c r="D478" s="304"/>
      <c r="E478" s="304"/>
      <c r="F478" s="304"/>
      <c r="G478" s="304"/>
      <c r="O478" t="str">
        <f>IFERROR(__xludf.DUMMYFUNCTION("regexextract(B478,""[\w]* [\w]*"")"),"#N/A")</f>
        <v>#N/A</v>
      </c>
      <c r="P478" t="str">
        <f t="shared" si="2"/>
        <v>#N/A</v>
      </c>
      <c r="Q478" t="str">
        <f t="shared" si="3"/>
        <v>#N/A</v>
      </c>
      <c r="R478" t="s">
        <v>1850</v>
      </c>
      <c r="S478" s="276" t="s">
        <v>1850</v>
      </c>
      <c r="T478" t="s">
        <v>1850</v>
      </c>
      <c r="U478" t="s">
        <v>1850</v>
      </c>
      <c r="V478" t="s">
        <v>1850</v>
      </c>
      <c r="W478" t="str">
        <f t="shared" si="1"/>
        <v/>
      </c>
    </row>
    <row r="479">
      <c r="A479" s="300"/>
      <c r="B479" s="307"/>
      <c r="C479" s="300"/>
      <c r="D479" s="300"/>
      <c r="E479" s="300"/>
      <c r="F479" s="300"/>
      <c r="G479" s="300"/>
      <c r="O479" t="str">
        <f>IFERROR(__xludf.DUMMYFUNCTION("regexextract(B479,""[\w]* [\w]*"")"),"#N/A")</f>
        <v>#N/A</v>
      </c>
      <c r="P479" t="str">
        <f t="shared" si="2"/>
        <v>#N/A</v>
      </c>
      <c r="Q479" t="str">
        <f t="shared" si="3"/>
        <v>#N/A</v>
      </c>
      <c r="R479" t="s">
        <v>1850</v>
      </c>
      <c r="S479" s="276" t="s">
        <v>1850</v>
      </c>
      <c r="T479" t="s">
        <v>1850</v>
      </c>
      <c r="U479" t="s">
        <v>1850</v>
      </c>
      <c r="V479" t="s">
        <v>1850</v>
      </c>
      <c r="W479" t="str">
        <f t="shared" si="1"/>
        <v/>
      </c>
    </row>
    <row r="480">
      <c r="A480" s="304"/>
      <c r="B480" s="310"/>
      <c r="C480" s="304"/>
      <c r="D480" s="304"/>
      <c r="E480" s="304"/>
      <c r="F480" s="304"/>
      <c r="G480" s="304"/>
      <c r="O480" t="str">
        <f>IFERROR(__xludf.DUMMYFUNCTION("regexextract(B480,""[\w]* [\w]*"")"),"#N/A")</f>
        <v>#N/A</v>
      </c>
      <c r="P480" t="str">
        <f t="shared" si="2"/>
        <v>#N/A</v>
      </c>
      <c r="Q480" t="str">
        <f t="shared" si="3"/>
        <v>#N/A</v>
      </c>
      <c r="R480" t="s">
        <v>1850</v>
      </c>
      <c r="S480" s="276" t="s">
        <v>1850</v>
      </c>
      <c r="T480" t="s">
        <v>1850</v>
      </c>
      <c r="U480" t="s">
        <v>1850</v>
      </c>
      <c r="V480" t="s">
        <v>1850</v>
      </c>
      <c r="W480" t="str">
        <f t="shared" si="1"/>
        <v/>
      </c>
    </row>
    <row r="481">
      <c r="A481" s="300"/>
      <c r="B481" s="307"/>
      <c r="C481" s="300"/>
      <c r="D481" s="300"/>
      <c r="E481" s="300"/>
      <c r="F481" s="300"/>
      <c r="G481" s="300"/>
      <c r="O481" t="str">
        <f>IFERROR(__xludf.DUMMYFUNCTION("regexextract(B481,""[\w]* [\w]*"")"),"#N/A")</f>
        <v>#N/A</v>
      </c>
      <c r="P481" t="str">
        <f t="shared" si="2"/>
        <v>#N/A</v>
      </c>
      <c r="Q481" t="str">
        <f t="shared" si="3"/>
        <v>#N/A</v>
      </c>
      <c r="R481" t="s">
        <v>1850</v>
      </c>
      <c r="S481" s="276" t="s">
        <v>1850</v>
      </c>
      <c r="T481" t="s">
        <v>1850</v>
      </c>
      <c r="U481" t="s">
        <v>1850</v>
      </c>
      <c r="V481" t="s">
        <v>1850</v>
      </c>
      <c r="W481" t="str">
        <f t="shared" si="1"/>
        <v/>
      </c>
    </row>
    <row r="482">
      <c r="A482" s="304"/>
      <c r="B482" s="310"/>
      <c r="C482" s="304"/>
      <c r="D482" s="304"/>
      <c r="E482" s="304"/>
      <c r="F482" s="304"/>
      <c r="G482" s="304"/>
      <c r="O482" t="str">
        <f>IFERROR(__xludf.DUMMYFUNCTION("regexextract(B482,""[\w]* [\w]*"")"),"#N/A")</f>
        <v>#N/A</v>
      </c>
      <c r="P482" t="str">
        <f t="shared" si="2"/>
        <v>#N/A</v>
      </c>
      <c r="Q482" t="str">
        <f t="shared" si="3"/>
        <v>#N/A</v>
      </c>
      <c r="R482" t="s">
        <v>1850</v>
      </c>
      <c r="S482" s="276" t="s">
        <v>1850</v>
      </c>
      <c r="T482" t="s">
        <v>1850</v>
      </c>
      <c r="U482" t="s">
        <v>1850</v>
      </c>
      <c r="V482" t="s">
        <v>1850</v>
      </c>
      <c r="W482" t="str">
        <f t="shared" si="1"/>
        <v/>
      </c>
    </row>
    <row r="483">
      <c r="A483" s="300"/>
      <c r="B483" s="307"/>
      <c r="C483" s="300"/>
      <c r="D483" s="300"/>
      <c r="E483" s="300"/>
      <c r="F483" s="300"/>
      <c r="G483" s="300"/>
      <c r="O483" t="str">
        <f>IFERROR(__xludf.DUMMYFUNCTION("regexextract(B483,""[\w]* [\w]*"")"),"#N/A")</f>
        <v>#N/A</v>
      </c>
      <c r="P483" t="str">
        <f t="shared" si="2"/>
        <v>#N/A</v>
      </c>
      <c r="Q483" t="str">
        <f t="shared" si="3"/>
        <v>#N/A</v>
      </c>
      <c r="R483" t="s">
        <v>1850</v>
      </c>
      <c r="S483" s="276" t="s">
        <v>1850</v>
      </c>
      <c r="T483" t="s">
        <v>1850</v>
      </c>
      <c r="U483" t="s">
        <v>1850</v>
      </c>
      <c r="V483" t="s">
        <v>1850</v>
      </c>
      <c r="W483" t="str">
        <f t="shared" si="1"/>
        <v/>
      </c>
    </row>
    <row r="484">
      <c r="A484" s="304"/>
      <c r="B484" s="310"/>
      <c r="C484" s="304"/>
      <c r="D484" s="304"/>
      <c r="E484" s="304"/>
      <c r="F484" s="304"/>
      <c r="G484" s="304"/>
      <c r="O484" t="str">
        <f>IFERROR(__xludf.DUMMYFUNCTION("regexextract(B484,""[\w]* [\w]*"")"),"#N/A")</f>
        <v>#N/A</v>
      </c>
      <c r="P484" t="str">
        <f t="shared" si="2"/>
        <v>#N/A</v>
      </c>
      <c r="Q484" t="str">
        <f t="shared" si="3"/>
        <v>#N/A</v>
      </c>
      <c r="R484" t="s">
        <v>1850</v>
      </c>
      <c r="S484" s="276" t="s">
        <v>1850</v>
      </c>
      <c r="T484" t="s">
        <v>1850</v>
      </c>
      <c r="U484" t="s">
        <v>1850</v>
      </c>
      <c r="V484" t="s">
        <v>1850</v>
      </c>
      <c r="W484" t="str">
        <f t="shared" si="1"/>
        <v/>
      </c>
    </row>
    <row r="485">
      <c r="A485" s="300"/>
      <c r="B485" s="307"/>
      <c r="C485" s="300"/>
      <c r="D485" s="300"/>
      <c r="E485" s="300"/>
      <c r="F485" s="300"/>
      <c r="G485" s="300"/>
      <c r="O485" t="str">
        <f>IFERROR(__xludf.DUMMYFUNCTION("regexextract(B485,""[\w]* [\w]*"")"),"#N/A")</f>
        <v>#N/A</v>
      </c>
      <c r="P485" t="str">
        <f t="shared" si="2"/>
        <v>#N/A</v>
      </c>
      <c r="Q485" t="str">
        <f t="shared" si="3"/>
        <v>#N/A</v>
      </c>
      <c r="R485" t="s">
        <v>1850</v>
      </c>
      <c r="S485" s="276" t="s">
        <v>1850</v>
      </c>
      <c r="T485" t="s">
        <v>1850</v>
      </c>
      <c r="U485" t="s">
        <v>1850</v>
      </c>
      <c r="V485" t="s">
        <v>1850</v>
      </c>
      <c r="W485" t="str">
        <f t="shared" si="1"/>
        <v/>
      </c>
    </row>
    <row r="486">
      <c r="A486" s="304"/>
      <c r="B486" s="310"/>
      <c r="C486" s="304"/>
      <c r="D486" s="305"/>
      <c r="E486" s="304"/>
      <c r="F486" s="305"/>
      <c r="G486" s="304"/>
      <c r="O486" t="str">
        <f>IFERROR(__xludf.DUMMYFUNCTION("regexextract(B486,""[\w]* [\w]*"")"),"#N/A")</f>
        <v>#N/A</v>
      </c>
      <c r="P486" t="str">
        <f t="shared" si="2"/>
        <v>#N/A</v>
      </c>
      <c r="Q486" t="str">
        <f t="shared" si="3"/>
        <v>#N/A</v>
      </c>
      <c r="R486" t="s">
        <v>1850</v>
      </c>
      <c r="S486" s="276" t="s">
        <v>1850</v>
      </c>
      <c r="T486" t="s">
        <v>1850</v>
      </c>
      <c r="U486" t="s">
        <v>1850</v>
      </c>
      <c r="V486" t="s">
        <v>1850</v>
      </c>
      <c r="W486" t="str">
        <f t="shared" si="1"/>
        <v/>
      </c>
    </row>
    <row r="487">
      <c r="A487" s="300"/>
      <c r="B487" s="307"/>
      <c r="C487" s="300"/>
      <c r="D487" s="300"/>
      <c r="E487" s="300"/>
      <c r="F487" s="300"/>
      <c r="G487" s="300"/>
      <c r="O487" t="str">
        <f>IFERROR(__xludf.DUMMYFUNCTION("regexextract(B487,""[\w]* [\w]*"")"),"#N/A")</f>
        <v>#N/A</v>
      </c>
      <c r="P487" t="str">
        <f t="shared" si="2"/>
        <v>#N/A</v>
      </c>
      <c r="Q487" t="str">
        <f t="shared" si="3"/>
        <v>#N/A</v>
      </c>
      <c r="R487" t="s">
        <v>1850</v>
      </c>
      <c r="S487" s="276" t="s">
        <v>1850</v>
      </c>
      <c r="T487" t="s">
        <v>1850</v>
      </c>
      <c r="U487" t="s">
        <v>1850</v>
      </c>
      <c r="V487" t="s">
        <v>1850</v>
      </c>
      <c r="W487" t="str">
        <f t="shared" si="1"/>
        <v/>
      </c>
    </row>
    <row r="488">
      <c r="A488" s="304"/>
      <c r="B488" s="310"/>
      <c r="C488" s="304"/>
      <c r="D488" s="304"/>
      <c r="E488" s="304"/>
      <c r="F488" s="304"/>
      <c r="G488" s="304"/>
      <c r="O488" t="str">
        <f>IFERROR(__xludf.DUMMYFUNCTION("regexextract(B488,""[\w]* [\w]*"")"),"#N/A")</f>
        <v>#N/A</v>
      </c>
      <c r="P488" t="str">
        <f t="shared" si="2"/>
        <v>#N/A</v>
      </c>
      <c r="Q488" t="str">
        <f t="shared" si="3"/>
        <v>#N/A</v>
      </c>
      <c r="R488" t="s">
        <v>1850</v>
      </c>
      <c r="S488" s="276" t="s">
        <v>1850</v>
      </c>
      <c r="T488" t="s">
        <v>1850</v>
      </c>
      <c r="U488" t="s">
        <v>1850</v>
      </c>
      <c r="V488" t="s">
        <v>1850</v>
      </c>
      <c r="W488" t="str">
        <f t="shared" si="1"/>
        <v/>
      </c>
    </row>
    <row r="489">
      <c r="A489" s="300"/>
      <c r="B489" s="307"/>
      <c r="C489" s="300"/>
      <c r="D489" s="300"/>
      <c r="E489" s="300"/>
      <c r="F489" s="300"/>
      <c r="G489" s="300"/>
      <c r="O489" t="str">
        <f>IFERROR(__xludf.DUMMYFUNCTION("regexextract(B489,""[\w]* [\w]*"")"),"#N/A")</f>
        <v>#N/A</v>
      </c>
      <c r="P489" t="str">
        <f t="shared" si="2"/>
        <v>#N/A</v>
      </c>
      <c r="Q489" t="str">
        <f t="shared" si="3"/>
        <v>#N/A</v>
      </c>
      <c r="R489" t="s">
        <v>1850</v>
      </c>
      <c r="S489" s="276" t="s">
        <v>1850</v>
      </c>
      <c r="T489" t="s">
        <v>1850</v>
      </c>
      <c r="U489" t="s">
        <v>1850</v>
      </c>
      <c r="V489" t="s">
        <v>1850</v>
      </c>
      <c r="W489" t="str">
        <f t="shared" si="1"/>
        <v/>
      </c>
    </row>
    <row r="490">
      <c r="A490" s="304"/>
      <c r="B490" s="310"/>
      <c r="C490" s="304"/>
      <c r="D490" s="304"/>
      <c r="E490" s="304"/>
      <c r="F490" s="304"/>
      <c r="G490" s="304"/>
      <c r="O490" t="str">
        <f>IFERROR(__xludf.DUMMYFUNCTION("regexextract(B490,""[\w]* [\w]*"")"),"#N/A")</f>
        <v>#N/A</v>
      </c>
      <c r="P490" t="str">
        <f t="shared" si="2"/>
        <v>#N/A</v>
      </c>
      <c r="Q490" t="str">
        <f t="shared" si="3"/>
        <v>#N/A</v>
      </c>
      <c r="R490" t="s">
        <v>1850</v>
      </c>
      <c r="S490" s="276" t="s">
        <v>1850</v>
      </c>
      <c r="T490" t="s">
        <v>1850</v>
      </c>
      <c r="U490" t="s">
        <v>1850</v>
      </c>
      <c r="V490" t="s">
        <v>1850</v>
      </c>
      <c r="W490" t="str">
        <f t="shared" si="1"/>
        <v/>
      </c>
    </row>
    <row r="491">
      <c r="A491" s="300"/>
      <c r="B491" s="307"/>
      <c r="C491" s="300"/>
      <c r="D491" s="300"/>
      <c r="E491" s="300"/>
      <c r="F491" s="300"/>
      <c r="G491" s="300"/>
      <c r="O491" t="str">
        <f>IFERROR(__xludf.DUMMYFUNCTION("regexextract(B491,""[\w]* [\w]*"")"),"#N/A")</f>
        <v>#N/A</v>
      </c>
      <c r="P491" t="str">
        <f t="shared" si="2"/>
        <v>#N/A</v>
      </c>
      <c r="Q491" t="str">
        <f t="shared" si="3"/>
        <v>#N/A</v>
      </c>
      <c r="R491" t="s">
        <v>1850</v>
      </c>
      <c r="S491" s="276" t="s">
        <v>1850</v>
      </c>
      <c r="T491" t="s">
        <v>1850</v>
      </c>
      <c r="U491" t="s">
        <v>1850</v>
      </c>
      <c r="V491" t="s">
        <v>1850</v>
      </c>
      <c r="W491" t="str">
        <f t="shared" si="1"/>
        <v/>
      </c>
    </row>
    <row r="492">
      <c r="A492" s="304"/>
      <c r="B492" s="310"/>
      <c r="C492" s="304"/>
      <c r="D492" s="304"/>
      <c r="E492" s="304"/>
      <c r="F492" s="304"/>
      <c r="G492" s="304"/>
      <c r="O492" t="str">
        <f>IFERROR(__xludf.DUMMYFUNCTION("regexextract(B492,""[\w]* [\w]*"")"),"#N/A")</f>
        <v>#N/A</v>
      </c>
      <c r="P492" t="str">
        <f t="shared" si="2"/>
        <v>#N/A</v>
      </c>
      <c r="Q492" t="str">
        <f t="shared" si="3"/>
        <v>#N/A</v>
      </c>
      <c r="R492" t="s">
        <v>1850</v>
      </c>
      <c r="S492" s="276" t="s">
        <v>1850</v>
      </c>
      <c r="T492" t="s">
        <v>1850</v>
      </c>
      <c r="U492" t="s">
        <v>1850</v>
      </c>
      <c r="V492" t="s">
        <v>1850</v>
      </c>
      <c r="W492" t="str">
        <f t="shared" si="1"/>
        <v/>
      </c>
    </row>
    <row r="493">
      <c r="A493" s="300"/>
      <c r="B493" s="307"/>
      <c r="C493" s="300"/>
      <c r="D493" s="300"/>
      <c r="E493" s="300"/>
      <c r="F493" s="300"/>
      <c r="G493" s="300"/>
      <c r="O493" t="str">
        <f>IFERROR(__xludf.DUMMYFUNCTION("regexextract(B493,""[\w]* [\w]*"")"),"#N/A")</f>
        <v>#N/A</v>
      </c>
      <c r="P493" t="str">
        <f t="shared" si="2"/>
        <v>#N/A</v>
      </c>
      <c r="Q493" t="str">
        <f t="shared" si="3"/>
        <v>#N/A</v>
      </c>
      <c r="R493" t="s">
        <v>1850</v>
      </c>
      <c r="S493" s="276" t="s">
        <v>1850</v>
      </c>
      <c r="T493" t="s">
        <v>1850</v>
      </c>
      <c r="U493" t="s">
        <v>1850</v>
      </c>
      <c r="V493" t="s">
        <v>1850</v>
      </c>
      <c r="W493" t="str">
        <f t="shared" si="1"/>
        <v/>
      </c>
    </row>
    <row r="494">
      <c r="A494" s="304"/>
      <c r="B494" s="310"/>
      <c r="C494" s="304"/>
      <c r="D494" s="304"/>
      <c r="E494" s="304"/>
      <c r="F494" s="304"/>
      <c r="G494" s="304"/>
      <c r="O494" t="str">
        <f>IFERROR(__xludf.DUMMYFUNCTION("regexextract(B494,""[\w]* [\w]*"")"),"#N/A")</f>
        <v>#N/A</v>
      </c>
      <c r="P494" t="str">
        <f t="shared" si="2"/>
        <v>#N/A</v>
      </c>
      <c r="Q494" t="str">
        <f t="shared" si="3"/>
        <v>#N/A</v>
      </c>
      <c r="R494" t="s">
        <v>1850</v>
      </c>
      <c r="S494" s="276" t="s">
        <v>1850</v>
      </c>
      <c r="T494" t="s">
        <v>1850</v>
      </c>
      <c r="U494" t="s">
        <v>1850</v>
      </c>
      <c r="V494" t="s">
        <v>1850</v>
      </c>
      <c r="W494" t="str">
        <f t="shared" si="1"/>
        <v/>
      </c>
    </row>
    <row r="495">
      <c r="A495" s="300"/>
      <c r="B495" s="307"/>
      <c r="C495" s="300"/>
      <c r="D495" s="300"/>
      <c r="E495" s="300"/>
      <c r="F495" s="300"/>
      <c r="G495" s="300"/>
      <c r="O495" t="str">
        <f>IFERROR(__xludf.DUMMYFUNCTION("regexextract(B495,""[\w]* [\w]*"")"),"#N/A")</f>
        <v>#N/A</v>
      </c>
      <c r="P495" t="str">
        <f t="shared" si="2"/>
        <v>#N/A</v>
      </c>
      <c r="Q495" t="str">
        <f t="shared" si="3"/>
        <v>#N/A</v>
      </c>
      <c r="R495" t="s">
        <v>1850</v>
      </c>
      <c r="S495" s="276" t="s">
        <v>1850</v>
      </c>
      <c r="T495" t="s">
        <v>1850</v>
      </c>
      <c r="U495" t="s">
        <v>1850</v>
      </c>
      <c r="V495" t="s">
        <v>1850</v>
      </c>
      <c r="W495" t="str">
        <f t="shared" si="1"/>
        <v/>
      </c>
    </row>
    <row r="496">
      <c r="A496" s="304"/>
      <c r="B496" s="310"/>
      <c r="C496" s="304"/>
      <c r="D496" s="304"/>
      <c r="E496" s="304"/>
      <c r="F496" s="304"/>
      <c r="G496" s="304"/>
      <c r="O496" t="str">
        <f>IFERROR(__xludf.DUMMYFUNCTION("regexextract(B496,""[\w]* [\w]*"")"),"#N/A")</f>
        <v>#N/A</v>
      </c>
      <c r="P496" t="str">
        <f t="shared" si="2"/>
        <v>#N/A</v>
      </c>
      <c r="Q496" t="str">
        <f t="shared" si="3"/>
        <v>#N/A</v>
      </c>
      <c r="R496" t="s">
        <v>1850</v>
      </c>
      <c r="S496" s="276" t="s">
        <v>1850</v>
      </c>
      <c r="T496" t="s">
        <v>1850</v>
      </c>
      <c r="U496" t="s">
        <v>1850</v>
      </c>
      <c r="V496" t="s">
        <v>1850</v>
      </c>
      <c r="W496" t="str">
        <f t="shared" si="1"/>
        <v/>
      </c>
    </row>
    <row r="497">
      <c r="A497" s="300"/>
      <c r="B497" s="307"/>
      <c r="C497" s="300"/>
      <c r="D497" s="300"/>
      <c r="E497" s="300"/>
      <c r="F497" s="300"/>
      <c r="G497" s="300"/>
      <c r="O497" t="str">
        <f>IFERROR(__xludf.DUMMYFUNCTION("regexextract(B497,""[\w]* [\w]*"")"),"#N/A")</f>
        <v>#N/A</v>
      </c>
      <c r="P497" t="str">
        <f t="shared" si="2"/>
        <v>#N/A</v>
      </c>
      <c r="Q497" t="str">
        <f t="shared" si="3"/>
        <v>#N/A</v>
      </c>
      <c r="R497" t="s">
        <v>1850</v>
      </c>
      <c r="S497" s="276" t="s">
        <v>1850</v>
      </c>
      <c r="T497" t="s">
        <v>1850</v>
      </c>
      <c r="U497" t="s">
        <v>1850</v>
      </c>
      <c r="V497" t="s">
        <v>1850</v>
      </c>
      <c r="W497" t="str">
        <f t="shared" si="1"/>
        <v/>
      </c>
    </row>
    <row r="498">
      <c r="A498" s="304"/>
      <c r="B498" s="310"/>
      <c r="C498" s="304"/>
      <c r="D498" s="314"/>
      <c r="E498" s="304"/>
      <c r="F498" s="304"/>
      <c r="G498" s="304"/>
      <c r="O498" t="str">
        <f>IFERROR(__xludf.DUMMYFUNCTION("regexextract(B498,""[\w]* [\w]*"")"),"#N/A")</f>
        <v>#N/A</v>
      </c>
      <c r="P498" t="str">
        <f t="shared" si="2"/>
        <v>#N/A</v>
      </c>
      <c r="Q498" t="str">
        <f t="shared" si="3"/>
        <v>#N/A</v>
      </c>
      <c r="R498" t="s">
        <v>1850</v>
      </c>
      <c r="S498" s="276" t="s">
        <v>1850</v>
      </c>
      <c r="T498" t="s">
        <v>1850</v>
      </c>
      <c r="U498" t="s">
        <v>1850</v>
      </c>
      <c r="V498" t="s">
        <v>1850</v>
      </c>
      <c r="W498" t="str">
        <f t="shared" si="1"/>
        <v/>
      </c>
    </row>
    <row r="499">
      <c r="A499" s="300"/>
      <c r="B499" s="307"/>
      <c r="C499" s="300"/>
      <c r="D499" s="300"/>
      <c r="E499" s="300"/>
      <c r="F499" s="300"/>
      <c r="G499" s="300"/>
      <c r="O499" t="str">
        <f>IFERROR(__xludf.DUMMYFUNCTION("regexextract(B499,""[\w]* [\w]*"")"),"#N/A")</f>
        <v>#N/A</v>
      </c>
      <c r="P499" t="str">
        <f t="shared" si="2"/>
        <v>#N/A</v>
      </c>
      <c r="Q499" t="str">
        <f t="shared" si="3"/>
        <v>#N/A</v>
      </c>
      <c r="R499" t="s">
        <v>1850</v>
      </c>
      <c r="S499" s="276" t="s">
        <v>1850</v>
      </c>
      <c r="T499" t="s">
        <v>1850</v>
      </c>
      <c r="U499" t="s">
        <v>1850</v>
      </c>
      <c r="V499" t="s">
        <v>1850</v>
      </c>
      <c r="W499" t="str">
        <f t="shared" si="1"/>
        <v/>
      </c>
    </row>
    <row r="500">
      <c r="A500" s="304"/>
      <c r="B500" s="310"/>
      <c r="C500" s="304"/>
      <c r="D500" s="304"/>
      <c r="E500" s="304"/>
      <c r="F500" s="304"/>
      <c r="G500" s="304"/>
      <c r="O500" t="str">
        <f>IFERROR(__xludf.DUMMYFUNCTION("regexextract(B500,""[\w]* [\w]*"")"),"#N/A")</f>
        <v>#N/A</v>
      </c>
      <c r="P500" t="str">
        <f t="shared" si="2"/>
        <v>#N/A</v>
      </c>
      <c r="Q500" t="str">
        <f t="shared" si="3"/>
        <v>#N/A</v>
      </c>
      <c r="R500" t="s">
        <v>1850</v>
      </c>
      <c r="S500" s="276" t="s">
        <v>1850</v>
      </c>
      <c r="T500" t="s">
        <v>1850</v>
      </c>
      <c r="U500" t="s">
        <v>1850</v>
      </c>
      <c r="V500" t="s">
        <v>1850</v>
      </c>
      <c r="W500" t="str">
        <f t="shared" si="1"/>
        <v/>
      </c>
    </row>
    <row r="501">
      <c r="R501" t="s">
        <v>1850</v>
      </c>
      <c r="S501" t="s">
        <v>1850</v>
      </c>
      <c r="T501" t="s">
        <v>1850</v>
      </c>
      <c r="U501" t="s">
        <v>1850</v>
      </c>
      <c r="V501" t="s">
        <v>1850</v>
      </c>
    </row>
    <row r="502">
      <c r="R502" t="s">
        <v>1850</v>
      </c>
      <c r="S502" t="s">
        <v>1850</v>
      </c>
      <c r="T502" t="s">
        <v>1850</v>
      </c>
      <c r="U502" t="s">
        <v>1850</v>
      </c>
      <c r="V502" t="s">
        <v>1850</v>
      </c>
    </row>
    <row r="503">
      <c r="R503" t="s">
        <v>1850</v>
      </c>
      <c r="S503" t="s">
        <v>1850</v>
      </c>
      <c r="T503" t="s">
        <v>1850</v>
      </c>
      <c r="U503" t="s">
        <v>1850</v>
      </c>
      <c r="V503" t="s">
        <v>1850</v>
      </c>
    </row>
    <row r="504">
      <c r="R504" t="s">
        <v>1850</v>
      </c>
      <c r="S504" t="s">
        <v>1850</v>
      </c>
      <c r="T504" t="s">
        <v>1850</v>
      </c>
      <c r="U504" t="s">
        <v>1850</v>
      </c>
      <c r="V504" t="s">
        <v>1850</v>
      </c>
    </row>
    <row r="505">
      <c r="R505" t="s">
        <v>1850</v>
      </c>
      <c r="S505" t="s">
        <v>1850</v>
      </c>
      <c r="T505" t="s">
        <v>1850</v>
      </c>
      <c r="U505" t="s">
        <v>1850</v>
      </c>
      <c r="V505" t="s">
        <v>1850</v>
      </c>
    </row>
    <row r="506">
      <c r="R506" t="s">
        <v>1850</v>
      </c>
      <c r="S506" t="s">
        <v>1850</v>
      </c>
      <c r="T506" t="s">
        <v>1850</v>
      </c>
      <c r="U506" t="s">
        <v>1850</v>
      </c>
      <c r="V506" t="s">
        <v>1850</v>
      </c>
    </row>
    <row r="507">
      <c r="R507" t="s">
        <v>1850</v>
      </c>
      <c r="S507" t="s">
        <v>1850</v>
      </c>
      <c r="T507" t="s">
        <v>1850</v>
      </c>
      <c r="U507" t="s">
        <v>1850</v>
      </c>
      <c r="V507" t="s">
        <v>1850</v>
      </c>
    </row>
    <row r="508">
      <c r="R508" t="s">
        <v>1850</v>
      </c>
      <c r="S508" t="s">
        <v>1850</v>
      </c>
      <c r="T508" t="s">
        <v>1850</v>
      </c>
      <c r="U508" t="s">
        <v>1850</v>
      </c>
      <c r="V508" t="s">
        <v>1850</v>
      </c>
    </row>
    <row r="509">
      <c r="R509" t="s">
        <v>1850</v>
      </c>
      <c r="S509" t="s">
        <v>1850</v>
      </c>
      <c r="T509" t="s">
        <v>1850</v>
      </c>
      <c r="U509" t="s">
        <v>1850</v>
      </c>
      <c r="V509" t="s">
        <v>1850</v>
      </c>
    </row>
    <row r="510">
      <c r="R510" t="s">
        <v>1850</v>
      </c>
      <c r="S510" t="s">
        <v>1850</v>
      </c>
      <c r="T510" t="s">
        <v>1850</v>
      </c>
      <c r="U510" t="s">
        <v>1850</v>
      </c>
      <c r="V510" t="s">
        <v>1850</v>
      </c>
    </row>
    <row r="511">
      <c r="R511" t="s">
        <v>1850</v>
      </c>
      <c r="S511" t="s">
        <v>1850</v>
      </c>
      <c r="T511" t="s">
        <v>1850</v>
      </c>
      <c r="U511" t="s">
        <v>1850</v>
      </c>
      <c r="V511" t="s">
        <v>1850</v>
      </c>
    </row>
    <row r="512">
      <c r="R512" t="s">
        <v>1850</v>
      </c>
      <c r="S512" t="s">
        <v>1850</v>
      </c>
      <c r="T512" t="s">
        <v>1850</v>
      </c>
      <c r="U512" t="s">
        <v>1850</v>
      </c>
      <c r="V512" t="s">
        <v>1850</v>
      </c>
    </row>
    <row r="513">
      <c r="R513" t="s">
        <v>1850</v>
      </c>
      <c r="S513" t="s">
        <v>1850</v>
      </c>
      <c r="T513" t="s">
        <v>1850</v>
      </c>
      <c r="U513" t="s">
        <v>1850</v>
      </c>
      <c r="V513" t="s">
        <v>1850</v>
      </c>
    </row>
    <row r="514">
      <c r="R514" t="s">
        <v>1850</v>
      </c>
      <c r="S514" t="s">
        <v>1850</v>
      </c>
      <c r="T514" t="s">
        <v>1850</v>
      </c>
      <c r="U514" t="s">
        <v>1850</v>
      </c>
      <c r="V514" t="s">
        <v>1850</v>
      </c>
    </row>
    <row r="515">
      <c r="R515" t="s">
        <v>1850</v>
      </c>
      <c r="S515" t="s">
        <v>1850</v>
      </c>
      <c r="T515" t="s">
        <v>1850</v>
      </c>
      <c r="U515" t="s">
        <v>1850</v>
      </c>
      <c r="V515" t="s">
        <v>1850</v>
      </c>
    </row>
    <row r="516">
      <c r="R516" t="s">
        <v>1850</v>
      </c>
      <c r="S516" t="s">
        <v>1850</v>
      </c>
      <c r="T516" t="s">
        <v>1850</v>
      </c>
      <c r="U516" t="s">
        <v>1850</v>
      </c>
      <c r="V516" t="s">
        <v>1850</v>
      </c>
    </row>
    <row r="517">
      <c r="R517" t="s">
        <v>1850</v>
      </c>
      <c r="S517" t="s">
        <v>1850</v>
      </c>
      <c r="T517" t="s">
        <v>1850</v>
      </c>
      <c r="U517" t="s">
        <v>1850</v>
      </c>
      <c r="V517" t="s">
        <v>1850</v>
      </c>
    </row>
    <row r="518">
      <c r="R518" t="s">
        <v>1850</v>
      </c>
      <c r="S518" t="s">
        <v>1850</v>
      </c>
      <c r="T518" t="s">
        <v>1850</v>
      </c>
      <c r="U518" t="s">
        <v>1850</v>
      </c>
      <c r="V518" t="s">
        <v>1850</v>
      </c>
    </row>
    <row r="519">
      <c r="R519" t="s">
        <v>1850</v>
      </c>
      <c r="S519" t="s">
        <v>1850</v>
      </c>
      <c r="T519" t="s">
        <v>1850</v>
      </c>
      <c r="U519" t="s">
        <v>1850</v>
      </c>
      <c r="V519" t="s">
        <v>1850</v>
      </c>
    </row>
    <row r="520">
      <c r="R520" t="s">
        <v>1850</v>
      </c>
      <c r="S520" t="s">
        <v>1850</v>
      </c>
      <c r="T520" t="s">
        <v>1850</v>
      </c>
      <c r="U520" t="s">
        <v>1850</v>
      </c>
      <c r="V520" t="s">
        <v>1850</v>
      </c>
    </row>
    <row r="521">
      <c r="R521" t="s">
        <v>1850</v>
      </c>
      <c r="S521" t="s">
        <v>1850</v>
      </c>
      <c r="T521" t="s">
        <v>1850</v>
      </c>
      <c r="U521" t="s">
        <v>1850</v>
      </c>
      <c r="V521" t="s">
        <v>1850</v>
      </c>
    </row>
    <row r="522">
      <c r="R522" t="s">
        <v>1850</v>
      </c>
      <c r="S522" t="s">
        <v>1850</v>
      </c>
      <c r="T522" t="s">
        <v>1850</v>
      </c>
      <c r="U522" t="s">
        <v>1850</v>
      </c>
      <c r="V522" t="s">
        <v>1850</v>
      </c>
    </row>
    <row r="523">
      <c r="R523" t="s">
        <v>1850</v>
      </c>
      <c r="S523" t="s">
        <v>1850</v>
      </c>
      <c r="T523" t="s">
        <v>1850</v>
      </c>
      <c r="U523" t="s">
        <v>1850</v>
      </c>
      <c r="V523" t="s">
        <v>1850</v>
      </c>
    </row>
    <row r="524">
      <c r="R524" t="s">
        <v>1850</v>
      </c>
      <c r="S524" t="s">
        <v>1850</v>
      </c>
      <c r="T524" t="s">
        <v>1850</v>
      </c>
      <c r="U524" t="s">
        <v>1850</v>
      </c>
      <c r="V524" t="s">
        <v>1850</v>
      </c>
    </row>
    <row r="525">
      <c r="R525" t="s">
        <v>1850</v>
      </c>
      <c r="S525" t="s">
        <v>1850</v>
      </c>
      <c r="T525" t="s">
        <v>1850</v>
      </c>
      <c r="U525" t="s">
        <v>1850</v>
      </c>
      <c r="V525" t="s">
        <v>1850</v>
      </c>
    </row>
    <row r="526">
      <c r="R526" t="s">
        <v>1850</v>
      </c>
      <c r="S526" t="s">
        <v>1850</v>
      </c>
      <c r="T526" t="s">
        <v>1850</v>
      </c>
      <c r="U526" t="s">
        <v>1850</v>
      </c>
      <c r="V526" t="s">
        <v>1850</v>
      </c>
    </row>
    <row r="527">
      <c r="R527" t="s">
        <v>1850</v>
      </c>
      <c r="S527" t="s">
        <v>1850</v>
      </c>
      <c r="T527" t="s">
        <v>1850</v>
      </c>
      <c r="U527" t="s">
        <v>1850</v>
      </c>
      <c r="V527" t="s">
        <v>1850</v>
      </c>
    </row>
    <row r="528">
      <c r="R528" t="s">
        <v>1850</v>
      </c>
      <c r="S528" t="s">
        <v>1850</v>
      </c>
      <c r="T528" t="s">
        <v>1850</v>
      </c>
      <c r="U528" t="s">
        <v>1850</v>
      </c>
      <c r="V528" t="s">
        <v>1850</v>
      </c>
    </row>
    <row r="529">
      <c r="R529" t="s">
        <v>1850</v>
      </c>
      <c r="S529" t="s">
        <v>1850</v>
      </c>
      <c r="T529" t="s">
        <v>1850</v>
      </c>
      <c r="U529" t="s">
        <v>1850</v>
      </c>
      <c r="V529" t="s">
        <v>1850</v>
      </c>
    </row>
    <row r="530">
      <c r="R530" t="s">
        <v>1850</v>
      </c>
      <c r="S530" t="s">
        <v>1850</v>
      </c>
      <c r="T530" t="s">
        <v>1850</v>
      </c>
      <c r="U530" t="s">
        <v>1850</v>
      </c>
      <c r="V530" t="s">
        <v>1850</v>
      </c>
    </row>
    <row r="531">
      <c r="R531" t="s">
        <v>1850</v>
      </c>
      <c r="S531" t="s">
        <v>1850</v>
      </c>
      <c r="T531" t="s">
        <v>1850</v>
      </c>
      <c r="U531" t="s">
        <v>1850</v>
      </c>
      <c r="V531" t="s">
        <v>1850</v>
      </c>
    </row>
    <row r="532">
      <c r="R532" t="s">
        <v>1850</v>
      </c>
      <c r="S532" t="s">
        <v>1850</v>
      </c>
      <c r="T532" t="s">
        <v>1850</v>
      </c>
      <c r="U532" t="s">
        <v>1850</v>
      </c>
      <c r="V532" t="s">
        <v>1850</v>
      </c>
    </row>
    <row r="533">
      <c r="R533" t="s">
        <v>1850</v>
      </c>
      <c r="S533" t="s">
        <v>1850</v>
      </c>
      <c r="T533" t="s">
        <v>1850</v>
      </c>
      <c r="U533" t="s">
        <v>1850</v>
      </c>
      <c r="V533" t="s">
        <v>1850</v>
      </c>
    </row>
    <row r="534">
      <c r="R534" t="s">
        <v>1850</v>
      </c>
      <c r="S534" t="s">
        <v>1850</v>
      </c>
      <c r="T534" t="s">
        <v>1850</v>
      </c>
      <c r="U534" t="s">
        <v>1850</v>
      </c>
      <c r="V534" t="s">
        <v>1850</v>
      </c>
    </row>
    <row r="535">
      <c r="R535" t="s">
        <v>1850</v>
      </c>
      <c r="S535" t="s">
        <v>1850</v>
      </c>
      <c r="T535" t="s">
        <v>1850</v>
      </c>
      <c r="U535" t="s">
        <v>1850</v>
      </c>
      <c r="V535" t="s">
        <v>1850</v>
      </c>
    </row>
    <row r="536">
      <c r="R536" t="s">
        <v>1850</v>
      </c>
      <c r="S536" t="s">
        <v>1850</v>
      </c>
      <c r="T536" t="s">
        <v>1850</v>
      </c>
      <c r="U536" t="s">
        <v>1850</v>
      </c>
      <c r="V536" t="s">
        <v>1850</v>
      </c>
    </row>
    <row r="537">
      <c r="R537" t="s">
        <v>1850</v>
      </c>
      <c r="S537" t="s">
        <v>1850</v>
      </c>
      <c r="T537" t="s">
        <v>1850</v>
      </c>
      <c r="U537" t="s">
        <v>1850</v>
      </c>
      <c r="V537" t="s">
        <v>1850</v>
      </c>
    </row>
    <row r="538">
      <c r="R538" t="s">
        <v>1850</v>
      </c>
      <c r="S538" t="s">
        <v>1850</v>
      </c>
      <c r="T538" t="s">
        <v>1850</v>
      </c>
      <c r="U538" t="s">
        <v>1850</v>
      </c>
      <c r="V538" t="s">
        <v>1850</v>
      </c>
    </row>
    <row r="539">
      <c r="R539" t="s">
        <v>1850</v>
      </c>
      <c r="S539" t="s">
        <v>1850</v>
      </c>
      <c r="T539" t="s">
        <v>1850</v>
      </c>
      <c r="U539" t="s">
        <v>1850</v>
      </c>
      <c r="V539" t="s">
        <v>1850</v>
      </c>
    </row>
    <row r="540">
      <c r="R540" t="s">
        <v>1850</v>
      </c>
      <c r="S540" t="s">
        <v>1850</v>
      </c>
      <c r="T540" t="s">
        <v>1850</v>
      </c>
      <c r="U540" t="s">
        <v>1850</v>
      </c>
      <c r="V540" t="s">
        <v>1850</v>
      </c>
    </row>
    <row r="541">
      <c r="R541" t="s">
        <v>1850</v>
      </c>
      <c r="S541" t="s">
        <v>1850</v>
      </c>
      <c r="T541" t="s">
        <v>1850</v>
      </c>
      <c r="U541" t="s">
        <v>1850</v>
      </c>
      <c r="V541" t="s">
        <v>1850</v>
      </c>
    </row>
    <row r="542">
      <c r="R542" t="s">
        <v>1850</v>
      </c>
      <c r="S542" t="s">
        <v>1850</v>
      </c>
      <c r="T542" t="s">
        <v>1850</v>
      </c>
      <c r="U542" t="s">
        <v>1850</v>
      </c>
      <c r="V542" t="s">
        <v>1850</v>
      </c>
    </row>
    <row r="543">
      <c r="R543" t="s">
        <v>1850</v>
      </c>
      <c r="S543" t="s">
        <v>1850</v>
      </c>
      <c r="T543" t="s">
        <v>1850</v>
      </c>
      <c r="U543" t="s">
        <v>1850</v>
      </c>
      <c r="V543" t="s">
        <v>1850</v>
      </c>
    </row>
    <row r="544">
      <c r="R544" t="s">
        <v>1850</v>
      </c>
      <c r="S544" t="s">
        <v>1850</v>
      </c>
      <c r="T544" t="s">
        <v>1850</v>
      </c>
      <c r="U544" t="s">
        <v>1850</v>
      </c>
      <c r="V544" t="s">
        <v>1850</v>
      </c>
    </row>
    <row r="545">
      <c r="R545" t="s">
        <v>1850</v>
      </c>
      <c r="S545" t="s">
        <v>1850</v>
      </c>
      <c r="T545" t="s">
        <v>1850</v>
      </c>
      <c r="U545" t="s">
        <v>1850</v>
      </c>
      <c r="V545" t="s">
        <v>1850</v>
      </c>
    </row>
    <row r="546">
      <c r="R546" t="s">
        <v>1850</v>
      </c>
      <c r="S546" t="s">
        <v>1850</v>
      </c>
      <c r="T546" t="s">
        <v>1850</v>
      </c>
      <c r="U546" t="s">
        <v>1850</v>
      </c>
      <c r="V546" t="s">
        <v>1850</v>
      </c>
    </row>
    <row r="547">
      <c r="R547" t="s">
        <v>1850</v>
      </c>
      <c r="S547" t="s">
        <v>1850</v>
      </c>
      <c r="T547" t="s">
        <v>1850</v>
      </c>
      <c r="U547" t="s">
        <v>1850</v>
      </c>
      <c r="V547" t="s">
        <v>1850</v>
      </c>
    </row>
    <row r="548">
      <c r="R548" t="s">
        <v>1850</v>
      </c>
      <c r="S548" t="s">
        <v>1850</v>
      </c>
      <c r="T548" t="s">
        <v>1850</v>
      </c>
      <c r="U548" t="s">
        <v>1850</v>
      </c>
      <c r="V548" t="s">
        <v>1850</v>
      </c>
    </row>
    <row r="549">
      <c r="R549" t="s">
        <v>1850</v>
      </c>
      <c r="S549" t="s">
        <v>1850</v>
      </c>
      <c r="T549" t="s">
        <v>1850</v>
      </c>
      <c r="U549" t="s">
        <v>1850</v>
      </c>
      <c r="V549" t="s">
        <v>1850</v>
      </c>
    </row>
    <row r="550">
      <c r="R550" t="s">
        <v>1850</v>
      </c>
      <c r="S550" t="s">
        <v>1850</v>
      </c>
      <c r="T550" t="s">
        <v>1850</v>
      </c>
      <c r="U550" t="s">
        <v>1850</v>
      </c>
      <c r="V550" t="s">
        <v>1850</v>
      </c>
    </row>
    <row r="551">
      <c r="R551" t="s">
        <v>1850</v>
      </c>
      <c r="S551" t="s">
        <v>1850</v>
      </c>
      <c r="T551" t="s">
        <v>1850</v>
      </c>
      <c r="U551" t="s">
        <v>1850</v>
      </c>
      <c r="V551" t="s">
        <v>1850</v>
      </c>
    </row>
    <row r="552">
      <c r="R552" t="s">
        <v>1850</v>
      </c>
      <c r="S552" t="s">
        <v>1850</v>
      </c>
      <c r="T552" t="s">
        <v>1850</v>
      </c>
      <c r="U552" t="s">
        <v>1850</v>
      </c>
      <c r="V552" t="s">
        <v>1850</v>
      </c>
    </row>
    <row r="553">
      <c r="R553" t="s">
        <v>1850</v>
      </c>
      <c r="S553" t="s">
        <v>1850</v>
      </c>
      <c r="T553" t="s">
        <v>1850</v>
      </c>
      <c r="U553" t="s">
        <v>1850</v>
      </c>
      <c r="V553" t="s">
        <v>1850</v>
      </c>
    </row>
    <row r="554">
      <c r="R554" t="s">
        <v>1850</v>
      </c>
      <c r="S554" t="s">
        <v>1850</v>
      </c>
      <c r="T554" t="s">
        <v>1850</v>
      </c>
      <c r="U554" t="s">
        <v>1850</v>
      </c>
      <c r="V554" t="s">
        <v>1850</v>
      </c>
    </row>
    <row r="555">
      <c r="R555" t="s">
        <v>1850</v>
      </c>
      <c r="S555" t="s">
        <v>1850</v>
      </c>
      <c r="T555" t="s">
        <v>1850</v>
      </c>
      <c r="U555" t="s">
        <v>1850</v>
      </c>
      <c r="V555" t="s">
        <v>1850</v>
      </c>
    </row>
    <row r="556">
      <c r="R556" t="s">
        <v>1850</v>
      </c>
      <c r="S556" t="s">
        <v>1850</v>
      </c>
      <c r="T556" t="s">
        <v>1850</v>
      </c>
      <c r="U556" t="s">
        <v>1850</v>
      </c>
      <c r="V556" t="s">
        <v>1850</v>
      </c>
    </row>
    <row r="557">
      <c r="R557" t="s">
        <v>1850</v>
      </c>
      <c r="S557" t="s">
        <v>1850</v>
      </c>
      <c r="T557" t="s">
        <v>1850</v>
      </c>
      <c r="U557" t="s">
        <v>1850</v>
      </c>
      <c r="V557" t="s">
        <v>1850</v>
      </c>
    </row>
    <row r="558">
      <c r="R558" t="s">
        <v>1850</v>
      </c>
      <c r="S558" t="s">
        <v>1850</v>
      </c>
      <c r="T558" t="s">
        <v>1850</v>
      </c>
      <c r="U558" t="s">
        <v>1850</v>
      </c>
      <c r="V558" t="s">
        <v>1850</v>
      </c>
    </row>
    <row r="559">
      <c r="R559" t="s">
        <v>1850</v>
      </c>
      <c r="S559" t="s">
        <v>1850</v>
      </c>
      <c r="T559" t="s">
        <v>1850</v>
      </c>
      <c r="U559" t="s">
        <v>1850</v>
      </c>
      <c r="V559" t="s">
        <v>1850</v>
      </c>
    </row>
    <row r="560">
      <c r="R560" t="s">
        <v>1850</v>
      </c>
      <c r="S560" t="s">
        <v>1850</v>
      </c>
      <c r="T560" t="s">
        <v>1850</v>
      </c>
      <c r="U560" t="s">
        <v>1850</v>
      </c>
      <c r="V560" t="s">
        <v>1850</v>
      </c>
    </row>
    <row r="561">
      <c r="R561" t="s">
        <v>1850</v>
      </c>
      <c r="S561" t="s">
        <v>1850</v>
      </c>
      <c r="T561" t="s">
        <v>1850</v>
      </c>
      <c r="U561" t="s">
        <v>1850</v>
      </c>
      <c r="V561" t="s">
        <v>1850</v>
      </c>
    </row>
    <row r="562">
      <c r="R562" t="s">
        <v>1850</v>
      </c>
      <c r="S562" t="s">
        <v>1850</v>
      </c>
      <c r="T562" t="s">
        <v>1850</v>
      </c>
      <c r="U562" t="s">
        <v>1850</v>
      </c>
      <c r="V562" t="s">
        <v>1850</v>
      </c>
    </row>
    <row r="563">
      <c r="R563" t="s">
        <v>1850</v>
      </c>
      <c r="S563" t="s">
        <v>1850</v>
      </c>
      <c r="T563" t="s">
        <v>1850</v>
      </c>
      <c r="U563" t="s">
        <v>1850</v>
      </c>
      <c r="V563" t="s">
        <v>1850</v>
      </c>
    </row>
    <row r="564">
      <c r="R564" t="s">
        <v>1850</v>
      </c>
      <c r="S564" t="s">
        <v>1850</v>
      </c>
      <c r="T564" t="s">
        <v>1850</v>
      </c>
      <c r="U564" t="s">
        <v>1850</v>
      </c>
      <c r="V564" t="s">
        <v>1850</v>
      </c>
    </row>
    <row r="565">
      <c r="R565" t="s">
        <v>1850</v>
      </c>
      <c r="S565" t="s">
        <v>1850</v>
      </c>
      <c r="T565" t="s">
        <v>1850</v>
      </c>
      <c r="U565" t="s">
        <v>1850</v>
      </c>
      <c r="V565" t="s">
        <v>1850</v>
      </c>
    </row>
    <row r="566">
      <c r="R566" t="s">
        <v>1850</v>
      </c>
      <c r="S566" t="s">
        <v>1850</v>
      </c>
      <c r="T566" t="s">
        <v>1850</v>
      </c>
      <c r="U566" t="s">
        <v>1850</v>
      </c>
      <c r="V566" t="s">
        <v>1850</v>
      </c>
    </row>
    <row r="567">
      <c r="R567" t="s">
        <v>1850</v>
      </c>
      <c r="S567" t="s">
        <v>1850</v>
      </c>
      <c r="T567" t="s">
        <v>1850</v>
      </c>
      <c r="U567" t="s">
        <v>1850</v>
      </c>
      <c r="V567" t="s">
        <v>1850</v>
      </c>
    </row>
    <row r="568">
      <c r="R568" t="s">
        <v>1850</v>
      </c>
      <c r="S568" t="s">
        <v>1850</v>
      </c>
      <c r="T568" t="s">
        <v>1850</v>
      </c>
      <c r="U568" t="s">
        <v>1850</v>
      </c>
      <c r="V568" t="s">
        <v>1850</v>
      </c>
    </row>
    <row r="569">
      <c r="R569" t="s">
        <v>1850</v>
      </c>
      <c r="S569" t="s">
        <v>1850</v>
      </c>
      <c r="T569" t="s">
        <v>1850</v>
      </c>
      <c r="U569" t="s">
        <v>1850</v>
      </c>
      <c r="V569" t="s">
        <v>1850</v>
      </c>
    </row>
    <row r="570">
      <c r="R570" t="s">
        <v>1850</v>
      </c>
      <c r="S570" t="s">
        <v>1850</v>
      </c>
      <c r="T570" t="s">
        <v>1850</v>
      </c>
      <c r="U570" t="s">
        <v>1850</v>
      </c>
      <c r="V570" t="s">
        <v>1850</v>
      </c>
    </row>
    <row r="571">
      <c r="R571" t="s">
        <v>1850</v>
      </c>
      <c r="S571" t="s">
        <v>1850</v>
      </c>
      <c r="T571" t="s">
        <v>1850</v>
      </c>
      <c r="U571" t="s">
        <v>1850</v>
      </c>
      <c r="V571" t="s">
        <v>1850</v>
      </c>
    </row>
    <row r="572">
      <c r="R572" t="s">
        <v>1850</v>
      </c>
      <c r="S572" t="s">
        <v>1850</v>
      </c>
      <c r="T572" t="s">
        <v>1850</v>
      </c>
      <c r="U572" t="s">
        <v>1850</v>
      </c>
      <c r="V572" t="s">
        <v>1850</v>
      </c>
    </row>
    <row r="573">
      <c r="R573" t="s">
        <v>1850</v>
      </c>
      <c r="S573" t="s">
        <v>1850</v>
      </c>
      <c r="T573" t="s">
        <v>1850</v>
      </c>
      <c r="U573" t="s">
        <v>1850</v>
      </c>
      <c r="V573" t="s">
        <v>1850</v>
      </c>
    </row>
    <row r="574">
      <c r="R574" t="s">
        <v>1850</v>
      </c>
      <c r="S574" t="s">
        <v>1850</v>
      </c>
      <c r="T574" t="s">
        <v>1850</v>
      </c>
      <c r="U574" t="s">
        <v>1850</v>
      </c>
      <c r="V574" t="s">
        <v>1850</v>
      </c>
    </row>
    <row r="575">
      <c r="R575" t="s">
        <v>1850</v>
      </c>
      <c r="S575" t="s">
        <v>1850</v>
      </c>
      <c r="T575" t="s">
        <v>1850</v>
      </c>
      <c r="U575" t="s">
        <v>1850</v>
      </c>
      <c r="V575" t="s">
        <v>1850</v>
      </c>
    </row>
    <row r="576">
      <c r="R576" t="s">
        <v>1850</v>
      </c>
      <c r="S576" t="s">
        <v>1850</v>
      </c>
      <c r="T576" t="s">
        <v>1850</v>
      </c>
      <c r="U576" t="s">
        <v>1850</v>
      </c>
      <c r="V576" t="s">
        <v>1850</v>
      </c>
    </row>
    <row r="577">
      <c r="R577" t="s">
        <v>1850</v>
      </c>
      <c r="S577" t="s">
        <v>1850</v>
      </c>
      <c r="T577" t="s">
        <v>1850</v>
      </c>
      <c r="U577" t="s">
        <v>1850</v>
      </c>
      <c r="V577" t="s">
        <v>1850</v>
      </c>
    </row>
    <row r="578">
      <c r="R578" t="s">
        <v>1850</v>
      </c>
      <c r="S578" t="s">
        <v>1850</v>
      </c>
      <c r="T578" t="s">
        <v>1850</v>
      </c>
      <c r="U578" t="s">
        <v>1850</v>
      </c>
      <c r="V578" t="s">
        <v>1850</v>
      </c>
    </row>
    <row r="579">
      <c r="R579" t="s">
        <v>1850</v>
      </c>
      <c r="S579" t="s">
        <v>1850</v>
      </c>
      <c r="T579" t="s">
        <v>1850</v>
      </c>
      <c r="U579" t="s">
        <v>1850</v>
      </c>
      <c r="V579" t="s">
        <v>1850</v>
      </c>
    </row>
    <row r="580">
      <c r="R580" t="s">
        <v>1850</v>
      </c>
      <c r="S580" t="s">
        <v>1850</v>
      </c>
      <c r="T580" t="s">
        <v>1850</v>
      </c>
      <c r="U580" t="s">
        <v>1850</v>
      </c>
      <c r="V580" t="s">
        <v>1850</v>
      </c>
    </row>
    <row r="581">
      <c r="R581" t="s">
        <v>1850</v>
      </c>
      <c r="S581" t="s">
        <v>1850</v>
      </c>
      <c r="T581" t="s">
        <v>1850</v>
      </c>
      <c r="U581" t="s">
        <v>1850</v>
      </c>
      <c r="V581" t="s">
        <v>1850</v>
      </c>
    </row>
    <row r="582">
      <c r="R582" t="s">
        <v>1850</v>
      </c>
      <c r="S582" t="s">
        <v>1850</v>
      </c>
      <c r="T582" t="s">
        <v>1850</v>
      </c>
      <c r="U582" t="s">
        <v>1850</v>
      </c>
      <c r="V582" t="s">
        <v>1850</v>
      </c>
    </row>
    <row r="583">
      <c r="R583" t="s">
        <v>1850</v>
      </c>
      <c r="S583" t="s">
        <v>1850</v>
      </c>
      <c r="T583" t="s">
        <v>1850</v>
      </c>
      <c r="U583" t="s">
        <v>1850</v>
      </c>
      <c r="V583" t="s">
        <v>1850</v>
      </c>
    </row>
    <row r="584">
      <c r="R584" t="s">
        <v>1850</v>
      </c>
      <c r="S584" t="s">
        <v>1850</v>
      </c>
      <c r="T584" t="s">
        <v>1850</v>
      </c>
      <c r="U584" t="s">
        <v>1850</v>
      </c>
      <c r="V584" t="s">
        <v>1850</v>
      </c>
    </row>
    <row r="585">
      <c r="R585" t="s">
        <v>1850</v>
      </c>
      <c r="S585" t="s">
        <v>1850</v>
      </c>
      <c r="T585" t="s">
        <v>1850</v>
      </c>
      <c r="U585" t="s">
        <v>1850</v>
      </c>
      <c r="V585" t="s">
        <v>1850</v>
      </c>
    </row>
    <row r="586">
      <c r="R586" t="s">
        <v>1850</v>
      </c>
      <c r="S586" t="s">
        <v>1850</v>
      </c>
      <c r="T586" t="s">
        <v>1850</v>
      </c>
      <c r="U586" t="s">
        <v>1850</v>
      </c>
      <c r="V586" t="s">
        <v>1850</v>
      </c>
    </row>
    <row r="587">
      <c r="R587" t="s">
        <v>1850</v>
      </c>
      <c r="S587" t="s">
        <v>1850</v>
      </c>
      <c r="T587" t="s">
        <v>1850</v>
      </c>
      <c r="U587" t="s">
        <v>1850</v>
      </c>
      <c r="V587" t="s">
        <v>1850</v>
      </c>
    </row>
    <row r="588">
      <c r="R588" t="s">
        <v>1850</v>
      </c>
      <c r="S588" t="s">
        <v>1850</v>
      </c>
      <c r="T588" t="s">
        <v>1850</v>
      </c>
      <c r="U588" t="s">
        <v>1850</v>
      </c>
      <c r="V588" t="s">
        <v>1850</v>
      </c>
    </row>
    <row r="589">
      <c r="R589" t="s">
        <v>1850</v>
      </c>
      <c r="S589" t="s">
        <v>1850</v>
      </c>
      <c r="T589" t="s">
        <v>1850</v>
      </c>
      <c r="U589" t="s">
        <v>1850</v>
      </c>
      <c r="V589" t="s">
        <v>1850</v>
      </c>
    </row>
    <row r="590">
      <c r="R590" t="s">
        <v>1850</v>
      </c>
      <c r="S590" t="s">
        <v>1850</v>
      </c>
      <c r="T590" t="s">
        <v>1850</v>
      </c>
      <c r="U590" t="s">
        <v>1850</v>
      </c>
      <c r="V590" t="s">
        <v>1850</v>
      </c>
    </row>
    <row r="591">
      <c r="R591" t="s">
        <v>1850</v>
      </c>
      <c r="S591" t="s">
        <v>1850</v>
      </c>
      <c r="T591" t="s">
        <v>1850</v>
      </c>
      <c r="U591" t="s">
        <v>1850</v>
      </c>
      <c r="V591" t="s">
        <v>1850</v>
      </c>
    </row>
    <row r="592">
      <c r="R592" t="s">
        <v>1850</v>
      </c>
      <c r="S592" t="s">
        <v>1850</v>
      </c>
      <c r="T592" t="s">
        <v>1850</v>
      </c>
      <c r="U592" t="s">
        <v>1850</v>
      </c>
      <c r="V592" t="s">
        <v>1850</v>
      </c>
    </row>
    <row r="593">
      <c r="R593" t="s">
        <v>1850</v>
      </c>
      <c r="S593" t="s">
        <v>1850</v>
      </c>
      <c r="T593" t="s">
        <v>1850</v>
      </c>
      <c r="U593" t="s">
        <v>1850</v>
      </c>
      <c r="V593" t="s">
        <v>1850</v>
      </c>
    </row>
    <row r="594">
      <c r="R594" t="s">
        <v>1850</v>
      </c>
      <c r="S594" t="s">
        <v>1850</v>
      </c>
      <c r="T594" t="s">
        <v>1850</v>
      </c>
      <c r="U594" t="s">
        <v>1850</v>
      </c>
      <c r="V594" t="s">
        <v>1850</v>
      </c>
    </row>
    <row r="595">
      <c r="R595" t="s">
        <v>1850</v>
      </c>
      <c r="S595" t="s">
        <v>1850</v>
      </c>
      <c r="T595" t="s">
        <v>1850</v>
      </c>
      <c r="U595" t="s">
        <v>1850</v>
      </c>
      <c r="V595" t="s">
        <v>1850</v>
      </c>
    </row>
    <row r="596">
      <c r="R596" t="s">
        <v>1850</v>
      </c>
      <c r="S596" t="s">
        <v>1850</v>
      </c>
      <c r="T596" t="s">
        <v>1850</v>
      </c>
      <c r="U596" t="s">
        <v>1850</v>
      </c>
      <c r="V596" t="s">
        <v>1850</v>
      </c>
    </row>
    <row r="597">
      <c r="R597" t="s">
        <v>1850</v>
      </c>
      <c r="S597" t="s">
        <v>1850</v>
      </c>
      <c r="T597" t="s">
        <v>1850</v>
      </c>
      <c r="U597" t="s">
        <v>1850</v>
      </c>
      <c r="V597" t="s">
        <v>1850</v>
      </c>
    </row>
    <row r="598">
      <c r="R598" t="s">
        <v>1850</v>
      </c>
      <c r="S598" t="s">
        <v>1850</v>
      </c>
      <c r="T598" t="s">
        <v>1850</v>
      </c>
      <c r="U598" t="s">
        <v>1850</v>
      </c>
      <c r="V598" t="s">
        <v>1850</v>
      </c>
    </row>
    <row r="599">
      <c r="R599" t="s">
        <v>1850</v>
      </c>
      <c r="S599" t="s">
        <v>1850</v>
      </c>
      <c r="T599" t="s">
        <v>1850</v>
      </c>
      <c r="U599" t="s">
        <v>1850</v>
      </c>
      <c r="V599" t="s">
        <v>1850</v>
      </c>
    </row>
    <row r="600">
      <c r="R600" t="s">
        <v>1850</v>
      </c>
      <c r="S600" t="s">
        <v>1850</v>
      </c>
      <c r="T600" t="s">
        <v>1850</v>
      </c>
      <c r="U600" t="s">
        <v>1850</v>
      </c>
      <c r="V600" t="s">
        <v>1850</v>
      </c>
    </row>
    <row r="601">
      <c r="R601" t="s">
        <v>1850</v>
      </c>
      <c r="S601" t="s">
        <v>1850</v>
      </c>
      <c r="T601" t="s">
        <v>1850</v>
      </c>
      <c r="U601" t="s">
        <v>1850</v>
      </c>
      <c r="V601" t="s">
        <v>1850</v>
      </c>
    </row>
    <row r="602">
      <c r="R602" t="s">
        <v>1850</v>
      </c>
      <c r="S602" t="s">
        <v>1850</v>
      </c>
      <c r="T602" t="s">
        <v>1850</v>
      </c>
      <c r="U602" t="s">
        <v>1850</v>
      </c>
      <c r="V602" t="s">
        <v>1850</v>
      </c>
    </row>
    <row r="603">
      <c r="R603" t="s">
        <v>1850</v>
      </c>
      <c r="S603" t="s">
        <v>1850</v>
      </c>
      <c r="T603" t="s">
        <v>1850</v>
      </c>
      <c r="U603" t="s">
        <v>1850</v>
      </c>
      <c r="V603" t="s">
        <v>1850</v>
      </c>
    </row>
    <row r="604">
      <c r="R604" t="s">
        <v>1850</v>
      </c>
      <c r="S604" t="s">
        <v>1850</v>
      </c>
      <c r="T604" t="s">
        <v>1850</v>
      </c>
      <c r="U604" t="s">
        <v>1850</v>
      </c>
      <c r="V604" t="s">
        <v>1850</v>
      </c>
    </row>
    <row r="605">
      <c r="R605" t="s">
        <v>1850</v>
      </c>
      <c r="S605" t="s">
        <v>1850</v>
      </c>
      <c r="T605" t="s">
        <v>1850</v>
      </c>
      <c r="U605" t="s">
        <v>1850</v>
      </c>
      <c r="V605" t="s">
        <v>1850</v>
      </c>
    </row>
    <row r="606">
      <c r="R606" t="s">
        <v>1850</v>
      </c>
      <c r="S606" t="s">
        <v>1850</v>
      </c>
      <c r="T606" t="s">
        <v>1850</v>
      </c>
      <c r="U606" t="s">
        <v>1850</v>
      </c>
      <c r="V606" t="s">
        <v>1850</v>
      </c>
    </row>
    <row r="607">
      <c r="R607" t="s">
        <v>1850</v>
      </c>
      <c r="S607" t="s">
        <v>1850</v>
      </c>
      <c r="T607" t="s">
        <v>1850</v>
      </c>
      <c r="U607" t="s">
        <v>1850</v>
      </c>
      <c r="V607" t="s">
        <v>1850</v>
      </c>
    </row>
    <row r="608">
      <c r="R608" t="s">
        <v>1850</v>
      </c>
      <c r="S608" t="s">
        <v>1850</v>
      </c>
      <c r="T608" t="s">
        <v>1850</v>
      </c>
      <c r="U608" t="s">
        <v>1850</v>
      </c>
      <c r="V608" t="s">
        <v>1850</v>
      </c>
    </row>
    <row r="609">
      <c r="R609" t="s">
        <v>1850</v>
      </c>
      <c r="S609" t="s">
        <v>1850</v>
      </c>
      <c r="T609" t="s">
        <v>1850</v>
      </c>
      <c r="U609" t="s">
        <v>1850</v>
      </c>
      <c r="V609" t="s">
        <v>1850</v>
      </c>
    </row>
    <row r="610">
      <c r="R610" t="s">
        <v>1850</v>
      </c>
      <c r="S610" t="s">
        <v>1850</v>
      </c>
      <c r="T610" t="s">
        <v>1850</v>
      </c>
      <c r="U610" t="s">
        <v>1850</v>
      </c>
      <c r="V610" t="s">
        <v>1850</v>
      </c>
    </row>
    <row r="611">
      <c r="R611" t="s">
        <v>1850</v>
      </c>
      <c r="S611" t="s">
        <v>1850</v>
      </c>
      <c r="T611" t="s">
        <v>1850</v>
      </c>
      <c r="U611" t="s">
        <v>1850</v>
      </c>
      <c r="V611" t="s">
        <v>1850</v>
      </c>
    </row>
    <row r="612">
      <c r="R612" t="s">
        <v>1850</v>
      </c>
      <c r="S612" t="s">
        <v>1850</v>
      </c>
      <c r="T612" t="s">
        <v>1850</v>
      </c>
      <c r="U612" t="s">
        <v>1850</v>
      </c>
      <c r="V612" t="s">
        <v>1850</v>
      </c>
    </row>
    <row r="613">
      <c r="R613" t="s">
        <v>1850</v>
      </c>
      <c r="S613" t="s">
        <v>1850</v>
      </c>
      <c r="T613" t="s">
        <v>1850</v>
      </c>
      <c r="U613" t="s">
        <v>1850</v>
      </c>
      <c r="V613" t="s">
        <v>1850</v>
      </c>
    </row>
    <row r="614">
      <c r="R614" t="s">
        <v>1850</v>
      </c>
      <c r="S614" t="s">
        <v>1850</v>
      </c>
      <c r="T614" t="s">
        <v>1850</v>
      </c>
      <c r="U614" t="s">
        <v>1850</v>
      </c>
      <c r="V614" t="s">
        <v>1850</v>
      </c>
    </row>
    <row r="615">
      <c r="R615" t="s">
        <v>1850</v>
      </c>
      <c r="S615" t="s">
        <v>1850</v>
      </c>
      <c r="T615" t="s">
        <v>1850</v>
      </c>
      <c r="U615" t="s">
        <v>1850</v>
      </c>
      <c r="V615" t="s">
        <v>1850</v>
      </c>
    </row>
    <row r="616">
      <c r="R616" t="s">
        <v>1850</v>
      </c>
      <c r="S616" t="s">
        <v>1850</v>
      </c>
      <c r="T616" t="s">
        <v>1850</v>
      </c>
      <c r="U616" t="s">
        <v>1850</v>
      </c>
      <c r="V616" t="s">
        <v>1850</v>
      </c>
    </row>
    <row r="617">
      <c r="R617" t="s">
        <v>1850</v>
      </c>
      <c r="S617" t="s">
        <v>1850</v>
      </c>
      <c r="T617" t="s">
        <v>1850</v>
      </c>
      <c r="U617" t="s">
        <v>1850</v>
      </c>
      <c r="V617" t="s">
        <v>1850</v>
      </c>
    </row>
    <row r="618">
      <c r="R618" t="s">
        <v>1850</v>
      </c>
      <c r="S618" t="s">
        <v>1850</v>
      </c>
      <c r="T618" t="s">
        <v>1850</v>
      </c>
      <c r="U618" t="s">
        <v>1850</v>
      </c>
      <c r="V618" t="s">
        <v>1850</v>
      </c>
    </row>
    <row r="619">
      <c r="R619" t="s">
        <v>1850</v>
      </c>
      <c r="S619" t="s">
        <v>1850</v>
      </c>
      <c r="T619" t="s">
        <v>1850</v>
      </c>
      <c r="U619" t="s">
        <v>1850</v>
      </c>
      <c r="V619" t="s">
        <v>1850</v>
      </c>
    </row>
    <row r="620">
      <c r="R620" t="s">
        <v>1850</v>
      </c>
      <c r="S620" t="s">
        <v>1850</v>
      </c>
      <c r="T620" t="s">
        <v>1850</v>
      </c>
      <c r="U620" t="s">
        <v>1850</v>
      </c>
      <c r="V620" t="s">
        <v>1850</v>
      </c>
    </row>
    <row r="621">
      <c r="R621" t="s">
        <v>1850</v>
      </c>
      <c r="S621" t="s">
        <v>1850</v>
      </c>
      <c r="T621" t="s">
        <v>1850</v>
      </c>
      <c r="U621" t="s">
        <v>1850</v>
      </c>
      <c r="V621" t="s">
        <v>1850</v>
      </c>
    </row>
    <row r="622">
      <c r="R622" t="s">
        <v>1850</v>
      </c>
      <c r="S622" t="s">
        <v>1850</v>
      </c>
      <c r="T622" t="s">
        <v>1850</v>
      </c>
      <c r="U622" t="s">
        <v>1850</v>
      </c>
      <c r="V622" t="s">
        <v>1850</v>
      </c>
    </row>
    <row r="623">
      <c r="R623" t="s">
        <v>1850</v>
      </c>
      <c r="S623" t="s">
        <v>1850</v>
      </c>
      <c r="T623" t="s">
        <v>1850</v>
      </c>
      <c r="U623" t="s">
        <v>1850</v>
      </c>
      <c r="V623" t="s">
        <v>1850</v>
      </c>
    </row>
    <row r="624">
      <c r="R624" t="s">
        <v>1850</v>
      </c>
      <c r="S624" t="s">
        <v>1850</v>
      </c>
      <c r="T624" t="s">
        <v>1850</v>
      </c>
      <c r="U624" t="s">
        <v>1850</v>
      </c>
      <c r="V624" t="s">
        <v>1850</v>
      </c>
    </row>
    <row r="625">
      <c r="R625" t="s">
        <v>1850</v>
      </c>
      <c r="S625" t="s">
        <v>1850</v>
      </c>
      <c r="T625" t="s">
        <v>1850</v>
      </c>
      <c r="U625" t="s">
        <v>1850</v>
      </c>
      <c r="V625" t="s">
        <v>1850</v>
      </c>
    </row>
    <row r="626">
      <c r="R626" t="s">
        <v>1850</v>
      </c>
      <c r="S626" t="s">
        <v>1850</v>
      </c>
      <c r="T626" t="s">
        <v>1850</v>
      </c>
      <c r="U626" t="s">
        <v>1850</v>
      </c>
      <c r="V626" t="s">
        <v>1850</v>
      </c>
    </row>
    <row r="627">
      <c r="R627" t="s">
        <v>1850</v>
      </c>
      <c r="S627" t="s">
        <v>1850</v>
      </c>
      <c r="T627" t="s">
        <v>1850</v>
      </c>
      <c r="U627" t="s">
        <v>1850</v>
      </c>
      <c r="V627" t="s">
        <v>1850</v>
      </c>
    </row>
    <row r="628">
      <c r="R628" t="s">
        <v>1850</v>
      </c>
      <c r="S628" t="s">
        <v>1850</v>
      </c>
      <c r="T628" t="s">
        <v>1850</v>
      </c>
      <c r="U628" t="s">
        <v>1850</v>
      </c>
      <c r="V628" t="s">
        <v>1850</v>
      </c>
    </row>
    <row r="629">
      <c r="R629" t="s">
        <v>1850</v>
      </c>
      <c r="S629" t="s">
        <v>1850</v>
      </c>
      <c r="T629" t="s">
        <v>1850</v>
      </c>
      <c r="U629" t="s">
        <v>1850</v>
      </c>
      <c r="V629" t="s">
        <v>1850</v>
      </c>
    </row>
    <row r="630">
      <c r="R630" t="s">
        <v>1850</v>
      </c>
      <c r="S630" t="s">
        <v>1850</v>
      </c>
      <c r="T630" t="s">
        <v>1850</v>
      </c>
      <c r="U630" t="s">
        <v>1850</v>
      </c>
      <c r="V630" t="s">
        <v>1850</v>
      </c>
    </row>
    <row r="631">
      <c r="R631" t="s">
        <v>1850</v>
      </c>
      <c r="S631" t="s">
        <v>1850</v>
      </c>
      <c r="T631" t="s">
        <v>1850</v>
      </c>
      <c r="U631" t="s">
        <v>1850</v>
      </c>
      <c r="V631" t="s">
        <v>1850</v>
      </c>
    </row>
    <row r="632">
      <c r="R632" t="s">
        <v>1850</v>
      </c>
      <c r="S632" t="s">
        <v>1850</v>
      </c>
      <c r="T632" t="s">
        <v>1850</v>
      </c>
      <c r="U632" t="s">
        <v>1850</v>
      </c>
      <c r="V632" t="s">
        <v>1850</v>
      </c>
    </row>
    <row r="633">
      <c r="R633" t="s">
        <v>1850</v>
      </c>
      <c r="S633" t="s">
        <v>1850</v>
      </c>
      <c r="T633" t="s">
        <v>1850</v>
      </c>
      <c r="U633" t="s">
        <v>1850</v>
      </c>
      <c r="V633" t="s">
        <v>1850</v>
      </c>
    </row>
    <row r="634">
      <c r="R634" t="s">
        <v>1850</v>
      </c>
      <c r="S634" t="s">
        <v>1850</v>
      </c>
      <c r="T634" t="s">
        <v>1850</v>
      </c>
      <c r="U634" t="s">
        <v>1850</v>
      </c>
      <c r="V634" t="s">
        <v>1850</v>
      </c>
    </row>
    <row r="635">
      <c r="R635" t="s">
        <v>1850</v>
      </c>
      <c r="S635" t="s">
        <v>1850</v>
      </c>
      <c r="T635" t="s">
        <v>1850</v>
      </c>
      <c r="U635" t="s">
        <v>1850</v>
      </c>
      <c r="V635" t="s">
        <v>1850</v>
      </c>
    </row>
    <row r="636">
      <c r="R636" t="s">
        <v>1850</v>
      </c>
      <c r="S636" t="s">
        <v>1850</v>
      </c>
      <c r="T636" t="s">
        <v>1850</v>
      </c>
      <c r="U636" t="s">
        <v>1850</v>
      </c>
      <c r="V636" t="s">
        <v>1850</v>
      </c>
    </row>
    <row r="637">
      <c r="R637" t="s">
        <v>1850</v>
      </c>
      <c r="S637" t="s">
        <v>1850</v>
      </c>
      <c r="T637" t="s">
        <v>1850</v>
      </c>
      <c r="U637" t="s">
        <v>1850</v>
      </c>
      <c r="V637" t="s">
        <v>1850</v>
      </c>
    </row>
    <row r="638">
      <c r="R638" t="s">
        <v>1850</v>
      </c>
      <c r="S638" t="s">
        <v>1850</v>
      </c>
      <c r="T638" t="s">
        <v>1850</v>
      </c>
      <c r="U638" t="s">
        <v>1850</v>
      </c>
      <c r="V638" t="s">
        <v>1850</v>
      </c>
    </row>
    <row r="639">
      <c r="R639" t="s">
        <v>1850</v>
      </c>
      <c r="S639" t="s">
        <v>1850</v>
      </c>
      <c r="T639" t="s">
        <v>1850</v>
      </c>
      <c r="U639" t="s">
        <v>1850</v>
      </c>
      <c r="V639" t="s">
        <v>1850</v>
      </c>
    </row>
    <row r="640">
      <c r="R640" t="s">
        <v>1850</v>
      </c>
      <c r="S640" t="s">
        <v>1850</v>
      </c>
      <c r="T640" t="s">
        <v>1850</v>
      </c>
      <c r="U640" t="s">
        <v>1850</v>
      </c>
      <c r="V640" t="s">
        <v>1850</v>
      </c>
    </row>
    <row r="641">
      <c r="R641" t="s">
        <v>1850</v>
      </c>
      <c r="S641" t="s">
        <v>1850</v>
      </c>
      <c r="T641" t="s">
        <v>1850</v>
      </c>
      <c r="U641" t="s">
        <v>1850</v>
      </c>
      <c r="V641" t="s">
        <v>1850</v>
      </c>
    </row>
    <row r="642">
      <c r="R642" t="s">
        <v>1850</v>
      </c>
      <c r="S642" t="s">
        <v>1850</v>
      </c>
      <c r="T642" t="s">
        <v>1850</v>
      </c>
      <c r="U642" t="s">
        <v>1850</v>
      </c>
      <c r="V642" t="s">
        <v>1850</v>
      </c>
    </row>
    <row r="643">
      <c r="R643" t="s">
        <v>1850</v>
      </c>
      <c r="S643" t="s">
        <v>1850</v>
      </c>
      <c r="T643" t="s">
        <v>1850</v>
      </c>
      <c r="U643" t="s">
        <v>1850</v>
      </c>
      <c r="V643" t="s">
        <v>1850</v>
      </c>
    </row>
    <row r="644">
      <c r="R644" t="s">
        <v>1850</v>
      </c>
      <c r="S644" t="s">
        <v>1850</v>
      </c>
      <c r="T644" t="s">
        <v>1850</v>
      </c>
      <c r="U644" t="s">
        <v>1850</v>
      </c>
      <c r="V644" t="s">
        <v>1850</v>
      </c>
    </row>
    <row r="645">
      <c r="R645" t="s">
        <v>1850</v>
      </c>
      <c r="S645" t="s">
        <v>1850</v>
      </c>
      <c r="T645" t="s">
        <v>1850</v>
      </c>
      <c r="U645" t="s">
        <v>1850</v>
      </c>
      <c r="V645" t="s">
        <v>1850</v>
      </c>
    </row>
    <row r="646">
      <c r="R646" t="s">
        <v>1850</v>
      </c>
      <c r="S646" t="s">
        <v>1850</v>
      </c>
      <c r="T646" t="s">
        <v>1850</v>
      </c>
      <c r="U646" t="s">
        <v>1850</v>
      </c>
      <c r="V646" t="s">
        <v>1850</v>
      </c>
    </row>
    <row r="647">
      <c r="R647" t="s">
        <v>1850</v>
      </c>
      <c r="S647" t="s">
        <v>1850</v>
      </c>
      <c r="T647" t="s">
        <v>1850</v>
      </c>
      <c r="U647" t="s">
        <v>1850</v>
      </c>
      <c r="V647" t="s">
        <v>1850</v>
      </c>
    </row>
    <row r="648">
      <c r="R648" t="s">
        <v>1850</v>
      </c>
      <c r="S648" t="s">
        <v>1850</v>
      </c>
      <c r="T648" t="s">
        <v>1850</v>
      </c>
      <c r="U648" t="s">
        <v>1850</v>
      </c>
      <c r="V648" t="s">
        <v>1850</v>
      </c>
    </row>
    <row r="649">
      <c r="R649" t="s">
        <v>1850</v>
      </c>
      <c r="S649" t="s">
        <v>1850</v>
      </c>
      <c r="T649" t="s">
        <v>1850</v>
      </c>
      <c r="U649" t="s">
        <v>1850</v>
      </c>
      <c r="V649" t="s">
        <v>1850</v>
      </c>
    </row>
    <row r="650">
      <c r="R650" t="s">
        <v>1850</v>
      </c>
      <c r="S650" t="s">
        <v>1850</v>
      </c>
      <c r="T650" t="s">
        <v>1850</v>
      </c>
      <c r="U650" t="s">
        <v>1850</v>
      </c>
      <c r="V650" t="s">
        <v>1850</v>
      </c>
    </row>
    <row r="651">
      <c r="R651" t="s">
        <v>1850</v>
      </c>
      <c r="S651" t="s">
        <v>1850</v>
      </c>
      <c r="T651" t="s">
        <v>1850</v>
      </c>
      <c r="U651" t="s">
        <v>1850</v>
      </c>
      <c r="V651" t="s">
        <v>1850</v>
      </c>
    </row>
    <row r="652">
      <c r="R652" t="s">
        <v>1850</v>
      </c>
      <c r="S652" t="s">
        <v>1850</v>
      </c>
      <c r="T652" t="s">
        <v>1850</v>
      </c>
      <c r="U652" t="s">
        <v>1850</v>
      </c>
      <c r="V652" t="s">
        <v>1850</v>
      </c>
    </row>
    <row r="653">
      <c r="R653" t="s">
        <v>1850</v>
      </c>
      <c r="S653" t="s">
        <v>1850</v>
      </c>
      <c r="T653" t="s">
        <v>1850</v>
      </c>
      <c r="U653" t="s">
        <v>1850</v>
      </c>
      <c r="V653" t="s">
        <v>1850</v>
      </c>
    </row>
    <row r="654">
      <c r="R654" t="s">
        <v>1850</v>
      </c>
      <c r="S654" t="s">
        <v>1850</v>
      </c>
      <c r="T654" t="s">
        <v>1850</v>
      </c>
      <c r="U654" t="s">
        <v>1850</v>
      </c>
      <c r="V654" t="s">
        <v>1850</v>
      </c>
    </row>
    <row r="655">
      <c r="R655" t="s">
        <v>1850</v>
      </c>
      <c r="S655" t="s">
        <v>1850</v>
      </c>
      <c r="T655" t="s">
        <v>1850</v>
      </c>
      <c r="U655" t="s">
        <v>1850</v>
      </c>
      <c r="V655" t="s">
        <v>1850</v>
      </c>
    </row>
    <row r="656">
      <c r="R656" t="s">
        <v>1850</v>
      </c>
      <c r="S656" t="s">
        <v>1850</v>
      </c>
      <c r="T656" t="s">
        <v>1850</v>
      </c>
      <c r="U656" t="s">
        <v>1850</v>
      </c>
      <c r="V656" t="s">
        <v>1850</v>
      </c>
    </row>
    <row r="657">
      <c r="R657" t="s">
        <v>1850</v>
      </c>
      <c r="S657" t="s">
        <v>1850</v>
      </c>
      <c r="T657" t="s">
        <v>1850</v>
      </c>
      <c r="U657" t="s">
        <v>1850</v>
      </c>
      <c r="V657" t="s">
        <v>1850</v>
      </c>
    </row>
    <row r="658">
      <c r="R658" t="s">
        <v>1850</v>
      </c>
      <c r="S658" t="s">
        <v>1850</v>
      </c>
      <c r="T658" t="s">
        <v>1850</v>
      </c>
      <c r="U658" t="s">
        <v>1850</v>
      </c>
      <c r="V658" t="s">
        <v>1850</v>
      </c>
    </row>
    <row r="659">
      <c r="R659" t="s">
        <v>1850</v>
      </c>
      <c r="S659" t="s">
        <v>1850</v>
      </c>
      <c r="T659" t="s">
        <v>1850</v>
      </c>
      <c r="U659" t="s">
        <v>1850</v>
      </c>
      <c r="V659" t="s">
        <v>1850</v>
      </c>
    </row>
    <row r="660">
      <c r="R660" t="s">
        <v>1850</v>
      </c>
      <c r="S660" t="s">
        <v>1850</v>
      </c>
      <c r="T660" t="s">
        <v>1850</v>
      </c>
      <c r="U660" t="s">
        <v>1850</v>
      </c>
      <c r="V660" t="s">
        <v>1850</v>
      </c>
    </row>
    <row r="661">
      <c r="R661" t="s">
        <v>1850</v>
      </c>
      <c r="S661" t="s">
        <v>1850</v>
      </c>
      <c r="T661" t="s">
        <v>1850</v>
      </c>
      <c r="U661" t="s">
        <v>1850</v>
      </c>
      <c r="V661" t="s">
        <v>1850</v>
      </c>
    </row>
    <row r="662">
      <c r="R662" t="s">
        <v>1850</v>
      </c>
      <c r="S662" t="s">
        <v>1850</v>
      </c>
      <c r="T662" t="s">
        <v>1850</v>
      </c>
      <c r="U662" t="s">
        <v>1850</v>
      </c>
      <c r="V662" t="s">
        <v>1850</v>
      </c>
    </row>
    <row r="663">
      <c r="R663" t="s">
        <v>1850</v>
      </c>
      <c r="S663" t="s">
        <v>1850</v>
      </c>
      <c r="T663" t="s">
        <v>1850</v>
      </c>
      <c r="U663" t="s">
        <v>1850</v>
      </c>
      <c r="V663" t="s">
        <v>1850</v>
      </c>
    </row>
    <row r="664">
      <c r="R664" t="s">
        <v>1850</v>
      </c>
      <c r="S664" t="s">
        <v>1850</v>
      </c>
      <c r="T664" t="s">
        <v>1850</v>
      </c>
      <c r="U664" t="s">
        <v>1850</v>
      </c>
      <c r="V664" t="s">
        <v>1850</v>
      </c>
    </row>
    <row r="665">
      <c r="R665" t="s">
        <v>1850</v>
      </c>
      <c r="S665" t="s">
        <v>1850</v>
      </c>
      <c r="T665" t="s">
        <v>1850</v>
      </c>
      <c r="U665" t="s">
        <v>1850</v>
      </c>
      <c r="V665" t="s">
        <v>1850</v>
      </c>
    </row>
    <row r="666">
      <c r="R666" t="s">
        <v>1850</v>
      </c>
      <c r="S666" t="s">
        <v>1850</v>
      </c>
      <c r="T666" t="s">
        <v>1850</v>
      </c>
      <c r="U666" t="s">
        <v>1850</v>
      </c>
      <c r="V666" t="s">
        <v>1850</v>
      </c>
    </row>
    <row r="667">
      <c r="R667" t="s">
        <v>1850</v>
      </c>
      <c r="S667" t="s">
        <v>1850</v>
      </c>
      <c r="T667" t="s">
        <v>1850</v>
      </c>
      <c r="U667" t="s">
        <v>1850</v>
      </c>
      <c r="V667" t="s">
        <v>1850</v>
      </c>
    </row>
    <row r="668">
      <c r="R668" t="s">
        <v>1850</v>
      </c>
      <c r="S668" t="s">
        <v>1850</v>
      </c>
      <c r="T668" t="s">
        <v>1850</v>
      </c>
      <c r="U668" t="s">
        <v>1850</v>
      </c>
      <c r="V668" t="s">
        <v>1850</v>
      </c>
    </row>
    <row r="669">
      <c r="R669" t="s">
        <v>1850</v>
      </c>
      <c r="S669" t="s">
        <v>1850</v>
      </c>
      <c r="T669" t="s">
        <v>1850</v>
      </c>
      <c r="U669" t="s">
        <v>1850</v>
      </c>
      <c r="V669" t="s">
        <v>1850</v>
      </c>
    </row>
    <row r="670">
      <c r="R670" t="s">
        <v>1850</v>
      </c>
      <c r="S670" t="s">
        <v>1850</v>
      </c>
      <c r="T670" t="s">
        <v>1850</v>
      </c>
      <c r="U670" t="s">
        <v>1850</v>
      </c>
      <c r="V670" t="s">
        <v>1850</v>
      </c>
    </row>
    <row r="671">
      <c r="R671" t="s">
        <v>1850</v>
      </c>
      <c r="S671" t="s">
        <v>1850</v>
      </c>
      <c r="T671" t="s">
        <v>1850</v>
      </c>
      <c r="U671" t="s">
        <v>1850</v>
      </c>
      <c r="V671" t="s">
        <v>1850</v>
      </c>
    </row>
    <row r="672">
      <c r="R672" t="s">
        <v>1850</v>
      </c>
      <c r="S672" t="s">
        <v>1850</v>
      </c>
      <c r="T672" t="s">
        <v>1850</v>
      </c>
      <c r="U672" t="s">
        <v>1850</v>
      </c>
      <c r="V672" t="s">
        <v>1850</v>
      </c>
    </row>
    <row r="673">
      <c r="R673" t="s">
        <v>1850</v>
      </c>
      <c r="S673" t="s">
        <v>1850</v>
      </c>
      <c r="T673" t="s">
        <v>1850</v>
      </c>
      <c r="U673" t="s">
        <v>1850</v>
      </c>
      <c r="V673" t="s">
        <v>1850</v>
      </c>
    </row>
    <row r="674">
      <c r="R674" t="s">
        <v>1850</v>
      </c>
      <c r="S674" t="s">
        <v>1850</v>
      </c>
      <c r="T674" t="s">
        <v>1850</v>
      </c>
      <c r="U674" t="s">
        <v>1850</v>
      </c>
      <c r="V674" t="s">
        <v>1850</v>
      </c>
    </row>
    <row r="675">
      <c r="R675" t="s">
        <v>1850</v>
      </c>
      <c r="S675" t="s">
        <v>1850</v>
      </c>
      <c r="T675" t="s">
        <v>1850</v>
      </c>
      <c r="U675" t="s">
        <v>1850</v>
      </c>
      <c r="V675" t="s">
        <v>1850</v>
      </c>
    </row>
    <row r="676">
      <c r="R676" t="s">
        <v>1850</v>
      </c>
      <c r="S676" t="s">
        <v>1850</v>
      </c>
      <c r="T676" t="s">
        <v>1850</v>
      </c>
      <c r="U676" t="s">
        <v>1850</v>
      </c>
      <c r="V676" t="s">
        <v>1850</v>
      </c>
    </row>
    <row r="677">
      <c r="R677" t="s">
        <v>1850</v>
      </c>
      <c r="S677" t="s">
        <v>1850</v>
      </c>
      <c r="T677" t="s">
        <v>1850</v>
      </c>
      <c r="U677" t="s">
        <v>1850</v>
      </c>
      <c r="V677" t="s">
        <v>1850</v>
      </c>
    </row>
    <row r="678">
      <c r="R678" t="s">
        <v>1850</v>
      </c>
      <c r="S678" t="s">
        <v>1850</v>
      </c>
      <c r="T678" t="s">
        <v>1850</v>
      </c>
      <c r="U678" t="s">
        <v>1850</v>
      </c>
      <c r="V678" t="s">
        <v>1850</v>
      </c>
    </row>
    <row r="679">
      <c r="R679" t="s">
        <v>1850</v>
      </c>
      <c r="S679" t="s">
        <v>1850</v>
      </c>
      <c r="T679" t="s">
        <v>1850</v>
      </c>
      <c r="U679" t="s">
        <v>1850</v>
      </c>
      <c r="V679" t="s">
        <v>1850</v>
      </c>
    </row>
    <row r="680">
      <c r="R680" t="s">
        <v>1850</v>
      </c>
      <c r="S680" t="s">
        <v>1850</v>
      </c>
      <c r="T680" t="s">
        <v>1850</v>
      </c>
      <c r="U680" t="s">
        <v>1850</v>
      </c>
      <c r="V680" t="s">
        <v>1850</v>
      </c>
    </row>
    <row r="681">
      <c r="R681" t="s">
        <v>1850</v>
      </c>
      <c r="S681" t="s">
        <v>1850</v>
      </c>
      <c r="T681" t="s">
        <v>1850</v>
      </c>
      <c r="U681" t="s">
        <v>1850</v>
      </c>
      <c r="V681" t="s">
        <v>1850</v>
      </c>
    </row>
    <row r="682">
      <c r="R682" t="s">
        <v>1850</v>
      </c>
      <c r="S682" t="s">
        <v>1850</v>
      </c>
      <c r="T682" t="s">
        <v>1850</v>
      </c>
      <c r="U682" t="s">
        <v>1850</v>
      </c>
      <c r="V682" t="s">
        <v>1850</v>
      </c>
    </row>
    <row r="683">
      <c r="R683" t="s">
        <v>1850</v>
      </c>
      <c r="S683" t="s">
        <v>1850</v>
      </c>
      <c r="T683" t="s">
        <v>1850</v>
      </c>
      <c r="U683" t="s">
        <v>1850</v>
      </c>
      <c r="V683" t="s">
        <v>1850</v>
      </c>
    </row>
    <row r="684">
      <c r="R684" t="s">
        <v>1850</v>
      </c>
      <c r="S684" t="s">
        <v>1850</v>
      </c>
      <c r="T684" t="s">
        <v>1850</v>
      </c>
      <c r="U684" t="s">
        <v>1850</v>
      </c>
      <c r="V684" t="s">
        <v>1850</v>
      </c>
    </row>
    <row r="685">
      <c r="R685" t="s">
        <v>1850</v>
      </c>
      <c r="S685" t="s">
        <v>1850</v>
      </c>
      <c r="T685" t="s">
        <v>1850</v>
      </c>
      <c r="U685" t="s">
        <v>1850</v>
      </c>
      <c r="V685" t="s">
        <v>1850</v>
      </c>
    </row>
    <row r="686">
      <c r="R686" t="s">
        <v>1850</v>
      </c>
      <c r="S686" t="s">
        <v>1850</v>
      </c>
      <c r="T686" t="s">
        <v>1850</v>
      </c>
      <c r="U686" t="s">
        <v>1850</v>
      </c>
      <c r="V686" t="s">
        <v>1850</v>
      </c>
    </row>
    <row r="687">
      <c r="R687" t="s">
        <v>1850</v>
      </c>
      <c r="S687" t="s">
        <v>1850</v>
      </c>
      <c r="T687" t="s">
        <v>1850</v>
      </c>
      <c r="U687" t="s">
        <v>1850</v>
      </c>
      <c r="V687" t="s">
        <v>1850</v>
      </c>
    </row>
    <row r="688">
      <c r="R688" t="s">
        <v>1850</v>
      </c>
      <c r="S688" t="s">
        <v>1850</v>
      </c>
      <c r="T688" t="s">
        <v>1850</v>
      </c>
      <c r="U688" t="s">
        <v>1850</v>
      </c>
      <c r="V688" t="s">
        <v>1850</v>
      </c>
    </row>
    <row r="689">
      <c r="R689" t="s">
        <v>1850</v>
      </c>
      <c r="S689" t="s">
        <v>1850</v>
      </c>
      <c r="T689" t="s">
        <v>1850</v>
      </c>
      <c r="U689" t="s">
        <v>1850</v>
      </c>
      <c r="V689" t="s">
        <v>1850</v>
      </c>
    </row>
    <row r="690">
      <c r="R690" t="s">
        <v>1850</v>
      </c>
      <c r="S690" t="s">
        <v>1850</v>
      </c>
      <c r="T690" t="s">
        <v>1850</v>
      </c>
      <c r="U690" t="s">
        <v>1850</v>
      </c>
      <c r="V690" t="s">
        <v>1850</v>
      </c>
    </row>
    <row r="691">
      <c r="R691" t="s">
        <v>1850</v>
      </c>
      <c r="S691" t="s">
        <v>1850</v>
      </c>
      <c r="T691" t="s">
        <v>1850</v>
      </c>
      <c r="U691" t="s">
        <v>1850</v>
      </c>
      <c r="V691" t="s">
        <v>1850</v>
      </c>
    </row>
    <row r="692">
      <c r="R692" t="s">
        <v>1850</v>
      </c>
      <c r="S692" t="s">
        <v>1850</v>
      </c>
      <c r="T692" t="s">
        <v>1850</v>
      </c>
      <c r="U692" t="s">
        <v>1850</v>
      </c>
      <c r="V692" t="s">
        <v>1850</v>
      </c>
    </row>
    <row r="693">
      <c r="R693" t="s">
        <v>1850</v>
      </c>
      <c r="S693" t="s">
        <v>1850</v>
      </c>
      <c r="T693" t="s">
        <v>1850</v>
      </c>
      <c r="U693" t="s">
        <v>1850</v>
      </c>
      <c r="V693" t="s">
        <v>1850</v>
      </c>
    </row>
    <row r="694">
      <c r="R694" t="s">
        <v>1850</v>
      </c>
      <c r="S694" t="s">
        <v>1850</v>
      </c>
      <c r="T694" t="s">
        <v>1850</v>
      </c>
      <c r="U694" t="s">
        <v>1850</v>
      </c>
      <c r="V694" t="s">
        <v>1850</v>
      </c>
    </row>
    <row r="695">
      <c r="R695" t="s">
        <v>1850</v>
      </c>
      <c r="S695" t="s">
        <v>1850</v>
      </c>
      <c r="T695" t="s">
        <v>1850</v>
      </c>
      <c r="U695" t="s">
        <v>1850</v>
      </c>
      <c r="V695" t="s">
        <v>1850</v>
      </c>
    </row>
    <row r="696">
      <c r="R696" t="s">
        <v>1850</v>
      </c>
      <c r="S696" t="s">
        <v>1850</v>
      </c>
      <c r="T696" t="s">
        <v>1850</v>
      </c>
      <c r="U696" t="s">
        <v>1850</v>
      </c>
      <c r="V696" t="s">
        <v>1850</v>
      </c>
    </row>
    <row r="697">
      <c r="R697" t="s">
        <v>1850</v>
      </c>
      <c r="S697" t="s">
        <v>1850</v>
      </c>
      <c r="T697" t="s">
        <v>1850</v>
      </c>
      <c r="U697" t="s">
        <v>1850</v>
      </c>
      <c r="V697" t="s">
        <v>1850</v>
      </c>
    </row>
    <row r="698">
      <c r="R698" t="s">
        <v>1850</v>
      </c>
      <c r="S698" t="s">
        <v>1850</v>
      </c>
      <c r="T698" t="s">
        <v>1850</v>
      </c>
      <c r="U698" t="s">
        <v>1850</v>
      </c>
      <c r="V698" t="s">
        <v>1850</v>
      </c>
    </row>
    <row r="699">
      <c r="R699" t="s">
        <v>1850</v>
      </c>
      <c r="S699" t="s">
        <v>1850</v>
      </c>
      <c r="T699" t="s">
        <v>1850</v>
      </c>
      <c r="U699" t="s">
        <v>1850</v>
      </c>
      <c r="V699" t="s">
        <v>1850</v>
      </c>
    </row>
    <row r="700">
      <c r="R700" t="s">
        <v>1850</v>
      </c>
      <c r="S700" t="s">
        <v>1850</v>
      </c>
      <c r="T700" t="s">
        <v>1850</v>
      </c>
      <c r="U700" t="s">
        <v>1850</v>
      </c>
      <c r="V700" t="s">
        <v>1850</v>
      </c>
    </row>
    <row r="701">
      <c r="R701" t="s">
        <v>1850</v>
      </c>
      <c r="S701" t="s">
        <v>1850</v>
      </c>
      <c r="T701" t="s">
        <v>1850</v>
      </c>
      <c r="U701" t="s">
        <v>1850</v>
      </c>
      <c r="V701" t="s">
        <v>1850</v>
      </c>
    </row>
    <row r="702">
      <c r="R702" t="s">
        <v>1850</v>
      </c>
      <c r="S702" t="s">
        <v>1850</v>
      </c>
      <c r="T702" t="s">
        <v>1850</v>
      </c>
      <c r="U702" t="s">
        <v>1850</v>
      </c>
      <c r="V702" t="s">
        <v>1850</v>
      </c>
    </row>
    <row r="703">
      <c r="R703" t="s">
        <v>1850</v>
      </c>
      <c r="S703" t="s">
        <v>1850</v>
      </c>
      <c r="T703" t="s">
        <v>1850</v>
      </c>
      <c r="U703" t="s">
        <v>1850</v>
      </c>
      <c r="V703" t="s">
        <v>1850</v>
      </c>
    </row>
    <row r="704">
      <c r="R704" t="s">
        <v>1850</v>
      </c>
      <c r="S704" t="s">
        <v>1850</v>
      </c>
      <c r="T704" t="s">
        <v>1850</v>
      </c>
      <c r="U704" t="s">
        <v>1850</v>
      </c>
      <c r="V704" t="s">
        <v>1850</v>
      </c>
    </row>
    <row r="705">
      <c r="R705" t="s">
        <v>1850</v>
      </c>
      <c r="S705" t="s">
        <v>1850</v>
      </c>
      <c r="T705" t="s">
        <v>1850</v>
      </c>
      <c r="U705" t="s">
        <v>1850</v>
      </c>
      <c r="V705" t="s">
        <v>1850</v>
      </c>
    </row>
    <row r="706">
      <c r="R706" t="s">
        <v>1850</v>
      </c>
      <c r="S706" t="s">
        <v>1850</v>
      </c>
      <c r="T706" t="s">
        <v>1850</v>
      </c>
      <c r="U706" t="s">
        <v>1850</v>
      </c>
      <c r="V706" t="s">
        <v>1850</v>
      </c>
    </row>
    <row r="707">
      <c r="R707" t="s">
        <v>1850</v>
      </c>
      <c r="S707" t="s">
        <v>1850</v>
      </c>
      <c r="T707" t="s">
        <v>1850</v>
      </c>
      <c r="U707" t="s">
        <v>1850</v>
      </c>
      <c r="V707" t="s">
        <v>1850</v>
      </c>
    </row>
    <row r="708">
      <c r="R708" t="s">
        <v>1850</v>
      </c>
      <c r="S708" t="s">
        <v>1850</v>
      </c>
      <c r="T708" t="s">
        <v>1850</v>
      </c>
      <c r="U708" t="s">
        <v>1850</v>
      </c>
      <c r="V708" t="s">
        <v>1850</v>
      </c>
    </row>
    <row r="709">
      <c r="R709" t="s">
        <v>1850</v>
      </c>
      <c r="S709" t="s">
        <v>1850</v>
      </c>
      <c r="T709" t="s">
        <v>1850</v>
      </c>
      <c r="U709" t="s">
        <v>1850</v>
      </c>
      <c r="V709" t="s">
        <v>1850</v>
      </c>
    </row>
    <row r="710">
      <c r="R710" t="s">
        <v>1850</v>
      </c>
      <c r="S710" t="s">
        <v>1850</v>
      </c>
      <c r="T710" t="s">
        <v>1850</v>
      </c>
      <c r="U710" t="s">
        <v>1850</v>
      </c>
      <c r="V710" t="s">
        <v>1850</v>
      </c>
    </row>
    <row r="711">
      <c r="R711" t="s">
        <v>1850</v>
      </c>
      <c r="S711" t="s">
        <v>1850</v>
      </c>
      <c r="T711" t="s">
        <v>1850</v>
      </c>
      <c r="U711" t="s">
        <v>1850</v>
      </c>
      <c r="V711" t="s">
        <v>1850</v>
      </c>
    </row>
    <row r="712">
      <c r="R712" t="s">
        <v>1850</v>
      </c>
      <c r="S712" t="s">
        <v>1850</v>
      </c>
      <c r="T712" t="s">
        <v>1850</v>
      </c>
      <c r="U712" t="s">
        <v>1850</v>
      </c>
      <c r="V712" t="s">
        <v>1850</v>
      </c>
    </row>
    <row r="713">
      <c r="R713" t="s">
        <v>1850</v>
      </c>
      <c r="S713" t="s">
        <v>1850</v>
      </c>
      <c r="T713" t="s">
        <v>1850</v>
      </c>
      <c r="U713" t="s">
        <v>1850</v>
      </c>
      <c r="V713" t="s">
        <v>1850</v>
      </c>
    </row>
    <row r="714">
      <c r="R714" t="s">
        <v>1850</v>
      </c>
      <c r="S714" t="s">
        <v>1850</v>
      </c>
      <c r="T714" t="s">
        <v>1850</v>
      </c>
      <c r="U714" t="s">
        <v>1850</v>
      </c>
      <c r="V714" t="s">
        <v>1850</v>
      </c>
    </row>
    <row r="715">
      <c r="R715" t="s">
        <v>1850</v>
      </c>
      <c r="S715" t="s">
        <v>1850</v>
      </c>
      <c r="T715" t="s">
        <v>1850</v>
      </c>
      <c r="U715" t="s">
        <v>1850</v>
      </c>
      <c r="V715" t="s">
        <v>1850</v>
      </c>
    </row>
    <row r="716">
      <c r="R716" t="s">
        <v>1850</v>
      </c>
      <c r="S716" t="s">
        <v>1850</v>
      </c>
      <c r="T716" t="s">
        <v>1850</v>
      </c>
      <c r="U716" t="s">
        <v>1850</v>
      </c>
      <c r="V716" t="s">
        <v>1850</v>
      </c>
    </row>
    <row r="717">
      <c r="R717" t="s">
        <v>1850</v>
      </c>
      <c r="S717" t="s">
        <v>1850</v>
      </c>
      <c r="T717" t="s">
        <v>1850</v>
      </c>
      <c r="U717" t="s">
        <v>1850</v>
      </c>
      <c r="V717" t="s">
        <v>1850</v>
      </c>
    </row>
    <row r="718">
      <c r="R718" t="s">
        <v>1850</v>
      </c>
      <c r="S718" t="s">
        <v>1850</v>
      </c>
      <c r="T718" t="s">
        <v>1850</v>
      </c>
      <c r="U718" t="s">
        <v>1850</v>
      </c>
      <c r="V718" t="s">
        <v>1850</v>
      </c>
    </row>
    <row r="719">
      <c r="R719" t="s">
        <v>1850</v>
      </c>
      <c r="S719" t="s">
        <v>1850</v>
      </c>
      <c r="T719" t="s">
        <v>1850</v>
      </c>
      <c r="U719" t="s">
        <v>1850</v>
      </c>
      <c r="V719" t="s">
        <v>1850</v>
      </c>
    </row>
    <row r="720">
      <c r="R720" t="s">
        <v>1850</v>
      </c>
      <c r="S720" t="s">
        <v>1850</v>
      </c>
      <c r="T720" t="s">
        <v>1850</v>
      </c>
      <c r="U720" t="s">
        <v>1850</v>
      </c>
      <c r="V720" t="s">
        <v>1850</v>
      </c>
    </row>
    <row r="721">
      <c r="R721" t="s">
        <v>1850</v>
      </c>
      <c r="S721" t="s">
        <v>1850</v>
      </c>
      <c r="T721" t="s">
        <v>1850</v>
      </c>
      <c r="U721" t="s">
        <v>1850</v>
      </c>
      <c r="V721" t="s">
        <v>1850</v>
      </c>
    </row>
    <row r="722">
      <c r="R722" t="s">
        <v>1850</v>
      </c>
      <c r="S722" t="s">
        <v>1850</v>
      </c>
      <c r="T722" t="s">
        <v>1850</v>
      </c>
      <c r="U722" t="s">
        <v>1850</v>
      </c>
      <c r="V722" t="s">
        <v>1850</v>
      </c>
    </row>
    <row r="723">
      <c r="R723" t="s">
        <v>1850</v>
      </c>
      <c r="S723" t="s">
        <v>1850</v>
      </c>
      <c r="T723" t="s">
        <v>1850</v>
      </c>
      <c r="U723" t="s">
        <v>1850</v>
      </c>
      <c r="V723" t="s">
        <v>1850</v>
      </c>
    </row>
    <row r="724">
      <c r="R724" t="s">
        <v>1850</v>
      </c>
      <c r="S724" t="s">
        <v>1850</v>
      </c>
      <c r="T724" t="s">
        <v>1850</v>
      </c>
      <c r="U724" t="s">
        <v>1850</v>
      </c>
      <c r="V724" t="s">
        <v>1850</v>
      </c>
    </row>
    <row r="725">
      <c r="R725" t="s">
        <v>1850</v>
      </c>
      <c r="S725" t="s">
        <v>1850</v>
      </c>
      <c r="T725" t="s">
        <v>1850</v>
      </c>
      <c r="U725" t="s">
        <v>1850</v>
      </c>
      <c r="V725" t="s">
        <v>1850</v>
      </c>
    </row>
    <row r="726">
      <c r="R726" t="s">
        <v>1850</v>
      </c>
      <c r="S726" t="s">
        <v>1850</v>
      </c>
      <c r="T726" t="s">
        <v>1850</v>
      </c>
      <c r="U726" t="s">
        <v>1850</v>
      </c>
      <c r="V726" t="s">
        <v>1850</v>
      </c>
    </row>
    <row r="727">
      <c r="R727" t="s">
        <v>1850</v>
      </c>
      <c r="S727" t="s">
        <v>1850</v>
      </c>
      <c r="T727" t="s">
        <v>1850</v>
      </c>
      <c r="U727" t="s">
        <v>1850</v>
      </c>
      <c r="V727" t="s">
        <v>1850</v>
      </c>
    </row>
    <row r="728">
      <c r="R728" t="s">
        <v>1850</v>
      </c>
      <c r="S728" t="s">
        <v>1850</v>
      </c>
      <c r="T728" t="s">
        <v>1850</v>
      </c>
      <c r="U728" t="s">
        <v>1850</v>
      </c>
      <c r="V728" t="s">
        <v>1850</v>
      </c>
    </row>
    <row r="729">
      <c r="R729" t="s">
        <v>1850</v>
      </c>
      <c r="S729" t="s">
        <v>1850</v>
      </c>
      <c r="T729" t="s">
        <v>1850</v>
      </c>
      <c r="U729" t="s">
        <v>1850</v>
      </c>
      <c r="V729" t="s">
        <v>1850</v>
      </c>
    </row>
    <row r="730">
      <c r="R730" t="s">
        <v>1850</v>
      </c>
      <c r="S730" t="s">
        <v>1850</v>
      </c>
      <c r="T730" t="s">
        <v>1850</v>
      </c>
      <c r="U730" t="s">
        <v>1850</v>
      </c>
      <c r="V730" t="s">
        <v>1850</v>
      </c>
    </row>
    <row r="731">
      <c r="R731" t="s">
        <v>1850</v>
      </c>
      <c r="S731" t="s">
        <v>1850</v>
      </c>
      <c r="T731" t="s">
        <v>1850</v>
      </c>
      <c r="U731" t="s">
        <v>1850</v>
      </c>
      <c r="V731" t="s">
        <v>1850</v>
      </c>
    </row>
    <row r="732">
      <c r="R732" t="s">
        <v>1850</v>
      </c>
      <c r="S732" t="s">
        <v>1850</v>
      </c>
      <c r="T732" t="s">
        <v>1850</v>
      </c>
      <c r="U732" t="s">
        <v>1850</v>
      </c>
      <c r="V732" t="s">
        <v>1850</v>
      </c>
    </row>
    <row r="733">
      <c r="R733" t="s">
        <v>1850</v>
      </c>
      <c r="S733" t="s">
        <v>1850</v>
      </c>
      <c r="T733" t="s">
        <v>1850</v>
      </c>
      <c r="U733" t="s">
        <v>1850</v>
      </c>
      <c r="V733" t="s">
        <v>1850</v>
      </c>
    </row>
    <row r="734">
      <c r="R734" t="s">
        <v>1850</v>
      </c>
      <c r="S734" t="s">
        <v>1850</v>
      </c>
      <c r="T734" t="s">
        <v>1850</v>
      </c>
      <c r="U734" t="s">
        <v>1850</v>
      </c>
      <c r="V734" t="s">
        <v>1850</v>
      </c>
    </row>
    <row r="735">
      <c r="R735" t="s">
        <v>1850</v>
      </c>
      <c r="S735" t="s">
        <v>1850</v>
      </c>
      <c r="T735" t="s">
        <v>1850</v>
      </c>
      <c r="U735" t="s">
        <v>1850</v>
      </c>
      <c r="V735" t="s">
        <v>1850</v>
      </c>
    </row>
    <row r="736">
      <c r="R736" t="s">
        <v>1850</v>
      </c>
      <c r="S736" t="s">
        <v>1850</v>
      </c>
      <c r="T736" t="s">
        <v>1850</v>
      </c>
      <c r="U736" t="s">
        <v>1850</v>
      </c>
      <c r="V736" t="s">
        <v>1850</v>
      </c>
    </row>
    <row r="737">
      <c r="R737" t="s">
        <v>1850</v>
      </c>
      <c r="S737" t="s">
        <v>1850</v>
      </c>
      <c r="T737" t="s">
        <v>1850</v>
      </c>
      <c r="U737" t="s">
        <v>1850</v>
      </c>
      <c r="V737" t="s">
        <v>1850</v>
      </c>
    </row>
    <row r="738">
      <c r="R738" t="s">
        <v>1850</v>
      </c>
      <c r="S738" t="s">
        <v>1850</v>
      </c>
      <c r="T738" t="s">
        <v>1850</v>
      </c>
      <c r="U738" t="s">
        <v>1850</v>
      </c>
      <c r="V738" t="s">
        <v>1850</v>
      </c>
    </row>
    <row r="739">
      <c r="R739" t="s">
        <v>1850</v>
      </c>
      <c r="S739" t="s">
        <v>1850</v>
      </c>
      <c r="T739" t="s">
        <v>1850</v>
      </c>
      <c r="U739" t="s">
        <v>1850</v>
      </c>
      <c r="V739" t="s">
        <v>1850</v>
      </c>
    </row>
    <row r="740">
      <c r="R740" t="s">
        <v>1850</v>
      </c>
      <c r="S740" t="s">
        <v>1850</v>
      </c>
      <c r="T740" t="s">
        <v>1850</v>
      </c>
      <c r="U740" t="s">
        <v>1850</v>
      </c>
      <c r="V740" t="s">
        <v>1850</v>
      </c>
    </row>
    <row r="741">
      <c r="R741" t="s">
        <v>1850</v>
      </c>
      <c r="S741" t="s">
        <v>1850</v>
      </c>
      <c r="T741" t="s">
        <v>1850</v>
      </c>
      <c r="U741" t="s">
        <v>1850</v>
      </c>
      <c r="V741" t="s">
        <v>1850</v>
      </c>
    </row>
    <row r="742">
      <c r="R742" t="s">
        <v>1850</v>
      </c>
      <c r="S742" t="s">
        <v>1850</v>
      </c>
      <c r="T742" t="s">
        <v>1850</v>
      </c>
      <c r="U742" t="s">
        <v>1850</v>
      </c>
      <c r="V742" t="s">
        <v>1850</v>
      </c>
    </row>
    <row r="743">
      <c r="R743" t="s">
        <v>1850</v>
      </c>
      <c r="S743" t="s">
        <v>1850</v>
      </c>
      <c r="T743" t="s">
        <v>1850</v>
      </c>
      <c r="U743" t="s">
        <v>1850</v>
      </c>
      <c r="V743" t="s">
        <v>1850</v>
      </c>
    </row>
    <row r="744">
      <c r="R744" t="s">
        <v>1850</v>
      </c>
      <c r="S744" t="s">
        <v>1850</v>
      </c>
      <c r="T744" t="s">
        <v>1850</v>
      </c>
      <c r="U744" t="s">
        <v>1850</v>
      </c>
      <c r="V744" t="s">
        <v>1850</v>
      </c>
    </row>
    <row r="745">
      <c r="R745" t="s">
        <v>1850</v>
      </c>
      <c r="S745" t="s">
        <v>1850</v>
      </c>
      <c r="T745" t="s">
        <v>1850</v>
      </c>
      <c r="U745" t="s">
        <v>1850</v>
      </c>
      <c r="V745" t="s">
        <v>1850</v>
      </c>
    </row>
    <row r="746">
      <c r="R746" t="s">
        <v>1850</v>
      </c>
      <c r="S746" t="s">
        <v>1850</v>
      </c>
      <c r="T746" t="s">
        <v>1850</v>
      </c>
      <c r="U746" t="s">
        <v>1850</v>
      </c>
      <c r="V746" t="s">
        <v>1850</v>
      </c>
    </row>
    <row r="747">
      <c r="R747" t="s">
        <v>1850</v>
      </c>
      <c r="S747" t="s">
        <v>1850</v>
      </c>
      <c r="T747" t="s">
        <v>1850</v>
      </c>
      <c r="U747" t="s">
        <v>1850</v>
      </c>
      <c r="V747" t="s">
        <v>1850</v>
      </c>
    </row>
    <row r="748">
      <c r="R748" t="s">
        <v>1850</v>
      </c>
      <c r="S748" t="s">
        <v>1850</v>
      </c>
      <c r="T748" t="s">
        <v>1850</v>
      </c>
      <c r="U748" t="s">
        <v>1850</v>
      </c>
      <c r="V748" t="s">
        <v>1850</v>
      </c>
    </row>
    <row r="749">
      <c r="R749" t="s">
        <v>1850</v>
      </c>
      <c r="S749" t="s">
        <v>1850</v>
      </c>
      <c r="T749" t="s">
        <v>1850</v>
      </c>
      <c r="U749" t="s">
        <v>1850</v>
      </c>
      <c r="V749" t="s">
        <v>1850</v>
      </c>
    </row>
    <row r="750">
      <c r="R750" t="s">
        <v>1850</v>
      </c>
      <c r="S750" t="s">
        <v>1850</v>
      </c>
      <c r="T750" t="s">
        <v>1850</v>
      </c>
      <c r="U750" t="s">
        <v>1850</v>
      </c>
      <c r="V750" t="s">
        <v>1850</v>
      </c>
    </row>
    <row r="751">
      <c r="R751" t="s">
        <v>1850</v>
      </c>
      <c r="S751" t="s">
        <v>1850</v>
      </c>
      <c r="T751" t="s">
        <v>1850</v>
      </c>
      <c r="U751" t="s">
        <v>1850</v>
      </c>
      <c r="V751" t="s">
        <v>1850</v>
      </c>
    </row>
    <row r="752">
      <c r="R752" t="s">
        <v>1850</v>
      </c>
      <c r="S752" t="s">
        <v>1850</v>
      </c>
      <c r="T752" t="s">
        <v>1850</v>
      </c>
      <c r="U752" t="s">
        <v>1850</v>
      </c>
      <c r="V752" t="s">
        <v>1850</v>
      </c>
    </row>
    <row r="753">
      <c r="R753" t="s">
        <v>1850</v>
      </c>
      <c r="S753" t="s">
        <v>1850</v>
      </c>
      <c r="T753" t="s">
        <v>1850</v>
      </c>
      <c r="U753" t="s">
        <v>1850</v>
      </c>
      <c r="V753" t="s">
        <v>1850</v>
      </c>
    </row>
    <row r="754">
      <c r="R754" t="s">
        <v>1850</v>
      </c>
      <c r="S754" t="s">
        <v>1850</v>
      </c>
      <c r="T754" t="s">
        <v>1850</v>
      </c>
      <c r="U754" t="s">
        <v>1850</v>
      </c>
      <c r="V754" t="s">
        <v>1850</v>
      </c>
    </row>
    <row r="755">
      <c r="R755" t="s">
        <v>1850</v>
      </c>
      <c r="S755" t="s">
        <v>1850</v>
      </c>
      <c r="T755" t="s">
        <v>1850</v>
      </c>
      <c r="U755" t="s">
        <v>1850</v>
      </c>
      <c r="V755" t="s">
        <v>1850</v>
      </c>
    </row>
    <row r="756">
      <c r="R756" t="s">
        <v>1850</v>
      </c>
      <c r="S756" t="s">
        <v>1850</v>
      </c>
      <c r="T756" t="s">
        <v>1850</v>
      </c>
      <c r="U756" t="s">
        <v>1850</v>
      </c>
      <c r="V756" t="s">
        <v>1850</v>
      </c>
    </row>
    <row r="757">
      <c r="R757" t="s">
        <v>1850</v>
      </c>
      <c r="S757" t="s">
        <v>1850</v>
      </c>
      <c r="T757" t="s">
        <v>1850</v>
      </c>
      <c r="U757" t="s">
        <v>1850</v>
      </c>
      <c r="V757" t="s">
        <v>1850</v>
      </c>
    </row>
    <row r="758">
      <c r="R758" t="s">
        <v>1850</v>
      </c>
      <c r="S758" t="s">
        <v>1850</v>
      </c>
      <c r="T758" t="s">
        <v>1850</v>
      </c>
      <c r="U758" t="s">
        <v>1850</v>
      </c>
      <c r="V758" t="s">
        <v>1850</v>
      </c>
    </row>
    <row r="759">
      <c r="R759" t="s">
        <v>1850</v>
      </c>
      <c r="S759" t="s">
        <v>1850</v>
      </c>
      <c r="T759" t="s">
        <v>1850</v>
      </c>
      <c r="U759" t="s">
        <v>1850</v>
      </c>
      <c r="V759" t="s">
        <v>1850</v>
      </c>
    </row>
    <row r="760">
      <c r="R760" t="s">
        <v>1850</v>
      </c>
      <c r="S760" t="s">
        <v>1850</v>
      </c>
      <c r="T760" t="s">
        <v>1850</v>
      </c>
      <c r="U760" t="s">
        <v>1850</v>
      </c>
      <c r="V760" t="s">
        <v>1850</v>
      </c>
    </row>
    <row r="761">
      <c r="R761" t="s">
        <v>1850</v>
      </c>
      <c r="S761" t="s">
        <v>1850</v>
      </c>
      <c r="T761" t="s">
        <v>1850</v>
      </c>
      <c r="U761" t="s">
        <v>1850</v>
      </c>
      <c r="V761" t="s">
        <v>1850</v>
      </c>
    </row>
    <row r="762">
      <c r="R762" t="s">
        <v>1850</v>
      </c>
      <c r="S762" t="s">
        <v>1850</v>
      </c>
      <c r="T762" t="s">
        <v>1850</v>
      </c>
      <c r="U762" t="s">
        <v>1850</v>
      </c>
      <c r="V762" t="s">
        <v>1850</v>
      </c>
    </row>
    <row r="763">
      <c r="R763" t="s">
        <v>1850</v>
      </c>
      <c r="S763" t="s">
        <v>1850</v>
      </c>
      <c r="T763" t="s">
        <v>1850</v>
      </c>
      <c r="U763" t="s">
        <v>1850</v>
      </c>
      <c r="V763" t="s">
        <v>1850</v>
      </c>
    </row>
    <row r="764">
      <c r="R764" t="s">
        <v>1850</v>
      </c>
      <c r="S764" t="s">
        <v>1850</v>
      </c>
      <c r="T764" t="s">
        <v>1850</v>
      </c>
      <c r="U764" t="s">
        <v>1850</v>
      </c>
      <c r="V764" t="s">
        <v>1850</v>
      </c>
    </row>
    <row r="765">
      <c r="R765" t="s">
        <v>1850</v>
      </c>
      <c r="S765" t="s">
        <v>1850</v>
      </c>
      <c r="T765" t="s">
        <v>1850</v>
      </c>
      <c r="U765" t="s">
        <v>1850</v>
      </c>
      <c r="V765" t="s">
        <v>1850</v>
      </c>
    </row>
    <row r="766">
      <c r="R766" t="s">
        <v>1850</v>
      </c>
      <c r="S766" t="s">
        <v>1850</v>
      </c>
      <c r="T766" t="s">
        <v>1850</v>
      </c>
      <c r="U766" t="s">
        <v>1850</v>
      </c>
      <c r="V766" t="s">
        <v>1850</v>
      </c>
    </row>
    <row r="767">
      <c r="R767" t="s">
        <v>1850</v>
      </c>
      <c r="S767" t="s">
        <v>1850</v>
      </c>
      <c r="T767" t="s">
        <v>1850</v>
      </c>
      <c r="U767" t="s">
        <v>1850</v>
      </c>
      <c r="V767" t="s">
        <v>1850</v>
      </c>
    </row>
    <row r="768">
      <c r="R768" t="s">
        <v>1850</v>
      </c>
      <c r="S768" t="s">
        <v>1850</v>
      </c>
      <c r="T768" t="s">
        <v>1850</v>
      </c>
      <c r="U768" t="s">
        <v>1850</v>
      </c>
      <c r="V768" t="s">
        <v>1850</v>
      </c>
    </row>
    <row r="769">
      <c r="R769" t="s">
        <v>1850</v>
      </c>
      <c r="S769" t="s">
        <v>1850</v>
      </c>
      <c r="T769" t="s">
        <v>1850</v>
      </c>
      <c r="U769" t="s">
        <v>1850</v>
      </c>
      <c r="V769" t="s">
        <v>1850</v>
      </c>
    </row>
    <row r="770">
      <c r="R770" t="s">
        <v>1850</v>
      </c>
      <c r="S770" t="s">
        <v>1850</v>
      </c>
      <c r="T770" t="s">
        <v>1850</v>
      </c>
      <c r="U770" t="s">
        <v>1850</v>
      </c>
      <c r="V770" t="s">
        <v>1850</v>
      </c>
    </row>
    <row r="771">
      <c r="R771" t="s">
        <v>1850</v>
      </c>
      <c r="S771" t="s">
        <v>1850</v>
      </c>
      <c r="T771" t="s">
        <v>1850</v>
      </c>
      <c r="U771" t="s">
        <v>1850</v>
      </c>
      <c r="V771" t="s">
        <v>1850</v>
      </c>
    </row>
    <row r="772">
      <c r="R772" t="s">
        <v>1850</v>
      </c>
      <c r="S772" t="s">
        <v>1850</v>
      </c>
      <c r="T772" t="s">
        <v>1850</v>
      </c>
      <c r="U772" t="s">
        <v>1850</v>
      </c>
      <c r="V772" t="s">
        <v>1850</v>
      </c>
    </row>
    <row r="773">
      <c r="R773" t="s">
        <v>1850</v>
      </c>
      <c r="S773" t="s">
        <v>1850</v>
      </c>
      <c r="T773" t="s">
        <v>1850</v>
      </c>
      <c r="U773" t="s">
        <v>1850</v>
      </c>
      <c r="V773" t="s">
        <v>1850</v>
      </c>
    </row>
    <row r="774">
      <c r="R774" t="s">
        <v>1850</v>
      </c>
      <c r="S774" t="s">
        <v>1850</v>
      </c>
      <c r="T774" t="s">
        <v>1850</v>
      </c>
      <c r="U774" t="s">
        <v>1850</v>
      </c>
      <c r="V774" t="s">
        <v>1850</v>
      </c>
    </row>
    <row r="775">
      <c r="R775" t="s">
        <v>1850</v>
      </c>
      <c r="S775" t="s">
        <v>1850</v>
      </c>
      <c r="T775" t="s">
        <v>1850</v>
      </c>
      <c r="U775" t="s">
        <v>1850</v>
      </c>
      <c r="V775" t="s">
        <v>1850</v>
      </c>
    </row>
    <row r="776">
      <c r="R776" t="s">
        <v>1850</v>
      </c>
      <c r="S776" t="s">
        <v>1850</v>
      </c>
      <c r="T776" t="s">
        <v>1850</v>
      </c>
      <c r="U776" t="s">
        <v>1850</v>
      </c>
      <c r="V776" t="s">
        <v>1850</v>
      </c>
    </row>
    <row r="777">
      <c r="R777" t="s">
        <v>1850</v>
      </c>
      <c r="S777" t="s">
        <v>1850</v>
      </c>
      <c r="T777" t="s">
        <v>1850</v>
      </c>
      <c r="U777" t="s">
        <v>1850</v>
      </c>
      <c r="V777" t="s">
        <v>1850</v>
      </c>
    </row>
    <row r="778">
      <c r="R778" t="s">
        <v>1850</v>
      </c>
      <c r="S778" t="s">
        <v>1850</v>
      </c>
      <c r="T778" t="s">
        <v>1850</v>
      </c>
      <c r="U778" t="s">
        <v>1850</v>
      </c>
      <c r="V778" t="s">
        <v>1850</v>
      </c>
    </row>
    <row r="779">
      <c r="R779" t="s">
        <v>1850</v>
      </c>
      <c r="S779" t="s">
        <v>1850</v>
      </c>
      <c r="T779" t="s">
        <v>1850</v>
      </c>
      <c r="U779" t="s">
        <v>1850</v>
      </c>
      <c r="V779" t="s">
        <v>1850</v>
      </c>
    </row>
    <row r="780">
      <c r="R780" t="s">
        <v>1850</v>
      </c>
      <c r="S780" t="s">
        <v>1850</v>
      </c>
      <c r="T780" t="s">
        <v>1850</v>
      </c>
      <c r="U780" t="s">
        <v>1850</v>
      </c>
      <c r="V780" t="s">
        <v>1850</v>
      </c>
    </row>
    <row r="781">
      <c r="R781" t="s">
        <v>1850</v>
      </c>
      <c r="S781" t="s">
        <v>1850</v>
      </c>
      <c r="T781" t="s">
        <v>1850</v>
      </c>
      <c r="U781" t="s">
        <v>1850</v>
      </c>
      <c r="V781" t="s">
        <v>1850</v>
      </c>
    </row>
    <row r="782">
      <c r="R782" t="s">
        <v>1850</v>
      </c>
      <c r="S782" t="s">
        <v>1850</v>
      </c>
      <c r="T782" t="s">
        <v>1850</v>
      </c>
      <c r="U782" t="s">
        <v>1850</v>
      </c>
      <c r="V782" t="s">
        <v>1850</v>
      </c>
    </row>
    <row r="783">
      <c r="R783" t="s">
        <v>1850</v>
      </c>
      <c r="S783" t="s">
        <v>1850</v>
      </c>
      <c r="T783" t="s">
        <v>1850</v>
      </c>
      <c r="U783" t="s">
        <v>1850</v>
      </c>
      <c r="V783" t="s">
        <v>1850</v>
      </c>
    </row>
    <row r="784">
      <c r="R784" t="s">
        <v>1850</v>
      </c>
      <c r="S784" t="s">
        <v>1850</v>
      </c>
      <c r="T784" t="s">
        <v>1850</v>
      </c>
      <c r="U784" t="s">
        <v>1850</v>
      </c>
      <c r="V784" t="s">
        <v>1850</v>
      </c>
    </row>
    <row r="785">
      <c r="R785" t="s">
        <v>1850</v>
      </c>
      <c r="S785" t="s">
        <v>1850</v>
      </c>
      <c r="T785" t="s">
        <v>1850</v>
      </c>
      <c r="U785" t="s">
        <v>1850</v>
      </c>
      <c r="V785" t="s">
        <v>1850</v>
      </c>
    </row>
    <row r="786">
      <c r="R786" t="s">
        <v>1850</v>
      </c>
      <c r="S786" t="s">
        <v>1850</v>
      </c>
      <c r="T786" t="s">
        <v>1850</v>
      </c>
      <c r="U786" t="s">
        <v>1850</v>
      </c>
      <c r="V786" t="s">
        <v>1850</v>
      </c>
    </row>
    <row r="787">
      <c r="R787" t="s">
        <v>1850</v>
      </c>
      <c r="S787" t="s">
        <v>1850</v>
      </c>
      <c r="T787" t="s">
        <v>1850</v>
      </c>
      <c r="U787" t="s">
        <v>1850</v>
      </c>
      <c r="V787" t="s">
        <v>1850</v>
      </c>
    </row>
    <row r="788">
      <c r="R788" t="s">
        <v>1850</v>
      </c>
      <c r="S788" t="s">
        <v>1850</v>
      </c>
      <c r="T788" t="s">
        <v>1850</v>
      </c>
      <c r="U788" t="s">
        <v>1850</v>
      </c>
      <c r="V788" t="s">
        <v>1850</v>
      </c>
    </row>
    <row r="789">
      <c r="R789" t="s">
        <v>1850</v>
      </c>
      <c r="S789" t="s">
        <v>1850</v>
      </c>
      <c r="T789" t="s">
        <v>1850</v>
      </c>
      <c r="U789" t="s">
        <v>1850</v>
      </c>
      <c r="V789" t="s">
        <v>1850</v>
      </c>
    </row>
    <row r="790">
      <c r="R790" t="s">
        <v>1850</v>
      </c>
      <c r="S790" t="s">
        <v>1850</v>
      </c>
      <c r="T790" t="s">
        <v>1850</v>
      </c>
      <c r="U790" t="s">
        <v>1850</v>
      </c>
      <c r="V790" t="s">
        <v>1850</v>
      </c>
    </row>
    <row r="791">
      <c r="R791" t="s">
        <v>1850</v>
      </c>
      <c r="S791" t="s">
        <v>1850</v>
      </c>
      <c r="T791" t="s">
        <v>1850</v>
      </c>
      <c r="U791" t="s">
        <v>1850</v>
      </c>
      <c r="V791" t="s">
        <v>1850</v>
      </c>
    </row>
    <row r="792">
      <c r="R792" t="s">
        <v>1850</v>
      </c>
      <c r="S792" t="s">
        <v>1850</v>
      </c>
      <c r="T792" t="s">
        <v>1850</v>
      </c>
      <c r="U792" t="s">
        <v>1850</v>
      </c>
      <c r="V792" t="s">
        <v>1850</v>
      </c>
    </row>
    <row r="793">
      <c r="R793" t="s">
        <v>1850</v>
      </c>
      <c r="S793" t="s">
        <v>1850</v>
      </c>
      <c r="T793" t="s">
        <v>1850</v>
      </c>
      <c r="U793" t="s">
        <v>1850</v>
      </c>
      <c r="V793" t="s">
        <v>1850</v>
      </c>
    </row>
    <row r="794">
      <c r="R794" t="s">
        <v>1850</v>
      </c>
      <c r="S794" t="s">
        <v>1850</v>
      </c>
      <c r="T794" t="s">
        <v>1850</v>
      </c>
      <c r="U794" t="s">
        <v>1850</v>
      </c>
      <c r="V794" t="s">
        <v>1850</v>
      </c>
    </row>
    <row r="795">
      <c r="R795" t="s">
        <v>1850</v>
      </c>
      <c r="S795" t="s">
        <v>1850</v>
      </c>
      <c r="T795" t="s">
        <v>1850</v>
      </c>
      <c r="U795" t="s">
        <v>1850</v>
      </c>
      <c r="V795" t="s">
        <v>1850</v>
      </c>
    </row>
    <row r="796">
      <c r="R796" t="s">
        <v>1850</v>
      </c>
      <c r="S796" t="s">
        <v>1850</v>
      </c>
      <c r="T796" t="s">
        <v>1850</v>
      </c>
      <c r="U796" t="s">
        <v>1850</v>
      </c>
      <c r="V796" t="s">
        <v>1850</v>
      </c>
    </row>
    <row r="797">
      <c r="R797" t="s">
        <v>1850</v>
      </c>
      <c r="S797" t="s">
        <v>1850</v>
      </c>
      <c r="T797" t="s">
        <v>1850</v>
      </c>
      <c r="U797" t="s">
        <v>1850</v>
      </c>
      <c r="V797" t="s">
        <v>1850</v>
      </c>
    </row>
    <row r="798">
      <c r="R798" t="s">
        <v>1850</v>
      </c>
      <c r="S798" t="s">
        <v>1850</v>
      </c>
      <c r="T798" t="s">
        <v>1850</v>
      </c>
      <c r="U798" t="s">
        <v>1850</v>
      </c>
      <c r="V798" t="s">
        <v>1850</v>
      </c>
    </row>
    <row r="799">
      <c r="R799" t="s">
        <v>1850</v>
      </c>
      <c r="S799" t="s">
        <v>1850</v>
      </c>
      <c r="T799" t="s">
        <v>1850</v>
      </c>
      <c r="U799" t="s">
        <v>1850</v>
      </c>
      <c r="V799" t="s">
        <v>1850</v>
      </c>
    </row>
    <row r="800">
      <c r="R800" t="s">
        <v>1850</v>
      </c>
      <c r="S800" t="s">
        <v>1850</v>
      </c>
      <c r="T800" t="s">
        <v>1850</v>
      </c>
      <c r="U800" t="s">
        <v>1850</v>
      </c>
      <c r="V800" t="s">
        <v>1850</v>
      </c>
    </row>
    <row r="801">
      <c r="R801" t="s">
        <v>1850</v>
      </c>
      <c r="S801" t="s">
        <v>1850</v>
      </c>
      <c r="T801" t="s">
        <v>1850</v>
      </c>
      <c r="U801" t="s">
        <v>1850</v>
      </c>
      <c r="V801" t="s">
        <v>1850</v>
      </c>
    </row>
    <row r="802">
      <c r="R802" t="s">
        <v>1850</v>
      </c>
      <c r="S802" t="s">
        <v>1850</v>
      </c>
      <c r="T802" t="s">
        <v>1850</v>
      </c>
      <c r="U802" t="s">
        <v>1850</v>
      </c>
      <c r="V802" t="s">
        <v>1850</v>
      </c>
    </row>
    <row r="803">
      <c r="R803" t="s">
        <v>1850</v>
      </c>
      <c r="S803" t="s">
        <v>1850</v>
      </c>
      <c r="T803" t="s">
        <v>1850</v>
      </c>
      <c r="U803" t="s">
        <v>1850</v>
      </c>
      <c r="V803" t="s">
        <v>1850</v>
      </c>
    </row>
    <row r="804">
      <c r="R804" t="s">
        <v>1850</v>
      </c>
      <c r="S804" t="s">
        <v>1850</v>
      </c>
      <c r="T804" t="s">
        <v>1850</v>
      </c>
      <c r="U804" t="s">
        <v>1850</v>
      </c>
      <c r="V804" t="s">
        <v>1850</v>
      </c>
    </row>
    <row r="805">
      <c r="R805" t="s">
        <v>1850</v>
      </c>
      <c r="S805" t="s">
        <v>1850</v>
      </c>
      <c r="T805" t="s">
        <v>1850</v>
      </c>
      <c r="U805" t="s">
        <v>1850</v>
      </c>
      <c r="V805" t="s">
        <v>1850</v>
      </c>
    </row>
    <row r="806">
      <c r="R806" t="s">
        <v>1850</v>
      </c>
      <c r="S806" t="s">
        <v>1850</v>
      </c>
      <c r="T806" t="s">
        <v>1850</v>
      </c>
      <c r="U806" t="s">
        <v>1850</v>
      </c>
      <c r="V806" t="s">
        <v>1850</v>
      </c>
    </row>
    <row r="807">
      <c r="R807" t="s">
        <v>1850</v>
      </c>
      <c r="S807" t="s">
        <v>1850</v>
      </c>
      <c r="T807" t="s">
        <v>1850</v>
      </c>
      <c r="U807" t="s">
        <v>1850</v>
      </c>
      <c r="V807" t="s">
        <v>1850</v>
      </c>
    </row>
    <row r="808">
      <c r="R808" t="s">
        <v>1850</v>
      </c>
      <c r="S808" t="s">
        <v>1850</v>
      </c>
      <c r="T808" t="s">
        <v>1850</v>
      </c>
      <c r="U808" t="s">
        <v>1850</v>
      </c>
      <c r="V808" t="s">
        <v>1850</v>
      </c>
    </row>
    <row r="809">
      <c r="R809" t="s">
        <v>1850</v>
      </c>
      <c r="S809" t="s">
        <v>1850</v>
      </c>
      <c r="T809" t="s">
        <v>1850</v>
      </c>
      <c r="U809" t="s">
        <v>1850</v>
      </c>
      <c r="V809" t="s">
        <v>1850</v>
      </c>
    </row>
    <row r="810">
      <c r="R810" t="s">
        <v>1850</v>
      </c>
      <c r="S810" t="s">
        <v>1850</v>
      </c>
      <c r="T810" t="s">
        <v>1850</v>
      </c>
      <c r="U810" t="s">
        <v>1850</v>
      </c>
      <c r="V810" t="s">
        <v>1850</v>
      </c>
    </row>
    <row r="811">
      <c r="R811" t="s">
        <v>1850</v>
      </c>
      <c r="S811" t="s">
        <v>1850</v>
      </c>
      <c r="T811" t="s">
        <v>1850</v>
      </c>
      <c r="U811" t="s">
        <v>1850</v>
      </c>
      <c r="V811" t="s">
        <v>1850</v>
      </c>
    </row>
    <row r="812">
      <c r="R812" t="s">
        <v>1850</v>
      </c>
      <c r="S812" t="s">
        <v>1850</v>
      </c>
      <c r="T812" t="s">
        <v>1850</v>
      </c>
      <c r="U812" t="s">
        <v>1850</v>
      </c>
      <c r="V812" t="s">
        <v>1850</v>
      </c>
    </row>
    <row r="813">
      <c r="R813" t="s">
        <v>1850</v>
      </c>
      <c r="S813" t="s">
        <v>1850</v>
      </c>
      <c r="T813" t="s">
        <v>1850</v>
      </c>
      <c r="U813" t="s">
        <v>1850</v>
      </c>
      <c r="V813" t="s">
        <v>1850</v>
      </c>
    </row>
    <row r="814">
      <c r="R814" t="s">
        <v>1850</v>
      </c>
      <c r="S814" t="s">
        <v>1850</v>
      </c>
      <c r="T814" t="s">
        <v>1850</v>
      </c>
      <c r="U814" t="s">
        <v>1850</v>
      </c>
      <c r="V814" t="s">
        <v>1850</v>
      </c>
    </row>
    <row r="815">
      <c r="R815" t="s">
        <v>1850</v>
      </c>
      <c r="S815" t="s">
        <v>1850</v>
      </c>
      <c r="T815" t="s">
        <v>1850</v>
      </c>
      <c r="U815" t="s">
        <v>1850</v>
      </c>
      <c r="V815" t="s">
        <v>1850</v>
      </c>
    </row>
    <row r="816">
      <c r="R816" t="s">
        <v>1850</v>
      </c>
      <c r="S816" t="s">
        <v>1850</v>
      </c>
      <c r="T816" t="s">
        <v>1850</v>
      </c>
      <c r="U816" t="s">
        <v>1850</v>
      </c>
      <c r="V816" t="s">
        <v>1850</v>
      </c>
    </row>
    <row r="817">
      <c r="R817" t="s">
        <v>1850</v>
      </c>
      <c r="S817" t="s">
        <v>1850</v>
      </c>
      <c r="T817" t="s">
        <v>1850</v>
      </c>
      <c r="U817" t="s">
        <v>1850</v>
      </c>
      <c r="V817" t="s">
        <v>1850</v>
      </c>
    </row>
    <row r="818">
      <c r="R818" t="s">
        <v>1850</v>
      </c>
      <c r="S818" t="s">
        <v>1850</v>
      </c>
      <c r="T818" t="s">
        <v>1850</v>
      </c>
      <c r="U818" t="s">
        <v>1850</v>
      </c>
      <c r="V818" t="s">
        <v>1850</v>
      </c>
    </row>
    <row r="819">
      <c r="R819" t="s">
        <v>1850</v>
      </c>
      <c r="S819" t="s">
        <v>1850</v>
      </c>
      <c r="T819" t="s">
        <v>1850</v>
      </c>
      <c r="U819" t="s">
        <v>1850</v>
      </c>
      <c r="V819" t="s">
        <v>1850</v>
      </c>
    </row>
    <row r="820">
      <c r="R820" t="s">
        <v>1850</v>
      </c>
      <c r="S820" t="s">
        <v>1850</v>
      </c>
      <c r="T820" t="s">
        <v>1850</v>
      </c>
      <c r="U820" t="s">
        <v>1850</v>
      </c>
      <c r="V820" t="s">
        <v>1850</v>
      </c>
    </row>
    <row r="821">
      <c r="R821" t="s">
        <v>1850</v>
      </c>
      <c r="S821" t="s">
        <v>1850</v>
      </c>
      <c r="T821" t="s">
        <v>1850</v>
      </c>
      <c r="U821" t="s">
        <v>1850</v>
      </c>
      <c r="V821" t="s">
        <v>1850</v>
      </c>
    </row>
    <row r="822">
      <c r="R822" t="s">
        <v>1850</v>
      </c>
      <c r="S822" t="s">
        <v>1850</v>
      </c>
      <c r="T822" t="s">
        <v>1850</v>
      </c>
      <c r="U822" t="s">
        <v>1850</v>
      </c>
      <c r="V822" t="s">
        <v>1850</v>
      </c>
    </row>
    <row r="823">
      <c r="R823" t="s">
        <v>1850</v>
      </c>
      <c r="S823" t="s">
        <v>1850</v>
      </c>
      <c r="T823" t="s">
        <v>1850</v>
      </c>
      <c r="U823" t="s">
        <v>1850</v>
      </c>
      <c r="V823" t="s">
        <v>1850</v>
      </c>
    </row>
    <row r="824">
      <c r="R824" t="s">
        <v>1850</v>
      </c>
      <c r="S824" t="s">
        <v>1850</v>
      </c>
      <c r="T824" t="s">
        <v>1850</v>
      </c>
      <c r="U824" t="s">
        <v>1850</v>
      </c>
      <c r="V824" t="s">
        <v>1850</v>
      </c>
    </row>
    <row r="825">
      <c r="R825" t="s">
        <v>1850</v>
      </c>
      <c r="S825" t="s">
        <v>1850</v>
      </c>
      <c r="T825" t="s">
        <v>1850</v>
      </c>
      <c r="U825" t="s">
        <v>1850</v>
      </c>
      <c r="V825" t="s">
        <v>1850</v>
      </c>
    </row>
    <row r="826">
      <c r="R826" t="s">
        <v>1850</v>
      </c>
      <c r="S826" t="s">
        <v>1850</v>
      </c>
      <c r="T826" t="s">
        <v>1850</v>
      </c>
      <c r="U826" t="s">
        <v>1850</v>
      </c>
      <c r="V826" t="s">
        <v>1850</v>
      </c>
    </row>
    <row r="827">
      <c r="R827" t="s">
        <v>1850</v>
      </c>
      <c r="S827" t="s">
        <v>1850</v>
      </c>
      <c r="T827" t="s">
        <v>1850</v>
      </c>
      <c r="U827" t="s">
        <v>1850</v>
      </c>
      <c r="V827" t="s">
        <v>1850</v>
      </c>
    </row>
    <row r="828">
      <c r="R828" t="s">
        <v>1850</v>
      </c>
      <c r="S828" t="s">
        <v>1850</v>
      </c>
      <c r="T828" t="s">
        <v>1850</v>
      </c>
      <c r="U828" t="s">
        <v>1850</v>
      </c>
      <c r="V828" t="s">
        <v>1850</v>
      </c>
    </row>
    <row r="829">
      <c r="R829" t="s">
        <v>1850</v>
      </c>
      <c r="S829" t="s">
        <v>1850</v>
      </c>
      <c r="T829" t="s">
        <v>1850</v>
      </c>
      <c r="U829" t="s">
        <v>1850</v>
      </c>
      <c r="V829" t="s">
        <v>1850</v>
      </c>
    </row>
    <row r="830">
      <c r="R830" t="s">
        <v>1850</v>
      </c>
      <c r="S830" t="s">
        <v>1850</v>
      </c>
      <c r="T830" t="s">
        <v>1850</v>
      </c>
      <c r="U830" t="s">
        <v>1850</v>
      </c>
      <c r="V830" t="s">
        <v>1850</v>
      </c>
    </row>
    <row r="831">
      <c r="R831" t="s">
        <v>1850</v>
      </c>
      <c r="S831" t="s">
        <v>1850</v>
      </c>
      <c r="T831" t="s">
        <v>1850</v>
      </c>
      <c r="U831" t="s">
        <v>1850</v>
      </c>
      <c r="V831" t="s">
        <v>1850</v>
      </c>
    </row>
    <row r="832">
      <c r="R832" t="s">
        <v>1850</v>
      </c>
      <c r="S832" t="s">
        <v>1850</v>
      </c>
      <c r="T832" t="s">
        <v>1850</v>
      </c>
      <c r="U832" t="s">
        <v>1850</v>
      </c>
      <c r="V832" t="s">
        <v>1850</v>
      </c>
    </row>
    <row r="833">
      <c r="R833" t="s">
        <v>1850</v>
      </c>
      <c r="S833" t="s">
        <v>1850</v>
      </c>
      <c r="T833" t="s">
        <v>1850</v>
      </c>
      <c r="U833" t="s">
        <v>1850</v>
      </c>
      <c r="V833" t="s">
        <v>1850</v>
      </c>
    </row>
    <row r="834">
      <c r="R834" t="s">
        <v>1850</v>
      </c>
      <c r="S834" t="s">
        <v>1850</v>
      </c>
      <c r="T834" t="s">
        <v>1850</v>
      </c>
      <c r="U834" t="s">
        <v>1850</v>
      </c>
      <c r="V834" t="s">
        <v>1850</v>
      </c>
    </row>
    <row r="835">
      <c r="R835" t="s">
        <v>1850</v>
      </c>
      <c r="S835" t="s">
        <v>1850</v>
      </c>
      <c r="T835" t="s">
        <v>1850</v>
      </c>
      <c r="U835" t="s">
        <v>1850</v>
      </c>
      <c r="V835" t="s">
        <v>1850</v>
      </c>
    </row>
    <row r="836">
      <c r="R836" t="s">
        <v>1850</v>
      </c>
      <c r="S836" t="s">
        <v>1850</v>
      </c>
      <c r="T836" t="s">
        <v>1850</v>
      </c>
      <c r="U836" t="s">
        <v>1850</v>
      </c>
      <c r="V836" t="s">
        <v>1850</v>
      </c>
    </row>
    <row r="837">
      <c r="R837" t="s">
        <v>1850</v>
      </c>
      <c r="S837" t="s">
        <v>1850</v>
      </c>
      <c r="T837" t="s">
        <v>1850</v>
      </c>
      <c r="U837" t="s">
        <v>1850</v>
      </c>
      <c r="V837" t="s">
        <v>1850</v>
      </c>
    </row>
    <row r="838">
      <c r="R838" t="s">
        <v>1850</v>
      </c>
      <c r="S838" t="s">
        <v>1850</v>
      </c>
      <c r="T838" t="s">
        <v>1850</v>
      </c>
      <c r="U838" t="s">
        <v>1850</v>
      </c>
      <c r="V838" t="s">
        <v>1850</v>
      </c>
    </row>
    <row r="839">
      <c r="R839" t="s">
        <v>1850</v>
      </c>
      <c r="S839" t="s">
        <v>1850</v>
      </c>
      <c r="T839" t="s">
        <v>1850</v>
      </c>
      <c r="U839" t="s">
        <v>1850</v>
      </c>
      <c r="V839" t="s">
        <v>1850</v>
      </c>
    </row>
    <row r="840">
      <c r="R840" t="s">
        <v>1850</v>
      </c>
      <c r="S840" t="s">
        <v>1850</v>
      </c>
      <c r="T840" t="s">
        <v>1850</v>
      </c>
      <c r="U840" t="s">
        <v>1850</v>
      </c>
      <c r="V840" t="s">
        <v>1850</v>
      </c>
    </row>
    <row r="841">
      <c r="R841" t="s">
        <v>1850</v>
      </c>
      <c r="S841" t="s">
        <v>1850</v>
      </c>
      <c r="T841" t="s">
        <v>1850</v>
      </c>
      <c r="U841" t="s">
        <v>1850</v>
      </c>
      <c r="V841" t="s">
        <v>1850</v>
      </c>
    </row>
    <row r="842">
      <c r="R842" t="s">
        <v>1850</v>
      </c>
      <c r="S842" t="s">
        <v>1850</v>
      </c>
      <c r="T842" t="s">
        <v>1850</v>
      </c>
      <c r="U842" t="s">
        <v>1850</v>
      </c>
      <c r="V842" t="s">
        <v>1850</v>
      </c>
    </row>
    <row r="843">
      <c r="R843" t="s">
        <v>1850</v>
      </c>
      <c r="S843" t="s">
        <v>1850</v>
      </c>
      <c r="T843" t="s">
        <v>1850</v>
      </c>
      <c r="U843" t="s">
        <v>1850</v>
      </c>
      <c r="V843" t="s">
        <v>1850</v>
      </c>
    </row>
    <row r="844">
      <c r="R844" t="s">
        <v>1850</v>
      </c>
      <c r="S844" t="s">
        <v>1850</v>
      </c>
      <c r="T844" t="s">
        <v>1850</v>
      </c>
      <c r="U844" t="s">
        <v>1850</v>
      </c>
      <c r="V844" t="s">
        <v>1850</v>
      </c>
    </row>
    <row r="845">
      <c r="R845" t="s">
        <v>1850</v>
      </c>
      <c r="S845" t="s">
        <v>1850</v>
      </c>
      <c r="T845" t="s">
        <v>1850</v>
      </c>
      <c r="U845" t="s">
        <v>1850</v>
      </c>
      <c r="V845" t="s">
        <v>1850</v>
      </c>
    </row>
    <row r="846">
      <c r="R846" t="s">
        <v>1850</v>
      </c>
      <c r="S846" t="s">
        <v>1850</v>
      </c>
      <c r="T846" t="s">
        <v>1850</v>
      </c>
      <c r="U846" t="s">
        <v>1850</v>
      </c>
      <c r="V846" t="s">
        <v>1850</v>
      </c>
    </row>
    <row r="847">
      <c r="R847" t="s">
        <v>1850</v>
      </c>
      <c r="S847" t="s">
        <v>1850</v>
      </c>
      <c r="T847" t="s">
        <v>1850</v>
      </c>
      <c r="U847" t="s">
        <v>1850</v>
      </c>
      <c r="V847" t="s">
        <v>1850</v>
      </c>
    </row>
    <row r="848">
      <c r="R848" t="s">
        <v>1850</v>
      </c>
      <c r="S848" t="s">
        <v>1850</v>
      </c>
      <c r="T848" t="s">
        <v>1850</v>
      </c>
      <c r="U848" t="s">
        <v>1850</v>
      </c>
      <c r="V848" t="s">
        <v>1850</v>
      </c>
    </row>
    <row r="849">
      <c r="R849" t="s">
        <v>1850</v>
      </c>
      <c r="S849" t="s">
        <v>1850</v>
      </c>
      <c r="T849" t="s">
        <v>1850</v>
      </c>
      <c r="U849" t="s">
        <v>1850</v>
      </c>
      <c r="V849" t="s">
        <v>1850</v>
      </c>
    </row>
    <row r="850">
      <c r="R850" t="s">
        <v>1850</v>
      </c>
      <c r="S850" t="s">
        <v>1850</v>
      </c>
      <c r="T850" t="s">
        <v>1850</v>
      </c>
      <c r="U850" t="s">
        <v>1850</v>
      </c>
      <c r="V850" t="s">
        <v>1850</v>
      </c>
    </row>
    <row r="851">
      <c r="R851" t="s">
        <v>1850</v>
      </c>
      <c r="S851" t="s">
        <v>1850</v>
      </c>
      <c r="T851" t="s">
        <v>1850</v>
      </c>
      <c r="U851" t="s">
        <v>1850</v>
      </c>
      <c r="V851" t="s">
        <v>1850</v>
      </c>
    </row>
    <row r="852">
      <c r="R852" t="s">
        <v>1850</v>
      </c>
      <c r="S852" t="s">
        <v>1850</v>
      </c>
      <c r="T852" t="s">
        <v>1850</v>
      </c>
      <c r="U852" t="s">
        <v>1850</v>
      </c>
      <c r="V852" t="s">
        <v>1850</v>
      </c>
    </row>
    <row r="853">
      <c r="R853" t="s">
        <v>1850</v>
      </c>
      <c r="S853" t="s">
        <v>1850</v>
      </c>
      <c r="T853" t="s">
        <v>1850</v>
      </c>
      <c r="U853" t="s">
        <v>1850</v>
      </c>
      <c r="V853" t="s">
        <v>1850</v>
      </c>
    </row>
    <row r="854">
      <c r="R854" t="s">
        <v>1850</v>
      </c>
      <c r="S854" t="s">
        <v>1850</v>
      </c>
      <c r="T854" t="s">
        <v>1850</v>
      </c>
      <c r="U854" t="s">
        <v>1850</v>
      </c>
      <c r="V854" t="s">
        <v>1850</v>
      </c>
    </row>
    <row r="855">
      <c r="R855" t="s">
        <v>1850</v>
      </c>
      <c r="S855" t="s">
        <v>1850</v>
      </c>
      <c r="T855" t="s">
        <v>1850</v>
      </c>
      <c r="U855" t="s">
        <v>1850</v>
      </c>
      <c r="V855" t="s">
        <v>1850</v>
      </c>
    </row>
    <row r="856">
      <c r="R856" t="s">
        <v>1850</v>
      </c>
      <c r="S856" t="s">
        <v>1850</v>
      </c>
      <c r="T856" t="s">
        <v>1850</v>
      </c>
      <c r="U856" t="s">
        <v>1850</v>
      </c>
      <c r="V856" t="s">
        <v>1850</v>
      </c>
    </row>
    <row r="857">
      <c r="R857" t="s">
        <v>1850</v>
      </c>
      <c r="S857" t="s">
        <v>1850</v>
      </c>
      <c r="T857" t="s">
        <v>1850</v>
      </c>
      <c r="U857" t="s">
        <v>1850</v>
      </c>
      <c r="V857" t="s">
        <v>1850</v>
      </c>
    </row>
    <row r="858">
      <c r="R858" t="s">
        <v>1850</v>
      </c>
      <c r="S858" t="s">
        <v>1850</v>
      </c>
      <c r="T858" t="s">
        <v>1850</v>
      </c>
      <c r="U858" t="s">
        <v>1850</v>
      </c>
      <c r="V858" t="s">
        <v>1850</v>
      </c>
    </row>
    <row r="859">
      <c r="R859" t="s">
        <v>1850</v>
      </c>
      <c r="S859" t="s">
        <v>1850</v>
      </c>
      <c r="T859" t="s">
        <v>1850</v>
      </c>
      <c r="U859" t="s">
        <v>1850</v>
      </c>
      <c r="V859" t="s">
        <v>1850</v>
      </c>
    </row>
    <row r="860">
      <c r="R860" t="s">
        <v>1850</v>
      </c>
      <c r="S860" t="s">
        <v>1850</v>
      </c>
      <c r="T860" t="s">
        <v>1850</v>
      </c>
      <c r="U860" t="s">
        <v>1850</v>
      </c>
      <c r="V860" t="s">
        <v>1850</v>
      </c>
    </row>
    <row r="861">
      <c r="R861" t="s">
        <v>1850</v>
      </c>
      <c r="S861" t="s">
        <v>1850</v>
      </c>
      <c r="T861" t="s">
        <v>1850</v>
      </c>
      <c r="U861" t="s">
        <v>1850</v>
      </c>
      <c r="V861" t="s">
        <v>1850</v>
      </c>
    </row>
    <row r="862">
      <c r="R862" t="s">
        <v>1850</v>
      </c>
      <c r="S862" t="s">
        <v>1850</v>
      </c>
      <c r="T862" t="s">
        <v>1850</v>
      </c>
      <c r="U862" t="s">
        <v>1850</v>
      </c>
      <c r="V862" t="s">
        <v>1850</v>
      </c>
    </row>
    <row r="863">
      <c r="R863" t="s">
        <v>1850</v>
      </c>
      <c r="S863" t="s">
        <v>1850</v>
      </c>
      <c r="T863" t="s">
        <v>1850</v>
      </c>
      <c r="U863" t="s">
        <v>1850</v>
      </c>
      <c r="V863" t="s">
        <v>1850</v>
      </c>
    </row>
    <row r="864">
      <c r="R864" t="s">
        <v>1850</v>
      </c>
      <c r="S864" t="s">
        <v>1850</v>
      </c>
      <c r="T864" t="s">
        <v>1850</v>
      </c>
      <c r="U864" t="s">
        <v>1850</v>
      </c>
      <c r="V864" t="s">
        <v>1850</v>
      </c>
    </row>
    <row r="865">
      <c r="R865" t="s">
        <v>1850</v>
      </c>
      <c r="S865" t="s">
        <v>1850</v>
      </c>
      <c r="T865" t="s">
        <v>1850</v>
      </c>
      <c r="U865" t="s">
        <v>1850</v>
      </c>
      <c r="V865" t="s">
        <v>1850</v>
      </c>
    </row>
    <row r="866">
      <c r="R866" t="s">
        <v>1850</v>
      </c>
      <c r="S866" t="s">
        <v>1850</v>
      </c>
      <c r="T866" t="s">
        <v>1850</v>
      </c>
      <c r="U866" t="s">
        <v>1850</v>
      </c>
      <c r="V866" t="s">
        <v>1850</v>
      </c>
    </row>
    <row r="867">
      <c r="R867" t="s">
        <v>1850</v>
      </c>
      <c r="S867" t="s">
        <v>1850</v>
      </c>
      <c r="T867" t="s">
        <v>1850</v>
      </c>
      <c r="U867" t="s">
        <v>1850</v>
      </c>
      <c r="V867" t="s">
        <v>1850</v>
      </c>
    </row>
    <row r="868">
      <c r="R868" t="s">
        <v>1850</v>
      </c>
      <c r="S868" t="s">
        <v>1850</v>
      </c>
      <c r="T868" t="s">
        <v>1850</v>
      </c>
      <c r="U868" t="s">
        <v>1850</v>
      </c>
      <c r="V868" t="s">
        <v>1850</v>
      </c>
    </row>
    <row r="869">
      <c r="R869" t="s">
        <v>1850</v>
      </c>
      <c r="S869" t="s">
        <v>1850</v>
      </c>
      <c r="T869" t="s">
        <v>1850</v>
      </c>
      <c r="U869" t="s">
        <v>1850</v>
      </c>
      <c r="V869" t="s">
        <v>1850</v>
      </c>
    </row>
    <row r="870">
      <c r="R870" t="s">
        <v>1850</v>
      </c>
      <c r="S870" t="s">
        <v>1850</v>
      </c>
      <c r="T870" t="s">
        <v>1850</v>
      </c>
      <c r="U870" t="s">
        <v>1850</v>
      </c>
      <c r="V870" t="s">
        <v>1850</v>
      </c>
    </row>
    <row r="871">
      <c r="R871" t="s">
        <v>1850</v>
      </c>
      <c r="S871" t="s">
        <v>1850</v>
      </c>
      <c r="T871" t="s">
        <v>1850</v>
      </c>
      <c r="U871" t="s">
        <v>1850</v>
      </c>
      <c r="V871" t="s">
        <v>1850</v>
      </c>
    </row>
    <row r="872">
      <c r="R872" t="s">
        <v>1850</v>
      </c>
      <c r="S872" t="s">
        <v>1850</v>
      </c>
      <c r="T872" t="s">
        <v>1850</v>
      </c>
      <c r="U872" t="s">
        <v>1850</v>
      </c>
      <c r="V872" t="s">
        <v>1850</v>
      </c>
    </row>
    <row r="873">
      <c r="R873" t="s">
        <v>1850</v>
      </c>
      <c r="S873" t="s">
        <v>1850</v>
      </c>
      <c r="T873" t="s">
        <v>1850</v>
      </c>
      <c r="U873" t="s">
        <v>1850</v>
      </c>
      <c r="V873" t="s">
        <v>1850</v>
      </c>
    </row>
    <row r="874">
      <c r="R874" t="s">
        <v>1850</v>
      </c>
      <c r="S874" t="s">
        <v>1850</v>
      </c>
      <c r="T874" t="s">
        <v>1850</v>
      </c>
      <c r="U874" t="s">
        <v>1850</v>
      </c>
      <c r="V874" t="s">
        <v>1850</v>
      </c>
    </row>
    <row r="875">
      <c r="R875" t="s">
        <v>1850</v>
      </c>
      <c r="S875" t="s">
        <v>1850</v>
      </c>
      <c r="T875" t="s">
        <v>1850</v>
      </c>
      <c r="U875" t="s">
        <v>1850</v>
      </c>
      <c r="V875" t="s">
        <v>1850</v>
      </c>
    </row>
    <row r="876">
      <c r="R876" t="s">
        <v>1850</v>
      </c>
      <c r="S876" t="s">
        <v>1850</v>
      </c>
      <c r="T876" t="s">
        <v>1850</v>
      </c>
      <c r="U876" t="s">
        <v>1850</v>
      </c>
      <c r="V876" t="s">
        <v>1850</v>
      </c>
    </row>
    <row r="877">
      <c r="R877" t="s">
        <v>1850</v>
      </c>
      <c r="S877" t="s">
        <v>1850</v>
      </c>
      <c r="T877" t="s">
        <v>1850</v>
      </c>
      <c r="U877" t="s">
        <v>1850</v>
      </c>
      <c r="V877" t="s">
        <v>1850</v>
      </c>
    </row>
    <row r="878">
      <c r="R878" t="s">
        <v>1850</v>
      </c>
      <c r="S878" t="s">
        <v>1850</v>
      </c>
      <c r="T878" t="s">
        <v>1850</v>
      </c>
      <c r="U878" t="s">
        <v>1850</v>
      </c>
      <c r="V878" t="s">
        <v>1850</v>
      </c>
    </row>
    <row r="879">
      <c r="R879" t="s">
        <v>1850</v>
      </c>
      <c r="S879" t="s">
        <v>1850</v>
      </c>
      <c r="T879" t="s">
        <v>1850</v>
      </c>
      <c r="U879" t="s">
        <v>1850</v>
      </c>
      <c r="V879" t="s">
        <v>1850</v>
      </c>
    </row>
    <row r="880">
      <c r="R880" t="s">
        <v>1850</v>
      </c>
      <c r="S880" t="s">
        <v>1850</v>
      </c>
      <c r="T880" t="s">
        <v>1850</v>
      </c>
      <c r="U880" t="s">
        <v>1850</v>
      </c>
      <c r="V880" t="s">
        <v>1850</v>
      </c>
    </row>
    <row r="881">
      <c r="R881" t="s">
        <v>1850</v>
      </c>
      <c r="S881" t="s">
        <v>1850</v>
      </c>
      <c r="T881" t="s">
        <v>1850</v>
      </c>
      <c r="U881" t="s">
        <v>1850</v>
      </c>
      <c r="V881" t="s">
        <v>1850</v>
      </c>
    </row>
    <row r="882">
      <c r="R882" t="s">
        <v>1850</v>
      </c>
      <c r="S882" t="s">
        <v>1850</v>
      </c>
      <c r="T882" t="s">
        <v>1850</v>
      </c>
      <c r="U882" t="s">
        <v>1850</v>
      </c>
      <c r="V882" t="s">
        <v>1850</v>
      </c>
    </row>
    <row r="883">
      <c r="R883" t="s">
        <v>1850</v>
      </c>
      <c r="S883" t="s">
        <v>1850</v>
      </c>
      <c r="T883" t="s">
        <v>1850</v>
      </c>
      <c r="U883" t="s">
        <v>1850</v>
      </c>
      <c r="V883" t="s">
        <v>1850</v>
      </c>
    </row>
    <row r="884">
      <c r="R884" t="s">
        <v>1850</v>
      </c>
      <c r="S884" t="s">
        <v>1850</v>
      </c>
      <c r="T884" t="s">
        <v>1850</v>
      </c>
      <c r="U884" t="s">
        <v>1850</v>
      </c>
      <c r="V884" t="s">
        <v>1850</v>
      </c>
    </row>
    <row r="885">
      <c r="R885" t="s">
        <v>1850</v>
      </c>
      <c r="S885" t="s">
        <v>1850</v>
      </c>
      <c r="T885" t="s">
        <v>1850</v>
      </c>
      <c r="U885" t="s">
        <v>1850</v>
      </c>
      <c r="V885" t="s">
        <v>1850</v>
      </c>
    </row>
    <row r="886">
      <c r="R886" t="s">
        <v>1850</v>
      </c>
      <c r="S886" t="s">
        <v>1850</v>
      </c>
      <c r="T886" t="s">
        <v>1850</v>
      </c>
      <c r="U886" t="s">
        <v>1850</v>
      </c>
      <c r="V886" t="s">
        <v>1850</v>
      </c>
    </row>
    <row r="887">
      <c r="R887" t="s">
        <v>1850</v>
      </c>
      <c r="S887" t="s">
        <v>1850</v>
      </c>
      <c r="T887" t="s">
        <v>1850</v>
      </c>
      <c r="U887" t="s">
        <v>1850</v>
      </c>
      <c r="V887" t="s">
        <v>1850</v>
      </c>
    </row>
    <row r="888">
      <c r="R888" t="s">
        <v>1850</v>
      </c>
      <c r="S888" t="s">
        <v>1850</v>
      </c>
      <c r="T888" t="s">
        <v>1850</v>
      </c>
      <c r="U888" t="s">
        <v>1850</v>
      </c>
      <c r="V888" t="s">
        <v>1850</v>
      </c>
    </row>
    <row r="889">
      <c r="R889" t="s">
        <v>1850</v>
      </c>
      <c r="S889" t="s">
        <v>1850</v>
      </c>
      <c r="T889" t="s">
        <v>1850</v>
      </c>
      <c r="U889" t="s">
        <v>1850</v>
      </c>
      <c r="V889" t="s">
        <v>1850</v>
      </c>
    </row>
    <row r="890">
      <c r="R890" t="s">
        <v>1850</v>
      </c>
      <c r="S890" t="s">
        <v>1850</v>
      </c>
      <c r="T890" t="s">
        <v>1850</v>
      </c>
      <c r="U890" t="s">
        <v>1850</v>
      </c>
      <c r="V890" t="s">
        <v>1850</v>
      </c>
    </row>
    <row r="891">
      <c r="R891" t="s">
        <v>1850</v>
      </c>
      <c r="S891" t="s">
        <v>1850</v>
      </c>
      <c r="T891" t="s">
        <v>1850</v>
      </c>
      <c r="U891" t="s">
        <v>1850</v>
      </c>
      <c r="V891" t="s">
        <v>1850</v>
      </c>
    </row>
    <row r="892">
      <c r="R892" t="s">
        <v>1850</v>
      </c>
      <c r="S892" t="s">
        <v>1850</v>
      </c>
      <c r="T892" t="s">
        <v>1850</v>
      </c>
      <c r="U892" t="s">
        <v>1850</v>
      </c>
      <c r="V892" t="s">
        <v>1850</v>
      </c>
    </row>
    <row r="893">
      <c r="R893" t="s">
        <v>1850</v>
      </c>
      <c r="S893" t="s">
        <v>1850</v>
      </c>
      <c r="T893" t="s">
        <v>1850</v>
      </c>
      <c r="U893" t="s">
        <v>1850</v>
      </c>
      <c r="V893" t="s">
        <v>1850</v>
      </c>
    </row>
    <row r="894">
      <c r="R894" t="s">
        <v>1850</v>
      </c>
      <c r="S894" t="s">
        <v>1850</v>
      </c>
      <c r="T894" t="s">
        <v>1850</v>
      </c>
      <c r="U894" t="s">
        <v>1850</v>
      </c>
      <c r="V894" t="s">
        <v>1850</v>
      </c>
    </row>
    <row r="895">
      <c r="R895" t="s">
        <v>1850</v>
      </c>
      <c r="S895" t="s">
        <v>1850</v>
      </c>
      <c r="T895" t="s">
        <v>1850</v>
      </c>
      <c r="U895" t="s">
        <v>1850</v>
      </c>
      <c r="V895" t="s">
        <v>1850</v>
      </c>
    </row>
    <row r="896">
      <c r="R896" t="s">
        <v>1850</v>
      </c>
      <c r="S896" t="s">
        <v>1850</v>
      </c>
      <c r="T896" t="s">
        <v>1850</v>
      </c>
      <c r="U896" t="s">
        <v>1850</v>
      </c>
      <c r="V896" t="s">
        <v>1850</v>
      </c>
    </row>
    <row r="897">
      <c r="R897" t="s">
        <v>1850</v>
      </c>
      <c r="S897" t="s">
        <v>1850</v>
      </c>
      <c r="T897" t="s">
        <v>1850</v>
      </c>
      <c r="U897" t="s">
        <v>1850</v>
      </c>
      <c r="V897" t="s">
        <v>1850</v>
      </c>
    </row>
    <row r="898">
      <c r="R898" t="s">
        <v>1850</v>
      </c>
      <c r="S898" t="s">
        <v>1850</v>
      </c>
      <c r="T898" t="s">
        <v>1850</v>
      </c>
      <c r="U898" t="s">
        <v>1850</v>
      </c>
      <c r="V898" t="s">
        <v>1850</v>
      </c>
    </row>
    <row r="899">
      <c r="R899" t="s">
        <v>1850</v>
      </c>
      <c r="S899" t="s">
        <v>1850</v>
      </c>
      <c r="T899" t="s">
        <v>1850</v>
      </c>
      <c r="U899" t="s">
        <v>1850</v>
      </c>
      <c r="V899" t="s">
        <v>1850</v>
      </c>
    </row>
    <row r="900">
      <c r="R900" t="s">
        <v>1850</v>
      </c>
      <c r="S900" t="s">
        <v>1850</v>
      </c>
      <c r="T900" t="s">
        <v>1850</v>
      </c>
      <c r="U900" t="s">
        <v>1850</v>
      </c>
      <c r="V900" t="s">
        <v>1850</v>
      </c>
    </row>
    <row r="901">
      <c r="R901" t="s">
        <v>1850</v>
      </c>
      <c r="S901" t="s">
        <v>1850</v>
      </c>
      <c r="T901" t="s">
        <v>1850</v>
      </c>
      <c r="U901" t="s">
        <v>1850</v>
      </c>
      <c r="V901" t="s">
        <v>1850</v>
      </c>
    </row>
    <row r="902">
      <c r="R902" t="s">
        <v>1850</v>
      </c>
      <c r="S902" t="s">
        <v>1850</v>
      </c>
      <c r="T902" t="s">
        <v>1850</v>
      </c>
      <c r="U902" t="s">
        <v>1850</v>
      </c>
      <c r="V902" t="s">
        <v>1850</v>
      </c>
    </row>
    <row r="903">
      <c r="R903" t="s">
        <v>1850</v>
      </c>
      <c r="S903" t="s">
        <v>1850</v>
      </c>
      <c r="T903" t="s">
        <v>1850</v>
      </c>
      <c r="U903" t="s">
        <v>1850</v>
      </c>
      <c r="V903" t="s">
        <v>1850</v>
      </c>
    </row>
    <row r="904">
      <c r="R904" t="s">
        <v>1850</v>
      </c>
      <c r="S904" t="s">
        <v>1850</v>
      </c>
      <c r="T904" t="s">
        <v>1850</v>
      </c>
      <c r="U904" t="s">
        <v>1850</v>
      </c>
      <c r="V904" t="s">
        <v>1850</v>
      </c>
    </row>
    <row r="905">
      <c r="R905" t="s">
        <v>1850</v>
      </c>
      <c r="S905" t="s">
        <v>1850</v>
      </c>
      <c r="T905" t="s">
        <v>1850</v>
      </c>
      <c r="U905" t="s">
        <v>1850</v>
      </c>
      <c r="V905" t="s">
        <v>1850</v>
      </c>
    </row>
    <row r="906">
      <c r="R906" t="s">
        <v>1850</v>
      </c>
      <c r="S906" t="s">
        <v>1850</v>
      </c>
      <c r="T906" t="s">
        <v>1850</v>
      </c>
      <c r="U906" t="s">
        <v>1850</v>
      </c>
      <c r="V906" t="s">
        <v>1850</v>
      </c>
    </row>
    <row r="907">
      <c r="R907" t="s">
        <v>1850</v>
      </c>
      <c r="S907" t="s">
        <v>1850</v>
      </c>
      <c r="T907" t="s">
        <v>1850</v>
      </c>
      <c r="U907" t="s">
        <v>1850</v>
      </c>
      <c r="V907" t="s">
        <v>1850</v>
      </c>
    </row>
    <row r="908">
      <c r="R908" t="s">
        <v>1850</v>
      </c>
      <c r="S908" t="s">
        <v>1850</v>
      </c>
      <c r="T908" t="s">
        <v>1850</v>
      </c>
      <c r="U908" t="s">
        <v>1850</v>
      </c>
      <c r="V908" t="s">
        <v>1850</v>
      </c>
    </row>
    <row r="909">
      <c r="R909" t="s">
        <v>1850</v>
      </c>
      <c r="S909" t="s">
        <v>1850</v>
      </c>
      <c r="T909" t="s">
        <v>1850</v>
      </c>
      <c r="U909" t="s">
        <v>1850</v>
      </c>
      <c r="V909" t="s">
        <v>1850</v>
      </c>
    </row>
    <row r="910">
      <c r="R910" t="s">
        <v>1850</v>
      </c>
      <c r="S910" t="s">
        <v>1850</v>
      </c>
      <c r="T910" t="s">
        <v>1850</v>
      </c>
      <c r="U910" t="s">
        <v>1850</v>
      </c>
      <c r="V910" t="s">
        <v>1850</v>
      </c>
    </row>
    <row r="911">
      <c r="R911" t="s">
        <v>1850</v>
      </c>
      <c r="S911" t="s">
        <v>1850</v>
      </c>
      <c r="T911" t="s">
        <v>1850</v>
      </c>
      <c r="U911" t="s">
        <v>1850</v>
      </c>
      <c r="V911" t="s">
        <v>1850</v>
      </c>
    </row>
    <row r="912">
      <c r="R912" t="s">
        <v>1850</v>
      </c>
      <c r="S912" t="s">
        <v>1850</v>
      </c>
      <c r="T912" t="s">
        <v>1850</v>
      </c>
      <c r="U912" t="s">
        <v>1850</v>
      </c>
      <c r="V912" t="s">
        <v>1850</v>
      </c>
    </row>
    <row r="913">
      <c r="R913" t="s">
        <v>1850</v>
      </c>
      <c r="S913" t="s">
        <v>1850</v>
      </c>
      <c r="T913" t="s">
        <v>1850</v>
      </c>
      <c r="U913" t="s">
        <v>1850</v>
      </c>
      <c r="V913" t="s">
        <v>1850</v>
      </c>
    </row>
    <row r="914">
      <c r="R914" t="s">
        <v>1850</v>
      </c>
      <c r="S914" t="s">
        <v>1850</v>
      </c>
      <c r="T914" t="s">
        <v>1850</v>
      </c>
      <c r="U914" t="s">
        <v>1850</v>
      </c>
      <c r="V914" t="s">
        <v>1850</v>
      </c>
    </row>
    <row r="915">
      <c r="R915" t="s">
        <v>1850</v>
      </c>
      <c r="S915" t="s">
        <v>1850</v>
      </c>
      <c r="T915" t="s">
        <v>1850</v>
      </c>
      <c r="U915" t="s">
        <v>1850</v>
      </c>
      <c r="V915" t="s">
        <v>1850</v>
      </c>
    </row>
    <row r="916">
      <c r="R916" t="s">
        <v>1850</v>
      </c>
      <c r="S916" t="s">
        <v>1850</v>
      </c>
      <c r="T916" t="s">
        <v>1850</v>
      </c>
      <c r="U916" t="s">
        <v>1850</v>
      </c>
      <c r="V916" t="s">
        <v>1850</v>
      </c>
    </row>
    <row r="917">
      <c r="R917" t="s">
        <v>1850</v>
      </c>
      <c r="S917" t="s">
        <v>1850</v>
      </c>
      <c r="T917" t="s">
        <v>1850</v>
      </c>
      <c r="U917" t="s">
        <v>1850</v>
      </c>
      <c r="V917" t="s">
        <v>1850</v>
      </c>
    </row>
    <row r="918">
      <c r="R918" t="s">
        <v>1850</v>
      </c>
      <c r="S918" t="s">
        <v>1850</v>
      </c>
      <c r="T918" t="s">
        <v>1850</v>
      </c>
      <c r="U918" t="s">
        <v>1850</v>
      </c>
      <c r="V918" t="s">
        <v>1850</v>
      </c>
    </row>
    <row r="919">
      <c r="R919" t="s">
        <v>1850</v>
      </c>
      <c r="S919" t="s">
        <v>1850</v>
      </c>
      <c r="T919" t="s">
        <v>1850</v>
      </c>
      <c r="U919" t="s">
        <v>1850</v>
      </c>
      <c r="V919" t="s">
        <v>1850</v>
      </c>
    </row>
    <row r="920">
      <c r="R920" t="s">
        <v>1850</v>
      </c>
      <c r="S920" t="s">
        <v>1850</v>
      </c>
      <c r="T920" t="s">
        <v>1850</v>
      </c>
      <c r="U920" t="s">
        <v>1850</v>
      </c>
      <c r="V920" t="s">
        <v>1850</v>
      </c>
    </row>
    <row r="921">
      <c r="R921" t="s">
        <v>1850</v>
      </c>
      <c r="S921" t="s">
        <v>1850</v>
      </c>
      <c r="T921" t="s">
        <v>1850</v>
      </c>
      <c r="U921" t="s">
        <v>1850</v>
      </c>
      <c r="V921" t="s">
        <v>1850</v>
      </c>
    </row>
    <row r="922">
      <c r="R922" t="s">
        <v>1850</v>
      </c>
      <c r="S922" t="s">
        <v>1850</v>
      </c>
      <c r="T922" t="s">
        <v>1850</v>
      </c>
      <c r="U922" t="s">
        <v>1850</v>
      </c>
      <c r="V922" t="s">
        <v>1850</v>
      </c>
    </row>
    <row r="923">
      <c r="R923" t="s">
        <v>1850</v>
      </c>
      <c r="S923" t="s">
        <v>1850</v>
      </c>
      <c r="T923" t="s">
        <v>1850</v>
      </c>
      <c r="U923" t="s">
        <v>1850</v>
      </c>
      <c r="V923" t="s">
        <v>1850</v>
      </c>
    </row>
    <row r="924">
      <c r="R924" t="s">
        <v>1850</v>
      </c>
      <c r="S924" t="s">
        <v>1850</v>
      </c>
      <c r="T924" t="s">
        <v>1850</v>
      </c>
      <c r="U924" t="s">
        <v>1850</v>
      </c>
      <c r="V924" t="s">
        <v>1850</v>
      </c>
    </row>
    <row r="925">
      <c r="R925" t="s">
        <v>1850</v>
      </c>
      <c r="S925" t="s">
        <v>1850</v>
      </c>
      <c r="T925" t="s">
        <v>1850</v>
      </c>
      <c r="U925" t="s">
        <v>1850</v>
      </c>
      <c r="V925" t="s">
        <v>1850</v>
      </c>
    </row>
    <row r="926">
      <c r="R926" t="s">
        <v>1850</v>
      </c>
      <c r="S926" t="s">
        <v>1850</v>
      </c>
      <c r="T926" t="s">
        <v>1850</v>
      </c>
      <c r="U926" t="s">
        <v>1850</v>
      </c>
      <c r="V926" t="s">
        <v>1850</v>
      </c>
    </row>
    <row r="927">
      <c r="R927" t="s">
        <v>1850</v>
      </c>
      <c r="S927" t="s">
        <v>1850</v>
      </c>
      <c r="T927" t="s">
        <v>1850</v>
      </c>
      <c r="U927" t="s">
        <v>1850</v>
      </c>
      <c r="V927" t="s">
        <v>1850</v>
      </c>
    </row>
    <row r="928">
      <c r="R928" t="s">
        <v>1850</v>
      </c>
      <c r="S928" t="s">
        <v>1850</v>
      </c>
      <c r="T928" t="s">
        <v>1850</v>
      </c>
      <c r="U928" t="s">
        <v>1850</v>
      </c>
      <c r="V928" t="s">
        <v>1850</v>
      </c>
    </row>
    <row r="929">
      <c r="R929" t="s">
        <v>1850</v>
      </c>
      <c r="S929" t="s">
        <v>1850</v>
      </c>
      <c r="T929" t="s">
        <v>1850</v>
      </c>
      <c r="U929" t="s">
        <v>1850</v>
      </c>
      <c r="V929" t="s">
        <v>1850</v>
      </c>
    </row>
    <row r="930">
      <c r="R930" t="s">
        <v>1850</v>
      </c>
      <c r="S930" t="s">
        <v>1850</v>
      </c>
      <c r="T930" t="s">
        <v>1850</v>
      </c>
      <c r="U930" t="s">
        <v>1850</v>
      </c>
      <c r="V930" t="s">
        <v>1850</v>
      </c>
    </row>
    <row r="931">
      <c r="R931" t="s">
        <v>1850</v>
      </c>
      <c r="S931" t="s">
        <v>1850</v>
      </c>
      <c r="T931" t="s">
        <v>1850</v>
      </c>
      <c r="U931" t="s">
        <v>1850</v>
      </c>
      <c r="V931" t="s">
        <v>1850</v>
      </c>
    </row>
    <row r="932">
      <c r="R932" t="s">
        <v>1850</v>
      </c>
      <c r="S932" t="s">
        <v>1850</v>
      </c>
      <c r="T932" t="s">
        <v>1850</v>
      </c>
      <c r="U932" t="s">
        <v>1850</v>
      </c>
      <c r="V932" t="s">
        <v>1850</v>
      </c>
    </row>
    <row r="933">
      <c r="R933" t="s">
        <v>1850</v>
      </c>
      <c r="S933" t="s">
        <v>1850</v>
      </c>
      <c r="T933" t="s">
        <v>1850</v>
      </c>
      <c r="U933" t="s">
        <v>1850</v>
      </c>
      <c r="V933" t="s">
        <v>1850</v>
      </c>
    </row>
    <row r="934">
      <c r="R934" t="s">
        <v>1850</v>
      </c>
      <c r="S934" t="s">
        <v>1850</v>
      </c>
      <c r="T934" t="s">
        <v>1850</v>
      </c>
      <c r="U934" t="s">
        <v>1850</v>
      </c>
      <c r="V934" t="s">
        <v>1850</v>
      </c>
    </row>
    <row r="935">
      <c r="R935" t="s">
        <v>1850</v>
      </c>
      <c r="S935" t="s">
        <v>1850</v>
      </c>
      <c r="T935" t="s">
        <v>1850</v>
      </c>
      <c r="U935" t="s">
        <v>1850</v>
      </c>
      <c r="V935" t="s">
        <v>1850</v>
      </c>
    </row>
    <row r="936">
      <c r="R936" t="s">
        <v>1850</v>
      </c>
      <c r="S936" t="s">
        <v>1850</v>
      </c>
      <c r="T936" t="s">
        <v>1850</v>
      </c>
      <c r="U936" t="s">
        <v>1850</v>
      </c>
      <c r="V936" t="s">
        <v>1850</v>
      </c>
    </row>
    <row r="937">
      <c r="R937" t="s">
        <v>1850</v>
      </c>
      <c r="S937" t="s">
        <v>1850</v>
      </c>
      <c r="T937" t="s">
        <v>1850</v>
      </c>
      <c r="U937" t="s">
        <v>1850</v>
      </c>
      <c r="V937" t="s">
        <v>1850</v>
      </c>
    </row>
    <row r="938">
      <c r="R938" t="s">
        <v>1850</v>
      </c>
      <c r="S938" t="s">
        <v>1850</v>
      </c>
      <c r="T938" t="s">
        <v>1850</v>
      </c>
      <c r="U938" t="s">
        <v>1850</v>
      </c>
      <c r="V938" t="s">
        <v>1850</v>
      </c>
    </row>
    <row r="939">
      <c r="R939" t="s">
        <v>1850</v>
      </c>
      <c r="S939" t="s">
        <v>1850</v>
      </c>
      <c r="T939" t="s">
        <v>1850</v>
      </c>
      <c r="U939" t="s">
        <v>1850</v>
      </c>
      <c r="V939" t="s">
        <v>1850</v>
      </c>
    </row>
    <row r="940">
      <c r="R940" t="s">
        <v>1850</v>
      </c>
      <c r="S940" t="s">
        <v>1850</v>
      </c>
      <c r="T940" t="s">
        <v>1850</v>
      </c>
      <c r="U940" t="s">
        <v>1850</v>
      </c>
      <c r="V940" t="s">
        <v>1850</v>
      </c>
    </row>
    <row r="941">
      <c r="R941" t="s">
        <v>1850</v>
      </c>
      <c r="S941" t="s">
        <v>1850</v>
      </c>
      <c r="T941" t="s">
        <v>1850</v>
      </c>
      <c r="U941" t="s">
        <v>1850</v>
      </c>
      <c r="V941" t="s">
        <v>1850</v>
      </c>
    </row>
    <row r="942">
      <c r="R942" t="s">
        <v>1850</v>
      </c>
      <c r="S942" t="s">
        <v>1850</v>
      </c>
      <c r="T942" t="s">
        <v>1850</v>
      </c>
      <c r="U942" t="s">
        <v>1850</v>
      </c>
      <c r="V942" t="s">
        <v>1850</v>
      </c>
    </row>
    <row r="943">
      <c r="R943" t="s">
        <v>1850</v>
      </c>
      <c r="S943" t="s">
        <v>1850</v>
      </c>
      <c r="T943" t="s">
        <v>1850</v>
      </c>
      <c r="U943" t="s">
        <v>1850</v>
      </c>
      <c r="V943" t="s">
        <v>1850</v>
      </c>
    </row>
    <row r="944">
      <c r="R944" t="s">
        <v>1850</v>
      </c>
      <c r="S944" t="s">
        <v>1850</v>
      </c>
      <c r="T944" t="s">
        <v>1850</v>
      </c>
      <c r="U944" t="s">
        <v>1850</v>
      </c>
      <c r="V944" t="s">
        <v>1850</v>
      </c>
    </row>
    <row r="945">
      <c r="R945" t="s">
        <v>1850</v>
      </c>
      <c r="S945" t="s">
        <v>1850</v>
      </c>
      <c r="T945" t="s">
        <v>1850</v>
      </c>
      <c r="U945" t="s">
        <v>1850</v>
      </c>
      <c r="V945" t="s">
        <v>1850</v>
      </c>
    </row>
    <row r="946">
      <c r="R946" t="s">
        <v>1850</v>
      </c>
      <c r="S946" t="s">
        <v>1850</v>
      </c>
      <c r="T946" t="s">
        <v>1850</v>
      </c>
      <c r="U946" t="s">
        <v>1850</v>
      </c>
      <c r="V946" t="s">
        <v>1850</v>
      </c>
    </row>
    <row r="947">
      <c r="R947" t="s">
        <v>1850</v>
      </c>
      <c r="S947" t="s">
        <v>1850</v>
      </c>
      <c r="T947" t="s">
        <v>1850</v>
      </c>
      <c r="U947" t="s">
        <v>1850</v>
      </c>
      <c r="V947" t="s">
        <v>1850</v>
      </c>
    </row>
    <row r="948">
      <c r="R948" t="s">
        <v>1850</v>
      </c>
      <c r="S948" t="s">
        <v>1850</v>
      </c>
      <c r="T948" t="s">
        <v>1850</v>
      </c>
      <c r="U948" t="s">
        <v>1850</v>
      </c>
      <c r="V948" t="s">
        <v>1850</v>
      </c>
    </row>
    <row r="949">
      <c r="R949" t="s">
        <v>1850</v>
      </c>
      <c r="S949" t="s">
        <v>1850</v>
      </c>
      <c r="T949" t="s">
        <v>1850</v>
      </c>
      <c r="U949" t="s">
        <v>1850</v>
      </c>
      <c r="V949" t="s">
        <v>1850</v>
      </c>
    </row>
    <row r="950">
      <c r="R950" t="s">
        <v>1850</v>
      </c>
      <c r="S950" t="s">
        <v>1850</v>
      </c>
      <c r="T950" t="s">
        <v>1850</v>
      </c>
      <c r="U950" t="s">
        <v>1850</v>
      </c>
      <c r="V950" t="s">
        <v>1850</v>
      </c>
    </row>
    <row r="951">
      <c r="R951" t="s">
        <v>1850</v>
      </c>
      <c r="S951" t="s">
        <v>1850</v>
      </c>
      <c r="T951" t="s">
        <v>1850</v>
      </c>
      <c r="U951" t="s">
        <v>1850</v>
      </c>
      <c r="V951" t="s">
        <v>1850</v>
      </c>
    </row>
    <row r="952">
      <c r="R952" t="s">
        <v>1850</v>
      </c>
      <c r="S952" t="s">
        <v>1850</v>
      </c>
      <c r="T952" t="s">
        <v>1850</v>
      </c>
      <c r="U952" t="s">
        <v>1850</v>
      </c>
      <c r="V952" t="s">
        <v>1850</v>
      </c>
    </row>
    <row r="953">
      <c r="R953" t="s">
        <v>1850</v>
      </c>
      <c r="S953" t="s">
        <v>1850</v>
      </c>
      <c r="T953" t="s">
        <v>1850</v>
      </c>
      <c r="U953" t="s">
        <v>1850</v>
      </c>
      <c r="V953" t="s">
        <v>1850</v>
      </c>
    </row>
    <row r="954">
      <c r="R954" t="s">
        <v>1850</v>
      </c>
      <c r="S954" t="s">
        <v>1850</v>
      </c>
      <c r="T954" t="s">
        <v>1850</v>
      </c>
      <c r="U954" t="s">
        <v>1850</v>
      </c>
      <c r="V954" t="s">
        <v>1850</v>
      </c>
    </row>
    <row r="955">
      <c r="R955" t="s">
        <v>1850</v>
      </c>
      <c r="S955" t="s">
        <v>1850</v>
      </c>
      <c r="T955" t="s">
        <v>1850</v>
      </c>
      <c r="U955" t="s">
        <v>1850</v>
      </c>
      <c r="V955" t="s">
        <v>1850</v>
      </c>
    </row>
    <row r="956">
      <c r="R956" t="s">
        <v>1850</v>
      </c>
      <c r="S956" t="s">
        <v>1850</v>
      </c>
      <c r="T956" t="s">
        <v>1850</v>
      </c>
      <c r="U956" t="s">
        <v>1850</v>
      </c>
      <c r="V956" t="s">
        <v>1850</v>
      </c>
    </row>
    <row r="957">
      <c r="R957" t="s">
        <v>1850</v>
      </c>
      <c r="S957" t="s">
        <v>1850</v>
      </c>
      <c r="T957" t="s">
        <v>1850</v>
      </c>
      <c r="U957" t="s">
        <v>1850</v>
      </c>
      <c r="V957" t="s">
        <v>1850</v>
      </c>
    </row>
    <row r="958">
      <c r="R958" t="s">
        <v>1850</v>
      </c>
      <c r="S958" t="s">
        <v>1850</v>
      </c>
      <c r="T958" t="s">
        <v>1850</v>
      </c>
      <c r="U958" t="s">
        <v>1850</v>
      </c>
      <c r="V958" t="s">
        <v>1850</v>
      </c>
    </row>
    <row r="959">
      <c r="R959" t="s">
        <v>1850</v>
      </c>
      <c r="S959" t="s">
        <v>1850</v>
      </c>
      <c r="T959" t="s">
        <v>1850</v>
      </c>
      <c r="U959" t="s">
        <v>1850</v>
      </c>
      <c r="V959" t="s">
        <v>1850</v>
      </c>
    </row>
    <row r="960">
      <c r="R960" t="s">
        <v>1850</v>
      </c>
      <c r="S960" t="s">
        <v>1850</v>
      </c>
      <c r="T960" t="s">
        <v>1850</v>
      </c>
      <c r="U960" t="s">
        <v>1850</v>
      </c>
      <c r="V960" t="s">
        <v>1850</v>
      </c>
    </row>
    <row r="961">
      <c r="R961" t="s">
        <v>1850</v>
      </c>
      <c r="S961" t="s">
        <v>1850</v>
      </c>
      <c r="T961" t="s">
        <v>1850</v>
      </c>
      <c r="U961" t="s">
        <v>1850</v>
      </c>
      <c r="V961" t="s">
        <v>1850</v>
      </c>
    </row>
    <row r="962">
      <c r="R962" t="s">
        <v>1850</v>
      </c>
      <c r="S962" t="s">
        <v>1850</v>
      </c>
      <c r="T962" t="s">
        <v>1850</v>
      </c>
      <c r="U962" t="s">
        <v>1850</v>
      </c>
      <c r="V962" t="s">
        <v>1850</v>
      </c>
    </row>
    <row r="963">
      <c r="R963" t="s">
        <v>1850</v>
      </c>
      <c r="S963" t="s">
        <v>1850</v>
      </c>
      <c r="T963" t="s">
        <v>1850</v>
      </c>
      <c r="U963" t="s">
        <v>1850</v>
      </c>
      <c r="V963" t="s">
        <v>1850</v>
      </c>
    </row>
    <row r="964">
      <c r="R964" t="s">
        <v>1850</v>
      </c>
      <c r="S964" t="s">
        <v>1850</v>
      </c>
      <c r="T964" t="s">
        <v>1850</v>
      </c>
      <c r="U964" t="s">
        <v>1850</v>
      </c>
      <c r="V964" t="s">
        <v>1850</v>
      </c>
    </row>
    <row r="965">
      <c r="R965" t="s">
        <v>1850</v>
      </c>
      <c r="S965" t="s">
        <v>1850</v>
      </c>
      <c r="T965" t="s">
        <v>1850</v>
      </c>
      <c r="U965" t="s">
        <v>1850</v>
      </c>
      <c r="V965" t="s">
        <v>1850</v>
      </c>
    </row>
    <row r="966">
      <c r="R966" t="s">
        <v>1850</v>
      </c>
      <c r="S966" t="s">
        <v>1850</v>
      </c>
      <c r="T966" t="s">
        <v>1850</v>
      </c>
      <c r="U966" t="s">
        <v>1850</v>
      </c>
      <c r="V966" t="s">
        <v>1850</v>
      </c>
    </row>
    <row r="967">
      <c r="R967" t="s">
        <v>1850</v>
      </c>
      <c r="S967" t="s">
        <v>1850</v>
      </c>
      <c r="T967" t="s">
        <v>1850</v>
      </c>
      <c r="U967" t="s">
        <v>1850</v>
      </c>
      <c r="V967" t="s">
        <v>1850</v>
      </c>
    </row>
    <row r="968">
      <c r="R968" t="s">
        <v>1850</v>
      </c>
      <c r="S968" t="s">
        <v>1850</v>
      </c>
      <c r="T968" t="s">
        <v>1850</v>
      </c>
      <c r="U968" t="s">
        <v>1850</v>
      </c>
      <c r="V968" t="s">
        <v>1850</v>
      </c>
    </row>
    <row r="969">
      <c r="R969" t="s">
        <v>1850</v>
      </c>
      <c r="S969" t="s">
        <v>1850</v>
      </c>
      <c r="T969" t="s">
        <v>1850</v>
      </c>
      <c r="U969" t="s">
        <v>1850</v>
      </c>
      <c r="V969" t="s">
        <v>1850</v>
      </c>
    </row>
    <row r="970">
      <c r="R970" t="s">
        <v>1850</v>
      </c>
      <c r="S970" t="s">
        <v>1850</v>
      </c>
      <c r="T970" t="s">
        <v>1850</v>
      </c>
      <c r="U970" t="s">
        <v>1850</v>
      </c>
      <c r="V970" t="s">
        <v>1850</v>
      </c>
    </row>
    <row r="971">
      <c r="R971" t="s">
        <v>1850</v>
      </c>
      <c r="S971" t="s">
        <v>1850</v>
      </c>
      <c r="T971" t="s">
        <v>1850</v>
      </c>
      <c r="U971" t="s">
        <v>1850</v>
      </c>
      <c r="V971" t="s">
        <v>1850</v>
      </c>
    </row>
    <row r="972">
      <c r="R972" t="s">
        <v>1850</v>
      </c>
      <c r="S972" t="s">
        <v>1850</v>
      </c>
      <c r="T972" t="s">
        <v>1850</v>
      </c>
      <c r="U972" t="s">
        <v>1850</v>
      </c>
      <c r="V972" t="s">
        <v>1850</v>
      </c>
    </row>
    <row r="973">
      <c r="R973" t="s">
        <v>1850</v>
      </c>
      <c r="S973" t="s">
        <v>1850</v>
      </c>
      <c r="T973" t="s">
        <v>1850</v>
      </c>
      <c r="U973" t="s">
        <v>1850</v>
      </c>
      <c r="V973" t="s">
        <v>1850</v>
      </c>
    </row>
    <row r="974">
      <c r="R974" t="s">
        <v>1850</v>
      </c>
      <c r="S974" t="s">
        <v>1850</v>
      </c>
      <c r="T974" t="s">
        <v>1850</v>
      </c>
      <c r="U974" t="s">
        <v>1850</v>
      </c>
      <c r="V974" t="s">
        <v>1850</v>
      </c>
    </row>
    <row r="975">
      <c r="R975" t="s">
        <v>1850</v>
      </c>
      <c r="S975" t="s">
        <v>1850</v>
      </c>
      <c r="T975" t="s">
        <v>1850</v>
      </c>
      <c r="U975" t="s">
        <v>1850</v>
      </c>
      <c r="V975" t="s">
        <v>1850</v>
      </c>
    </row>
    <row r="976">
      <c r="R976" t="s">
        <v>1850</v>
      </c>
      <c r="S976" t="s">
        <v>1850</v>
      </c>
      <c r="T976" t="s">
        <v>1850</v>
      </c>
      <c r="U976" t="s">
        <v>1850</v>
      </c>
      <c r="V976" t="s">
        <v>1850</v>
      </c>
    </row>
    <row r="977">
      <c r="R977" t="s">
        <v>1850</v>
      </c>
      <c r="S977" t="s">
        <v>1850</v>
      </c>
      <c r="T977" t="s">
        <v>1850</v>
      </c>
      <c r="U977" t="s">
        <v>1850</v>
      </c>
      <c r="V977" t="s">
        <v>1850</v>
      </c>
    </row>
    <row r="978">
      <c r="R978" t="s">
        <v>1850</v>
      </c>
      <c r="S978" t="s">
        <v>1850</v>
      </c>
      <c r="T978" t="s">
        <v>1850</v>
      </c>
      <c r="U978" t="s">
        <v>1850</v>
      </c>
      <c r="V978" t="s">
        <v>1850</v>
      </c>
    </row>
    <row r="979">
      <c r="R979" t="s">
        <v>1850</v>
      </c>
      <c r="S979" t="s">
        <v>1850</v>
      </c>
      <c r="T979" t="s">
        <v>1850</v>
      </c>
      <c r="U979" t="s">
        <v>1850</v>
      </c>
      <c r="V979" t="s">
        <v>1850</v>
      </c>
    </row>
    <row r="980">
      <c r="R980" t="s">
        <v>1850</v>
      </c>
      <c r="S980" t="s">
        <v>1850</v>
      </c>
      <c r="T980" t="s">
        <v>1850</v>
      </c>
      <c r="U980" t="s">
        <v>1850</v>
      </c>
      <c r="V980" t="s">
        <v>1850</v>
      </c>
    </row>
    <row r="981">
      <c r="R981" t="s">
        <v>1850</v>
      </c>
      <c r="S981" t="s">
        <v>1850</v>
      </c>
      <c r="T981" t="s">
        <v>1850</v>
      </c>
      <c r="U981" t="s">
        <v>1850</v>
      </c>
      <c r="V981" t="s">
        <v>1850</v>
      </c>
    </row>
    <row r="982">
      <c r="R982" t="s">
        <v>1850</v>
      </c>
      <c r="S982" t="s">
        <v>1850</v>
      </c>
      <c r="T982" t="s">
        <v>1850</v>
      </c>
      <c r="U982" t="s">
        <v>1850</v>
      </c>
      <c r="V982" t="s">
        <v>1850</v>
      </c>
    </row>
    <row r="983">
      <c r="R983" t="s">
        <v>1850</v>
      </c>
      <c r="S983" t="s">
        <v>1850</v>
      </c>
      <c r="T983" t="s">
        <v>1850</v>
      </c>
      <c r="U983" t="s">
        <v>1850</v>
      </c>
      <c r="V983" t="s">
        <v>1850</v>
      </c>
    </row>
    <row r="984">
      <c r="R984" t="s">
        <v>1850</v>
      </c>
      <c r="S984" t="s">
        <v>1850</v>
      </c>
      <c r="T984" t="s">
        <v>1850</v>
      </c>
      <c r="U984" t="s">
        <v>1850</v>
      </c>
      <c r="V984" t="s">
        <v>1850</v>
      </c>
    </row>
    <row r="985">
      <c r="R985" t="s">
        <v>1850</v>
      </c>
      <c r="S985" t="s">
        <v>1850</v>
      </c>
      <c r="T985" t="s">
        <v>1850</v>
      </c>
      <c r="U985" t="s">
        <v>1850</v>
      </c>
      <c r="V985" t="s">
        <v>1850</v>
      </c>
    </row>
    <row r="986">
      <c r="R986" t="s">
        <v>1850</v>
      </c>
      <c r="S986" t="s">
        <v>1850</v>
      </c>
      <c r="T986" t="s">
        <v>1850</v>
      </c>
      <c r="U986" t="s">
        <v>1850</v>
      </c>
      <c r="V986" t="s">
        <v>1850</v>
      </c>
    </row>
    <row r="987">
      <c r="R987" t="s">
        <v>1850</v>
      </c>
      <c r="S987" t="s">
        <v>1850</v>
      </c>
      <c r="T987" t="s">
        <v>1850</v>
      </c>
      <c r="U987" t="s">
        <v>1850</v>
      </c>
      <c r="V987" t="s">
        <v>1850</v>
      </c>
    </row>
    <row r="988">
      <c r="R988" t="s">
        <v>1850</v>
      </c>
      <c r="S988" t="s">
        <v>1850</v>
      </c>
      <c r="T988" t="s">
        <v>1850</v>
      </c>
      <c r="U988" t="s">
        <v>1850</v>
      </c>
      <c r="V988" t="s">
        <v>1850</v>
      </c>
    </row>
    <row r="989">
      <c r="R989" t="s">
        <v>1850</v>
      </c>
      <c r="S989" t="s">
        <v>1850</v>
      </c>
      <c r="T989" t="s">
        <v>1850</v>
      </c>
      <c r="U989" t="s">
        <v>1850</v>
      </c>
      <c r="V989" t="s">
        <v>1850</v>
      </c>
    </row>
    <row r="990">
      <c r="R990" t="s">
        <v>1850</v>
      </c>
      <c r="S990" t="s">
        <v>1850</v>
      </c>
      <c r="T990" t="s">
        <v>1850</v>
      </c>
      <c r="U990" t="s">
        <v>1850</v>
      </c>
      <c r="V990" t="s">
        <v>1850</v>
      </c>
    </row>
    <row r="991">
      <c r="R991" t="s">
        <v>1850</v>
      </c>
      <c r="S991" t="s">
        <v>1850</v>
      </c>
      <c r="T991" t="s">
        <v>1850</v>
      </c>
      <c r="U991" t="s">
        <v>1850</v>
      </c>
      <c r="V991" t="s">
        <v>1850</v>
      </c>
    </row>
    <row r="992">
      <c r="R992" t="s">
        <v>1850</v>
      </c>
      <c r="S992" t="s">
        <v>1850</v>
      </c>
      <c r="T992" t="s">
        <v>1850</v>
      </c>
      <c r="U992" t="s">
        <v>1850</v>
      </c>
      <c r="V992" t="s">
        <v>1850</v>
      </c>
    </row>
    <row r="993">
      <c r="R993" t="s">
        <v>1850</v>
      </c>
      <c r="S993" t="s">
        <v>1850</v>
      </c>
      <c r="T993" t="s">
        <v>1850</v>
      </c>
      <c r="U993" t="s">
        <v>1850</v>
      </c>
      <c r="V993" t="s">
        <v>1850</v>
      </c>
    </row>
    <row r="994">
      <c r="R994" t="s">
        <v>1850</v>
      </c>
      <c r="S994" t="s">
        <v>1850</v>
      </c>
      <c r="T994" t="s">
        <v>1850</v>
      </c>
      <c r="U994" t="s">
        <v>1850</v>
      </c>
      <c r="V994" t="s">
        <v>1850</v>
      </c>
    </row>
    <row r="995">
      <c r="R995" t="s">
        <v>1850</v>
      </c>
      <c r="S995" t="s">
        <v>1850</v>
      </c>
      <c r="T995" t="s">
        <v>1850</v>
      </c>
      <c r="U995" t="s">
        <v>1850</v>
      </c>
      <c r="V995" t="s">
        <v>1850</v>
      </c>
    </row>
    <row r="996">
      <c r="R996" t="s">
        <v>1850</v>
      </c>
      <c r="S996" t="s">
        <v>1850</v>
      </c>
      <c r="T996" t="s">
        <v>1850</v>
      </c>
      <c r="U996" t="s">
        <v>1850</v>
      </c>
      <c r="V996" t="s">
        <v>1850</v>
      </c>
    </row>
    <row r="997">
      <c r="R997" t="s">
        <v>1850</v>
      </c>
      <c r="S997" t="s">
        <v>1850</v>
      </c>
      <c r="T997" t="s">
        <v>1850</v>
      </c>
      <c r="U997" t="s">
        <v>1850</v>
      </c>
      <c r="V997" t="s">
        <v>1850</v>
      </c>
    </row>
    <row r="998">
      <c r="R998" t="s">
        <v>1850</v>
      </c>
      <c r="S998" t="s">
        <v>1850</v>
      </c>
      <c r="T998" t="s">
        <v>1850</v>
      </c>
      <c r="U998" t="s">
        <v>1850</v>
      </c>
      <c r="V998" t="s">
        <v>1850</v>
      </c>
    </row>
    <row r="999">
      <c r="R999" t="s">
        <v>1850</v>
      </c>
      <c r="S999" t="s">
        <v>1850</v>
      </c>
      <c r="T999" t="s">
        <v>1850</v>
      </c>
      <c r="U999" t="s">
        <v>1850</v>
      </c>
      <c r="V999" t="s">
        <v>1850</v>
      </c>
    </row>
    <row r="1000">
      <c r="R1000" t="s">
        <v>1850</v>
      </c>
      <c r="S1000" t="s">
        <v>1850</v>
      </c>
      <c r="T1000" t="s">
        <v>1850</v>
      </c>
      <c r="U1000" t="s">
        <v>1850</v>
      </c>
      <c r="V1000" t="s">
        <v>1850</v>
      </c>
    </row>
  </sheetData>
  <mergeCells count="15">
    <mergeCell ref="A157:B157"/>
    <mergeCell ref="A209:B209"/>
    <mergeCell ref="C209:D209"/>
    <mergeCell ref="A261:B261"/>
    <mergeCell ref="C261:D261"/>
    <mergeCell ref="A313:L313"/>
    <mergeCell ref="M313:N313"/>
    <mergeCell ref="A365:B365"/>
    <mergeCell ref="A1:B1"/>
    <mergeCell ref="C1:D1"/>
    <mergeCell ref="A53:B53"/>
    <mergeCell ref="C53:D53"/>
    <mergeCell ref="A105:B105"/>
    <mergeCell ref="C105:D105"/>
    <mergeCell ref="C157:D15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t="str">
        <f>IF(Projections!$AB$11,Draft!D3,"")</f>
        <v/>
      </c>
      <c r="B5" s="280" t="str">
        <f>IFERROR(__xludf.DUMMYFUNCTION("IF(Projections!Z11=""LeagV"", QUERY('Final Update'!O20:AN420, ""select * order by S desc ""),IF(Projections!Z11=""PuntV"",QUERY('Final Update'!O20:AN420, ""select * order by T desc ""),IF(Projections!Z11=""Punt+"",QUERY('Final Update'!O20:AN420, ""select "&amp;"* order by U desc ""),IF(Projections!Z11=""PTS"",QUERY('Final Update'!O20:AN420, ""select * order by V desc ""),IF(Projections!Z11=""3P"",QUERY('Final Update'!O20:AN420, ""select * order by W desc ""),IF(Projections!Z11=""REB"",QUERY('Final Update'!O20:AN"&amp;"420, ""select * order by X desc ""),IF(Projections!Z11=""AST"",QUERY('Final Update'!O20:AN420, ""select * order by Y desc ""),IF(Projections!Z11=""STL"",QUERY('Final Update'!O20:AN420, ""select * order by Z desc ""),IF(Projections!Z11=""BLK"",QUERY('Final"&amp;" Update'!O20:AN420, ""select * order by AA desc ""),IF(Projections!Z11=""FG%"",QUERY('Final Update'!O20:AN420, ""select * order by AB desc ""),IF(Projections!Z11=""FT%"",QUERY('Final Update'!O20:AN420, ""select * order by AC desc ""),IF(Projections!Z11="""&amp;"TO"",QUERY('Final Update'!O20:AN420, ""select * order by AD desc ""),IF(Projections!Z11=""z p/g"", QUERY('Final Update'!O20:AN420, ""select * order by AE desc ""),IF(Projections!Z11=""z 3/g"",QUERY('Final Update'!O20:AN420, ""select * order by AF desc "")"&amp;",IF(Projections!Z11=""z r/g"",QUERY('Final Update'!O20:AN420, ""select * order by AG desc ""),IF(Projections!Z11=""z a/g"",QUERY('Final Update'!O20:AN420, ""select * order by AH desc ""),IF(Projections!Z11=""z s/g"",QUERY('Final Update'!O20:AN420, ""selec"&amp;"t * order by AI desc ""),IF(Projections!Z11=""z b/g"",QUERY('Final Update'!O20:AN420, ""select * order by AJ desc ""),IF(Projections!Z11=""z fg%"", QUERY('Final Update'!O20:AN420, ""select * order by AK desc ""),IF(Projections!Z11=""z ft%"",QUERY('Final U"&amp;"pdate'!O20:AN420, ""select * order by AL desc ""),IF(Projections!Z11=""z to/g"",QUERY('Final Update'!O20:AN420, ""select * order by AM desc ""),IF(Projections!Z11=""ADP"",QUERY('Final Update'!O20:AN420, ""select * order by O asc "")))))))))))))))))))))))"),"")</f>
        <v/>
      </c>
      <c r="C5" t="str">
        <f>IFERROR(__xludf.DUMMYFUNCTION("""COMPUTED_VALUE"""),"ADP")</f>
        <v>ADP</v>
      </c>
      <c r="D5" t="str">
        <f>IFERROR(__xludf.DUMMYFUNCTION("""COMPUTED_VALUE"""),"Player")</f>
        <v>Player</v>
      </c>
      <c r="E5" t="str">
        <f>IFERROR(__xludf.DUMMYFUNCTION("""COMPUTED_VALUE"""),"GP")</f>
        <v>GP</v>
      </c>
      <c r="F5" t="str">
        <f>IFERROR(__xludf.DUMMYFUNCTION("""COMPUTED_VALUE"""),"Pos")</f>
        <v>Pos</v>
      </c>
      <c r="G5" t="str">
        <f>IFERROR(__xludf.DUMMYFUNCTION("""COMPUTED_VALUE"""),"LeagV")</f>
        <v>LeagV</v>
      </c>
      <c r="H5" t="str">
        <f>IFERROR(__xludf.DUMMYFUNCTION("""COMPUTED_VALUE"""),"PuntV")</f>
        <v>PuntV</v>
      </c>
      <c r="I5" t="str">
        <f>IFERROR(__xludf.DUMMYFUNCTION("""COMPUTED_VALUE"""),"Punt+")</f>
        <v>Punt+</v>
      </c>
      <c r="J5" t="str">
        <f>IFERROR(__xludf.DUMMYFUNCTION("""COMPUTED_VALUE"""),"PTS")</f>
        <v>PTS</v>
      </c>
      <c r="K5" t="str">
        <f>IFERROR(__xludf.DUMMYFUNCTION("""COMPUTED_VALUE"""),"3P")</f>
        <v>3P</v>
      </c>
      <c r="L5" t="str">
        <f>IFERROR(__xludf.DUMMYFUNCTION("""COMPUTED_VALUE"""),"REB")</f>
        <v>REB</v>
      </c>
      <c r="M5" t="str">
        <f>IFERROR(__xludf.DUMMYFUNCTION("""COMPUTED_VALUE"""),"AST")</f>
        <v>AST</v>
      </c>
      <c r="N5" t="str">
        <f>IFERROR(__xludf.DUMMYFUNCTION("""COMPUTED_VALUE"""),"STL")</f>
        <v>STL</v>
      </c>
      <c r="O5" t="str">
        <f>IFERROR(__xludf.DUMMYFUNCTION("""COMPUTED_VALUE"""),"BLK")</f>
        <v>BLK</v>
      </c>
      <c r="P5" t="str">
        <f>IFERROR(__xludf.DUMMYFUNCTION("""COMPUTED_VALUE"""),"FG%")</f>
        <v>FG%</v>
      </c>
      <c r="Q5" t="str">
        <f>IFERROR(__xludf.DUMMYFUNCTION("""COMPUTED_VALUE"""),"FT%")</f>
        <v>FT%</v>
      </c>
      <c r="R5" t="str">
        <f>IFERROR(__xludf.DUMMYFUNCTION("""COMPUTED_VALUE"""),"TO")</f>
        <v>TO</v>
      </c>
      <c r="S5" t="str">
        <f>IFERROR(__xludf.DUMMYFUNCTION("""COMPUTED_VALUE"""),"z p/g")</f>
        <v>z p/g</v>
      </c>
      <c r="T5" t="str">
        <f>IFERROR(__xludf.DUMMYFUNCTION("""COMPUTED_VALUE"""),"z 3/g")</f>
        <v>z 3/g</v>
      </c>
      <c r="U5" t="str">
        <f>IFERROR(__xludf.DUMMYFUNCTION("""COMPUTED_VALUE"""),"z r/g")</f>
        <v>z r/g</v>
      </c>
      <c r="V5" t="str">
        <f>IFERROR(__xludf.DUMMYFUNCTION("""COMPUTED_VALUE"""),"z a/g")</f>
        <v>z a/g</v>
      </c>
      <c r="W5" t="str">
        <f>IFERROR(__xludf.DUMMYFUNCTION("""COMPUTED_VALUE"""),"z s/g")</f>
        <v>z s/g</v>
      </c>
      <c r="X5" t="str">
        <f>IFERROR(__xludf.DUMMYFUNCTION("""COMPUTED_VALUE"""),"z b/g")</f>
        <v>z b/g</v>
      </c>
      <c r="Y5" t="str">
        <f>IFERROR(__xludf.DUMMYFUNCTION("""COMPUTED_VALUE"""),"z fg%")</f>
        <v>z fg%</v>
      </c>
      <c r="Z5" t="str">
        <f>IFERROR(__xludf.DUMMYFUNCTION("""COMPUTED_VALUE"""),"z ft%")</f>
        <v>z ft%</v>
      </c>
      <c r="AA5" t="str">
        <f>IFERROR(__xludf.DUMMYFUNCTION("""COMPUTED_VALUE"""),"z to/g")</f>
        <v>z to/g</v>
      </c>
    </row>
    <row r="6">
      <c r="A6" t="str">
        <f>IF(Projections!$AB$11,Draft!D4,"")</f>
        <v/>
      </c>
      <c r="B6">
        <f>IFERROR(__xludf.DUMMYFUNCTION("""COMPUTED_VALUE"""),1.0)</f>
        <v>1</v>
      </c>
      <c r="D6" t="str">
        <f>IFERROR(__xludf.DUMMYFUNCTION("""COMPUTED_VALUE"""),"Victor Wembanyama")</f>
        <v>Victor Wembanyama</v>
      </c>
      <c r="E6">
        <f>IFERROR(__xludf.DUMMYFUNCTION("""COMPUTED_VALUE"""),73.0)</f>
        <v>73</v>
      </c>
      <c r="F6" t="str">
        <f>IFERROR(__xludf.DUMMYFUNCTION("""COMPUTED_VALUE"""),"C")</f>
        <v>C</v>
      </c>
      <c r="G6" s="18">
        <f>IFERROR(__xludf.DUMMYFUNCTION("""COMPUTED_VALUE"""),11.3425419387325)</f>
        <v>11.34254194</v>
      </c>
      <c r="H6" s="18">
        <f>IFERROR(__xludf.DUMMYFUNCTION("""COMPUTED_VALUE"""),11.589733589107464)</f>
        <v>11.58973359</v>
      </c>
      <c r="I6" s="18">
        <f>IFERROR(__xludf.DUMMYFUNCTION("""COMPUTED_VALUE"""),0.2471916503749636)</f>
        <v>0.2471916504</v>
      </c>
      <c r="J6" s="18">
        <f>IFERROR(__xludf.DUMMYFUNCTION("""COMPUTED_VALUE"""),25.83918)</f>
        <v>25.83918</v>
      </c>
      <c r="K6" s="18">
        <f>IFERROR(__xludf.DUMMYFUNCTION("""COMPUTED_VALUE"""),3.049863)</f>
        <v>3.049863</v>
      </c>
      <c r="L6" s="18">
        <f>IFERROR(__xludf.DUMMYFUNCTION("""COMPUTED_VALUE"""),11.92123)</f>
        <v>11.92123</v>
      </c>
      <c r="M6" s="18">
        <f>IFERROR(__xludf.DUMMYFUNCTION("""COMPUTED_VALUE"""),3.829315)</f>
        <v>3.829315</v>
      </c>
      <c r="N6" s="18">
        <f>IFERROR(__xludf.DUMMYFUNCTION("""COMPUTED_VALUE"""),1.158356)</f>
        <v>1.158356</v>
      </c>
      <c r="O6" s="18">
        <f>IFERROR(__xludf.DUMMYFUNCTION("""COMPUTED_VALUE"""),3.901507)</f>
        <v>3.901507</v>
      </c>
      <c r="P6" s="25">
        <f>IFERROR(__xludf.DUMMYFUNCTION("""COMPUTED_VALUE"""),0.491121)</f>
        <v>0.491121</v>
      </c>
      <c r="Q6" s="25">
        <f>IFERROR(__xludf.DUMMYFUNCTION("""COMPUTED_VALUE"""),0.816988)</f>
        <v>0.816988</v>
      </c>
      <c r="R6" s="18">
        <f>IFERROR(__xludf.DUMMYFUNCTION("""COMPUTED_VALUE"""),2.745479)</f>
        <v>2.745479</v>
      </c>
      <c r="S6" s="18">
        <f>IFERROR(__xludf.DUMMYFUNCTION("""COMPUTED_VALUE"""),1.520135093083864)</f>
        <v>1.520135093</v>
      </c>
      <c r="T6" s="18">
        <f>IFERROR(__xludf.DUMMYFUNCTION("""COMPUTED_VALUE"""),1.2365655716765753)</f>
        <v>1.236565572</v>
      </c>
      <c r="U6" s="18">
        <f>IFERROR(__xludf.DUMMYFUNCTION("""COMPUTED_VALUE"""),2.348916477230807)</f>
        <v>2.348916477</v>
      </c>
      <c r="V6" s="18">
        <f>IFERROR(__xludf.DUMMYFUNCTION("""COMPUTED_VALUE"""),-0.003704573661539899)</f>
        <v>-0.003704573662</v>
      </c>
      <c r="W6" s="18">
        <f>IFERROR(__xludf.DUMMYFUNCTION("""COMPUTED_VALUE"""),0.34484979672257154)</f>
        <v>0.3448497967</v>
      </c>
      <c r="X6" s="18">
        <f>IFERROR(__xludf.DUMMYFUNCTION("""COMPUTED_VALUE"""),5.76537101565873)</f>
        <v>5.765371016</v>
      </c>
      <c r="Y6" s="18">
        <f>IFERROR(__xludf.DUMMYFUNCTION("""COMPUTED_VALUE"""),-0.059921646652902165)</f>
        <v>-0.05992164665</v>
      </c>
      <c r="Z6" s="18">
        <f>IFERROR(__xludf.DUMMYFUNCTION("""COMPUTED_VALUE"""),0.3776002083964553)</f>
        <v>0.3776002084</v>
      </c>
      <c r="AA6" s="18">
        <f>IFERROR(__xludf.DUMMYFUNCTION("""COMPUTED_VALUE"""),0.0)</f>
        <v>0</v>
      </c>
      <c r="AB6" t="str">
        <f>IFERROR(__xludf.DUMMYFUNCTION("SUBSTITUTE(REGEXREPLACE(REGEXREPLACE(REGEXREPLACE(REGEXREPLACE(REGEXREPLACE(REGEXREPLACE(F6,"","",),IF(Projections!$T$11="""",""PG"",),),IF(Projections!$U$11="""",""SG"",),),IF(Projections!$V$11="""",""SF"",),),IF(Projections!$W$11="""",""PF"",),),IF(Proj"&amp;"ections!$X$11="""",""C"",),),""/"","""")"),"C")</f>
        <v>C</v>
      </c>
    </row>
    <row r="7">
      <c r="A7" t="str">
        <f>IF(Projections!$AB$11,Draft!D5,"")</f>
        <v/>
      </c>
      <c r="B7">
        <f>IFERROR(__xludf.DUMMYFUNCTION("""COMPUTED_VALUE"""),2.0)</f>
        <v>2</v>
      </c>
      <c r="D7" t="str">
        <f>IFERROR(__xludf.DUMMYFUNCTION("""COMPUTED_VALUE"""),"Nikola Jokic")</f>
        <v>Nikola Jokic</v>
      </c>
      <c r="E7">
        <f>IFERROR(__xludf.DUMMYFUNCTION("""COMPUTED_VALUE"""),73.0)</f>
        <v>73</v>
      </c>
      <c r="F7" t="str">
        <f>IFERROR(__xludf.DUMMYFUNCTION("""COMPUTED_VALUE"""),"C")</f>
        <v>C</v>
      </c>
      <c r="G7" s="18">
        <f>IFERROR(__xludf.DUMMYFUNCTION("""COMPUTED_VALUE"""),9.4823258240044)</f>
        <v>9.482325824</v>
      </c>
      <c r="H7" s="18">
        <f>IFERROR(__xludf.DUMMYFUNCTION("""COMPUTED_VALUE"""),9.821236890688052)</f>
        <v>9.821236891</v>
      </c>
      <c r="I7" s="18">
        <f>IFERROR(__xludf.DUMMYFUNCTION("""COMPUTED_VALUE"""),0.3389110666836519)</f>
        <v>0.3389110667</v>
      </c>
      <c r="J7" s="18">
        <f>IFERROR(__xludf.DUMMYFUNCTION("""COMPUTED_VALUE"""),27.67616)</f>
        <v>27.67616</v>
      </c>
      <c r="K7" s="18">
        <f>IFERROR(__xludf.DUMMYFUNCTION("""COMPUTED_VALUE"""),1.596849)</f>
        <v>1.596849</v>
      </c>
      <c r="L7" s="18">
        <f>IFERROR(__xludf.DUMMYFUNCTION("""COMPUTED_VALUE"""),12.16205)</f>
        <v>12.16205</v>
      </c>
      <c r="M7" s="18">
        <f>IFERROR(__xludf.DUMMYFUNCTION("""COMPUTED_VALUE"""),8.994658)</f>
        <v>8.994658</v>
      </c>
      <c r="N7" s="18">
        <f>IFERROR(__xludf.DUMMYFUNCTION("""COMPUTED_VALUE"""),1.430822)</f>
        <v>1.430822</v>
      </c>
      <c r="O7" s="18">
        <f>IFERROR(__xludf.DUMMYFUNCTION("""COMPUTED_VALUE"""),0.715479)</f>
        <v>0.715479</v>
      </c>
      <c r="P7" s="25">
        <f>IFERROR(__xludf.DUMMYFUNCTION("""COMPUTED_VALUE"""),0.585091)</f>
        <v>0.585091</v>
      </c>
      <c r="Q7" s="25">
        <f>IFERROR(__xludf.DUMMYFUNCTION("""COMPUTED_VALUE"""),0.810004)</f>
        <v>0.810004</v>
      </c>
      <c r="R7" s="18">
        <f>IFERROR(__xludf.DUMMYFUNCTION("""COMPUTED_VALUE"""),3.115342)</f>
        <v>3.115342</v>
      </c>
      <c r="S7" s="18">
        <f>IFERROR(__xludf.DUMMYFUNCTION("""COMPUTED_VALUE"""),1.842419662370102)</f>
        <v>1.842419662</v>
      </c>
      <c r="T7" s="18">
        <f>IFERROR(__xludf.DUMMYFUNCTION("""COMPUTED_VALUE"""),-0.1668039380108046)</f>
        <v>-0.166803938</v>
      </c>
      <c r="U7" s="18">
        <f>IFERROR(__xludf.DUMMYFUNCTION("""COMPUTED_VALUE"""),2.446533732690303)</f>
        <v>2.446533733</v>
      </c>
      <c r="V7" s="18">
        <f>IFERROR(__xludf.DUMMYFUNCTION("""COMPUTED_VALUE"""),2.51964036424524)</f>
        <v>2.519640364</v>
      </c>
      <c r="W7" s="18">
        <f>IFERROR(__xludf.DUMMYFUNCTION("""COMPUTED_VALUE"""),1.1751163763235453)</f>
        <v>1.175116376</v>
      </c>
      <c r="X7" s="18">
        <f>IFERROR(__xludf.DUMMYFUNCTION("""COMPUTED_VALUE"""),-0.02680311688072257)</f>
        <v>-0.02680311688</v>
      </c>
      <c r="Y7" s="18">
        <f>IFERROR(__xludf.DUMMYFUNCTION("""COMPUTED_VALUE"""),1.5802315736235906)</f>
        <v>1.580231574</v>
      </c>
      <c r="Z7" s="18">
        <f>IFERROR(__xludf.DUMMYFUNCTION("""COMPUTED_VALUE"""),0.28409829831599426)</f>
        <v>0.2840982983</v>
      </c>
      <c r="AA7" s="18">
        <f>IFERROR(__xludf.DUMMYFUNCTION("""COMPUTED_VALUE"""),0.0)</f>
        <v>0</v>
      </c>
      <c r="AB7" t="str">
        <f>IFERROR(__xludf.DUMMYFUNCTION("SUBSTITUTE(REGEXREPLACE(REGEXREPLACE(REGEXREPLACE(REGEXREPLACE(REGEXREPLACE(REGEXREPLACE(F7,"","",),IF(Projections!$T$11="""",""PG"",),),IF(Projections!$U$11="""",""SG"",),),IF(Projections!$V$11="""",""SF"",),),IF(Projections!$W$11="""",""PF"",),),IF(Proj"&amp;"ections!$X$11="""",""C"",),),""/"","""")"),"C")</f>
        <v>C</v>
      </c>
    </row>
    <row r="8">
      <c r="A8" t="str">
        <f>IF(Projections!$AB$11,Draft!D6,"")</f>
        <v/>
      </c>
      <c r="B8">
        <f>IFERROR(__xludf.DUMMYFUNCTION("""COMPUTED_VALUE"""),3.0)</f>
        <v>3</v>
      </c>
      <c r="D8" t="str">
        <f>IFERROR(__xludf.DUMMYFUNCTION("""COMPUTED_VALUE"""),"Luka Doncic")</f>
        <v>Luka Doncic</v>
      </c>
      <c r="E8">
        <f>IFERROR(__xludf.DUMMYFUNCTION("""COMPUTED_VALUE"""),68.0)</f>
        <v>68</v>
      </c>
      <c r="F8" t="str">
        <f>IFERROR(__xludf.DUMMYFUNCTION("""COMPUTED_VALUE"""),"G")</f>
        <v>G</v>
      </c>
      <c r="G8" s="18">
        <f>IFERROR(__xludf.DUMMYFUNCTION("""COMPUTED_VALUE"""),7.082632867736175)</f>
        <v>7.082632868</v>
      </c>
      <c r="H8" s="18">
        <f>IFERROR(__xludf.DUMMYFUNCTION("""COMPUTED_VALUE"""),7.5056636902266645)</f>
        <v>7.50566369</v>
      </c>
      <c r="I8" s="18">
        <f>IFERROR(__xludf.DUMMYFUNCTION("""COMPUTED_VALUE"""),0.42303082249048973)</f>
        <v>0.4230308225</v>
      </c>
      <c r="J8" s="18">
        <f>IFERROR(__xludf.DUMMYFUNCTION("""COMPUTED_VALUE"""),29.94368)</f>
        <v>29.94368</v>
      </c>
      <c r="K8" s="18">
        <f>IFERROR(__xludf.DUMMYFUNCTION("""COMPUTED_VALUE"""),3.678088)</f>
        <v>3.678088</v>
      </c>
      <c r="L8" s="18">
        <f>IFERROR(__xludf.DUMMYFUNCTION("""COMPUTED_VALUE"""),7.791029)</f>
        <v>7.791029</v>
      </c>
      <c r="M8" s="18">
        <f>IFERROR(__xludf.DUMMYFUNCTION("""COMPUTED_VALUE"""),7.497059)</f>
        <v>7.497059</v>
      </c>
      <c r="N8" s="18">
        <f>IFERROR(__xludf.DUMMYFUNCTION("""COMPUTED_VALUE"""),1.47)</f>
        <v>1.47</v>
      </c>
      <c r="O8" s="18">
        <f>IFERROR(__xludf.DUMMYFUNCTION("""COMPUTED_VALUE"""),0.44)</f>
        <v>0.44</v>
      </c>
      <c r="P8" s="25">
        <f>IFERROR(__xludf.DUMMYFUNCTION("""COMPUTED_VALUE"""),0.468707)</f>
        <v>0.468707</v>
      </c>
      <c r="Q8" s="25">
        <f>IFERROR(__xludf.DUMMYFUNCTION("""COMPUTED_VALUE"""),0.791004)</f>
        <v>0.791004</v>
      </c>
      <c r="R8" s="18">
        <f>IFERROR(__xludf.DUMMYFUNCTION("""COMPUTED_VALUE"""),3.454559)</f>
        <v>3.454559</v>
      </c>
      <c r="S8" s="18">
        <f>IFERROR(__xludf.DUMMYFUNCTION("""COMPUTED_VALUE"""),2.2402392938020883)</f>
        <v>2.240239294</v>
      </c>
      <c r="T8" s="18">
        <f>IFERROR(__xludf.DUMMYFUNCTION("""COMPUTED_VALUE"""),1.8433262843905296)</f>
        <v>1.843326284</v>
      </c>
      <c r="U8" s="18">
        <f>IFERROR(__xludf.DUMMYFUNCTION("""COMPUTED_VALUE"""),0.6747246073027928)</f>
        <v>0.6747246073</v>
      </c>
      <c r="V8" s="18">
        <f>IFERROR(__xludf.DUMMYFUNCTION("""COMPUTED_VALUE"""),1.788041541928067)</f>
        <v>1.788041542</v>
      </c>
      <c r="W8" s="18">
        <f>IFERROR(__xludf.DUMMYFUNCTION("""COMPUTED_VALUE"""),1.2945007547619811)</f>
        <v>1.294500755</v>
      </c>
      <c r="X8" s="18">
        <f>IFERROR(__xludf.DUMMYFUNCTION("""COMPUTED_VALUE"""),-0.5276217970234695)</f>
        <v>-0.527621797</v>
      </c>
      <c r="Y8" s="18">
        <f>IFERROR(__xludf.DUMMYFUNCTION("""COMPUTED_VALUE"""),-0.3727730401818931)</f>
        <v>-0.3727730402</v>
      </c>
      <c r="Z8" s="18">
        <f>IFERROR(__xludf.DUMMYFUNCTION("""COMPUTED_VALUE"""),0.03760424822309971)</f>
        <v>0.03760424822</v>
      </c>
      <c r="AA8" s="18">
        <f>IFERROR(__xludf.DUMMYFUNCTION("""COMPUTED_VALUE"""),0.0)</f>
        <v>0</v>
      </c>
      <c r="AB8" t="str">
        <f>IFERROR(__xludf.DUMMYFUNCTION("SUBSTITUTE(REGEXREPLACE(REGEXREPLACE(REGEXREPLACE(REGEXREPLACE(REGEXREPLACE(REGEXREPLACE(F8,"","",),IF(Projections!$T$11="""",""PG"",),),IF(Projections!$U$11="""",""SG"",),),IF(Projections!$V$11="""",""SF"",),),IF(Projections!$W$11="""",""PF"",),),IF(Proj"&amp;"ections!$X$11="""",""C"",),),""/"","""")"),"G")</f>
        <v>G</v>
      </c>
    </row>
    <row r="9">
      <c r="A9" t="str">
        <f>IF(Projections!$AB$11,Draft!D7,"")</f>
        <v/>
      </c>
      <c r="B9">
        <f>IFERROR(__xludf.DUMMYFUNCTION("""COMPUTED_VALUE"""),4.0)</f>
        <v>4</v>
      </c>
      <c r="D9" t="str">
        <f>IFERROR(__xludf.DUMMYFUNCTION("""COMPUTED_VALUE"""),"Shai Gilgeous-Alexander")</f>
        <v>Shai Gilgeous-Alexander</v>
      </c>
      <c r="E9">
        <f>IFERROR(__xludf.DUMMYFUNCTION("""COMPUTED_VALUE"""),73.0)</f>
        <v>73</v>
      </c>
      <c r="F9" t="str">
        <f>IFERROR(__xludf.DUMMYFUNCTION("""COMPUTED_VALUE"""),"G")</f>
        <v>G</v>
      </c>
      <c r="G9" s="18">
        <f>IFERROR(__xludf.DUMMYFUNCTION("""COMPUTED_VALUE"""),6.761339091582645)</f>
        <v>6.761339092</v>
      </c>
      <c r="H9" s="18">
        <f>IFERROR(__xludf.DUMMYFUNCTION("""COMPUTED_VALUE"""),6.7798438491212725)</f>
        <v>6.779843849</v>
      </c>
      <c r="I9" s="18">
        <f>IFERROR(__xludf.DUMMYFUNCTION("""COMPUTED_VALUE"""),0.01850475753862746)</f>
        <v>0.01850475754</v>
      </c>
      <c r="J9" s="18">
        <f>IFERROR(__xludf.DUMMYFUNCTION("""COMPUTED_VALUE"""),30.51822)</f>
        <v>30.51822</v>
      </c>
      <c r="K9" s="18">
        <f>IFERROR(__xludf.DUMMYFUNCTION("""COMPUTED_VALUE"""),1.935479)</f>
        <v>1.935479</v>
      </c>
      <c r="L9" s="18">
        <f>IFERROR(__xludf.DUMMYFUNCTION("""COMPUTED_VALUE"""),4.558082)</f>
        <v>4.558082</v>
      </c>
      <c r="M9" s="18">
        <f>IFERROR(__xludf.DUMMYFUNCTION("""COMPUTED_VALUE"""),6.030685)</f>
        <v>6.030685</v>
      </c>
      <c r="N9" s="18">
        <f>IFERROR(__xludf.DUMMYFUNCTION("""COMPUTED_VALUE"""),1.462877)</f>
        <v>1.462877</v>
      </c>
      <c r="O9" s="18">
        <f>IFERROR(__xludf.DUMMYFUNCTION("""COMPUTED_VALUE"""),0.91589)</f>
        <v>0.91589</v>
      </c>
      <c r="P9" s="25">
        <f>IFERROR(__xludf.DUMMYFUNCTION("""COMPUTED_VALUE"""),0.505971)</f>
        <v>0.505971</v>
      </c>
      <c r="Q9" s="25">
        <f>IFERROR(__xludf.DUMMYFUNCTION("""COMPUTED_VALUE"""),0.889004)</f>
        <v>0.889004</v>
      </c>
      <c r="R9" s="18">
        <f>IFERROR(__xludf.DUMMYFUNCTION("""COMPUTED_VALUE"""),1.823288)</f>
        <v>1.823288</v>
      </c>
      <c r="S9" s="18">
        <f>IFERROR(__xludf.DUMMYFUNCTION("""COMPUTED_VALUE"""),2.341038092067565)</f>
        <v>2.341038092</v>
      </c>
      <c r="T9" s="18">
        <f>IFERROR(__xludf.DUMMYFUNCTION("""COMPUTED_VALUE"""),0.16025623970629752)</f>
        <v>0.1602562397</v>
      </c>
      <c r="U9" s="18">
        <f>IFERROR(__xludf.DUMMYFUNCTION("""COMPUTED_VALUE"""),-0.6357621179941515)</f>
        <v>-0.635762118</v>
      </c>
      <c r="V9" s="18">
        <f>IFERROR(__xludf.DUMMYFUNCTION("""COMPUTED_VALUE"""),1.0716965847823137)</f>
        <v>1.071696585</v>
      </c>
      <c r="W9" s="18">
        <f>IFERROR(__xludf.DUMMYFUNCTION("""COMPUTED_VALUE"""),1.2727953351995487)</f>
        <v>1.272795335</v>
      </c>
      <c r="X9" s="18">
        <f>IFERROR(__xludf.DUMMYFUNCTION("""COMPUTED_VALUE"""),0.33754252291791204)</f>
        <v>0.3375425229</v>
      </c>
      <c r="Y9" s="18">
        <f>IFERROR(__xludf.DUMMYFUNCTION("""COMPUTED_VALUE"""),0.1639756592911051)</f>
        <v>0.1639756593</v>
      </c>
      <c r="Z9" s="18">
        <f>IFERROR(__xludf.DUMMYFUNCTION("""COMPUTED_VALUE"""),1.4325394151565307)</f>
        <v>1.432539415</v>
      </c>
      <c r="AA9" s="18">
        <f>IFERROR(__xludf.DUMMYFUNCTION("""COMPUTED_VALUE"""),0.0)</f>
        <v>0</v>
      </c>
      <c r="AB9" t="str">
        <f>IFERROR(__xludf.DUMMYFUNCTION("SUBSTITUTE(REGEXREPLACE(REGEXREPLACE(REGEXREPLACE(REGEXREPLACE(REGEXREPLACE(REGEXREPLACE(F9,"","",),IF(Projections!$T$11="""",""PG"",),),IF(Projections!$U$11="""",""SG"",),),IF(Projections!$V$11="""",""SF"",),),IF(Projections!$W$11="""",""PF"",),),IF(Proj"&amp;"ections!$X$11="""",""C"",),),""/"","""")"),"G")</f>
        <v>G</v>
      </c>
    </row>
    <row r="10">
      <c r="A10" t="str">
        <f>IF(Projections!$AB$11,Draft!D8,"")</f>
        <v/>
      </c>
      <c r="B10">
        <f>IFERROR(__xludf.DUMMYFUNCTION("""COMPUTED_VALUE"""),5.0)</f>
        <v>5</v>
      </c>
      <c r="D10" t="str">
        <f>IFERROR(__xludf.DUMMYFUNCTION("""COMPUTED_VALUE"""),"Giannis Antetokounmpo")</f>
        <v>Giannis Antetokounmpo</v>
      </c>
      <c r="E10">
        <f>IFERROR(__xludf.DUMMYFUNCTION("""COMPUTED_VALUE"""),61.0)</f>
        <v>61</v>
      </c>
      <c r="F10" t="str">
        <f>IFERROR(__xludf.DUMMYFUNCTION("""COMPUTED_VALUE"""),"F,C")</f>
        <v>F,C</v>
      </c>
      <c r="G10" s="18">
        <f>IFERROR(__xludf.DUMMYFUNCTION("""COMPUTED_VALUE"""),6.561425853867311)</f>
        <v>6.561425854</v>
      </c>
      <c r="H10" s="18">
        <f>IFERROR(__xludf.DUMMYFUNCTION("""COMPUTED_VALUE"""),6.83742310901598)</f>
        <v>6.837423109</v>
      </c>
      <c r="I10" s="18">
        <f>IFERROR(__xludf.DUMMYFUNCTION("""COMPUTED_VALUE"""),0.2759972551486687)</f>
        <v>0.2759972551</v>
      </c>
      <c r="J10" s="18">
        <f>IFERROR(__xludf.DUMMYFUNCTION("""COMPUTED_VALUE"""),31.87295)</f>
        <v>31.87295</v>
      </c>
      <c r="K10" s="18">
        <f>IFERROR(__xludf.DUMMYFUNCTION("""COMPUTED_VALUE"""),0.322951)</f>
        <v>0.322951</v>
      </c>
      <c r="L10" s="18">
        <f>IFERROR(__xludf.DUMMYFUNCTION("""COMPUTED_VALUE"""),11.01738)</f>
        <v>11.01738</v>
      </c>
      <c r="M10" s="18">
        <f>IFERROR(__xludf.DUMMYFUNCTION("""COMPUTED_VALUE"""),8.227213)</f>
        <v>8.227213</v>
      </c>
      <c r="N10" s="18">
        <f>IFERROR(__xludf.DUMMYFUNCTION("""COMPUTED_VALUE"""),0.929508)</f>
        <v>0.929508</v>
      </c>
      <c r="O10" s="18">
        <f>IFERROR(__xludf.DUMMYFUNCTION("""COMPUTED_VALUE"""),0.93)</f>
        <v>0.93</v>
      </c>
      <c r="P10" s="25">
        <f>IFERROR(__xludf.DUMMYFUNCTION("""COMPUTED_VALUE"""),0.582004)</f>
        <v>0.582004</v>
      </c>
      <c r="Q10" s="25">
        <f>IFERROR(__xludf.DUMMYFUNCTION("""COMPUTED_VALUE"""),0.638995)</f>
        <v>0.638995</v>
      </c>
      <c r="R10" s="18">
        <f>IFERROR(__xludf.DUMMYFUNCTION("""COMPUTED_VALUE"""),2.861639)</f>
        <v>2.861639</v>
      </c>
      <c r="S10" s="18">
        <f>IFERROR(__xludf.DUMMYFUNCTION("""COMPUTED_VALUE"""),2.5787154617445047)</f>
        <v>2.578715462</v>
      </c>
      <c r="T10" s="18">
        <f>IFERROR(__xludf.DUMMYFUNCTION("""COMPUTED_VALUE"""),-1.397177225296222)</f>
        <v>-1.397177225</v>
      </c>
      <c r="U10" s="18">
        <f>IFERROR(__xludf.DUMMYFUNCTION("""COMPUTED_VALUE"""),1.9825376202128466)</f>
        <v>1.98253762</v>
      </c>
      <c r="V10" s="18">
        <f>IFERROR(__xludf.DUMMYFUNCTION("""COMPUTED_VALUE"""),2.144732356031291)</f>
        <v>2.144732356</v>
      </c>
      <c r="W10" s="18">
        <f>IFERROR(__xludf.DUMMYFUNCTION("""COMPUTED_VALUE"""),-0.3525027030701494)</f>
        <v>-0.3525027031</v>
      </c>
      <c r="X10" s="18">
        <f>IFERROR(__xludf.DUMMYFUNCTION("""COMPUTED_VALUE"""),0.363194393212251)</f>
        <v>0.3631943932</v>
      </c>
      <c r="Y10" s="18">
        <f>IFERROR(__xludf.DUMMYFUNCTION("""COMPUTED_VALUE"""),1.5179232061814574)</f>
        <v>1.517923206</v>
      </c>
      <c r="Z10" s="18">
        <f>IFERROR(__xludf.DUMMYFUNCTION("""COMPUTED_VALUE"""),-1.519645010763219)</f>
        <v>-1.519645011</v>
      </c>
      <c r="AA10" s="18">
        <f>IFERROR(__xludf.DUMMYFUNCTION("""COMPUTED_VALUE"""),0.0)</f>
        <v>0</v>
      </c>
      <c r="AB10" t="str">
        <f>IFERROR(__xludf.DUMMYFUNCTION("SUBSTITUTE(REGEXREPLACE(REGEXREPLACE(REGEXREPLACE(REGEXREPLACE(REGEXREPLACE(REGEXREPLACE(F10,"","",),IF(Projections!$T$11="""",""PG"",),),IF(Projections!$U$11="""",""SG"",),),IF(Projections!$V$11="""",""SF"",),),IF(Projections!$W$11="""",""PF"",),),IF(Pro"&amp;"jections!$X$11="""",""C"",),),""/"","""")"),"FC")</f>
        <v>FC</v>
      </c>
    </row>
    <row r="11">
      <c r="A11" t="str">
        <f>IF(Projections!$AB$11,Draft!D9,"")</f>
        <v/>
      </c>
      <c r="B11">
        <f>IFERROR(__xludf.DUMMYFUNCTION("""COMPUTED_VALUE"""),6.0)</f>
        <v>6</v>
      </c>
      <c r="D11" t="str">
        <f>IFERROR(__xludf.DUMMYFUNCTION("""COMPUTED_VALUE"""),"Trae Young")</f>
        <v>Trae Young</v>
      </c>
      <c r="E11">
        <f>IFERROR(__xludf.DUMMYFUNCTION("""COMPUTED_VALUE"""),77.0)</f>
        <v>77</v>
      </c>
      <c r="F11" t="str">
        <f>IFERROR(__xludf.DUMMYFUNCTION("""COMPUTED_VALUE"""),"G")</f>
        <v>G</v>
      </c>
      <c r="G11" s="18">
        <f>IFERROR(__xludf.DUMMYFUNCTION("""COMPUTED_VALUE"""),5.693887490632928)</f>
        <v>5.693887491</v>
      </c>
      <c r="H11" s="18">
        <f>IFERROR(__xludf.DUMMYFUNCTION("""COMPUTED_VALUE"""),6.324092755769335)</f>
        <v>6.324092756</v>
      </c>
      <c r="I11" s="18">
        <f>IFERROR(__xludf.DUMMYFUNCTION("""COMPUTED_VALUE"""),0.6302052651364072)</f>
        <v>0.6302052651</v>
      </c>
      <c r="J11" s="18">
        <f>IFERROR(__xludf.DUMMYFUNCTION("""COMPUTED_VALUE"""),25.69468)</f>
        <v>25.69468</v>
      </c>
      <c r="K11" s="18">
        <f>IFERROR(__xludf.DUMMYFUNCTION("""COMPUTED_VALUE"""),3.18987)</f>
        <v>3.18987</v>
      </c>
      <c r="L11" s="18">
        <f>IFERROR(__xludf.DUMMYFUNCTION("""COMPUTED_VALUE"""),2.885974)</f>
        <v>2.885974</v>
      </c>
      <c r="M11" s="18">
        <f>IFERROR(__xludf.DUMMYFUNCTION("""COMPUTED_VALUE"""),11.73519)</f>
        <v>11.73519</v>
      </c>
      <c r="N11" s="18">
        <f>IFERROR(__xludf.DUMMYFUNCTION("""COMPUTED_VALUE"""),1.171558)</f>
        <v>1.171558</v>
      </c>
      <c r="O11" s="18">
        <f>IFERROR(__xludf.DUMMYFUNCTION("""COMPUTED_VALUE"""),0.077922)</f>
        <v>0.077922</v>
      </c>
      <c r="P11" s="25">
        <f>IFERROR(__xludf.DUMMYFUNCTION("""COMPUTED_VALUE"""),0.419483)</f>
        <v>0.419483</v>
      </c>
      <c r="Q11" s="25">
        <f>IFERROR(__xludf.DUMMYFUNCTION("""COMPUTED_VALUE"""),0.883994)</f>
        <v>0.883994</v>
      </c>
      <c r="R11" s="18">
        <f>IFERROR(__xludf.DUMMYFUNCTION("""COMPUTED_VALUE"""),4.29)</f>
        <v>4.29</v>
      </c>
      <c r="S11" s="18">
        <f>IFERROR(__xludf.DUMMYFUNCTION("""COMPUTED_VALUE"""),1.494783635658165)</f>
        <v>1.494783636</v>
      </c>
      <c r="T11" s="18">
        <f>IFERROR(__xludf.DUMMYFUNCTION("""COMPUTED_VALUE"""),1.371789014081673)</f>
        <v>1.371789014</v>
      </c>
      <c r="U11" s="18">
        <f>IFERROR(__xludf.DUMMYFUNCTION("""COMPUTED_VALUE"""),-1.3135571258500867)</f>
        <v>-1.313557126</v>
      </c>
      <c r="V11" s="18">
        <f>IFERROR(__xludf.DUMMYFUNCTION("""COMPUTED_VALUE"""),3.8584299759654193)</f>
        <v>3.858429976</v>
      </c>
      <c r="W11" s="18">
        <f>IFERROR(__xludf.DUMMYFUNCTION("""COMPUTED_VALUE"""),0.38507932768750724)</f>
        <v>0.3850793277</v>
      </c>
      <c r="X11" s="18">
        <f>IFERROR(__xludf.DUMMYFUNCTION("""COMPUTED_VALUE"""),-1.1858767858564676)</f>
        <v>-1.185876786</v>
      </c>
      <c r="Y11" s="18">
        <f>IFERROR(__xludf.DUMMYFUNCTION("""COMPUTED_VALUE"""),-0.9539049358971645)</f>
        <v>-0.9539049359</v>
      </c>
      <c r="Z11" s="18">
        <f>IFERROR(__xludf.DUMMYFUNCTION("""COMPUTED_VALUE"""),1.3537925241302025)</f>
        <v>1.353792524</v>
      </c>
      <c r="AA11" s="18">
        <f>IFERROR(__xludf.DUMMYFUNCTION("""COMPUTED_VALUE"""),0.0)</f>
        <v>0</v>
      </c>
      <c r="AB11" t="str">
        <f>IFERROR(__xludf.DUMMYFUNCTION("SUBSTITUTE(REGEXREPLACE(REGEXREPLACE(REGEXREPLACE(REGEXREPLACE(REGEXREPLACE(REGEXREPLACE(F11,"","",),IF(Projections!$T$11="""",""PG"",),),IF(Projections!$U$11="""",""SG"",),),IF(Projections!$V$11="""",""SF"",),),IF(Projections!$W$11="""",""PF"",),),IF(Pro"&amp;"jections!$X$11="""",""C"",),),""/"","""")"),"G")</f>
        <v>G</v>
      </c>
    </row>
    <row r="12">
      <c r="A12" t="str">
        <f>IF(Projections!$AB$11,Draft!D10,"")</f>
        <v/>
      </c>
      <c r="B12">
        <f>IFERROR(__xludf.DUMMYFUNCTION("""COMPUTED_VALUE"""),7.0)</f>
        <v>7</v>
      </c>
      <c r="D12" t="str">
        <f>IFERROR(__xludf.DUMMYFUNCTION("""COMPUTED_VALUE"""),"Stephen Curry")</f>
        <v>Stephen Curry</v>
      </c>
      <c r="E12">
        <f>IFERROR(__xludf.DUMMYFUNCTION("""COMPUTED_VALUE"""),68.0)</f>
        <v>68</v>
      </c>
      <c r="F12" t="str">
        <f>IFERROR(__xludf.DUMMYFUNCTION("""COMPUTED_VALUE"""),"G")</f>
        <v>G</v>
      </c>
      <c r="G12" s="18">
        <f>IFERROR(__xludf.DUMMYFUNCTION("""COMPUTED_VALUE"""),5.645798593164934)</f>
        <v>5.645798593</v>
      </c>
      <c r="H12" s="18">
        <f>IFERROR(__xludf.DUMMYFUNCTION("""COMPUTED_VALUE"""),5.903191980581784)</f>
        <v>5.903191981</v>
      </c>
      <c r="I12" s="18">
        <f>IFERROR(__xludf.DUMMYFUNCTION("""COMPUTED_VALUE"""),0.25739338741685014)</f>
        <v>0.2573933874</v>
      </c>
      <c r="J12" s="18">
        <f>IFERROR(__xludf.DUMMYFUNCTION("""COMPUTED_VALUE"""),25.34912)</f>
        <v>25.34912</v>
      </c>
      <c r="K12" s="18">
        <f>IFERROR(__xludf.DUMMYFUNCTION("""COMPUTED_VALUE"""),4.625882)</f>
        <v>4.625882</v>
      </c>
      <c r="L12" s="18">
        <f>IFERROR(__xludf.DUMMYFUNCTION("""COMPUTED_VALUE"""),4.492059)</f>
        <v>4.492059</v>
      </c>
      <c r="M12" s="18">
        <f>IFERROR(__xludf.DUMMYFUNCTION("""COMPUTED_VALUE"""),5.887794)</f>
        <v>5.887794</v>
      </c>
      <c r="N12" s="18">
        <f>IFERROR(__xludf.DUMMYFUNCTION("""COMPUTED_VALUE"""),1.020882)</f>
        <v>1.020882</v>
      </c>
      <c r="O12" s="18">
        <f>IFERROR(__xludf.DUMMYFUNCTION("""COMPUTED_VALUE"""),0.407647)</f>
        <v>0.407647</v>
      </c>
      <c r="P12" s="25">
        <f>IFERROR(__xludf.DUMMYFUNCTION("""COMPUTED_VALUE"""),0.453424)</f>
        <v>0.453424</v>
      </c>
      <c r="Q12" s="25">
        <f>IFERROR(__xludf.DUMMYFUNCTION("""COMPUTED_VALUE"""),0.920009)</f>
        <v>0.920009</v>
      </c>
      <c r="R12" s="18">
        <f>IFERROR(__xludf.DUMMYFUNCTION("""COMPUTED_VALUE"""),2.786618)</f>
        <v>2.786618</v>
      </c>
      <c r="S12" s="18">
        <f>IFERROR(__xludf.DUMMYFUNCTION("""COMPUTED_VALUE"""),1.4341576866752945)</f>
        <v>1.434157687</v>
      </c>
      <c r="T12" s="18">
        <f>IFERROR(__xludf.DUMMYFUNCTION("""COMPUTED_VALUE"""),2.758737423625692)</f>
        <v>2.758737424</v>
      </c>
      <c r="U12" s="18">
        <f>IFERROR(__xludf.DUMMYFUNCTION("""COMPUTED_VALUE"""),-0.662524779140245)</f>
        <v>-0.6625247791</v>
      </c>
      <c r="V12" s="18">
        <f>IFERROR(__xludf.DUMMYFUNCTION("""COMPUTED_VALUE"""),1.0018922597796107)</f>
        <v>1.00189226</v>
      </c>
      <c r="W12" s="18">
        <f>IFERROR(__xludf.DUMMYFUNCTION("""COMPUTED_VALUE"""),-0.07406510555537915)</f>
        <v>-0.07406510556</v>
      </c>
      <c r="X12" s="18">
        <f>IFERROR(__xludf.DUMMYFUNCTION("""COMPUTED_VALUE"""),-0.5864392994779517)</f>
        <v>-0.5864392995</v>
      </c>
      <c r="Y12" s="18">
        <f>IFERROR(__xludf.DUMMYFUNCTION("""COMPUTED_VALUE"""),-0.5687843301986628)</f>
        <v>-0.5687843302</v>
      </c>
      <c r="Z12" s="18">
        <f>IFERROR(__xludf.DUMMYFUNCTION("""COMPUTED_VALUE"""),1.9376933457331804)</f>
        <v>1.937693346</v>
      </c>
      <c r="AA12" s="18">
        <f>IFERROR(__xludf.DUMMYFUNCTION("""COMPUTED_VALUE"""),0.0)</f>
        <v>0</v>
      </c>
      <c r="AB12" t="str">
        <f>IFERROR(__xludf.DUMMYFUNCTION("SUBSTITUTE(REGEXREPLACE(REGEXREPLACE(REGEXREPLACE(REGEXREPLACE(REGEXREPLACE(REGEXREPLACE(F12,"","",),IF(Projections!$T$11="""",""PG"",),),IF(Projections!$U$11="""",""SG"",),),IF(Projections!$V$11="""",""SF"",),),IF(Projections!$W$11="""",""PF"",),),IF(Pro"&amp;"jections!$X$11="""",""C"",),),""/"","""")"),"G")</f>
        <v>G</v>
      </c>
    </row>
    <row r="13">
      <c r="A13" t="str">
        <f>IF(Projections!$AB$11,Draft!D11,"")</f>
        <v/>
      </c>
      <c r="B13">
        <f>IFERROR(__xludf.DUMMYFUNCTION("""COMPUTED_VALUE"""),8.0)</f>
        <v>8</v>
      </c>
      <c r="D13" t="str">
        <f>IFERROR(__xludf.DUMMYFUNCTION("""COMPUTED_VALUE"""),"James Harden")</f>
        <v>James Harden</v>
      </c>
      <c r="E13">
        <f>IFERROR(__xludf.DUMMYFUNCTION("""COMPUTED_VALUE"""),73.0)</f>
        <v>73</v>
      </c>
      <c r="F13" t="str">
        <f>IFERROR(__xludf.DUMMYFUNCTION("""COMPUTED_VALUE"""),"G")</f>
        <v>G</v>
      </c>
      <c r="G13" s="18">
        <f>IFERROR(__xludf.DUMMYFUNCTION("""COMPUTED_VALUE"""),5.187333301395962)</f>
        <v>5.187333301</v>
      </c>
      <c r="H13" s="18">
        <f>IFERROR(__xludf.DUMMYFUNCTION("""COMPUTED_VALUE"""),5.630668653098455)</f>
        <v>5.630668653</v>
      </c>
      <c r="I13" s="18">
        <f>IFERROR(__xludf.DUMMYFUNCTION("""COMPUTED_VALUE"""),0.44333535170249316)</f>
        <v>0.4433353517</v>
      </c>
      <c r="J13" s="18">
        <f>IFERROR(__xludf.DUMMYFUNCTION("""COMPUTED_VALUE"""),23.15562)</f>
        <v>23.15562</v>
      </c>
      <c r="K13" s="18">
        <f>IFERROR(__xludf.DUMMYFUNCTION("""COMPUTED_VALUE"""),3.018356)</f>
        <v>3.018356</v>
      </c>
      <c r="L13" s="18">
        <f>IFERROR(__xludf.DUMMYFUNCTION("""COMPUTED_VALUE"""),5.304658)</f>
        <v>5.304658</v>
      </c>
      <c r="M13" s="18">
        <f>IFERROR(__xludf.DUMMYFUNCTION("""COMPUTED_VALUE"""),8.091781)</f>
        <v>8.091781</v>
      </c>
      <c r="N13" s="18">
        <f>IFERROR(__xludf.DUMMYFUNCTION("""COMPUTED_VALUE"""),1.202329)</f>
        <v>1.202329</v>
      </c>
      <c r="O13" s="18">
        <f>IFERROR(__xludf.DUMMYFUNCTION("""COMPUTED_VALUE"""),0.712192)</f>
        <v>0.712192</v>
      </c>
      <c r="P13" s="25">
        <f>IFERROR(__xludf.DUMMYFUNCTION("""COMPUTED_VALUE"""),0.443798)</f>
        <v>0.443798</v>
      </c>
      <c r="Q13" s="25">
        <f>IFERROR(__xludf.DUMMYFUNCTION("""COMPUTED_VALUE"""),0.872994)</f>
        <v>0.872994</v>
      </c>
      <c r="R13" s="18">
        <f>IFERROR(__xludf.DUMMYFUNCTION("""COMPUTED_VALUE"""),3.536438)</f>
        <v>3.536438</v>
      </c>
      <c r="S13" s="18">
        <f>IFERROR(__xludf.DUMMYFUNCTION("""COMPUTED_VALUE"""),1.0493243173792963)</f>
        <v>1.049324317</v>
      </c>
      <c r="T13" s="18">
        <f>IFERROR(__xludf.DUMMYFUNCTION("""COMPUTED_VALUE"""),1.206135057489017)</f>
        <v>1.206135057</v>
      </c>
      <c r="U13" s="18">
        <f>IFERROR(__xludf.DUMMYFUNCTION("""COMPUTED_VALUE"""),-0.3331348440471021)</f>
        <v>-0.333134844</v>
      </c>
      <c r="V13" s="18">
        <f>IFERROR(__xludf.DUMMYFUNCTION("""COMPUTED_VALUE"""),2.07857186066233)</f>
        <v>2.078571861</v>
      </c>
      <c r="W13" s="18">
        <f>IFERROR(__xludf.DUMMYFUNCTION("""COMPUTED_VALUE"""),0.47884564319440154)</f>
        <v>0.4788456432</v>
      </c>
      <c r="X13" s="18">
        <f>IFERROR(__xludf.DUMMYFUNCTION("""COMPUTED_VALUE"""),-0.032778857324201646)</f>
        <v>-0.03277885732</v>
      </c>
      <c r="Y13" s="18">
        <f>IFERROR(__xludf.DUMMYFUNCTION("""COMPUTED_VALUE"""),-0.6850393076828555)</f>
        <v>-0.6850393077</v>
      </c>
      <c r="Z13" s="18">
        <f>IFERROR(__xludf.DUMMYFUNCTION("""COMPUTED_VALUE"""),1.1837054757447134)</f>
        <v>1.183705476</v>
      </c>
      <c r="AA13" s="18">
        <f>IFERROR(__xludf.DUMMYFUNCTION("""COMPUTED_VALUE"""),0.0)</f>
        <v>0</v>
      </c>
      <c r="AB13" t="str">
        <f>IFERROR(__xludf.DUMMYFUNCTION("SUBSTITUTE(REGEXREPLACE(REGEXREPLACE(REGEXREPLACE(REGEXREPLACE(REGEXREPLACE(REGEXREPLACE(F13,"","",),IF(Projections!$T$11="""",""PG"",),),IF(Projections!$U$11="""",""SG"",),),IF(Projections!$V$11="""",""SF"",),),IF(Projections!$W$11="""",""PF"",),),IF(Pro"&amp;"jections!$X$11="""",""C"",),),""/"","""")"),"G")</f>
        <v>G</v>
      </c>
    </row>
    <row r="14">
      <c r="A14" t="str">
        <f>IF(Projections!$AB$11,Draft!D12,"")</f>
        <v/>
      </c>
      <c r="B14">
        <f>IFERROR(__xludf.DUMMYFUNCTION("""COMPUTED_VALUE"""),9.0)</f>
        <v>9</v>
      </c>
      <c r="D14" t="str">
        <f>IFERROR(__xludf.DUMMYFUNCTION("""COMPUTED_VALUE"""),"Anthony Davis")</f>
        <v>Anthony Davis</v>
      </c>
      <c r="E14">
        <f>IFERROR(__xludf.DUMMYFUNCTION("""COMPUTED_VALUE"""),62.0)</f>
        <v>62</v>
      </c>
      <c r="F14" t="str">
        <f>IFERROR(__xludf.DUMMYFUNCTION("""COMPUTED_VALUE"""),"F,C")</f>
        <v>F,C</v>
      </c>
      <c r="G14" s="18">
        <f>IFERROR(__xludf.DUMMYFUNCTION("""COMPUTED_VALUE"""),5.142238350012554)</f>
        <v>5.14223835</v>
      </c>
      <c r="H14" s="18">
        <f>IFERROR(__xludf.DUMMYFUNCTION("""COMPUTED_VALUE"""),5.400510338132858)</f>
        <v>5.400510338</v>
      </c>
      <c r="I14" s="18">
        <f>IFERROR(__xludf.DUMMYFUNCTION("""COMPUTED_VALUE"""),0.2582719881203044)</f>
        <v>0.2582719881</v>
      </c>
      <c r="J14" s="18">
        <f>IFERROR(__xludf.DUMMYFUNCTION("""COMPUTED_VALUE"""),22.60968)</f>
        <v>22.60968</v>
      </c>
      <c r="K14" s="18">
        <f>IFERROR(__xludf.DUMMYFUNCTION("""COMPUTED_VALUE"""),0.879677)</f>
        <v>0.879677</v>
      </c>
      <c r="L14" s="18">
        <f>IFERROR(__xludf.DUMMYFUNCTION("""COMPUTED_VALUE"""),10.01581)</f>
        <v>10.01581</v>
      </c>
      <c r="M14" s="18">
        <f>IFERROR(__xludf.DUMMYFUNCTION("""COMPUTED_VALUE"""),4.149355)</f>
        <v>4.149355</v>
      </c>
      <c r="N14" s="18">
        <f>IFERROR(__xludf.DUMMYFUNCTION("""COMPUTED_VALUE"""),1.227258)</f>
        <v>1.227258</v>
      </c>
      <c r="O14" s="18">
        <f>IFERROR(__xludf.DUMMYFUNCTION("""COMPUTED_VALUE"""),2.074677)</f>
        <v>2.074677</v>
      </c>
      <c r="P14" s="25">
        <f>IFERROR(__xludf.DUMMYFUNCTION("""COMPUTED_VALUE"""),0.494364)</f>
        <v>0.494364</v>
      </c>
      <c r="Q14" s="25">
        <f>IFERROR(__xludf.DUMMYFUNCTION("""COMPUTED_VALUE"""),0.766012)</f>
        <v>0.766012</v>
      </c>
      <c r="R14" s="18">
        <f>IFERROR(__xludf.DUMMYFUNCTION("""COMPUTED_VALUE"""),2.790161)</f>
        <v>2.790161</v>
      </c>
      <c r="S14" s="18">
        <f>IFERROR(__xludf.DUMMYFUNCTION("""COMPUTED_VALUE"""),0.9535431778153772)</f>
        <v>0.9535431778</v>
      </c>
      <c r="T14" s="18">
        <f>IFERROR(__xludf.DUMMYFUNCTION("""COMPUTED_VALUE"""),-0.8594726376940267)</f>
        <v>-0.8594726377</v>
      </c>
      <c r="U14" s="18">
        <f>IFERROR(__xludf.DUMMYFUNCTION("""COMPUTED_VALUE"""),1.576547608791175)</f>
        <v>1.576547609</v>
      </c>
      <c r="V14" s="18">
        <f>IFERROR(__xludf.DUMMYFUNCTION("""COMPUTED_VALUE"""),0.15263960598493978)</f>
        <v>0.152639606</v>
      </c>
      <c r="W14" s="18">
        <f>IFERROR(__xludf.DUMMYFUNCTION("""COMPUTED_VALUE"""),0.5548100408178579)</f>
        <v>0.5548100408</v>
      </c>
      <c r="X14" s="18">
        <f>IFERROR(__xludf.DUMMYFUNCTION("""COMPUTED_VALUE"""),2.4442082793152173)</f>
        <v>2.444208279</v>
      </c>
      <c r="Y14" s="18">
        <f>IFERROR(__xludf.DUMMYFUNCTION("""COMPUTED_VALUE"""),-0.012156836884575905)</f>
        <v>-0.01215683688</v>
      </c>
      <c r="Z14" s="18">
        <f>IFERROR(__xludf.DUMMYFUNCTION("""COMPUTED_VALUE"""),-0.2690815377071333)</f>
        <v>-0.2690815377</v>
      </c>
      <c r="AA14" s="18">
        <f>IFERROR(__xludf.DUMMYFUNCTION("""COMPUTED_VALUE"""),0.0)</f>
        <v>0</v>
      </c>
      <c r="AB14" t="str">
        <f>IFERROR(__xludf.DUMMYFUNCTION("SUBSTITUTE(REGEXREPLACE(REGEXREPLACE(REGEXREPLACE(REGEXREPLACE(REGEXREPLACE(REGEXREPLACE(F14,"","",),IF(Projections!$T$11="""",""PG"",),),IF(Projections!$U$11="""",""SG"",),),IF(Projections!$V$11="""",""SF"",),),IF(Projections!$W$11="""",""PF"",),),IF(Pro"&amp;"jections!$X$11="""",""C"",),),""/"","""")"),"FC")</f>
        <v>FC</v>
      </c>
    </row>
    <row r="15">
      <c r="A15" t="str">
        <f>IF(Projections!$AB$11,Draft!D13,"")</f>
        <v/>
      </c>
      <c r="B15">
        <f>IFERROR(__xludf.DUMMYFUNCTION("""COMPUTED_VALUE"""),10.0)</f>
        <v>10</v>
      </c>
      <c r="D15" t="str">
        <f>IFERROR(__xludf.DUMMYFUNCTION("""COMPUTED_VALUE"""),"LaMelo Ball")</f>
        <v>LaMelo Ball</v>
      </c>
      <c r="E15">
        <f>IFERROR(__xludf.DUMMYFUNCTION("""COMPUTED_VALUE"""),59.0)</f>
        <v>59</v>
      </c>
      <c r="F15" t="str">
        <f>IFERROR(__xludf.DUMMYFUNCTION("""COMPUTED_VALUE"""),"G")</f>
        <v>G</v>
      </c>
      <c r="G15" s="18">
        <f>IFERROR(__xludf.DUMMYFUNCTION("""COMPUTED_VALUE"""),4.884388546694007)</f>
        <v>4.884388547</v>
      </c>
      <c r="H15" s="18">
        <f>IFERROR(__xludf.DUMMYFUNCTION("""COMPUTED_VALUE"""),5.331128941088887)</f>
        <v>5.331128941</v>
      </c>
      <c r="I15" s="18">
        <f>IFERROR(__xludf.DUMMYFUNCTION("""COMPUTED_VALUE"""),0.44674039439488045)</f>
        <v>0.4467403944</v>
      </c>
      <c r="J15" s="18">
        <f>IFERROR(__xludf.DUMMYFUNCTION("""COMPUTED_VALUE"""),23.88695)</f>
        <v>23.88695</v>
      </c>
      <c r="K15" s="18">
        <f>IFERROR(__xludf.DUMMYFUNCTION("""COMPUTED_VALUE"""),3.725254)</f>
        <v>3.725254</v>
      </c>
      <c r="L15" s="18">
        <f>IFERROR(__xludf.DUMMYFUNCTION("""COMPUTED_VALUE"""),4.95)</f>
        <v>4.95</v>
      </c>
      <c r="M15" s="18">
        <f>IFERROR(__xludf.DUMMYFUNCTION("""COMPUTED_VALUE"""),8.13678)</f>
        <v>8.13678</v>
      </c>
      <c r="N15" s="18">
        <f>IFERROR(__xludf.DUMMYFUNCTION("""COMPUTED_VALUE"""),1.252542)</f>
        <v>1.252542</v>
      </c>
      <c r="O15" s="18">
        <f>IFERROR(__xludf.DUMMYFUNCTION("""COMPUTED_VALUE"""),0.272712)</f>
        <v>0.272712</v>
      </c>
      <c r="P15" s="25">
        <f>IFERROR(__xludf.DUMMYFUNCTION("""COMPUTED_VALUE"""),0.416645)</f>
        <v>0.416645</v>
      </c>
      <c r="Q15" s="25">
        <f>IFERROR(__xludf.DUMMYFUNCTION("""COMPUTED_VALUE"""),0.850015)</f>
        <v>0.850015</v>
      </c>
      <c r="R15" s="18">
        <f>IFERROR(__xludf.DUMMYFUNCTION("""COMPUTED_VALUE"""),3.550169)</f>
        <v>3.550169</v>
      </c>
      <c r="S15" s="18">
        <f>IFERROR(__xludf.DUMMYFUNCTION("""COMPUTED_VALUE"""),1.1776307627712463)</f>
        <v>1.177630763</v>
      </c>
      <c r="T15" s="18">
        <f>IFERROR(__xludf.DUMMYFUNCTION("""COMPUTED_VALUE"""),1.8888807844118063)</f>
        <v>1.888880784</v>
      </c>
      <c r="U15" s="18">
        <f>IFERROR(__xludf.DUMMYFUNCTION("""COMPUTED_VALUE"""),-0.47689674333600574)</f>
        <v>-0.4768967433</v>
      </c>
      <c r="V15" s="18">
        <f>IFERROR(__xludf.DUMMYFUNCTION("""COMPUTED_VALUE"""),2.100554524516573)</f>
        <v>2.100554525</v>
      </c>
      <c r="W15" s="18">
        <f>IFERROR(__xludf.DUMMYFUNCTION("""COMPUTED_VALUE"""),0.6318562051048922)</f>
        <v>0.6318562051</v>
      </c>
      <c r="X15" s="18">
        <f>IFERROR(__xludf.DUMMYFUNCTION("""COMPUTED_VALUE"""),-0.8317500803543943)</f>
        <v>-0.8317500804</v>
      </c>
      <c r="Y15" s="18">
        <f>IFERROR(__xludf.DUMMYFUNCTION("""COMPUTED_VALUE"""),-0.9829715408115209)</f>
        <v>-0.9829715408</v>
      </c>
      <c r="Z15" s="18">
        <f>IFERROR(__xludf.DUMMYFUNCTION("""COMPUTED_VALUE"""),0.8408534879747702)</f>
        <v>0.840853488</v>
      </c>
      <c r="AA15" s="18">
        <f>IFERROR(__xludf.DUMMYFUNCTION("""COMPUTED_VALUE"""),0.0)</f>
        <v>0</v>
      </c>
      <c r="AB15" t="str">
        <f>IFERROR(__xludf.DUMMYFUNCTION("SUBSTITUTE(REGEXREPLACE(REGEXREPLACE(REGEXREPLACE(REGEXREPLACE(REGEXREPLACE(REGEXREPLACE(F15,"","",),IF(Projections!$T$11="""",""PG"",),),IF(Projections!$U$11="""",""SG"",),),IF(Projections!$V$11="""",""SF"",),),IF(Projections!$W$11="""",""PF"",),),IF(Pro"&amp;"jections!$X$11="""",""C"",),),""/"","""")"),"G")</f>
        <v>G</v>
      </c>
    </row>
    <row r="16">
      <c r="A16" t="str">
        <f>IF(Projections!$AB$11,Draft!D14,"")</f>
        <v/>
      </c>
      <c r="B16">
        <f>IFERROR(__xludf.DUMMYFUNCTION("""COMPUTED_VALUE"""),11.0)</f>
        <v>11</v>
      </c>
      <c r="D16" t="str">
        <f>IFERROR(__xludf.DUMMYFUNCTION("""COMPUTED_VALUE"""),"Walker Kessler")</f>
        <v>Walker Kessler</v>
      </c>
      <c r="E16">
        <f>IFERROR(__xludf.DUMMYFUNCTION("""COMPUTED_VALUE"""),63.0)</f>
        <v>63</v>
      </c>
      <c r="F16" t="str">
        <f>IFERROR(__xludf.DUMMYFUNCTION("""COMPUTED_VALUE"""),"C")</f>
        <v>C</v>
      </c>
      <c r="G16" s="18">
        <f>IFERROR(__xludf.DUMMYFUNCTION("""COMPUTED_VALUE"""),4.731795949516306)</f>
        <v>4.73179595</v>
      </c>
      <c r="H16" s="18">
        <f>IFERROR(__xludf.DUMMYFUNCTION("""COMPUTED_VALUE"""),4.692685529793366)</f>
        <v>4.69268553</v>
      </c>
      <c r="I16" s="18">
        <f>IFERROR(__xludf.DUMMYFUNCTION("""COMPUTED_VALUE"""),-0.039110419722940826)</f>
        <v>-0.03911041972</v>
      </c>
      <c r="J16" s="18">
        <f>IFERROR(__xludf.DUMMYFUNCTION("""COMPUTED_VALUE"""),13.72825)</f>
        <v>13.72825</v>
      </c>
      <c r="K16" s="18">
        <f>IFERROR(__xludf.DUMMYFUNCTION("""COMPUTED_VALUE"""),0.132698)</f>
        <v>0.132698</v>
      </c>
      <c r="L16" s="18">
        <f>IFERROR(__xludf.DUMMYFUNCTION("""COMPUTED_VALUE"""),11.97381)</f>
        <v>11.97381</v>
      </c>
      <c r="M16" s="18">
        <f>IFERROR(__xludf.DUMMYFUNCTION("""COMPUTED_VALUE"""),1.995556)</f>
        <v>1.995556</v>
      </c>
      <c r="N16" s="18">
        <f>IFERROR(__xludf.DUMMYFUNCTION("""COMPUTED_VALUE"""),0.669365)</f>
        <v>0.669365</v>
      </c>
      <c r="O16" s="18">
        <f>IFERROR(__xludf.DUMMYFUNCTION("""COMPUTED_VALUE"""),2.252381)</f>
        <v>2.252381</v>
      </c>
      <c r="P16" s="25">
        <f>IFERROR(__xludf.DUMMYFUNCTION("""COMPUTED_VALUE"""),0.680393)</f>
        <v>0.680393</v>
      </c>
      <c r="Q16" s="25">
        <f>IFERROR(__xludf.DUMMYFUNCTION("""COMPUTED_VALUE"""),0.528016)</f>
        <v>0.528016</v>
      </c>
      <c r="R16" s="18">
        <f>IFERROR(__xludf.DUMMYFUNCTION("""COMPUTED_VALUE"""),1.590952)</f>
        <v>1.590952</v>
      </c>
      <c r="S16" s="18">
        <f>IFERROR(__xludf.DUMMYFUNCTION("""COMPUTED_VALUE"""),-0.6046380991696051)</f>
        <v>-0.6046380992</v>
      </c>
      <c r="T16" s="18">
        <f>IFERROR(__xludf.DUMMYFUNCTION("""COMPUTED_VALUE"""),-1.5809299347171588)</f>
        <v>-1.580929935</v>
      </c>
      <c r="U16" s="18">
        <f>IFERROR(__xludf.DUMMYFUNCTION("""COMPUTED_VALUE"""),2.3702299698479496)</f>
        <v>2.37022997</v>
      </c>
      <c r="V16" s="18">
        <f>IFERROR(__xludf.DUMMYFUNCTION("""COMPUTED_VALUE"""),-0.8995224293181727)</f>
        <v>-0.8995224293</v>
      </c>
      <c r="W16" s="18">
        <f>IFERROR(__xludf.DUMMYFUNCTION("""COMPUTED_VALUE"""),-1.1452182669098065)</f>
        <v>-1.145218267</v>
      </c>
      <c r="X16" s="18">
        <f>IFERROR(__xludf.DUMMYFUNCTION("""COMPUTED_VALUE"""),2.767272769661439)</f>
        <v>2.76727277</v>
      </c>
      <c r="Y16" s="18">
        <f>IFERROR(__xludf.DUMMYFUNCTION("""COMPUTED_VALUE"""),3.78549152039872)</f>
        <v>3.78549152</v>
      </c>
      <c r="Z16" s="18">
        <f>IFERROR(__xludf.DUMMYFUNCTION("""COMPUTED_VALUE"""),-2.190819465438121)</f>
        <v>-2.190819465</v>
      </c>
      <c r="AA16" s="18">
        <f>IFERROR(__xludf.DUMMYFUNCTION("""COMPUTED_VALUE"""),0.0)</f>
        <v>0</v>
      </c>
      <c r="AB16" t="str">
        <f>IFERROR(__xludf.DUMMYFUNCTION("SUBSTITUTE(REGEXREPLACE(REGEXREPLACE(REGEXREPLACE(REGEXREPLACE(REGEXREPLACE(REGEXREPLACE(F16,"","",),IF(Projections!$T$11="""",""PG"",),),IF(Projections!$U$11="""",""SG"",),),IF(Projections!$V$11="""",""SF"",),),IF(Projections!$W$11="""",""PF"",),),IF(Pro"&amp;"jections!$X$11="""",""C"",),),""/"","""")"),"C")</f>
        <v>C</v>
      </c>
    </row>
    <row r="17">
      <c r="A17" t="str">
        <f>IF(Projections!$AB$11,Draft!E3,"")</f>
        <v/>
      </c>
      <c r="B17">
        <f>IFERROR(__xludf.DUMMYFUNCTION("""COMPUTED_VALUE"""),12.0)</f>
        <v>12</v>
      </c>
      <c r="D17" t="str">
        <f>IFERROR(__xludf.DUMMYFUNCTION("""COMPUTED_VALUE"""),"Tyrese Maxey")</f>
        <v>Tyrese Maxey</v>
      </c>
      <c r="E17">
        <f>IFERROR(__xludf.DUMMYFUNCTION("""COMPUTED_VALUE"""),73.0)</f>
        <v>73</v>
      </c>
      <c r="F17" t="str">
        <f>IFERROR(__xludf.DUMMYFUNCTION("""COMPUTED_VALUE"""),"G")</f>
        <v>G</v>
      </c>
      <c r="G17" s="18">
        <f>IFERROR(__xludf.DUMMYFUNCTION("""COMPUTED_VALUE"""),4.698406980725171)</f>
        <v>4.698406981</v>
      </c>
      <c r="H17" s="18">
        <f>IFERROR(__xludf.DUMMYFUNCTION("""COMPUTED_VALUE"""),4.8089708900971075)</f>
        <v>4.80897089</v>
      </c>
      <c r="I17" s="18">
        <f>IFERROR(__xludf.DUMMYFUNCTION("""COMPUTED_VALUE"""),0.11056390937193683)</f>
        <v>0.1105639094</v>
      </c>
      <c r="J17" s="18">
        <f>IFERROR(__xludf.DUMMYFUNCTION("""COMPUTED_VALUE"""),25.30397)</f>
        <v>25.30397</v>
      </c>
      <c r="K17" s="18">
        <f>IFERROR(__xludf.DUMMYFUNCTION("""COMPUTED_VALUE"""),3.17)</f>
        <v>3.17</v>
      </c>
      <c r="L17" s="18">
        <f>IFERROR(__xludf.DUMMYFUNCTION("""COMPUTED_VALUE"""),3.291781)</f>
        <v>3.291781</v>
      </c>
      <c r="M17" s="18">
        <f>IFERROR(__xludf.DUMMYFUNCTION("""COMPUTED_VALUE"""),6.363562)</f>
        <v>6.363562</v>
      </c>
      <c r="N17" s="18">
        <f>IFERROR(__xludf.DUMMYFUNCTION("""COMPUTED_VALUE"""),1.332329)</f>
        <v>1.332329</v>
      </c>
      <c r="O17" s="18">
        <f>IFERROR(__xludf.DUMMYFUNCTION("""COMPUTED_VALUE"""),0.393151)</f>
        <v>0.393151</v>
      </c>
      <c r="P17" s="25">
        <f>IFERROR(__xludf.DUMMYFUNCTION("""COMPUTED_VALUE"""),0.449281)</f>
        <v>0.449281</v>
      </c>
      <c r="Q17" s="25">
        <f>IFERROR(__xludf.DUMMYFUNCTION("""COMPUTED_VALUE"""),0.87099)</f>
        <v>0.87099</v>
      </c>
      <c r="R17" s="18">
        <f>IFERROR(__xludf.DUMMYFUNCTION("""COMPUTED_VALUE"""),2.194521)</f>
        <v>2.194521</v>
      </c>
      <c r="S17" s="18">
        <f>IFERROR(__xludf.DUMMYFUNCTION("""COMPUTED_VALUE"""),1.4262364527460882)</f>
        <v>1.426236453</v>
      </c>
      <c r="T17" s="18">
        <f>IFERROR(__xludf.DUMMYFUNCTION("""COMPUTED_VALUE"""),1.3525979036329863)</f>
        <v>1.352597904</v>
      </c>
      <c r="U17" s="18">
        <f>IFERROR(__xludf.DUMMYFUNCTION("""COMPUTED_VALUE"""),-1.1490617949545983)</f>
        <v>-1.149061795</v>
      </c>
      <c r="V17" s="18">
        <f>IFERROR(__xludf.DUMMYFUNCTION("""COMPUTED_VALUE"""),1.234311825027849)</f>
        <v>1.234311825</v>
      </c>
      <c r="W17" s="18">
        <f>IFERROR(__xludf.DUMMYFUNCTION("""COMPUTED_VALUE"""),0.8749855481664958)</f>
        <v>0.8749855482</v>
      </c>
      <c r="X17" s="18">
        <f>IFERROR(__xludf.DUMMYFUNCTION("""COMPUTED_VALUE"""),-0.6127929147711293)</f>
        <v>-0.6127929148</v>
      </c>
      <c r="Y17" s="18">
        <f>IFERROR(__xludf.DUMMYFUNCTION("""COMPUTED_VALUE"""),-0.6195024916189793)</f>
        <v>-0.6195024916</v>
      </c>
      <c r="Z17" s="18">
        <f>IFERROR(__xludf.DUMMYFUNCTION("""COMPUTED_VALUE"""),1.153134566913797)</f>
        <v>1.153134567</v>
      </c>
      <c r="AA17" s="18">
        <f>IFERROR(__xludf.DUMMYFUNCTION("""COMPUTED_VALUE"""),0.0)</f>
        <v>0</v>
      </c>
      <c r="AB17" t="str">
        <f>IFERROR(__xludf.DUMMYFUNCTION("SUBSTITUTE(REGEXREPLACE(REGEXREPLACE(REGEXREPLACE(REGEXREPLACE(REGEXREPLACE(REGEXREPLACE(F17,"","",),IF(Projections!$T$11="""",""PG"",),),IF(Projections!$U$11="""",""SG"",),),IF(Projections!$V$11="""",""SF"",),),IF(Projections!$W$11="""",""PF"",),),IF(Pro"&amp;"jections!$X$11="""",""C"",),),""/"","""")"),"G")</f>
        <v>G</v>
      </c>
    </row>
    <row r="18">
      <c r="A18" t="str">
        <f>IF(Projections!$AB$11,Draft!E4,"")</f>
        <v/>
      </c>
      <c r="B18">
        <f>IFERROR(__xludf.DUMMYFUNCTION("""COMPUTED_VALUE"""),13.0)</f>
        <v>13</v>
      </c>
      <c r="D18" t="str">
        <f>IFERROR(__xludf.DUMMYFUNCTION("""COMPUTED_VALUE"""),"Kawhi Leonard")</f>
        <v>Kawhi Leonard</v>
      </c>
      <c r="E18">
        <f>IFERROR(__xludf.DUMMYFUNCTION("""COMPUTED_VALUE"""),60.0)</f>
        <v>60</v>
      </c>
      <c r="F18" t="str">
        <f>IFERROR(__xludf.DUMMYFUNCTION("""COMPUTED_VALUE"""),"F")</f>
        <v>F</v>
      </c>
      <c r="G18" s="18">
        <f>IFERROR(__xludf.DUMMYFUNCTION("""COMPUTED_VALUE"""),4.6090876914442)</f>
        <v>4.609087691</v>
      </c>
      <c r="H18" s="18">
        <f>IFERROR(__xludf.DUMMYFUNCTION("""COMPUTED_VALUE"""),4.618428269192777)</f>
        <v>4.618428269</v>
      </c>
      <c r="I18" s="18">
        <f>IFERROR(__xludf.DUMMYFUNCTION("""COMPUTED_VALUE"""),0.009340577748576884)</f>
        <v>0.009340577749</v>
      </c>
      <c r="J18" s="18">
        <f>IFERROR(__xludf.DUMMYFUNCTION("""COMPUTED_VALUE"""),24.568)</f>
        <v>24.568</v>
      </c>
      <c r="K18" s="18">
        <f>IFERROR(__xludf.DUMMYFUNCTION("""COMPUTED_VALUE"""),2.273333)</f>
        <v>2.273333</v>
      </c>
      <c r="L18" s="18">
        <f>IFERROR(__xludf.DUMMYFUNCTION("""COMPUTED_VALUE"""),6.321167)</f>
        <v>6.321167</v>
      </c>
      <c r="M18" s="18">
        <f>IFERROR(__xludf.DUMMYFUNCTION("""COMPUTED_VALUE"""),3.1605)</f>
        <v>3.1605</v>
      </c>
      <c r="N18" s="18">
        <f>IFERROR(__xludf.DUMMYFUNCTION("""COMPUTED_VALUE"""),1.653333)</f>
        <v>1.653333</v>
      </c>
      <c r="O18" s="18">
        <f>IFERROR(__xludf.DUMMYFUNCTION("""COMPUTED_VALUE"""),0.617167)</f>
        <v>0.617167</v>
      </c>
      <c r="P18" s="25">
        <f>IFERROR(__xludf.DUMMYFUNCTION("""COMPUTED_VALUE"""),0.504101)</f>
        <v>0.504101</v>
      </c>
      <c r="Q18" s="25">
        <f>IFERROR(__xludf.DUMMYFUNCTION("""COMPUTED_VALUE"""),0.859017)</f>
        <v>0.859017</v>
      </c>
      <c r="R18" s="18">
        <f>IFERROR(__xludf.DUMMYFUNCTION("""COMPUTED_VALUE"""),1.786333)</f>
        <v>1.786333</v>
      </c>
      <c r="S18" s="18">
        <f>IFERROR(__xludf.DUMMYFUNCTION("""COMPUTED_VALUE"""),1.297115953634725)</f>
        <v>1.297115954</v>
      </c>
      <c r="T18" s="18">
        <f>IFERROR(__xludf.DUMMYFUNCTION("""COMPUTED_VALUE"""),0.4865669306741203)</f>
        <v>0.4865669307</v>
      </c>
      <c r="U18" s="18">
        <f>IFERROR(__xludf.DUMMYFUNCTION("""COMPUTED_VALUE"""),0.07891074489848583)</f>
        <v>0.0789107449</v>
      </c>
      <c r="V18" s="18">
        <f>IFERROR(__xludf.DUMMYFUNCTION("""COMPUTED_VALUE"""),-0.3304303970281824)</f>
        <v>-0.330430397</v>
      </c>
      <c r="W18" s="18">
        <f>IFERROR(__xludf.DUMMYFUNCTION("""COMPUTED_VALUE"""),1.8531585793638956)</f>
        <v>1.853158579</v>
      </c>
      <c r="X18" s="18">
        <f>IFERROR(__xludf.DUMMYFUNCTION("""COMPUTED_VALUE"""),-0.20553356850205748)</f>
        <v>-0.2055335685</v>
      </c>
      <c r="Y18" s="18">
        <f>IFERROR(__xludf.DUMMYFUNCTION("""COMPUTED_VALUE"""),0.1350520395842976)</f>
        <v>0.1350520396</v>
      </c>
      <c r="Z18" s="18">
        <f>IFERROR(__xludf.DUMMYFUNCTION("""COMPUTED_VALUE"""),0.9731575895393098)</f>
        <v>0.9731575895</v>
      </c>
      <c r="AA18" s="18">
        <f>IFERROR(__xludf.DUMMYFUNCTION("""COMPUTED_VALUE"""),0.0)</f>
        <v>0</v>
      </c>
      <c r="AB18" t="str">
        <f>IFERROR(__xludf.DUMMYFUNCTION("SUBSTITUTE(REGEXREPLACE(REGEXREPLACE(REGEXREPLACE(REGEXREPLACE(REGEXREPLACE(REGEXREPLACE(F18,"","",),IF(Projections!$T$11="""",""PG"",),),IF(Projections!$U$11="""",""SG"",),),IF(Projections!$V$11="""",""SF"",),),IF(Projections!$W$11="""",""PF"",),),IF(Pro"&amp;"jections!$X$11="""",""C"",),),""/"","""")"),"F")</f>
        <v>F</v>
      </c>
    </row>
    <row r="19">
      <c r="A19" t="str">
        <f>IF(Projections!$AB$11,Draft!E5,"")</f>
        <v/>
      </c>
      <c r="B19">
        <f>IFERROR(__xludf.DUMMYFUNCTION("""COMPUTED_VALUE"""),14.0)</f>
        <v>14</v>
      </c>
      <c r="D19" t="str">
        <f>IFERROR(__xludf.DUMMYFUNCTION("""COMPUTED_VALUE"""),"Amen Thompson")</f>
        <v>Amen Thompson</v>
      </c>
      <c r="E19">
        <f>IFERROR(__xludf.DUMMYFUNCTION("""COMPUTED_VALUE"""),68.0)</f>
        <v>68</v>
      </c>
      <c r="F19" t="str">
        <f>IFERROR(__xludf.DUMMYFUNCTION("""COMPUTED_VALUE"""),"G,F")</f>
        <v>G,F</v>
      </c>
      <c r="G19" s="18">
        <f>IFERROR(__xludf.DUMMYFUNCTION("""COMPUTED_VALUE"""),4.538513622577234)</f>
        <v>4.538513623</v>
      </c>
      <c r="H19" s="18">
        <f>IFERROR(__xludf.DUMMYFUNCTION("""COMPUTED_VALUE"""),4.705977032769822)</f>
        <v>4.705977033</v>
      </c>
      <c r="I19" s="18">
        <f>IFERROR(__xludf.DUMMYFUNCTION("""COMPUTED_VALUE"""),0.16746341019258804)</f>
        <v>0.1674634102</v>
      </c>
      <c r="J19" s="18">
        <f>IFERROR(__xludf.DUMMYFUNCTION("""COMPUTED_VALUE"""),17.87471)</f>
        <v>17.87471</v>
      </c>
      <c r="K19" s="18">
        <f>IFERROR(__xludf.DUMMYFUNCTION("""COMPUTED_VALUE"""),0.473382)</f>
        <v>0.473382</v>
      </c>
      <c r="L19" s="18">
        <f>IFERROR(__xludf.DUMMYFUNCTION("""COMPUTED_VALUE"""),8.483971)</f>
        <v>8.483971</v>
      </c>
      <c r="M19" s="18">
        <f>IFERROR(__xludf.DUMMYFUNCTION("""COMPUTED_VALUE"""),6.590294)</f>
        <v>6.590294</v>
      </c>
      <c r="N19" s="18">
        <f>IFERROR(__xludf.DUMMYFUNCTION("""COMPUTED_VALUE"""),1.515)</f>
        <v>1.515</v>
      </c>
      <c r="O19" s="18">
        <f>IFERROR(__xludf.DUMMYFUNCTION("""COMPUTED_VALUE"""),1.287794)</f>
        <v>1.287794</v>
      </c>
      <c r="P19" s="25">
        <f>IFERROR(__xludf.DUMMYFUNCTION("""COMPUTED_VALUE"""),0.55993)</f>
        <v>0.55993</v>
      </c>
      <c r="Q19" s="25">
        <f>IFERROR(__xludf.DUMMYFUNCTION("""COMPUTED_VALUE"""),0.649986)</f>
        <v>0.649986</v>
      </c>
      <c r="R19" s="18">
        <f>IFERROR(__xludf.DUMMYFUNCTION("""COMPUTED_VALUE"""),2.423971)</f>
        <v>2.423971</v>
      </c>
      <c r="S19" s="18">
        <f>IFERROR(__xludf.DUMMYFUNCTION("""COMPUTED_VALUE"""),0.12282767354572907)</f>
        <v>0.1228276735</v>
      </c>
      <c r="T19" s="18">
        <f>IFERROR(__xludf.DUMMYFUNCTION("""COMPUTED_VALUE"""),-1.251885935114722)</f>
        <v>-1.251885935</v>
      </c>
      <c r="U19" s="18">
        <f>IFERROR(__xludf.DUMMYFUNCTION("""COMPUTED_VALUE"""),0.9556111459317018)</f>
        <v>0.9556111459</v>
      </c>
      <c r="V19" s="18">
        <f>IFERROR(__xludf.DUMMYFUNCTION("""COMPUTED_VALUE"""),1.3450736939804977)</f>
        <v>1.345073694</v>
      </c>
      <c r="W19" s="18">
        <f>IFERROR(__xludf.DUMMYFUNCTION("""COMPUTED_VALUE"""),1.4316261064830904)</f>
        <v>1.431626106</v>
      </c>
      <c r="X19" s="18">
        <f>IFERROR(__xludf.DUMMYFUNCTION("""COMPUTED_VALUE"""),1.0136611033534741)</f>
        <v>1.013661103</v>
      </c>
      <c r="Y19" s="18">
        <f>IFERROR(__xludf.DUMMYFUNCTION("""COMPUTED_VALUE"""),1.0890632445900514)</f>
        <v>1.089063245</v>
      </c>
      <c r="Z19" s="18">
        <f>IFERROR(__xludf.DUMMYFUNCTION("""COMPUTED_VALUE"""),-1.4317815706235524)</f>
        <v>-1.431781571</v>
      </c>
      <c r="AA19" s="18">
        <f>IFERROR(__xludf.DUMMYFUNCTION("""COMPUTED_VALUE"""),0.0)</f>
        <v>0</v>
      </c>
      <c r="AB19" t="str">
        <f>IFERROR(__xludf.DUMMYFUNCTION("SUBSTITUTE(REGEXREPLACE(REGEXREPLACE(REGEXREPLACE(REGEXREPLACE(REGEXREPLACE(REGEXREPLACE(F19,"","",),IF(Projections!$T$11="""",""PG"",),),IF(Projections!$U$11="""",""SG"",),),IF(Projections!$V$11="""",""SF"",),),IF(Projections!$W$11="""",""PF"",),),IF(Pro"&amp;"jections!$X$11="""",""C"",),),""/"","""")"),"GF")</f>
        <v>GF</v>
      </c>
    </row>
    <row r="20">
      <c r="A20" t="str">
        <f>IF(Projections!$AB$11,Draft!E6,"")</f>
        <v/>
      </c>
      <c r="B20">
        <f>IFERROR(__xludf.DUMMYFUNCTION("""COMPUTED_VALUE"""),15.0)</f>
        <v>15</v>
      </c>
      <c r="D20" t="str">
        <f>IFERROR(__xludf.DUMMYFUNCTION("""COMPUTED_VALUE"""),"Anthony Edwards")</f>
        <v>Anthony Edwards</v>
      </c>
      <c r="E20">
        <f>IFERROR(__xludf.DUMMYFUNCTION("""COMPUTED_VALUE"""),77.0)</f>
        <v>77</v>
      </c>
      <c r="F20" t="str">
        <f>IFERROR(__xludf.DUMMYFUNCTION("""COMPUTED_VALUE"""),"G,F")</f>
        <v>G,F</v>
      </c>
      <c r="G20" s="18">
        <f>IFERROR(__xludf.DUMMYFUNCTION("""COMPUTED_VALUE"""),4.434595825645324)</f>
        <v>4.434595826</v>
      </c>
      <c r="H20" s="18">
        <f>IFERROR(__xludf.DUMMYFUNCTION("""COMPUTED_VALUE"""),4.792696989827369)</f>
        <v>4.79269699</v>
      </c>
      <c r="I20" s="18">
        <f>IFERROR(__xludf.DUMMYFUNCTION("""COMPUTED_VALUE"""),0.3581011641820444)</f>
        <v>0.3581011642</v>
      </c>
      <c r="J20" s="18">
        <f>IFERROR(__xludf.DUMMYFUNCTION("""COMPUTED_VALUE"""),28.19805)</f>
        <v>28.19805</v>
      </c>
      <c r="K20" s="18">
        <f>IFERROR(__xludf.DUMMYFUNCTION("""COMPUTED_VALUE"""),3.818701)</f>
        <v>3.818701</v>
      </c>
      <c r="L20" s="18">
        <f>IFERROR(__xludf.DUMMYFUNCTION("""COMPUTED_VALUE"""),5.42026)</f>
        <v>5.42026</v>
      </c>
      <c r="M20" s="18">
        <f>IFERROR(__xludf.DUMMYFUNCTION("""COMPUTED_VALUE"""),4.974805)</f>
        <v>4.974805</v>
      </c>
      <c r="N20" s="18">
        <f>IFERROR(__xludf.DUMMYFUNCTION("""COMPUTED_VALUE"""),1.113506)</f>
        <v>1.113506</v>
      </c>
      <c r="O20" s="18">
        <f>IFERROR(__xludf.DUMMYFUNCTION("""COMPUTED_VALUE"""),0.668312)</f>
        <v>0.668312</v>
      </c>
      <c r="P20" s="25">
        <f>IFERROR(__xludf.DUMMYFUNCTION("""COMPUTED_VALUE"""),0.44995)</f>
        <v>0.44995</v>
      </c>
      <c r="Q20" s="25">
        <f>IFERROR(__xludf.DUMMYFUNCTION("""COMPUTED_VALUE"""),0.826999)</f>
        <v>0.826999</v>
      </c>
      <c r="R20" s="18">
        <f>IFERROR(__xludf.DUMMYFUNCTION("""COMPUTED_VALUE"""),3.192727)</f>
        <v>3.192727</v>
      </c>
      <c r="S20" s="18">
        <f>IFERROR(__xludf.DUMMYFUNCTION("""COMPUTED_VALUE"""),1.9339814071168029)</f>
        <v>1.933981407</v>
      </c>
      <c r="T20" s="18">
        <f>IFERROR(__xludf.DUMMYFUNCTION("""COMPUTED_VALUE"""),1.979135021860142)</f>
        <v>1.979135022</v>
      </c>
      <c r="U20" s="18">
        <f>IFERROR(__xludf.DUMMYFUNCTION("""COMPUTED_VALUE"""),-0.28627515645625157)</f>
        <v>-0.2862751565</v>
      </c>
      <c r="V20" s="18">
        <f>IFERROR(__xludf.DUMMYFUNCTION("""COMPUTED_VALUE"""),0.5558838976021958)</f>
        <v>0.5558838976</v>
      </c>
      <c r="W20" s="18">
        <f>IFERROR(__xludf.DUMMYFUNCTION("""COMPUTED_VALUE"""),0.20818152950719962)</f>
        <v>0.2081815295</v>
      </c>
      <c r="X20" s="18">
        <f>IFERROR(__xludf.DUMMYFUNCTION("""COMPUTED_VALUE"""),-0.11255235615592295)</f>
        <v>-0.1125523562</v>
      </c>
      <c r="Y20" s="18">
        <f>IFERROR(__xludf.DUMMYFUNCTION("""COMPUTED_VALUE"""),-0.6113824810968774)</f>
        <v>-0.6113824811</v>
      </c>
      <c r="Z20" s="18">
        <f>IFERROR(__xludf.DUMMYFUNCTION("""COMPUTED_VALUE"""),0.5143426463532014)</f>
        <v>0.5143426464</v>
      </c>
      <c r="AA20" s="18">
        <f>IFERROR(__xludf.DUMMYFUNCTION("""COMPUTED_VALUE"""),0.0)</f>
        <v>0</v>
      </c>
      <c r="AB20" t="str">
        <f>IFERROR(__xludf.DUMMYFUNCTION("SUBSTITUTE(REGEXREPLACE(REGEXREPLACE(REGEXREPLACE(REGEXREPLACE(REGEXREPLACE(REGEXREPLACE(F20,"","",),IF(Projections!$T$11="""",""PG"",),),IF(Projections!$U$11="""",""SG"",),),IF(Projections!$V$11="""",""SF"",),),IF(Projections!$W$11="""",""PF"",),),IF(Pro"&amp;"jections!$X$11="""",""C"",),),""/"","""")"),"GF")</f>
        <v>GF</v>
      </c>
    </row>
    <row r="21">
      <c r="A21" t="str">
        <f>IF(Projections!$AB$11,Draft!E7,"")</f>
        <v/>
      </c>
      <c r="B21">
        <f>IFERROR(__xludf.DUMMYFUNCTION("""COMPUTED_VALUE"""),16.0)</f>
        <v>16</v>
      </c>
      <c r="D21" t="str">
        <f>IFERROR(__xludf.DUMMYFUNCTION("""COMPUTED_VALUE"""),"Donovan Mitchell")</f>
        <v>Donovan Mitchell</v>
      </c>
      <c r="E21">
        <f>IFERROR(__xludf.DUMMYFUNCTION("""COMPUTED_VALUE"""),68.0)</f>
        <v>68</v>
      </c>
      <c r="F21" t="str">
        <f>IFERROR(__xludf.DUMMYFUNCTION("""COMPUTED_VALUE"""),"G")</f>
        <v>G</v>
      </c>
      <c r="G21" s="18">
        <f>IFERROR(__xludf.DUMMYFUNCTION("""COMPUTED_VALUE"""),4.263374273939553)</f>
        <v>4.263374274</v>
      </c>
      <c r="H21" s="18">
        <f>IFERROR(__xludf.DUMMYFUNCTION("""COMPUTED_VALUE"""),4.41413534340966)</f>
        <v>4.414135343</v>
      </c>
      <c r="I21" s="18">
        <f>IFERROR(__xludf.DUMMYFUNCTION("""COMPUTED_VALUE"""),0.15076106947010715)</f>
        <v>0.1507610695</v>
      </c>
      <c r="J21" s="18">
        <f>IFERROR(__xludf.DUMMYFUNCTION("""COMPUTED_VALUE"""),26.15735)</f>
        <v>26.15735</v>
      </c>
      <c r="K21" s="18">
        <f>IFERROR(__xludf.DUMMYFUNCTION("""COMPUTED_VALUE"""),3.337647)</f>
        <v>3.337647</v>
      </c>
      <c r="L21" s="18">
        <f>IFERROR(__xludf.DUMMYFUNCTION("""COMPUTED_VALUE"""),4.578676)</f>
        <v>4.578676</v>
      </c>
      <c r="M21" s="18">
        <f>IFERROR(__xludf.DUMMYFUNCTION("""COMPUTED_VALUE"""),5.656029)</f>
        <v>5.656029</v>
      </c>
      <c r="N21" s="18">
        <f>IFERROR(__xludf.DUMMYFUNCTION("""COMPUTED_VALUE"""),1.274706)</f>
        <v>1.274706</v>
      </c>
      <c r="O21" s="18">
        <f>IFERROR(__xludf.DUMMYFUNCTION("""COMPUTED_VALUE"""),0.27)</f>
        <v>0.27</v>
      </c>
      <c r="P21" s="25">
        <f>IFERROR(__xludf.DUMMYFUNCTION("""COMPUTED_VALUE"""),0.460659)</f>
        <v>0.460659</v>
      </c>
      <c r="Q21" s="25">
        <f>IFERROR(__xludf.DUMMYFUNCTION("""COMPUTED_VALUE"""),0.850008)</f>
        <v>0.850008</v>
      </c>
      <c r="R21" s="18">
        <f>IFERROR(__xludf.DUMMYFUNCTION("""COMPUTED_VALUE"""),2.356618)</f>
        <v>2.356618</v>
      </c>
      <c r="S21" s="18">
        <f>IFERROR(__xludf.DUMMYFUNCTION("""COMPUTED_VALUE"""),1.5759556689256276)</f>
        <v>1.575955669</v>
      </c>
      <c r="T21" s="18">
        <f>IFERROR(__xludf.DUMMYFUNCTION("""COMPUTED_VALUE"""),1.5145169823139626)</f>
        <v>1.514516982</v>
      </c>
      <c r="U21" s="18">
        <f>IFERROR(__xludf.DUMMYFUNCTION("""COMPUTED_VALUE"""),-0.6274142658268362)</f>
        <v>-0.6274142658</v>
      </c>
      <c r="V21" s="18">
        <f>IFERROR(__xludf.DUMMYFUNCTION("""COMPUTED_VALUE"""),0.8886716973631428)</f>
        <v>0.8886716974</v>
      </c>
      <c r="W21" s="18">
        <f>IFERROR(__xludf.DUMMYFUNCTION("""COMPUTED_VALUE"""),0.6993950116725954)</f>
        <v>0.6993950117</v>
      </c>
      <c r="X21" s="18">
        <f>IFERROR(__xludf.DUMMYFUNCTION("""COMPUTED_VALUE"""),-0.8366804752685153)</f>
        <v>-0.8366804753</v>
      </c>
      <c r="Y21" s="18">
        <f>IFERROR(__xludf.DUMMYFUNCTION("""COMPUTED_VALUE"""),-0.47774136502858905)</f>
        <v>-0.477741365</v>
      </c>
      <c r="Z21" s="18">
        <f>IFERROR(__xludf.DUMMYFUNCTION("""COMPUTED_VALUE"""),0.8407516139897564)</f>
        <v>0.840751614</v>
      </c>
      <c r="AA21" s="18">
        <f>IFERROR(__xludf.DUMMYFUNCTION("""COMPUTED_VALUE"""),0.0)</f>
        <v>0</v>
      </c>
      <c r="AB21" t="str">
        <f>IFERROR(__xludf.DUMMYFUNCTION("SUBSTITUTE(REGEXREPLACE(REGEXREPLACE(REGEXREPLACE(REGEXREPLACE(REGEXREPLACE(REGEXREPLACE(F21,"","",),IF(Projections!$T$11="""",""PG"",),),IF(Projections!$U$11="""",""SG"",),),IF(Projections!$V$11="""",""SF"",),),IF(Projections!$W$11="""",""PF"",),),IF(Pro"&amp;"jections!$X$11="""",""C"",),),""/"","""")"),"G")</f>
        <v>G</v>
      </c>
    </row>
    <row r="22">
      <c r="A22" t="str">
        <f>IF(Projections!$AB$11,Draft!E8,"")</f>
        <v/>
      </c>
      <c r="B22">
        <f>IFERROR(__xludf.DUMMYFUNCTION("""COMPUTED_VALUE"""),17.0)</f>
        <v>17</v>
      </c>
      <c r="D22" t="str">
        <f>IFERROR(__xludf.DUMMYFUNCTION("""COMPUTED_VALUE"""),"Kevin Durant")</f>
        <v>Kevin Durant</v>
      </c>
      <c r="E22">
        <f>IFERROR(__xludf.DUMMYFUNCTION("""COMPUTED_VALUE"""),64.0)</f>
        <v>64</v>
      </c>
      <c r="F22" t="str">
        <f>IFERROR(__xludf.DUMMYFUNCTION("""COMPUTED_VALUE"""),"F")</f>
        <v>F</v>
      </c>
      <c r="G22" s="18">
        <f>IFERROR(__xludf.DUMMYFUNCTION("""COMPUTED_VALUE"""),4.1577032402455725)</f>
        <v>4.15770324</v>
      </c>
      <c r="H22" s="18">
        <f>IFERROR(__xludf.DUMMYFUNCTION("""COMPUTED_VALUE"""),4.54589356473084)</f>
        <v>4.545893565</v>
      </c>
      <c r="I22" s="18">
        <f>IFERROR(__xludf.DUMMYFUNCTION("""COMPUTED_VALUE"""),0.3881903244852678)</f>
        <v>0.3881903245</v>
      </c>
      <c r="J22" s="18">
        <f>IFERROR(__xludf.DUMMYFUNCTION("""COMPUTED_VALUE"""),28.26391)</f>
        <v>28.26391</v>
      </c>
      <c r="K22" s="18">
        <f>IFERROR(__xludf.DUMMYFUNCTION("""COMPUTED_VALUE"""),2.716563)</f>
        <v>2.716563</v>
      </c>
      <c r="L22" s="18">
        <f>IFERROR(__xludf.DUMMYFUNCTION("""COMPUTED_VALUE"""),5.3025)</f>
        <v>5.3025</v>
      </c>
      <c r="M22" s="18">
        <f>IFERROR(__xludf.DUMMYFUNCTION("""COMPUTED_VALUE"""),4.860625)</f>
        <v>4.860625</v>
      </c>
      <c r="N22" s="18">
        <f>IFERROR(__xludf.DUMMYFUNCTION("""COMPUTED_VALUE"""),0.807969)</f>
        <v>0.807969</v>
      </c>
      <c r="O22" s="18">
        <f>IFERROR(__xludf.DUMMYFUNCTION("""COMPUTED_VALUE"""),0.88375)</f>
        <v>0.88375</v>
      </c>
      <c r="P22" s="25">
        <f>IFERROR(__xludf.DUMMYFUNCTION("""COMPUTED_VALUE"""),0.514412)</f>
        <v>0.514412</v>
      </c>
      <c r="Q22" s="25">
        <f>IFERROR(__xludf.DUMMYFUNCTION("""COMPUTED_VALUE"""),0.857004)</f>
        <v>0.857004</v>
      </c>
      <c r="R22" s="18">
        <f>IFERROR(__xludf.DUMMYFUNCTION("""COMPUTED_VALUE"""),3.314063)</f>
        <v>3.314063</v>
      </c>
      <c r="S22" s="18">
        <f>IFERROR(__xludf.DUMMYFUNCTION("""COMPUTED_VALUE"""),1.9455360575393397)</f>
        <v>1.945536058</v>
      </c>
      <c r="T22" s="18">
        <f>IFERROR(__xludf.DUMMYFUNCTION("""COMPUTED_VALUE"""),0.9146532861935696)</f>
        <v>0.9146532862</v>
      </c>
      <c r="U22" s="18">
        <f>IFERROR(__xludf.DUMMYFUNCTION("""COMPUTED_VALUE"""),-0.33400959712941064)</f>
        <v>-0.3340095971</v>
      </c>
      <c r="V22" s="18">
        <f>IFERROR(__xludf.DUMMYFUNCTION("""COMPUTED_VALUE"""),0.5001053123252458)</f>
        <v>0.5001053123</v>
      </c>
      <c r="W22" s="18">
        <f>IFERROR(__xludf.DUMMYFUNCTION("""COMPUTED_VALUE"""),-0.7228599946886364)</f>
        <v>-0.7228599947</v>
      </c>
      <c r="X22" s="18">
        <f>IFERROR(__xludf.DUMMYFUNCTION("""COMPUTED_VALUE"""),0.27911225280734875)</f>
        <v>0.2791122528</v>
      </c>
      <c r="Y22" s="18">
        <f>IFERROR(__xludf.DUMMYFUNCTION("""COMPUTED_VALUE"""),0.2971486134220053)</f>
        <v>0.2971486134</v>
      </c>
      <c r="Z22" s="18">
        <f>IFERROR(__xludf.DUMMYFUNCTION("""COMPUTED_VALUE"""),0.9433476395727419)</f>
        <v>0.9433476396</v>
      </c>
      <c r="AA22" s="18">
        <f>IFERROR(__xludf.DUMMYFUNCTION("""COMPUTED_VALUE"""),0.0)</f>
        <v>0</v>
      </c>
      <c r="AB22" t="str">
        <f>IFERROR(__xludf.DUMMYFUNCTION("SUBSTITUTE(REGEXREPLACE(REGEXREPLACE(REGEXREPLACE(REGEXREPLACE(REGEXREPLACE(REGEXREPLACE(F22,"","",),IF(Projections!$T$11="""",""PG"",),),IF(Projections!$U$11="""",""SG"",),),IF(Projections!$V$11="""",""SF"",),),IF(Projections!$W$11="""",""PF"",),),IF(Pro"&amp;"jections!$X$11="""",""C"",),),""/"","""")"),"F")</f>
        <v>F</v>
      </c>
    </row>
    <row r="23">
      <c r="A23" t="str">
        <f>IF(Projections!$AB$11,Draft!E9,"")</f>
        <v/>
      </c>
      <c r="B23">
        <f>IFERROR(__xludf.DUMMYFUNCTION("""COMPUTED_VALUE"""),18.0)</f>
        <v>18</v>
      </c>
      <c r="D23" t="str">
        <f>IFERROR(__xludf.DUMMYFUNCTION("""COMPUTED_VALUE"""),"Devin Booker")</f>
        <v>Devin Booker</v>
      </c>
      <c r="E23">
        <f>IFERROR(__xludf.DUMMYFUNCTION("""COMPUTED_VALUE"""),68.0)</f>
        <v>68</v>
      </c>
      <c r="F23" t="str">
        <f>IFERROR(__xludf.DUMMYFUNCTION("""COMPUTED_VALUE"""),"G,F")</f>
        <v>G,F</v>
      </c>
      <c r="G23" s="18">
        <f>IFERROR(__xludf.DUMMYFUNCTION("""COMPUTED_VALUE"""),4.144406288966499)</f>
        <v>4.144406289</v>
      </c>
      <c r="H23" s="18">
        <f>IFERROR(__xludf.DUMMYFUNCTION("""COMPUTED_VALUE"""),4.53932015307151)</f>
        <v>4.539320153</v>
      </c>
      <c r="I23" s="18">
        <f>IFERROR(__xludf.DUMMYFUNCTION("""COMPUTED_VALUE"""),0.3949138641050114)</f>
        <v>0.3949138641</v>
      </c>
      <c r="J23" s="18">
        <f>IFERROR(__xludf.DUMMYFUNCTION("""COMPUTED_VALUE"""),26.84118)</f>
        <v>26.84118</v>
      </c>
      <c r="K23" s="18">
        <f>IFERROR(__xludf.DUMMYFUNCTION("""COMPUTED_VALUE"""),2.306176)</f>
        <v>2.306176</v>
      </c>
      <c r="L23" s="18">
        <f>IFERROR(__xludf.DUMMYFUNCTION("""COMPUTED_VALUE"""),4.752059)</f>
        <v>4.752059</v>
      </c>
      <c r="M23" s="18">
        <f>IFERROR(__xludf.DUMMYFUNCTION("""COMPUTED_VALUE"""),8.093235)</f>
        <v>8.093235</v>
      </c>
      <c r="N23" s="18">
        <f>IFERROR(__xludf.DUMMYFUNCTION("""COMPUTED_VALUE"""),0.891029)</f>
        <v>0.891029</v>
      </c>
      <c r="O23" s="18">
        <f>IFERROR(__xludf.DUMMYFUNCTION("""COMPUTED_VALUE"""),0.297059)</f>
        <v>0.297059</v>
      </c>
      <c r="P23" s="25">
        <f>IFERROR(__xludf.DUMMYFUNCTION("""COMPUTED_VALUE"""),0.476236)</f>
        <v>0.476236</v>
      </c>
      <c r="Q23" s="25">
        <f>IFERROR(__xludf.DUMMYFUNCTION("""COMPUTED_VALUE"""),0.895995)</f>
        <v>0.895995</v>
      </c>
      <c r="R23" s="18">
        <f>IFERROR(__xludf.DUMMYFUNCTION("""COMPUTED_VALUE"""),3.341176)</f>
        <v>3.341176</v>
      </c>
      <c r="S23" s="18">
        <f>IFERROR(__xludf.DUMMYFUNCTION("""COMPUTED_VALUE"""),1.6959285902503063)</f>
        <v>1.69592859</v>
      </c>
      <c r="T23" s="18">
        <f>IFERROR(__xludf.DUMMYFUNCTION("""COMPUTED_VALUE"""),0.5182877983372415)</f>
        <v>0.5182877983</v>
      </c>
      <c r="U23" s="18">
        <f>IFERROR(__xludf.DUMMYFUNCTION("""COMPUTED_VALUE"""),-0.5571328415126856)</f>
        <v>-0.5571328415</v>
      </c>
      <c r="V23" s="18">
        <f>IFERROR(__xludf.DUMMYFUNCTION("""COMPUTED_VALUE"""),2.079282160741089)</f>
        <v>2.079282161</v>
      </c>
      <c r="W23" s="18">
        <f>IFERROR(__xludf.DUMMYFUNCTION("""COMPUTED_VALUE"""),-0.4697570677118511)</f>
        <v>-0.4697570677</v>
      </c>
      <c r="X23" s="18">
        <f>IFERROR(__xludf.DUMMYFUNCTION("""COMPUTED_VALUE"""),-0.7874874236530288)</f>
        <v>-0.7874874237</v>
      </c>
      <c r="Y23" s="18">
        <f>IFERROR(__xludf.DUMMYFUNCTION("""COMPUTED_VALUE"""),-0.27105087502285174)</f>
        <v>-0.271050875</v>
      </c>
      <c r="Z23" s="18">
        <f>IFERROR(__xludf.DUMMYFUNCTION("""COMPUTED_VALUE"""),1.5437623879902618)</f>
        <v>1.543762388</v>
      </c>
      <c r="AA23" s="18">
        <f>IFERROR(__xludf.DUMMYFUNCTION("""COMPUTED_VALUE"""),0.0)</f>
        <v>0</v>
      </c>
      <c r="AB23" t="str">
        <f>IFERROR(__xludf.DUMMYFUNCTION("SUBSTITUTE(REGEXREPLACE(REGEXREPLACE(REGEXREPLACE(REGEXREPLACE(REGEXREPLACE(REGEXREPLACE(F23,"","",),IF(Projections!$T$11="""",""PG"",),),IF(Projections!$U$11="""",""SG"",),),IF(Projections!$V$11="""",""SF"",),),IF(Projections!$W$11="""",""PF"",),),IF(Pro"&amp;"jections!$X$11="""",""C"",),),""/"","""")"),"GF")</f>
        <v>GF</v>
      </c>
    </row>
    <row r="24">
      <c r="A24" t="str">
        <f>IF(Projections!$AB$11,Draft!E10,"")</f>
        <v/>
      </c>
      <c r="B24">
        <f>IFERROR(__xludf.DUMMYFUNCTION("""COMPUTED_VALUE"""),19.0)</f>
        <v>19</v>
      </c>
      <c r="D24" t="str">
        <f>IFERROR(__xludf.DUMMYFUNCTION("""COMPUTED_VALUE"""),"Cade Cunningham")</f>
        <v>Cade Cunningham</v>
      </c>
      <c r="E24">
        <f>IFERROR(__xludf.DUMMYFUNCTION("""COMPUTED_VALUE"""),73.0)</f>
        <v>73</v>
      </c>
      <c r="F24" t="str">
        <f>IFERROR(__xludf.DUMMYFUNCTION("""COMPUTED_VALUE"""),"G")</f>
        <v>G</v>
      </c>
      <c r="G24" s="18">
        <f>IFERROR(__xludf.DUMMYFUNCTION("""COMPUTED_VALUE"""),4.027455577850566)</f>
        <v>4.027455578</v>
      </c>
      <c r="H24" s="18">
        <f>IFERROR(__xludf.DUMMYFUNCTION("""COMPUTED_VALUE"""),4.551843890299321)</f>
        <v>4.55184389</v>
      </c>
      <c r="I24" s="18">
        <f>IFERROR(__xludf.DUMMYFUNCTION("""COMPUTED_VALUE"""),0.524388312448755)</f>
        <v>0.5243883124</v>
      </c>
      <c r="J24" s="18">
        <f>IFERROR(__xludf.DUMMYFUNCTION("""COMPUTED_VALUE"""),26.39342)</f>
        <v>26.39342</v>
      </c>
      <c r="K24" s="18">
        <f>IFERROR(__xludf.DUMMYFUNCTION("""COMPUTED_VALUE"""),1.808219)</f>
        <v>1.808219</v>
      </c>
      <c r="L24" s="18">
        <f>IFERROR(__xludf.DUMMYFUNCTION("""COMPUTED_VALUE"""),5.580274)</f>
        <v>5.580274</v>
      </c>
      <c r="M24" s="18">
        <f>IFERROR(__xludf.DUMMYFUNCTION("""COMPUTED_VALUE"""),8.584932)</f>
        <v>8.584932</v>
      </c>
      <c r="N24" s="18">
        <f>IFERROR(__xludf.DUMMYFUNCTION("""COMPUTED_VALUE"""),1.0)</f>
        <v>1</v>
      </c>
      <c r="O24" s="18">
        <f>IFERROR(__xludf.DUMMYFUNCTION("""COMPUTED_VALUE"""),0.644521)</f>
        <v>0.644521</v>
      </c>
      <c r="P24" s="25">
        <f>IFERROR(__xludf.DUMMYFUNCTION("""COMPUTED_VALUE"""),0.479295)</f>
        <v>0.479295</v>
      </c>
      <c r="Q24" s="25">
        <f>IFERROR(__xludf.DUMMYFUNCTION("""COMPUTED_VALUE"""),0.866994)</f>
        <v>0.866994</v>
      </c>
      <c r="R24" s="18">
        <f>IFERROR(__xludf.DUMMYFUNCTION("""COMPUTED_VALUE"""),3.863288)</f>
        <v>3.863288</v>
      </c>
      <c r="S24" s="18">
        <f>IFERROR(__xludf.DUMMYFUNCTION("""COMPUTED_VALUE"""),1.6173724063269066)</f>
        <v>1.617372406</v>
      </c>
      <c r="T24" s="18">
        <f>IFERROR(__xludf.DUMMYFUNCTION("""COMPUTED_VALUE"""),0.03734427615824096)</f>
        <v>0.03734427616</v>
      </c>
      <c r="U24" s="18">
        <f>IFERROR(__xludf.DUMMYFUNCTION("""COMPUTED_VALUE"""),-0.22141290450418874)</f>
        <v>-0.2214129045</v>
      </c>
      <c r="V24" s="18">
        <f>IFERROR(__xludf.DUMMYFUNCTION("""COMPUTED_VALUE"""),2.319483273413365)</f>
        <v>2.319483273</v>
      </c>
      <c r="W24" s="18">
        <f>IFERROR(__xludf.DUMMYFUNCTION("""COMPUTED_VALUE"""),-0.13769736321405063)</f>
        <v>-0.1376973632</v>
      </c>
      <c r="X24" s="18">
        <f>IFERROR(__xludf.DUMMYFUNCTION("""COMPUTED_VALUE"""),-0.15580420918020466)</f>
        <v>-0.1558042092</v>
      </c>
      <c r="Y24" s="18">
        <f>IFERROR(__xludf.DUMMYFUNCTION("""COMPUTED_VALUE"""),-0.2287486511636934)</f>
        <v>-0.2287486512</v>
      </c>
      <c r="Z24" s="18">
        <f>IFERROR(__xludf.DUMMYFUNCTION("""COMPUTED_VALUE"""),1.0925584112992535)</f>
        <v>1.092558411</v>
      </c>
      <c r="AA24" s="18">
        <f>IFERROR(__xludf.DUMMYFUNCTION("""COMPUTED_VALUE"""),0.0)</f>
        <v>0</v>
      </c>
      <c r="AB24" t="str">
        <f>IFERROR(__xludf.DUMMYFUNCTION("SUBSTITUTE(REGEXREPLACE(REGEXREPLACE(REGEXREPLACE(REGEXREPLACE(REGEXREPLACE(REGEXREPLACE(F24,"","",),IF(Projections!$T$11="""",""PG"",),),IF(Projections!$U$11="""",""SG"",),),IF(Projections!$V$11="""",""SF"",),),IF(Projections!$W$11="""",""PF"",),),IF(Pro"&amp;"jections!$X$11="""",""C"",),),""/"","""")"),"G")</f>
        <v>G</v>
      </c>
    </row>
    <row r="25">
      <c r="A25" t="str">
        <f>IF(Projections!$AB$11,Draft!E11,"")</f>
        <v/>
      </c>
      <c r="B25">
        <f>IFERROR(__xludf.DUMMYFUNCTION("""COMPUTED_VALUE"""),20.0)</f>
        <v>20</v>
      </c>
      <c r="D25" t="str">
        <f>IFERROR(__xludf.DUMMYFUNCTION("""COMPUTED_VALUE"""),"Zion Williamson")</f>
        <v>Zion Williamson</v>
      </c>
      <c r="E25">
        <f>IFERROR(__xludf.DUMMYFUNCTION("""COMPUTED_VALUE"""),58.0)</f>
        <v>58</v>
      </c>
      <c r="F25" t="str">
        <f>IFERROR(__xludf.DUMMYFUNCTION("""COMPUTED_VALUE"""),"F")</f>
        <v>F</v>
      </c>
      <c r="G25" s="18">
        <f>IFERROR(__xludf.DUMMYFUNCTION("""COMPUTED_VALUE"""),3.9433883894009893)</f>
        <v>3.943388389</v>
      </c>
      <c r="H25" s="18">
        <f>IFERROR(__xludf.DUMMYFUNCTION("""COMPUTED_VALUE"""),4.28828599279988)</f>
        <v>4.288285993</v>
      </c>
      <c r="I25" s="18">
        <f>IFERROR(__xludf.DUMMYFUNCTION("""COMPUTED_VALUE"""),0.3448976033988904)</f>
        <v>0.3448976034</v>
      </c>
      <c r="J25" s="18">
        <f>IFERROR(__xludf.DUMMYFUNCTION("""COMPUTED_VALUE"""),27.48466)</f>
        <v>27.48466</v>
      </c>
      <c r="K25" s="18">
        <f>IFERROR(__xludf.DUMMYFUNCTION("""COMPUTED_VALUE"""),0.157241)</f>
        <v>0.157241</v>
      </c>
      <c r="L25" s="18">
        <f>IFERROR(__xludf.DUMMYFUNCTION("""COMPUTED_VALUE"""),7.07)</f>
        <v>7.07</v>
      </c>
      <c r="M25" s="18">
        <f>IFERROR(__xludf.DUMMYFUNCTION("""COMPUTED_VALUE"""),5.992586)</f>
        <v>5.992586</v>
      </c>
      <c r="N25" s="18">
        <f>IFERROR(__xludf.DUMMYFUNCTION("""COMPUTED_VALUE"""),1.212069)</f>
        <v>1.212069</v>
      </c>
      <c r="O25" s="18">
        <f>IFERROR(__xludf.DUMMYFUNCTION("""COMPUTED_VALUE"""),0.875345)</f>
        <v>0.875345</v>
      </c>
      <c r="P25" s="25">
        <f>IFERROR(__xludf.DUMMYFUNCTION("""COMPUTED_VALUE"""),0.578747)</f>
        <v>0.578747</v>
      </c>
      <c r="Q25" s="25">
        <f>IFERROR(__xludf.DUMMYFUNCTION("""COMPUTED_VALUE"""),0.679009)</f>
        <v>0.679009</v>
      </c>
      <c r="R25" s="18">
        <f>IFERROR(__xludf.DUMMYFUNCTION("""COMPUTED_VALUE"""),3.139483)</f>
        <v>3.139483</v>
      </c>
      <c r="S25" s="18">
        <f>IFERROR(__xludf.DUMMYFUNCTION("""COMPUTED_VALUE"""),1.8088224021831028)</f>
        <v>1.808822402</v>
      </c>
      <c r="T25" s="18">
        <f>IFERROR(__xludf.DUMMYFUNCTION("""COMPUTED_VALUE"""),-1.5572254846043194)</f>
        <v>-1.557225485</v>
      </c>
      <c r="U25" s="18">
        <f>IFERROR(__xludf.DUMMYFUNCTION("""COMPUTED_VALUE"""),0.3824529019348638)</f>
        <v>0.3824529019</v>
      </c>
      <c r="V25" s="18">
        <f>IFERROR(__xludf.DUMMYFUNCTION("""COMPUTED_VALUE"""),1.0530846709579442)</f>
        <v>1.053084671</v>
      </c>
      <c r="W25" s="18">
        <f>IFERROR(__xludf.DUMMYFUNCTION("""COMPUTED_VALUE"""),0.5085256637669263)</f>
        <v>0.5085256638</v>
      </c>
      <c r="X25" s="18">
        <f>IFERROR(__xludf.DUMMYFUNCTION("""COMPUTED_VALUE"""),0.2638320281564687)</f>
        <v>0.2638320282</v>
      </c>
      <c r="Y25" s="18">
        <f>IFERROR(__xludf.DUMMYFUNCTION("""COMPUTED_VALUE"""),1.4528042336288405)</f>
        <v>1.452804234</v>
      </c>
      <c r="Z25" s="18">
        <f>IFERROR(__xludf.DUMMYFUNCTION("""COMPUTED_VALUE"""),-1.181235907828266)</f>
        <v>-1.181235908</v>
      </c>
      <c r="AA25" s="18">
        <f>IFERROR(__xludf.DUMMYFUNCTION("""COMPUTED_VALUE"""),0.0)</f>
        <v>0</v>
      </c>
      <c r="AB25" t="str">
        <f>IFERROR(__xludf.DUMMYFUNCTION("SUBSTITUTE(REGEXREPLACE(REGEXREPLACE(REGEXREPLACE(REGEXREPLACE(REGEXREPLACE(REGEXREPLACE(F25,"","",),IF(Projections!$T$11="""",""PG"",),),IF(Projections!$U$11="""",""SG"",),),IF(Projections!$V$11="""",""SF"",),),IF(Projections!$W$11="""",""PF"",),),IF(Pro"&amp;"jections!$X$11="""",""C"",),),""/"","""")"),"F")</f>
        <v>F</v>
      </c>
    </row>
    <row r="26">
      <c r="A26" t="str">
        <f>IF(Projections!$AB$11,Draft!E12,"")</f>
        <v/>
      </c>
      <c r="B26">
        <f>IFERROR(__xludf.DUMMYFUNCTION("""COMPUTED_VALUE"""),21.0)</f>
        <v>21</v>
      </c>
      <c r="D26" t="str">
        <f>IFERROR(__xludf.DUMMYFUNCTION("""COMPUTED_VALUE"""),"Jakob Poeltl")</f>
        <v>Jakob Poeltl</v>
      </c>
      <c r="E26">
        <f>IFERROR(__xludf.DUMMYFUNCTION("""COMPUTED_VALUE"""),68.0)</f>
        <v>68</v>
      </c>
      <c r="F26" t="str">
        <f>IFERROR(__xludf.DUMMYFUNCTION("""COMPUTED_VALUE"""),"C")</f>
        <v>C</v>
      </c>
      <c r="G26" s="18">
        <f>IFERROR(__xludf.DUMMYFUNCTION("""COMPUTED_VALUE"""),3.8911043092258524)</f>
        <v>3.891104309</v>
      </c>
      <c r="H26" s="18">
        <f>IFERROR(__xludf.DUMMYFUNCTION("""COMPUTED_VALUE"""),3.8863659492555724)</f>
        <v>3.886365949</v>
      </c>
      <c r="I26" s="18">
        <f>IFERROR(__xludf.DUMMYFUNCTION("""COMPUTED_VALUE"""),-0.004738359970279937)</f>
        <v>-0.00473835997</v>
      </c>
      <c r="J26" s="18">
        <f>IFERROR(__xludf.DUMMYFUNCTION("""COMPUTED_VALUE"""),13.36265)</f>
        <v>13.36265</v>
      </c>
      <c r="K26" s="18">
        <f>IFERROR(__xludf.DUMMYFUNCTION("""COMPUTED_VALUE"""),0.025735)</f>
        <v>0.025735</v>
      </c>
      <c r="L26" s="18">
        <f>IFERROR(__xludf.DUMMYFUNCTION("""COMPUTED_VALUE"""),10.17765)</f>
        <v>10.17765</v>
      </c>
      <c r="M26" s="18">
        <f>IFERROR(__xludf.DUMMYFUNCTION("""COMPUTED_VALUE"""),2.993382)</f>
        <v>2.993382</v>
      </c>
      <c r="N26" s="18">
        <f>IFERROR(__xludf.DUMMYFUNCTION("""COMPUTED_VALUE"""),1.064265)</f>
        <v>1.064265</v>
      </c>
      <c r="O26" s="18">
        <f>IFERROR(__xludf.DUMMYFUNCTION("""COMPUTED_VALUE"""),1.445735)</f>
        <v>1.445735</v>
      </c>
      <c r="P26" s="25">
        <f>IFERROR(__xludf.DUMMYFUNCTION("""COMPUTED_VALUE"""),0.65981)</f>
        <v>0.65981</v>
      </c>
      <c r="Q26" s="25">
        <f>IFERROR(__xludf.DUMMYFUNCTION("""COMPUTED_VALUE"""),0.665999)</f>
        <v>0.665999</v>
      </c>
      <c r="R26" s="18">
        <f>IFERROR(__xludf.DUMMYFUNCTION("""COMPUTED_VALUE"""),1.729559)</f>
        <v>1.729559</v>
      </c>
      <c r="S26" s="18">
        <f>IFERROR(__xludf.DUMMYFUNCTION("""COMPUTED_VALUE"""),-0.6687799180958036)</f>
        <v>-0.6687799181</v>
      </c>
      <c r="T26" s="18">
        <f>IFERROR(__xludf.DUMMYFUNCTION("""COMPUTED_VALUE"""),-1.684238376937737)</f>
        <v>-1.684238377</v>
      </c>
      <c r="U26" s="18">
        <f>IFERROR(__xludf.DUMMYFUNCTION("""COMPUTED_VALUE"""),1.6421500364282682)</f>
        <v>1.642150036</v>
      </c>
      <c r="V26" s="18">
        <f>IFERROR(__xludf.DUMMYFUNCTION("""COMPUTED_VALUE"""),-0.4120699627517181)</f>
        <v>-0.4120699628</v>
      </c>
      <c r="W26" s="18">
        <f>IFERROR(__xludf.DUMMYFUNCTION("""COMPUTED_VALUE"""),0.05813287519388493)</f>
        <v>0.05813287519</v>
      </c>
      <c r="X26" s="18">
        <f>IFERROR(__xludf.DUMMYFUNCTION("""COMPUTED_VALUE"""),1.3007966133575963)</f>
        <v>1.300796613</v>
      </c>
      <c r="Y26" s="18">
        <f>IFERROR(__xludf.DUMMYFUNCTION("""COMPUTED_VALUE"""),3.263007568386341)</f>
        <v>3.263007568</v>
      </c>
      <c r="Z26" s="18">
        <f>IFERROR(__xludf.DUMMYFUNCTION("""COMPUTED_VALUE"""),-1.296871263262997)</f>
        <v>-1.296871263</v>
      </c>
      <c r="AA26" s="18">
        <f>IFERROR(__xludf.DUMMYFUNCTION("""COMPUTED_VALUE"""),0.0)</f>
        <v>0</v>
      </c>
      <c r="AB26" t="str">
        <f>IFERROR(__xludf.DUMMYFUNCTION("SUBSTITUTE(REGEXREPLACE(REGEXREPLACE(REGEXREPLACE(REGEXREPLACE(REGEXREPLACE(REGEXREPLACE(F26,"","",),IF(Projections!$T$11="""",""PG"",),),IF(Projections!$U$11="""",""SG"",),),IF(Projections!$V$11="""",""SF"",),),IF(Projections!$W$11="""",""PF"",),),IF(Pro"&amp;"jections!$X$11="""",""C"",),),""/"","""")"),"C")</f>
        <v>C</v>
      </c>
    </row>
    <row r="27">
      <c r="A27" t="str">
        <f>IF(Projections!$AB$11,Draft!E13,"")</f>
        <v/>
      </c>
      <c r="B27">
        <f>IFERROR(__xludf.DUMMYFUNCTION("""COMPUTED_VALUE"""),22.0)</f>
        <v>22</v>
      </c>
      <c r="D27" t="str">
        <f>IFERROR(__xludf.DUMMYFUNCTION("""COMPUTED_VALUE"""),"Mark Williams")</f>
        <v>Mark Williams</v>
      </c>
      <c r="E27">
        <f>IFERROR(__xludf.DUMMYFUNCTION("""COMPUTED_VALUE"""),62.0)</f>
        <v>62</v>
      </c>
      <c r="F27" t="str">
        <f>IFERROR(__xludf.DUMMYFUNCTION("""COMPUTED_VALUE"""),"C")</f>
        <v>C</v>
      </c>
      <c r="G27" s="18">
        <f>IFERROR(__xludf.DUMMYFUNCTION("""COMPUTED_VALUE"""),3.759771074228932)</f>
        <v>3.759771074</v>
      </c>
      <c r="H27" s="18">
        <f>IFERROR(__xludf.DUMMYFUNCTION("""COMPUTED_VALUE"""),3.8324963815863997)</f>
        <v>3.832496382</v>
      </c>
      <c r="I27" s="18">
        <f>IFERROR(__xludf.DUMMYFUNCTION("""COMPUTED_VALUE"""),0.07272530735746763)</f>
        <v>0.07272530736</v>
      </c>
      <c r="J27" s="18">
        <f>IFERROR(__xludf.DUMMYFUNCTION("""COMPUTED_VALUE"""),15.2979)</f>
        <v>15.2979</v>
      </c>
      <c r="K27" s="18">
        <f>IFERROR(__xludf.DUMMYFUNCTION("""COMPUTED_VALUE"""),0.023387)</f>
        <v>0.023387</v>
      </c>
      <c r="L27" s="18">
        <f>IFERROR(__xludf.DUMMYFUNCTION("""COMPUTED_VALUE"""),10.76629)</f>
        <v>10.76629</v>
      </c>
      <c r="M27" s="18">
        <f>IFERROR(__xludf.DUMMYFUNCTION("""COMPUTED_VALUE"""),2.908065)</f>
        <v>2.908065</v>
      </c>
      <c r="N27" s="18">
        <f>IFERROR(__xludf.DUMMYFUNCTION("""COMPUTED_VALUE"""),0.823065)</f>
        <v>0.823065</v>
      </c>
      <c r="O27" s="18">
        <f>IFERROR(__xludf.DUMMYFUNCTION("""COMPUTED_VALUE"""),1.279677)</f>
        <v>1.279677</v>
      </c>
      <c r="P27" s="25">
        <f>IFERROR(__xludf.DUMMYFUNCTION("""COMPUTED_VALUE"""),0.61651)</f>
        <v>0.61651</v>
      </c>
      <c r="Q27" s="25">
        <f>IFERROR(__xludf.DUMMYFUNCTION("""COMPUTED_VALUE"""),0.800991)</f>
        <v>0.800991</v>
      </c>
      <c r="R27" s="18">
        <f>IFERROR(__xludf.DUMMYFUNCTION("""COMPUTED_VALUE"""),2.041935)</f>
        <v>2.041935</v>
      </c>
      <c r="S27" s="18">
        <f>IFERROR(__xludf.DUMMYFUNCTION("""COMPUTED_VALUE"""),-0.32925460333397066)</f>
        <v>-0.3292546033</v>
      </c>
      <c r="T27" s="18">
        <f>IFERROR(__xludf.DUMMYFUNCTION("""COMPUTED_VALUE"""),-1.6865061538543709)</f>
        <v>-1.686506154</v>
      </c>
      <c r="U27" s="18">
        <f>IFERROR(__xludf.DUMMYFUNCTION("""COMPUTED_VALUE"""),1.8807573832170625)</f>
        <v>1.880757383</v>
      </c>
      <c r="V27" s="18">
        <f>IFERROR(__xludf.DUMMYFUNCTION("""COMPUTED_VALUE"""),-0.453748554099358)</f>
        <v>-0.4537485541</v>
      </c>
      <c r="W27" s="18">
        <f>IFERROR(__xludf.DUMMYFUNCTION("""COMPUTED_VALUE"""),-0.6768590100312615)</f>
        <v>-0.67685901</v>
      </c>
      <c r="X27" s="18">
        <f>IFERROR(__xludf.DUMMYFUNCTION("""COMPUTED_VALUE"""),0.9989044604633855)</f>
        <v>0.9989044605</v>
      </c>
      <c r="Y27" s="18">
        <f>IFERROR(__xludf.DUMMYFUNCTION("""COMPUTED_VALUE"""),2.246963801519729)</f>
        <v>2.246963802</v>
      </c>
      <c r="Z27" s="18">
        <f>IFERROR(__xludf.DUMMYFUNCTION("""COMPUTED_VALUE"""),0.16573290385081327)</f>
        <v>0.1657329039</v>
      </c>
      <c r="AA27" s="18">
        <f>IFERROR(__xludf.DUMMYFUNCTION("""COMPUTED_VALUE"""),0.0)</f>
        <v>0</v>
      </c>
      <c r="AB27" t="str">
        <f>IFERROR(__xludf.DUMMYFUNCTION("SUBSTITUTE(REGEXREPLACE(REGEXREPLACE(REGEXREPLACE(REGEXREPLACE(REGEXREPLACE(REGEXREPLACE(F27,"","",),IF(Projections!$T$11="""",""PG"",),),IF(Projections!$U$11="""",""SG"",),),IF(Projections!$V$11="""",""SF"",),),IF(Projections!$W$11="""",""PF"",),),IF(Pro"&amp;"jections!$X$11="""",""C"",),),""/"","""")"),"C")</f>
        <v>C</v>
      </c>
    </row>
    <row r="28">
      <c r="A28" t="str">
        <f>IF(Projections!$AB$11,Draft!E14,"")</f>
        <v/>
      </c>
      <c r="B28">
        <f>IFERROR(__xludf.DUMMYFUNCTION("""COMPUTED_VALUE"""),23.0)</f>
        <v>23</v>
      </c>
      <c r="D28" t="str">
        <f>IFERROR(__xludf.DUMMYFUNCTION("""COMPUTED_VALUE"""),"Derrick White")</f>
        <v>Derrick White</v>
      </c>
      <c r="E28">
        <f>IFERROR(__xludf.DUMMYFUNCTION("""COMPUTED_VALUE"""),57.0)</f>
        <v>57</v>
      </c>
      <c r="F28" t="str">
        <f>IFERROR(__xludf.DUMMYFUNCTION("""COMPUTED_VALUE"""),"G")</f>
        <v>G</v>
      </c>
      <c r="G28" s="18">
        <f>IFERROR(__xludf.DUMMYFUNCTION("""COMPUTED_VALUE"""),3.596461694832573)</f>
        <v>3.596461695</v>
      </c>
      <c r="H28" s="18">
        <f>IFERROR(__xludf.DUMMYFUNCTION("""COMPUTED_VALUE"""),3.742318669605669)</f>
        <v>3.74231867</v>
      </c>
      <c r="I28" s="18">
        <f>IFERROR(__xludf.DUMMYFUNCTION("""COMPUTED_VALUE"""),0.14585697477309623)</f>
        <v>0.1458569748</v>
      </c>
      <c r="J28" s="18">
        <f>IFERROR(__xludf.DUMMYFUNCTION("""COMPUTED_VALUE"""),17.76579)</f>
        <v>17.76579</v>
      </c>
      <c r="K28" s="18">
        <f>IFERROR(__xludf.DUMMYFUNCTION("""COMPUTED_VALUE"""),3.402982)</f>
        <v>3.402982</v>
      </c>
      <c r="L28" s="18">
        <f>IFERROR(__xludf.DUMMYFUNCTION("""COMPUTED_VALUE"""),4.744386)</f>
        <v>4.744386</v>
      </c>
      <c r="M28" s="18">
        <f>IFERROR(__xludf.DUMMYFUNCTION("""COMPUTED_VALUE"""),6.939649)</f>
        <v>6.939649</v>
      </c>
      <c r="N28" s="18">
        <f>IFERROR(__xludf.DUMMYFUNCTION("""COMPUTED_VALUE"""),1.056316)</f>
        <v>1.056316</v>
      </c>
      <c r="O28" s="18">
        <f>IFERROR(__xludf.DUMMYFUNCTION("""COMPUTED_VALUE"""),0.920526)</f>
        <v>0.920526</v>
      </c>
      <c r="P28" s="25">
        <f>IFERROR(__xludf.DUMMYFUNCTION("""COMPUTED_VALUE"""),0.429917)</f>
        <v>0.429917</v>
      </c>
      <c r="Q28" s="25">
        <f>IFERROR(__xludf.DUMMYFUNCTION("""COMPUTED_VALUE"""),0.842026)</f>
        <v>0.842026</v>
      </c>
      <c r="R28" s="18">
        <f>IFERROR(__xludf.DUMMYFUNCTION("""COMPUTED_VALUE"""),2.336842)</f>
        <v>2.336842</v>
      </c>
      <c r="S28" s="18">
        <f>IFERROR(__xludf.DUMMYFUNCTION("""COMPUTED_VALUE"""),0.10371846425294556)</f>
        <v>0.1037184643</v>
      </c>
      <c r="T28" s="18">
        <f>IFERROR(__xludf.DUMMYFUNCTION("""COMPUTED_VALUE"""),1.5776197101028382)</f>
        <v>1.57761971</v>
      </c>
      <c r="U28" s="18">
        <f>IFERROR(__xludf.DUMMYFUNCTION("""COMPUTED_VALUE"""),-0.5602431197335171)</f>
        <v>-0.5602431197</v>
      </c>
      <c r="V28" s="18">
        <f>IFERROR(__xludf.DUMMYFUNCTION("""COMPUTED_VALUE"""),1.5157386761089688)</f>
        <v>1.515738676</v>
      </c>
      <c r="W28" s="18">
        <f>IFERROR(__xludf.DUMMYFUNCTION("""COMPUTED_VALUE"""),0.03391044361986056)</f>
        <v>0.03391044362</v>
      </c>
      <c r="X28" s="18">
        <f>IFERROR(__xludf.DUMMYFUNCTION("""COMPUTED_VALUE"""),0.3459707348728769)</f>
        <v>0.3459707349</v>
      </c>
      <c r="Y28" s="18">
        <f>IFERROR(__xludf.DUMMYFUNCTION("""COMPUTED_VALUE"""),-0.8428806969475443)</f>
        <v>-0.8428806969</v>
      </c>
      <c r="Z28" s="18">
        <f>IFERROR(__xludf.DUMMYFUNCTION("""COMPUTED_VALUE"""),0.7256037603816964)</f>
        <v>0.7256037604</v>
      </c>
      <c r="AA28" s="18">
        <f>IFERROR(__xludf.DUMMYFUNCTION("""COMPUTED_VALUE"""),0.0)</f>
        <v>0</v>
      </c>
      <c r="AB28" t="str">
        <f>IFERROR(__xludf.DUMMYFUNCTION("SUBSTITUTE(REGEXREPLACE(REGEXREPLACE(REGEXREPLACE(REGEXREPLACE(REGEXREPLACE(REGEXREPLACE(F28,"","",),IF(Projections!$T$11="""",""PG"",),),IF(Projections!$U$11="""",""SG"",),),IF(Projections!$V$11="""",""SF"",),),IF(Projections!$W$11="""",""PF"",),),IF(Pro"&amp;"jections!$X$11="""",""C"",),),""/"","""")"),"G")</f>
        <v>G</v>
      </c>
    </row>
    <row r="29">
      <c r="A29" t="str">
        <f>IF(Projections!$AB$11,Draft!F3,"")</f>
        <v/>
      </c>
      <c r="B29">
        <f>IFERROR(__xludf.DUMMYFUNCTION("""COMPUTED_VALUE"""),24.0)</f>
        <v>24</v>
      </c>
      <c r="D29" t="str">
        <f>IFERROR(__xludf.DUMMYFUNCTION("""COMPUTED_VALUE"""),"Josh Giddey")</f>
        <v>Josh Giddey</v>
      </c>
      <c r="E29">
        <f>IFERROR(__xludf.DUMMYFUNCTION("""COMPUTED_VALUE"""),73.0)</f>
        <v>73</v>
      </c>
      <c r="F29" t="str">
        <f>IFERROR(__xludf.DUMMYFUNCTION("""COMPUTED_VALUE"""),"G")</f>
        <v>G</v>
      </c>
      <c r="G29" s="18">
        <f>IFERROR(__xludf.DUMMYFUNCTION("""COMPUTED_VALUE"""),3.5767025539639867)</f>
        <v>3.576702554</v>
      </c>
      <c r="H29" s="18">
        <f>IFERROR(__xludf.DUMMYFUNCTION("""COMPUTED_VALUE"""),4.011885245004114)</f>
        <v>4.011885245</v>
      </c>
      <c r="I29" s="18">
        <f>IFERROR(__xludf.DUMMYFUNCTION("""COMPUTED_VALUE"""),0.4351826910401275)</f>
        <v>0.435182691</v>
      </c>
      <c r="J29" s="18">
        <f>IFERROR(__xludf.DUMMYFUNCTION("""COMPUTED_VALUE"""),18.93918)</f>
        <v>18.93918</v>
      </c>
      <c r="K29" s="18">
        <f>IFERROR(__xludf.DUMMYFUNCTION("""COMPUTED_VALUE"""),1.564658)</f>
        <v>1.564658</v>
      </c>
      <c r="L29" s="18">
        <f>IFERROR(__xludf.DUMMYFUNCTION("""COMPUTED_VALUE"""),9.295068)</f>
        <v>9.295068</v>
      </c>
      <c r="M29" s="18">
        <f>IFERROR(__xludf.DUMMYFUNCTION("""COMPUTED_VALUE"""),8.508493)</f>
        <v>8.508493</v>
      </c>
      <c r="N29" s="18">
        <f>IFERROR(__xludf.DUMMYFUNCTION("""COMPUTED_VALUE"""),1.143973)</f>
        <v>1.143973</v>
      </c>
      <c r="O29" s="18">
        <f>IFERROR(__xludf.DUMMYFUNCTION("""COMPUTED_VALUE"""),0.713562)</f>
        <v>0.713562</v>
      </c>
      <c r="P29" s="25">
        <f>IFERROR(__xludf.DUMMYFUNCTION("""COMPUTED_VALUE"""),0.472402)</f>
        <v>0.472402</v>
      </c>
      <c r="Q29" s="25">
        <f>IFERROR(__xludf.DUMMYFUNCTION("""COMPUTED_VALUE"""),0.792998)</f>
        <v>0.792998</v>
      </c>
      <c r="R29" s="18">
        <f>IFERROR(__xludf.DUMMYFUNCTION("""COMPUTED_VALUE"""),3.503562)</f>
        <v>3.503562</v>
      </c>
      <c r="S29" s="18">
        <f>IFERROR(__xludf.DUMMYFUNCTION("""COMPUTED_VALUE"""),0.3095810706802225)</f>
        <v>0.3095810707</v>
      </c>
      <c r="T29" s="18">
        <f>IFERROR(__xludf.DUMMYFUNCTION("""COMPUTED_VALUE"""),-0.19789508227118077)</f>
        <v>-0.1978950823</v>
      </c>
      <c r="U29" s="18">
        <f>IFERROR(__xludf.DUMMYFUNCTION("""COMPUTED_VALUE"""),1.2843922399082426)</f>
        <v>1.28439224</v>
      </c>
      <c r="V29" s="18">
        <f>IFERROR(__xludf.DUMMYFUNCTION("""COMPUTED_VALUE"""),2.2821417137708284)</f>
        <v>2.282141714</v>
      </c>
      <c r="W29" s="18">
        <f>IFERROR(__xludf.DUMMYFUNCTION("""COMPUTED_VALUE"""),0.3010214870824666)</f>
        <v>0.3010214871</v>
      </c>
      <c r="X29" s="18">
        <f>IFERROR(__xludf.DUMMYFUNCTION("""COMPUTED_VALUE"""),-0.030288207975991605)</f>
        <v>-0.03028820798</v>
      </c>
      <c r="Y29" s="18">
        <f>IFERROR(__xludf.DUMMYFUNCTION("""COMPUTED_VALUE"""),-0.32327651500706567)</f>
        <v>-0.323276515</v>
      </c>
      <c r="Z29" s="18">
        <f>IFERROR(__xludf.DUMMYFUNCTION("""COMPUTED_VALUE"""),0.06293202380952635)</f>
        <v>0.06293202381</v>
      </c>
      <c r="AA29" s="18">
        <f>IFERROR(__xludf.DUMMYFUNCTION("""COMPUTED_VALUE"""),0.0)</f>
        <v>0</v>
      </c>
      <c r="AB29" t="str">
        <f>IFERROR(__xludf.DUMMYFUNCTION("SUBSTITUTE(REGEXREPLACE(REGEXREPLACE(REGEXREPLACE(REGEXREPLACE(REGEXREPLACE(REGEXREPLACE(F29,"","",),IF(Projections!$T$11="""",""PG"",),),IF(Projections!$U$11="""",""SG"",),),IF(Projections!$V$11="""",""SF"",),),IF(Projections!$W$11="""",""PF"",),),IF(Pro"&amp;"jections!$X$11="""",""C"",),),""/"","""")"),"G")</f>
        <v>G</v>
      </c>
    </row>
    <row r="30">
      <c r="A30" t="str">
        <f>IF(Projections!$AB$11,Draft!F4,"")</f>
        <v/>
      </c>
      <c r="B30">
        <f>IFERROR(__xludf.DUMMYFUNCTION("""COMPUTED_VALUE"""),25.0)</f>
        <v>25</v>
      </c>
      <c r="D30" t="str">
        <f>IFERROR(__xludf.DUMMYFUNCTION("""COMPUTED_VALUE"""),"Joel Embiid")</f>
        <v>Joel Embiid</v>
      </c>
      <c r="E30">
        <f>IFERROR(__xludf.DUMMYFUNCTION("""COMPUTED_VALUE"""),40.0)</f>
        <v>40</v>
      </c>
      <c r="F30" t="str">
        <f>IFERROR(__xludf.DUMMYFUNCTION("""COMPUTED_VALUE"""),"C")</f>
        <v>C</v>
      </c>
      <c r="G30" s="18">
        <f>IFERROR(__xludf.DUMMYFUNCTION("""COMPUTED_VALUE"""),3.494873778669361)</f>
        <v>3.494873779</v>
      </c>
      <c r="H30" s="18">
        <f>IFERROR(__xludf.DUMMYFUNCTION("""COMPUTED_VALUE"""),3.8909219130587647)</f>
        <v>3.890921913</v>
      </c>
      <c r="I30" s="18">
        <f>IFERROR(__xludf.DUMMYFUNCTION("""COMPUTED_VALUE"""),0.39604813438940356)</f>
        <v>0.3960481344</v>
      </c>
      <c r="J30" s="18">
        <f>IFERROR(__xludf.DUMMYFUNCTION("""COMPUTED_VALUE"""),24.878)</f>
        <v>24.878</v>
      </c>
      <c r="K30" s="18">
        <f>IFERROR(__xludf.DUMMYFUNCTION("""COMPUTED_VALUE"""),1.10175)</f>
        <v>1.10175</v>
      </c>
      <c r="L30" s="18">
        <f>IFERROR(__xludf.DUMMYFUNCTION("""COMPUTED_VALUE"""),8.415)</f>
        <v>8.415</v>
      </c>
      <c r="M30" s="18">
        <f>IFERROR(__xludf.DUMMYFUNCTION("""COMPUTED_VALUE"""),4.6145)</f>
        <v>4.6145</v>
      </c>
      <c r="N30" s="18">
        <f>IFERROR(__xludf.DUMMYFUNCTION("""COMPUTED_VALUE"""),0.86425)</f>
        <v>0.86425</v>
      </c>
      <c r="O30" s="18">
        <f>IFERROR(__xludf.DUMMYFUNCTION("""COMPUTED_VALUE"""),1.11375)</f>
        <v>1.11375</v>
      </c>
      <c r="P30" s="25">
        <f>IFERROR(__xludf.DUMMYFUNCTION("""COMPUTED_VALUE"""),0.487457)</f>
        <v>0.487457</v>
      </c>
      <c r="Q30" s="25">
        <f>IFERROR(__xludf.DUMMYFUNCTION("""COMPUTED_VALUE"""),0.874002)</f>
        <v>0.874002</v>
      </c>
      <c r="R30" s="18">
        <f>IFERROR(__xludf.DUMMYFUNCTION("""COMPUTED_VALUE"""),3.34575)</f>
        <v>3.34575</v>
      </c>
      <c r="S30" s="18">
        <f>IFERROR(__xludf.DUMMYFUNCTION("""COMPUTED_VALUE"""),1.3515031633369174)</f>
        <v>1.351503163</v>
      </c>
      <c r="T30" s="18">
        <f>IFERROR(__xludf.DUMMYFUNCTION("""COMPUTED_VALUE"""),-0.6449871082188768)</f>
        <v>-0.6449871082</v>
      </c>
      <c r="U30" s="18">
        <f>IFERROR(__xludf.DUMMYFUNCTION("""COMPUTED_VALUE"""),0.9276535023543536)</f>
        <v>0.9276535024</v>
      </c>
      <c r="V30" s="18">
        <f>IFERROR(__xludf.DUMMYFUNCTION("""COMPUTED_VALUE"""),0.37986968173066443)</f>
        <v>0.3798696817</v>
      </c>
      <c r="W30" s="18">
        <f>IFERROR(__xludf.DUMMYFUNCTION("""COMPUTED_VALUE"""),-0.5513588409060641)</f>
        <v>-0.5513588409</v>
      </c>
      <c r="X30" s="18">
        <f>IFERROR(__xludf.DUMMYFUNCTION("""COMPUTED_VALUE"""),0.6972504645506461)</f>
        <v>0.6972504646</v>
      </c>
      <c r="Y30" s="18">
        <f>IFERROR(__xludf.DUMMYFUNCTION("""COMPUTED_VALUE"""),-0.11312696705790615)</f>
        <v>-0.1131269671</v>
      </c>
      <c r="Z30" s="18">
        <f>IFERROR(__xludf.DUMMYFUNCTION("""COMPUTED_VALUE"""),1.1991309090501532)</f>
        <v>1.199130909</v>
      </c>
      <c r="AA30" s="18">
        <f>IFERROR(__xludf.DUMMYFUNCTION("""COMPUTED_VALUE"""),0.0)</f>
        <v>0</v>
      </c>
      <c r="AB30" t="str">
        <f>IFERROR(__xludf.DUMMYFUNCTION("SUBSTITUTE(REGEXREPLACE(REGEXREPLACE(REGEXREPLACE(REGEXREPLACE(REGEXREPLACE(REGEXREPLACE(F30,"","",),IF(Projections!$T$11="""",""PG"",),),IF(Projections!$U$11="""",""SG"",),),IF(Projections!$V$11="""",""SF"",),),IF(Projections!$W$11="""",""PF"",),),IF(Pro"&amp;"jections!$X$11="""",""C"",),),""/"","""")"),"C")</f>
        <v>C</v>
      </c>
    </row>
    <row r="31">
      <c r="A31" t="str">
        <f>IF(Projections!$AB$11,Draft!F5,"")</f>
        <v/>
      </c>
      <c r="B31">
        <f>IFERROR(__xludf.DUMMYFUNCTION("""COMPUTED_VALUE"""),26.0)</f>
        <v>26</v>
      </c>
      <c r="D31" t="str">
        <f>IFERROR(__xludf.DUMMYFUNCTION("""COMPUTED_VALUE"""),"Jamal Murray")</f>
        <v>Jamal Murray</v>
      </c>
      <c r="E31">
        <f>IFERROR(__xludf.DUMMYFUNCTION("""COMPUTED_VALUE"""),68.0)</f>
        <v>68</v>
      </c>
      <c r="F31" t="str">
        <f>IFERROR(__xludf.DUMMYFUNCTION("""COMPUTED_VALUE"""),"G")</f>
        <v>G</v>
      </c>
      <c r="G31" s="18">
        <f>IFERROR(__xludf.DUMMYFUNCTION("""COMPUTED_VALUE"""),3.454701502176612)</f>
        <v>3.454701502</v>
      </c>
      <c r="H31" s="18">
        <f>IFERROR(__xludf.DUMMYFUNCTION("""COMPUTED_VALUE"""),3.623732903407287)</f>
        <v>3.623732903</v>
      </c>
      <c r="I31" s="18">
        <f>IFERROR(__xludf.DUMMYFUNCTION("""COMPUTED_VALUE"""),0.16903140123067528)</f>
        <v>0.1690314012</v>
      </c>
      <c r="J31" s="18">
        <f>IFERROR(__xludf.DUMMYFUNCTION("""COMPUTED_VALUE"""),22.03706)</f>
        <v>22.03706</v>
      </c>
      <c r="K31" s="18">
        <f>IFERROR(__xludf.DUMMYFUNCTION("""COMPUTED_VALUE"""),2.417353)</f>
        <v>2.417353</v>
      </c>
      <c r="L31" s="18">
        <f>IFERROR(__xludf.DUMMYFUNCTION("""COMPUTED_VALUE"""),4.124118)</f>
        <v>4.124118</v>
      </c>
      <c r="M31" s="18">
        <f>IFERROR(__xludf.DUMMYFUNCTION("""COMPUTED_VALUE"""),6.407206)</f>
        <v>6.407206</v>
      </c>
      <c r="N31" s="18">
        <f>IFERROR(__xludf.DUMMYFUNCTION("""COMPUTED_VALUE"""),1.169118)</f>
        <v>1.169118</v>
      </c>
      <c r="O31" s="18">
        <f>IFERROR(__xludf.DUMMYFUNCTION("""COMPUTED_VALUE"""),0.444265)</f>
        <v>0.444265</v>
      </c>
      <c r="P31" s="25">
        <f>IFERROR(__xludf.DUMMYFUNCTION("""COMPUTED_VALUE"""),0.472484)</f>
        <v>0.472484</v>
      </c>
      <c r="Q31" s="25">
        <f>IFERROR(__xludf.DUMMYFUNCTION("""COMPUTED_VALUE"""),0.883991)</f>
        <v>0.883991</v>
      </c>
      <c r="R31" s="18">
        <f>IFERROR(__xludf.DUMMYFUNCTION("""COMPUTED_VALUE"""),2.430294)</f>
        <v>2.430294</v>
      </c>
      <c r="S31" s="18">
        <f>IFERROR(__xludf.DUMMYFUNCTION("""COMPUTED_VALUE"""),0.8530812293648302)</f>
        <v>0.8530812294</v>
      </c>
      <c r="T31" s="18">
        <f>IFERROR(__xludf.DUMMYFUNCTION("""COMPUTED_VALUE"""),0.6256662626731074)</f>
        <v>0.6256662627</v>
      </c>
      <c r="U31" s="18">
        <f>IFERROR(__xludf.DUMMYFUNCTION("""COMPUTED_VALUE"""),-0.8116709903810982)</f>
        <v>-0.8116709904</v>
      </c>
      <c r="V31" s="18">
        <f>IFERROR(__xludf.DUMMYFUNCTION("""COMPUTED_VALUE"""),1.2556325517385447)</f>
        <v>1.255632552</v>
      </c>
      <c r="W31" s="18">
        <f>IFERROR(__xludf.DUMMYFUNCTION("""COMPUTED_VALUE"""),0.3776440863941849)</f>
        <v>0.3776440864</v>
      </c>
      <c r="X31" s="18">
        <f>IFERROR(__xludf.DUMMYFUNCTION("""COMPUTED_VALUE"""),-0.5198680601839688)</f>
        <v>-0.5198680602</v>
      </c>
      <c r="Y31" s="18">
        <f>IFERROR(__xludf.DUMMYFUNCTION("""COMPUTED_VALUE"""),-0.32216877687106565)</f>
        <v>-0.3221687769</v>
      </c>
      <c r="Z31" s="18">
        <f>IFERROR(__xludf.DUMMYFUNCTION("""COMPUTED_VALUE"""),1.3537456102916543)</f>
        <v>1.35374561</v>
      </c>
      <c r="AA31" s="18">
        <f>IFERROR(__xludf.DUMMYFUNCTION("""COMPUTED_VALUE"""),0.0)</f>
        <v>0</v>
      </c>
      <c r="AB31" t="str">
        <f>IFERROR(__xludf.DUMMYFUNCTION("SUBSTITUTE(REGEXREPLACE(REGEXREPLACE(REGEXREPLACE(REGEXREPLACE(REGEXREPLACE(REGEXREPLACE(F31,"","",),IF(Projections!$T$11="""",""PG"",),),IF(Projections!$U$11="""",""SG"",),),IF(Projections!$V$11="""",""SF"",),),IF(Projections!$W$11="""",""PF"",),),IF(Pro"&amp;"jections!$X$11="""",""C"",),),""/"","""")"),"G")</f>
        <v>G</v>
      </c>
    </row>
    <row r="32">
      <c r="A32" t="str">
        <f>IF(Projections!$AB$11,Draft!F6,"")</f>
        <v/>
      </c>
      <c r="B32">
        <f>IFERROR(__xludf.DUMMYFUNCTION("""COMPUTED_VALUE"""),27.0)</f>
        <v>27</v>
      </c>
      <c r="D32" t="str">
        <f>IFERROR(__xludf.DUMMYFUNCTION("""COMPUTED_VALUE"""),"Dyson Daniels")</f>
        <v>Dyson Daniels</v>
      </c>
      <c r="E32">
        <f>IFERROR(__xludf.DUMMYFUNCTION("""COMPUTED_VALUE"""),73.0)</f>
        <v>73</v>
      </c>
      <c r="F32" t="str">
        <f>IFERROR(__xludf.DUMMYFUNCTION("""COMPUTED_VALUE"""),"G,F")</f>
        <v>G,F</v>
      </c>
      <c r="G32" s="18">
        <f>IFERROR(__xludf.DUMMYFUNCTION("""COMPUTED_VALUE"""),3.432847732301266)</f>
        <v>3.432847732</v>
      </c>
      <c r="H32" s="18">
        <f>IFERROR(__xludf.DUMMYFUNCTION("""COMPUTED_VALUE"""),3.4602185951039632)</f>
        <v>3.460218595</v>
      </c>
      <c r="I32" s="18">
        <f>IFERROR(__xludf.DUMMYFUNCTION("""COMPUTED_VALUE"""),0.027370862802697182)</f>
        <v>0.0273708628</v>
      </c>
      <c r="J32" s="18">
        <f>IFERROR(__xludf.DUMMYFUNCTION("""COMPUTED_VALUE"""),13.23932)</f>
        <v>13.23932</v>
      </c>
      <c r="K32" s="18">
        <f>IFERROR(__xludf.DUMMYFUNCTION("""COMPUTED_VALUE"""),0.888356)</f>
        <v>0.888356</v>
      </c>
      <c r="L32" s="18">
        <f>IFERROR(__xludf.DUMMYFUNCTION("""COMPUTED_VALUE"""),5.791507)</f>
        <v>5.791507</v>
      </c>
      <c r="M32" s="18">
        <f>IFERROR(__xludf.DUMMYFUNCTION("""COMPUTED_VALUE"""),4.433014)</f>
        <v>4.433014</v>
      </c>
      <c r="N32" s="18">
        <f>IFERROR(__xludf.DUMMYFUNCTION("""COMPUTED_VALUE"""),2.573973)</f>
        <v>2.573973</v>
      </c>
      <c r="O32" s="18">
        <f>IFERROR(__xludf.DUMMYFUNCTION("""COMPUTED_VALUE"""),0.645616)</f>
        <v>0.645616</v>
      </c>
      <c r="P32" s="25">
        <f>IFERROR(__xludf.DUMMYFUNCTION("""COMPUTED_VALUE"""),0.517168)</f>
        <v>0.517168</v>
      </c>
      <c r="Q32" s="25">
        <f>IFERROR(__xludf.DUMMYFUNCTION("""COMPUTED_VALUE"""),0.615955)</f>
        <v>0.615955</v>
      </c>
      <c r="R32" s="18">
        <f>IFERROR(__xludf.DUMMYFUNCTION("""COMPUTED_VALUE"""),1.859041)</f>
        <v>1.859041</v>
      </c>
      <c r="S32" s="18">
        <f>IFERROR(__xludf.DUMMYFUNCTION("""COMPUTED_VALUE"""),-0.6904172554266793)</f>
        <v>-0.6904172554</v>
      </c>
      <c r="T32" s="18">
        <f>IFERROR(__xludf.DUMMYFUNCTION("""COMPUTED_VALUE"""),-0.8510901692700633)</f>
        <v>-0.8510901693</v>
      </c>
      <c r="U32" s="18">
        <f>IFERROR(__xludf.DUMMYFUNCTION("""COMPUTED_VALUE"""),-0.1357888461931031)</f>
        <v>-0.1357888462</v>
      </c>
      <c r="V32" s="18">
        <f>IFERROR(__xludf.DUMMYFUNCTION("""COMPUTED_VALUE"""),0.2912111397130387)</f>
        <v>0.2912111397</v>
      </c>
      <c r="W32" s="18">
        <f>IFERROR(__xludf.DUMMYFUNCTION("""COMPUTED_VALUE"""),4.6585604417755)</f>
        <v>4.658560442</v>
      </c>
      <c r="X32" s="18">
        <f>IFERROR(__xludf.DUMMYFUNCTION("""COMPUTED_VALUE"""),-0.15381350769386162)</f>
        <v>-0.1538135077</v>
      </c>
      <c r="Y32" s="18">
        <f>IFERROR(__xludf.DUMMYFUNCTION("""COMPUTED_VALUE"""),0.34155679219913165)</f>
        <v>0.3415567922</v>
      </c>
      <c r="Z32" s="18">
        <f>IFERROR(__xludf.DUMMYFUNCTION("""COMPUTED_VALUE"""),-1.6913176256141311)</f>
        <v>-1.691317626</v>
      </c>
      <c r="AA32" s="18">
        <f>IFERROR(__xludf.DUMMYFUNCTION("""COMPUTED_VALUE"""),0.0)</f>
        <v>0</v>
      </c>
      <c r="AB32" t="str">
        <f>IFERROR(__xludf.DUMMYFUNCTION("SUBSTITUTE(REGEXREPLACE(REGEXREPLACE(REGEXREPLACE(REGEXREPLACE(REGEXREPLACE(REGEXREPLACE(F32,"","",),IF(Projections!$T$11="""",""PG"",),),IF(Projections!$U$11="""",""SG"",),),IF(Projections!$V$11="""",""SF"",),),IF(Projections!$W$11="""",""PF"",),),IF(Pro"&amp;"jections!$X$11="""",""C"",),),""/"","""")"),"GF")</f>
        <v>GF</v>
      </c>
    </row>
    <row r="33">
      <c r="A33" t="str">
        <f>IF(Projections!$AB$11,Draft!F7,"")</f>
        <v/>
      </c>
      <c r="B33">
        <f>IFERROR(__xludf.DUMMYFUNCTION("""COMPUTED_VALUE"""),28.0)</f>
        <v>28</v>
      </c>
      <c r="D33" t="str">
        <f>IFERROR(__xludf.DUMMYFUNCTION("""COMPUTED_VALUE"""),"Brandon Miller")</f>
        <v>Brandon Miller</v>
      </c>
      <c r="E33">
        <f>IFERROR(__xludf.DUMMYFUNCTION("""COMPUTED_VALUE"""),64.0)</f>
        <v>64</v>
      </c>
      <c r="F33" t="str">
        <f>IFERROR(__xludf.DUMMYFUNCTION("""COMPUTED_VALUE"""),"F")</f>
        <v>F</v>
      </c>
      <c r="G33" s="18">
        <f>IFERROR(__xludf.DUMMYFUNCTION("""COMPUTED_VALUE"""),3.4259028855265443)</f>
        <v>3.425902886</v>
      </c>
      <c r="H33" s="18">
        <f>IFERROR(__xludf.DUMMYFUNCTION("""COMPUTED_VALUE"""),3.626130439310011)</f>
        <v>3.626130439</v>
      </c>
      <c r="I33" s="18">
        <f>IFERROR(__xludf.DUMMYFUNCTION("""COMPUTED_VALUE"""),0.20022755378346657)</f>
        <v>0.2002275538</v>
      </c>
      <c r="J33" s="18">
        <f>IFERROR(__xludf.DUMMYFUNCTION("""COMPUTED_VALUE"""),22.05984)</f>
        <v>22.05984</v>
      </c>
      <c r="K33" s="18">
        <f>IFERROR(__xludf.DUMMYFUNCTION("""COMPUTED_VALUE"""),3.9725)</f>
        <v>3.9725</v>
      </c>
      <c r="L33" s="18">
        <f>IFERROR(__xludf.DUMMYFUNCTION("""COMPUTED_VALUE"""),4.958281)</f>
        <v>4.958281</v>
      </c>
      <c r="M33" s="18">
        <f>IFERROR(__xludf.DUMMYFUNCTION("""COMPUTED_VALUE"""),3.966719)</f>
        <v>3.966719</v>
      </c>
      <c r="N33" s="18">
        <f>IFERROR(__xludf.DUMMYFUNCTION("""COMPUTED_VALUE"""),1.058281)</f>
        <v>1.058281</v>
      </c>
      <c r="O33" s="18">
        <f>IFERROR(__xludf.DUMMYFUNCTION("""COMPUTED_VALUE"""),0.710313)</f>
        <v>0.710313</v>
      </c>
      <c r="P33" s="25">
        <f>IFERROR(__xludf.DUMMYFUNCTION("""COMPUTED_VALUE"""),0.420572)</f>
        <v>0.420572</v>
      </c>
      <c r="Q33" s="25">
        <f>IFERROR(__xludf.DUMMYFUNCTION("""COMPUTED_VALUE"""),0.864019)</f>
        <v>0.864019</v>
      </c>
      <c r="R33" s="18">
        <f>IFERROR(__xludf.DUMMYFUNCTION("""COMPUTED_VALUE"""),2.556094)</f>
        <v>2.556094</v>
      </c>
      <c r="S33" s="18">
        <f>IFERROR(__xludf.DUMMYFUNCTION("""COMPUTED_VALUE"""),0.8570778120648819)</f>
        <v>0.8570778121</v>
      </c>
      <c r="T33" s="18">
        <f>IFERROR(__xludf.DUMMYFUNCTION("""COMPUTED_VALUE"""),2.127679239066865)</f>
        <v>2.127679239</v>
      </c>
      <c r="U33" s="18">
        <f>IFERROR(__xludf.DUMMYFUNCTION("""COMPUTED_VALUE"""),-0.47354001012256786)</f>
        <v>-0.4735400101</v>
      </c>
      <c r="V33" s="18">
        <f>IFERROR(__xludf.DUMMYFUNCTION("""COMPUTED_VALUE"""),0.06341927229566825)</f>
        <v>0.0634192723</v>
      </c>
      <c r="W33" s="18">
        <f>IFERROR(__xludf.DUMMYFUNCTION("""COMPUTED_VALUE"""),0.039898250645015655)</f>
        <v>0.03989825065</v>
      </c>
      <c r="X33" s="18">
        <f>IFERROR(__xludf.DUMMYFUNCTION("""COMPUTED_VALUE"""),-0.036194864714922025)</f>
        <v>-0.03619486471</v>
      </c>
      <c r="Y33" s="18">
        <f>IFERROR(__xludf.DUMMYFUNCTION("""COMPUTED_VALUE"""),-0.9426230059093429)</f>
        <v>-0.9426230059</v>
      </c>
      <c r="Z33" s="18">
        <f>IFERROR(__xludf.DUMMYFUNCTION("""COMPUTED_VALUE"""),1.0477907400750697)</f>
        <v>1.04779074</v>
      </c>
      <c r="AA33" s="18">
        <f>IFERROR(__xludf.DUMMYFUNCTION("""COMPUTED_VALUE"""),0.0)</f>
        <v>0</v>
      </c>
      <c r="AB33" t="str">
        <f>IFERROR(__xludf.DUMMYFUNCTION("SUBSTITUTE(REGEXREPLACE(REGEXREPLACE(REGEXREPLACE(REGEXREPLACE(REGEXREPLACE(REGEXREPLACE(F33,"","",),IF(Projections!$T$11="""",""PG"",),),IF(Projections!$U$11="""",""SG"",),),IF(Projections!$V$11="""",""SF"",),),IF(Projections!$W$11="""",""PF"",),),IF(Pro"&amp;"jections!$X$11="""",""C"",),),""/"","""")"),"F")</f>
        <v>F</v>
      </c>
    </row>
    <row r="34">
      <c r="A34" t="str">
        <f>IF(Projections!$AB$11,Draft!F8,"")</f>
        <v/>
      </c>
      <c r="B34">
        <f>IFERROR(__xludf.DUMMYFUNCTION("""COMPUTED_VALUE"""),29.0)</f>
        <v>29</v>
      </c>
      <c r="D34" t="str">
        <f>IFERROR(__xludf.DUMMYFUNCTION("""COMPUTED_VALUE"""),"Karl-Anthony Towns")</f>
        <v>Karl-Anthony Towns</v>
      </c>
      <c r="E34">
        <f>IFERROR(__xludf.DUMMYFUNCTION("""COMPUTED_VALUE"""),68.0)</f>
        <v>68</v>
      </c>
      <c r="F34" t="str">
        <f>IFERROR(__xludf.DUMMYFUNCTION("""COMPUTED_VALUE"""),"C")</f>
        <v>C</v>
      </c>
      <c r="G34" s="18">
        <f>IFERROR(__xludf.DUMMYFUNCTION("""COMPUTED_VALUE"""),3.416527446359273)</f>
        <v>3.416527446</v>
      </c>
      <c r="H34" s="18">
        <f>IFERROR(__xludf.DUMMYFUNCTION("""COMPUTED_VALUE"""),3.7306648497982797)</f>
        <v>3.73066485</v>
      </c>
      <c r="I34" s="18">
        <f>IFERROR(__xludf.DUMMYFUNCTION("""COMPUTED_VALUE"""),0.31413740343900676)</f>
        <v>0.3141374034</v>
      </c>
      <c r="J34" s="18">
        <f>IFERROR(__xludf.DUMMYFUNCTION("""COMPUTED_VALUE"""),23.65838)</f>
        <v>23.65838</v>
      </c>
      <c r="K34" s="18">
        <f>IFERROR(__xludf.DUMMYFUNCTION("""COMPUTED_VALUE"""),2.223676)</f>
        <v>2.223676</v>
      </c>
      <c r="L34" s="18">
        <f>IFERROR(__xludf.DUMMYFUNCTION("""COMPUTED_VALUE"""),10.51882)</f>
        <v>10.51882</v>
      </c>
      <c r="M34" s="18">
        <f>IFERROR(__xludf.DUMMYFUNCTION("""COMPUTED_VALUE"""),3.506176)</f>
        <v>3.506176</v>
      </c>
      <c r="N34" s="18">
        <f>IFERROR(__xludf.DUMMYFUNCTION("""COMPUTED_VALUE"""),0.905294)</f>
        <v>0.905294</v>
      </c>
      <c r="O34" s="18">
        <f>IFERROR(__xludf.DUMMYFUNCTION("""COMPUTED_VALUE"""),0.563676)</f>
        <v>0.563676</v>
      </c>
      <c r="P34" s="25">
        <f>IFERROR(__xludf.DUMMYFUNCTION("""COMPUTED_VALUE"""),0.513486)</f>
        <v>0.513486</v>
      </c>
      <c r="Q34" s="25">
        <f>IFERROR(__xludf.DUMMYFUNCTION("""COMPUTED_VALUE"""),0.83001)</f>
        <v>0.83001</v>
      </c>
      <c r="R34" s="18">
        <f>IFERROR(__xludf.DUMMYFUNCTION("""COMPUTED_VALUE"""),3.015441)</f>
        <v>3.015441</v>
      </c>
      <c r="S34" s="18">
        <f>IFERROR(__xludf.DUMMYFUNCTION("""COMPUTED_VALUE"""),1.1375298449595366)</f>
        <v>1.137529845</v>
      </c>
      <c r="T34" s="18">
        <f>IFERROR(__xludf.DUMMYFUNCTION("""COMPUTED_VALUE"""),0.4386065395543197)</f>
        <v>0.4386065396</v>
      </c>
      <c r="U34" s="18">
        <f>IFERROR(__xludf.DUMMYFUNCTION("""COMPUTED_VALUE"""),1.7804445262759392)</f>
        <v>1.780444526</v>
      </c>
      <c r="V34" s="18">
        <f>IFERROR(__xludf.DUMMYFUNCTION("""COMPUTED_VALUE"""),-0.16156265973448)</f>
        <v>-0.1615626597</v>
      </c>
      <c r="W34" s="18">
        <f>IFERROR(__xludf.DUMMYFUNCTION("""COMPUTED_VALUE"""),-0.42628833121625914)</f>
        <v>-0.4262883312</v>
      </c>
      <c r="X34" s="18">
        <f>IFERROR(__xludf.DUMMYFUNCTION("""COMPUTED_VALUE"""),-0.3027797906079738)</f>
        <v>-0.3027797906</v>
      </c>
      <c r="Y34" s="18">
        <f>IFERROR(__xludf.DUMMYFUNCTION("""COMPUTED_VALUE"""),0.28233014483782864)</f>
        <v>0.2823301448</v>
      </c>
      <c r="Z34" s="18">
        <f>IFERROR(__xludf.DUMMYFUNCTION("""COMPUTED_VALUE"""),0.556096244513109)</f>
        <v>0.5560962445</v>
      </c>
      <c r="AA34" s="18">
        <f>IFERROR(__xludf.DUMMYFUNCTION("""COMPUTED_VALUE"""),0.0)</f>
        <v>0</v>
      </c>
      <c r="AB34" t="str">
        <f>IFERROR(__xludf.DUMMYFUNCTION("SUBSTITUTE(REGEXREPLACE(REGEXREPLACE(REGEXREPLACE(REGEXREPLACE(REGEXREPLACE(REGEXREPLACE(F34,"","",),IF(Projections!$T$11="""",""PG"",),),IF(Projections!$U$11="""",""SG"",),),IF(Projections!$V$11="""",""SF"",),),IF(Projections!$W$11="""",""PF"",),),IF(Pro"&amp;"jections!$X$11="""",""C"",),),""/"","""")"),"C")</f>
        <v>C</v>
      </c>
    </row>
    <row r="35">
      <c r="A35" t="str">
        <f>IF(Projections!$AB$11,Draft!F9,"")</f>
        <v/>
      </c>
      <c r="B35">
        <f>IFERROR(__xludf.DUMMYFUNCTION("""COMPUTED_VALUE"""),30.0)</f>
        <v>30</v>
      </c>
      <c r="D35" t="str">
        <f>IFERROR(__xludf.DUMMYFUNCTION("""COMPUTED_VALUE"""),"Ja Morant")</f>
        <v>Ja Morant</v>
      </c>
      <c r="E35">
        <f>IFERROR(__xludf.DUMMYFUNCTION("""COMPUTED_VALUE"""),60.0)</f>
        <v>60</v>
      </c>
      <c r="F35" t="str">
        <f>IFERROR(__xludf.DUMMYFUNCTION("""COMPUTED_VALUE"""),"G")</f>
        <v>G</v>
      </c>
      <c r="G35" s="18">
        <f>IFERROR(__xludf.DUMMYFUNCTION("""COMPUTED_VALUE"""),3.3451789310669007)</f>
        <v>3.345178931</v>
      </c>
      <c r="H35" s="18">
        <f>IFERROR(__xludf.DUMMYFUNCTION("""COMPUTED_VALUE"""),3.8299012611501415)</f>
        <v>3.829901261</v>
      </c>
      <c r="I35" s="18">
        <f>IFERROR(__xludf.DUMMYFUNCTION("""COMPUTED_VALUE"""),0.48472233008324084)</f>
        <v>0.4847223301</v>
      </c>
      <c r="J35" s="18">
        <f>IFERROR(__xludf.DUMMYFUNCTION("""COMPUTED_VALUE"""),27.12117)</f>
        <v>27.12117</v>
      </c>
      <c r="K35" s="18">
        <f>IFERROR(__xludf.DUMMYFUNCTION("""COMPUTED_VALUE"""),2.123333)</f>
        <v>2.123333</v>
      </c>
      <c r="L35" s="18">
        <f>IFERROR(__xludf.DUMMYFUNCTION("""COMPUTED_VALUE"""),5.148)</f>
        <v>5.148</v>
      </c>
      <c r="M35" s="18">
        <f>IFERROR(__xludf.DUMMYFUNCTION("""COMPUTED_VALUE"""),7.7935)</f>
        <v>7.7935</v>
      </c>
      <c r="N35" s="18">
        <f>IFERROR(__xludf.DUMMYFUNCTION("""COMPUTED_VALUE"""),1.144)</f>
        <v>1.144</v>
      </c>
      <c r="O35" s="18">
        <f>IFERROR(__xludf.DUMMYFUNCTION("""COMPUTED_VALUE"""),0.284667)</f>
        <v>0.284667</v>
      </c>
      <c r="P35" s="25">
        <f>IFERROR(__xludf.DUMMYFUNCTION("""COMPUTED_VALUE"""),0.469307)</f>
        <v>0.469307</v>
      </c>
      <c r="Q35" s="25">
        <f>IFERROR(__xludf.DUMMYFUNCTION("""COMPUTED_VALUE"""),0.808988)</f>
        <v>0.808988</v>
      </c>
      <c r="R35" s="18">
        <f>IFERROR(__xludf.DUMMYFUNCTION("""COMPUTED_VALUE"""),3.703333)</f>
        <v>3.703333</v>
      </c>
      <c r="S35" s="18">
        <f>IFERROR(__xludf.DUMMYFUNCTION("""COMPUTED_VALUE"""),1.7450507671681024)</f>
        <v>1.745050767</v>
      </c>
      <c r="T35" s="18">
        <f>IFERROR(__xludf.DUMMYFUNCTION("""COMPUTED_VALUE"""),0.3416919147051711)</f>
        <v>0.3416919147</v>
      </c>
      <c r="U35" s="18">
        <f>IFERROR(__xludf.DUMMYFUNCTION("""COMPUTED_VALUE"""),-0.3966367292965568)</f>
        <v>-0.3966367293</v>
      </c>
      <c r="V35" s="18">
        <f>IFERROR(__xludf.DUMMYFUNCTION("""COMPUTED_VALUE"""),1.9328572679578822)</f>
        <v>1.932857268</v>
      </c>
      <c r="W35" s="18">
        <f>IFERROR(__xludf.DUMMYFUNCTION("""COMPUTED_VALUE"""),0.3011037622934993)</f>
        <v>0.3011037623</v>
      </c>
      <c r="X35" s="18">
        <f>IFERROR(__xludf.DUMMYFUNCTION("""COMPUTED_VALUE"""),-0.8100159833048678)</f>
        <v>-0.8100159833</v>
      </c>
      <c r="Y35" s="18">
        <f>IFERROR(__xludf.DUMMYFUNCTION("""COMPUTED_VALUE"""),-0.3647914993061033)</f>
        <v>-0.3647914993</v>
      </c>
      <c r="Z35" s="18">
        <f>IFERROR(__xludf.DUMMYFUNCTION("""COMPUTED_VALUE"""),0.27062577762814677)</f>
        <v>0.2706257776</v>
      </c>
      <c r="AA35" s="18">
        <f>IFERROR(__xludf.DUMMYFUNCTION("""COMPUTED_VALUE"""),0.0)</f>
        <v>0</v>
      </c>
      <c r="AB35" t="str">
        <f>IFERROR(__xludf.DUMMYFUNCTION("SUBSTITUTE(REGEXREPLACE(REGEXREPLACE(REGEXREPLACE(REGEXREPLACE(REGEXREPLACE(REGEXREPLACE(F35,"","",),IF(Projections!$T$11="""",""PG"",),),IF(Projections!$U$11="""",""SG"",),),IF(Projections!$V$11="""",""SF"",),),IF(Projections!$W$11="""",""PF"",),),IF(Pro"&amp;"jections!$X$11="""",""C"",),),""/"","""")"),"G")</f>
        <v>G</v>
      </c>
    </row>
    <row r="36">
      <c r="A36" t="str">
        <f>IF(Projections!$AB$11,Draft!F10,"")</f>
        <v/>
      </c>
      <c r="B36">
        <f>IFERROR(__xludf.DUMMYFUNCTION("""COMPUTED_VALUE"""),31.0)</f>
        <v>31</v>
      </c>
      <c r="D36" t="str">
        <f>IFERROR(__xludf.DUMMYFUNCTION("""COMPUTED_VALUE"""),"Kristaps Porzingis")</f>
        <v>Kristaps Porzingis</v>
      </c>
      <c r="E36">
        <f>IFERROR(__xludf.DUMMYFUNCTION("""COMPUTED_VALUE"""),55.0)</f>
        <v>55</v>
      </c>
      <c r="F36" t="str">
        <f>IFERROR(__xludf.DUMMYFUNCTION("""COMPUTED_VALUE"""),"C")</f>
        <v>C</v>
      </c>
      <c r="G36" s="18">
        <f>IFERROR(__xludf.DUMMYFUNCTION("""COMPUTED_VALUE"""),3.2821345453158175)</f>
        <v>3.282134545</v>
      </c>
      <c r="H36" s="18">
        <f>IFERROR(__xludf.DUMMYFUNCTION("""COMPUTED_VALUE"""),3.1912980280675853)</f>
        <v>3.191298028</v>
      </c>
      <c r="I36" s="18">
        <f>IFERROR(__xludf.DUMMYFUNCTION("""COMPUTED_VALUE"""),-0.09083651724823216)</f>
        <v>-0.09083651725</v>
      </c>
      <c r="J36" s="18">
        <f>IFERROR(__xludf.DUMMYFUNCTION("""COMPUTED_VALUE"""),21.42764)</f>
        <v>21.42764</v>
      </c>
      <c r="K36" s="18">
        <f>IFERROR(__xludf.DUMMYFUNCTION("""COMPUTED_VALUE"""),2.510909)</f>
        <v>2.510909</v>
      </c>
      <c r="L36" s="18">
        <f>IFERROR(__xludf.DUMMYFUNCTION("""COMPUTED_VALUE"""),7.54)</f>
        <v>7.54</v>
      </c>
      <c r="M36" s="18">
        <f>IFERROR(__xludf.DUMMYFUNCTION("""COMPUTED_VALUE"""),2.136364)</f>
        <v>2.136364</v>
      </c>
      <c r="N36" s="18">
        <f>IFERROR(__xludf.DUMMYFUNCTION("""COMPUTED_VALUE"""),0.762545)</f>
        <v>0.762545</v>
      </c>
      <c r="O36" s="18">
        <f>IFERROR(__xludf.DUMMYFUNCTION("""COMPUTED_VALUE"""),1.633636)</f>
        <v>1.633636</v>
      </c>
      <c r="P36" s="25">
        <f>IFERROR(__xludf.DUMMYFUNCTION("""COMPUTED_VALUE"""),0.470257)</f>
        <v>0.470257</v>
      </c>
      <c r="Q36" s="25">
        <f>IFERROR(__xludf.DUMMYFUNCTION("""COMPUTED_VALUE"""),0.839992)</f>
        <v>0.839992</v>
      </c>
      <c r="R36" s="18">
        <f>IFERROR(__xludf.DUMMYFUNCTION("""COMPUTED_VALUE"""),1.382364)</f>
        <v>1.382364</v>
      </c>
      <c r="S36" s="18">
        <f>IFERROR(__xludf.DUMMYFUNCTION("""COMPUTED_VALUE"""),0.7461629927947973)</f>
        <v>0.7461629928</v>
      </c>
      <c r="T36" s="18">
        <f>IFERROR(__xludf.DUMMYFUNCTION("""COMPUTED_VALUE"""),0.7160257759663808)</f>
        <v>0.716025776</v>
      </c>
      <c r="U36" s="18">
        <f>IFERROR(__xludf.DUMMYFUNCTION("""COMPUTED_VALUE"""),0.5729690968769904)</f>
        <v>0.5729690969</v>
      </c>
      <c r="V36" s="18">
        <f>IFERROR(__xludf.DUMMYFUNCTION("""COMPUTED_VALUE"""),-0.8307356800128938)</f>
        <v>-0.83073568</v>
      </c>
      <c r="W36" s="18">
        <f>IFERROR(__xludf.DUMMYFUNCTION("""COMPUTED_VALUE"""),-0.8612773719459625)</f>
        <v>-0.8612773719</v>
      </c>
      <c r="X36" s="18">
        <f>IFERROR(__xludf.DUMMYFUNCTION("""COMPUTED_VALUE"""),1.6423991704218457)</f>
        <v>1.64239917</v>
      </c>
      <c r="Y36" s="18">
        <f>IFERROR(__xludf.DUMMYFUNCTION("""COMPUTED_VALUE"""),-0.3521098259748993)</f>
        <v>-0.352109826</v>
      </c>
      <c r="Z36" s="18">
        <f>IFERROR(__xludf.DUMMYFUNCTION("""COMPUTED_VALUE"""),0.6965864979953642)</f>
        <v>0.696586498</v>
      </c>
      <c r="AA36" s="18">
        <f>IFERROR(__xludf.DUMMYFUNCTION("""COMPUTED_VALUE"""),0.0)</f>
        <v>0</v>
      </c>
      <c r="AB36" t="str">
        <f>IFERROR(__xludf.DUMMYFUNCTION("SUBSTITUTE(REGEXREPLACE(REGEXREPLACE(REGEXREPLACE(REGEXREPLACE(REGEXREPLACE(REGEXREPLACE(F36,"","",),IF(Projections!$T$11="""",""PG"",),),IF(Projections!$U$11="""",""SG"",),),IF(Projections!$V$11="""",""SF"",),),IF(Projections!$W$11="""",""PF"",),),IF(Pro"&amp;"jections!$X$11="""",""C"",),),""/"","""")"),"C")</f>
        <v>C</v>
      </c>
    </row>
    <row r="37">
      <c r="A37" t="str">
        <f>IF(Projections!$AB$11,Draft!F11,"")</f>
        <v/>
      </c>
      <c r="B37">
        <f>IFERROR(__xludf.DUMMYFUNCTION("""COMPUTED_VALUE"""),32.0)</f>
        <v>32</v>
      </c>
      <c r="D37" t="str">
        <f>IFERROR(__xludf.DUMMYFUNCTION("""COMPUTED_VALUE"""),"Rudy Gobert")</f>
        <v>Rudy Gobert</v>
      </c>
      <c r="E37">
        <f>IFERROR(__xludf.DUMMYFUNCTION("""COMPUTED_VALUE"""),73.0)</f>
        <v>73</v>
      </c>
      <c r="F37" t="str">
        <f>IFERROR(__xludf.DUMMYFUNCTION("""COMPUTED_VALUE"""),"C")</f>
        <v>C</v>
      </c>
      <c r="G37" s="18">
        <f>IFERROR(__xludf.DUMMYFUNCTION("""COMPUTED_VALUE"""),3.278584080343165)</f>
        <v>3.27858408</v>
      </c>
      <c r="H37" s="18">
        <f>IFERROR(__xludf.DUMMYFUNCTION("""COMPUTED_VALUE"""),3.090448300772013)</f>
        <v>3.090448301</v>
      </c>
      <c r="I37" s="18">
        <f>IFERROR(__xludf.DUMMYFUNCTION("""COMPUTED_VALUE"""),-0.18813577957115202)</f>
        <v>-0.1881357796</v>
      </c>
      <c r="J37" s="18">
        <f>IFERROR(__xludf.DUMMYFUNCTION("""COMPUTED_VALUE"""),12.37959)</f>
        <v>12.37959</v>
      </c>
      <c r="K37" s="18">
        <f>IFERROR(__xludf.DUMMYFUNCTION("""COMPUTED_VALUE"""),0.0)</f>
        <v>0</v>
      </c>
      <c r="L37" s="18">
        <f>IFERROR(__xludf.DUMMYFUNCTION("""COMPUTED_VALUE"""),11.41795)</f>
        <v>11.41795</v>
      </c>
      <c r="M37" s="18">
        <f>IFERROR(__xludf.DUMMYFUNCTION("""COMPUTED_VALUE"""),1.517945)</f>
        <v>1.517945</v>
      </c>
      <c r="N37" s="18">
        <f>IFERROR(__xludf.DUMMYFUNCTION("""COMPUTED_VALUE"""),0.853699)</f>
        <v>0.853699</v>
      </c>
      <c r="O37" s="18">
        <f>IFERROR(__xludf.DUMMYFUNCTION("""COMPUTED_VALUE"""),1.253973)</f>
        <v>1.253973</v>
      </c>
      <c r="P37" s="25">
        <f>IFERROR(__xludf.DUMMYFUNCTION("""COMPUTED_VALUE"""),0.679039)</f>
        <v>0.679039</v>
      </c>
      <c r="Q37" s="25">
        <f>IFERROR(__xludf.DUMMYFUNCTION("""COMPUTED_VALUE"""),0.677008)</f>
        <v>0.677008</v>
      </c>
      <c r="R37" s="18">
        <f>IFERROR(__xludf.DUMMYFUNCTION("""COMPUTED_VALUE"""),0.99)</f>
        <v>0.99</v>
      </c>
      <c r="S37" s="18">
        <f>IFERROR(__xludf.DUMMYFUNCTION("""COMPUTED_VALUE"""),-0.8412505321920535)</f>
        <v>-0.8412505322</v>
      </c>
      <c r="T37" s="18">
        <f>IFERROR(__xludf.DUMMYFUNCTION("""COMPUTED_VALUE"""),-1.7090941005108098)</f>
        <v>-1.709094101</v>
      </c>
      <c r="U37" s="18">
        <f>IFERROR(__xludf.DUMMYFUNCTION("""COMPUTED_VALUE"""),2.1449101142723523)</f>
        <v>2.144910114</v>
      </c>
      <c r="V37" s="18">
        <f>IFERROR(__xludf.DUMMYFUNCTION("""COMPUTED_VALUE"""),-1.1328423267845356)</f>
        <v>-1.132842327</v>
      </c>
      <c r="W37" s="18">
        <f>IFERROR(__xludf.DUMMYFUNCTION("""COMPUTED_VALUE"""),-0.5835101650396068)</f>
        <v>-0.583510165</v>
      </c>
      <c r="X37" s="18">
        <f>IFERROR(__xludf.DUMMYFUNCTION("""COMPUTED_VALUE"""),0.9521747883127346)</f>
        <v>0.9521747883</v>
      </c>
      <c r="Y37" s="18">
        <f>IFERROR(__xludf.DUMMYFUNCTION("""COMPUTED_VALUE"""),3.7503391319068333)</f>
        <v>3.750339132</v>
      </c>
      <c r="Z37" s="18">
        <f>IFERROR(__xludf.DUMMYFUNCTION("""COMPUTED_VALUE"""),-1.1993727097037112)</f>
        <v>-1.19937271</v>
      </c>
      <c r="AA37" s="18">
        <f>IFERROR(__xludf.DUMMYFUNCTION("""COMPUTED_VALUE"""),0.0)</f>
        <v>0</v>
      </c>
      <c r="AB37" t="str">
        <f>IFERROR(__xludf.DUMMYFUNCTION("SUBSTITUTE(REGEXREPLACE(REGEXREPLACE(REGEXREPLACE(REGEXREPLACE(REGEXREPLACE(REGEXREPLACE(F37,"","",),IF(Projections!$T$11="""",""PG"",),),IF(Projections!$U$11="""",""SG"",),),IF(Projections!$V$11="""",""SF"",),),IF(Projections!$W$11="""",""PF"",),),IF(Pro"&amp;"jections!$X$11="""",""C"",),),""/"","""")"),"C")</f>
        <v>C</v>
      </c>
    </row>
    <row r="38">
      <c r="A38" t="str">
        <f>IF(Projections!$AB$11,Draft!F12,"")</f>
        <v/>
      </c>
      <c r="B38">
        <f>IFERROR(__xludf.DUMMYFUNCTION("""COMPUTED_VALUE"""),33.0)</f>
        <v>33</v>
      </c>
      <c r="D38" t="str">
        <f>IFERROR(__xludf.DUMMYFUNCTION("""COMPUTED_VALUE"""),"Jaren Jackson Jr.")</f>
        <v>Jaren Jackson Jr.</v>
      </c>
      <c r="E38">
        <f>IFERROR(__xludf.DUMMYFUNCTION("""COMPUTED_VALUE"""),62.0)</f>
        <v>62</v>
      </c>
      <c r="F38" t="str">
        <f>IFERROR(__xludf.DUMMYFUNCTION("""COMPUTED_VALUE"""),"F,C")</f>
        <v>F,C</v>
      </c>
      <c r="G38" s="18">
        <f>IFERROR(__xludf.DUMMYFUNCTION("""COMPUTED_VALUE"""),3.2167988930686735)</f>
        <v>3.216798893</v>
      </c>
      <c r="H38" s="18">
        <f>IFERROR(__xludf.DUMMYFUNCTION("""COMPUTED_VALUE"""),3.1958110077539836)</f>
        <v>3.195811008</v>
      </c>
      <c r="I38" s="18">
        <f>IFERROR(__xludf.DUMMYFUNCTION("""COMPUTED_VALUE"""),-0.02098788531468987)</f>
        <v>-0.02098788531</v>
      </c>
      <c r="J38" s="18">
        <f>IFERROR(__xludf.DUMMYFUNCTION("""COMPUTED_VALUE"""),23.20919)</f>
        <v>23.20919</v>
      </c>
      <c r="K38" s="18">
        <f>IFERROR(__xludf.DUMMYFUNCTION("""COMPUTED_VALUE"""),2.403871)</f>
        <v>2.403871</v>
      </c>
      <c r="L38" s="18">
        <f>IFERROR(__xludf.DUMMYFUNCTION("""COMPUTED_VALUE"""),6.170645)</f>
        <v>6.170645</v>
      </c>
      <c r="M38" s="18">
        <f>IFERROR(__xludf.DUMMYFUNCTION("""COMPUTED_VALUE"""),1.733387)</f>
        <v>1.733387</v>
      </c>
      <c r="N38" s="18">
        <f>IFERROR(__xludf.DUMMYFUNCTION("""COMPUTED_VALUE"""),1.191129)</f>
        <v>1.191129</v>
      </c>
      <c r="O38" s="18">
        <f>IFERROR(__xludf.DUMMYFUNCTION("""COMPUTED_VALUE"""),1.514516)</f>
        <v>1.514516</v>
      </c>
      <c r="P38" s="25">
        <f>IFERROR(__xludf.DUMMYFUNCTION("""COMPUTED_VALUE"""),0.473105)</f>
        <v>0.473105</v>
      </c>
      <c r="Q38" s="25">
        <f>IFERROR(__xludf.DUMMYFUNCTION("""COMPUTED_VALUE"""),0.784009)</f>
        <v>0.784009</v>
      </c>
      <c r="R38" s="18">
        <f>IFERROR(__xludf.DUMMYFUNCTION("""COMPUTED_VALUE"""),1.664032)</f>
        <v>1.664032</v>
      </c>
      <c r="S38" s="18">
        <f>IFERROR(__xludf.DUMMYFUNCTION("""COMPUTED_VALUE"""),1.058722778101059)</f>
        <v>1.058722778</v>
      </c>
      <c r="T38" s="18">
        <f>IFERROR(__xludf.DUMMYFUNCTION("""COMPUTED_VALUE"""),0.6126448962378185)</f>
        <v>0.6126448962</v>
      </c>
      <c r="U38" s="18">
        <f>IFERROR(__xludf.DUMMYFUNCTION("""COMPUTED_VALUE"""),0.017896109377041745)</f>
        <v>0.01789610938</v>
      </c>
      <c r="V38" s="18">
        <f>IFERROR(__xludf.DUMMYFUNCTION("""COMPUTED_VALUE"""),-1.0275957865039556)</f>
        <v>-1.027595787</v>
      </c>
      <c r="W38" s="18">
        <f>IFERROR(__xludf.DUMMYFUNCTION("""COMPUTED_VALUE"""),0.4447166667660369)</f>
        <v>0.4447166668</v>
      </c>
      <c r="X38" s="18">
        <f>IFERROR(__xludf.DUMMYFUNCTION("""COMPUTED_VALUE"""),1.4258399365833168)</f>
        <v>1.425839937</v>
      </c>
      <c r="Y38" s="18">
        <f>IFERROR(__xludf.DUMMYFUNCTION("""COMPUTED_VALUE"""),-0.3137665725742191)</f>
        <v>-0.3137665726</v>
      </c>
      <c r="Z38" s="18">
        <f>IFERROR(__xludf.DUMMYFUNCTION("""COMPUTED_VALUE"""),-0.05024280673707034)</f>
        <v>-0.05024280674</v>
      </c>
      <c r="AA38" s="18">
        <f>IFERROR(__xludf.DUMMYFUNCTION("""COMPUTED_VALUE"""),0.0)</f>
        <v>0</v>
      </c>
      <c r="AB38" t="str">
        <f>IFERROR(__xludf.DUMMYFUNCTION("SUBSTITUTE(REGEXREPLACE(REGEXREPLACE(REGEXREPLACE(REGEXREPLACE(REGEXREPLACE(REGEXREPLACE(F38,"","",),IF(Projections!$T$11="""",""PG"",),),IF(Projections!$U$11="""",""SG"",),),IF(Projections!$V$11="""",""SF"",),),IF(Projections!$W$11="""",""PF"",),),IF(Pro"&amp;"jections!$X$11="""",""C"",),),""/"","""")"),"FC")</f>
        <v>FC</v>
      </c>
    </row>
    <row r="39">
      <c r="A39" t="str">
        <f>IF(Projections!$AB$11,Draft!F13,"")</f>
        <v/>
      </c>
      <c r="B39">
        <f>IFERROR(__xludf.DUMMYFUNCTION("""COMPUTED_VALUE"""),34.0)</f>
        <v>34</v>
      </c>
      <c r="D39" t="str">
        <f>IFERROR(__xludf.DUMMYFUNCTION("""COMPUTED_VALUE"""),"Evan Mobley")</f>
        <v>Evan Mobley</v>
      </c>
      <c r="E39">
        <f>IFERROR(__xludf.DUMMYFUNCTION("""COMPUTED_VALUE"""),73.0)</f>
        <v>73</v>
      </c>
      <c r="F39" t="str">
        <f>IFERROR(__xludf.DUMMYFUNCTION("""COMPUTED_VALUE"""),"F,C")</f>
        <v>F,C</v>
      </c>
      <c r="G39" s="18">
        <f>IFERROR(__xludf.DUMMYFUNCTION("""COMPUTED_VALUE"""),3.1736384988155177)</f>
        <v>3.173638499</v>
      </c>
      <c r="H39" s="18">
        <f>IFERROR(__xludf.DUMMYFUNCTION("""COMPUTED_VALUE"""),3.2577734641932876)</f>
        <v>3.257773464</v>
      </c>
      <c r="I39" s="18">
        <f>IFERROR(__xludf.DUMMYFUNCTION("""COMPUTED_VALUE"""),0.08413496537776988)</f>
        <v>0.08413496538</v>
      </c>
      <c r="J39" s="18">
        <f>IFERROR(__xludf.DUMMYFUNCTION("""COMPUTED_VALUE"""),19.13356)</f>
        <v>19.13356</v>
      </c>
      <c r="K39" s="18">
        <f>IFERROR(__xludf.DUMMYFUNCTION("""COMPUTED_VALUE"""),1.494247)</f>
        <v>1.494247</v>
      </c>
      <c r="L39" s="18">
        <f>IFERROR(__xludf.DUMMYFUNCTION("""COMPUTED_VALUE"""),9.58863)</f>
        <v>9.58863</v>
      </c>
      <c r="M39" s="18">
        <f>IFERROR(__xludf.DUMMYFUNCTION("""COMPUTED_VALUE"""),3.587671)</f>
        <v>3.587671</v>
      </c>
      <c r="N39" s="18">
        <f>IFERROR(__xludf.DUMMYFUNCTION("""COMPUTED_VALUE"""),0.847534)</f>
        <v>0.847534</v>
      </c>
      <c r="O39" s="18">
        <f>IFERROR(__xludf.DUMMYFUNCTION("""COMPUTED_VALUE"""),1.696575)</f>
        <v>1.696575</v>
      </c>
      <c r="P39" s="25">
        <f>IFERROR(__xludf.DUMMYFUNCTION("""COMPUTED_VALUE"""),0.540956)</f>
        <v>0.540956</v>
      </c>
      <c r="Q39" s="25">
        <f>IFERROR(__xludf.DUMMYFUNCTION("""COMPUTED_VALUE"""),0.694007)</f>
        <v>0.694007</v>
      </c>
      <c r="R39" s="18">
        <f>IFERROR(__xludf.DUMMYFUNCTION("""COMPUTED_VALUE"""),2.087945)</f>
        <v>2.087945</v>
      </c>
      <c r="S39" s="18">
        <f>IFERROR(__xludf.DUMMYFUNCTION("""COMPUTED_VALUE"""),0.34368360558961647)</f>
        <v>0.3436836056</v>
      </c>
      <c r="T39" s="18">
        <f>IFERROR(__xludf.DUMMYFUNCTION("""COMPUTED_VALUE"""),-0.2659003806004454)</f>
        <v>-0.2659003806</v>
      </c>
      <c r="U39" s="18">
        <f>IFERROR(__xludf.DUMMYFUNCTION("""COMPUTED_VALUE"""),1.4033886552690948)</f>
        <v>1.403388655</v>
      </c>
      <c r="V39" s="18">
        <f>IFERROR(__xludf.DUMMYFUNCTION("""COMPUTED_VALUE"""),-0.12175117079469175)</f>
        <v>-0.1217511708</v>
      </c>
      <c r="W39" s="18">
        <f>IFERROR(__xludf.DUMMYFUNCTION("""COMPUTED_VALUE"""),-0.6022963382253989)</f>
        <v>-0.6022963382</v>
      </c>
      <c r="X39" s="18">
        <f>IFERROR(__xludf.DUMMYFUNCTION("""COMPUTED_VALUE"""),1.7568217830692863)</f>
        <v>1.756821783</v>
      </c>
      <c r="Y39" s="18">
        <f>IFERROR(__xludf.DUMMYFUNCTION("""COMPUTED_VALUE"""),0.7438273098858259)</f>
        <v>0.7438273099</v>
      </c>
      <c r="Z39" s="18">
        <f>IFERROR(__xludf.DUMMYFUNCTION("""COMPUTED_VALUE"""),-1.0412275593667863)</f>
        <v>-1.041227559</v>
      </c>
      <c r="AA39" s="18">
        <f>IFERROR(__xludf.DUMMYFUNCTION("""COMPUTED_VALUE"""),0.0)</f>
        <v>0</v>
      </c>
      <c r="AB39" t="str">
        <f>IFERROR(__xludf.DUMMYFUNCTION("SUBSTITUTE(REGEXREPLACE(REGEXREPLACE(REGEXREPLACE(REGEXREPLACE(REGEXREPLACE(REGEXREPLACE(F39,"","",),IF(Projections!$T$11="""",""PG"",),),IF(Projections!$U$11="""",""SG"",),),IF(Projections!$V$11="""",""SF"",),),IF(Projections!$W$11="""",""PF"",),),IF(Pro"&amp;"jections!$X$11="""",""C"",),),""/"","""")"),"FC")</f>
        <v>FC</v>
      </c>
    </row>
    <row r="40">
      <c r="A40" t="str">
        <f>IF(Projections!$AB$11,Draft!F14,"")</f>
        <v/>
      </c>
      <c r="B40">
        <f>IFERROR(__xludf.DUMMYFUNCTION("""COMPUTED_VALUE"""),35.0)</f>
        <v>35</v>
      </c>
      <c r="D40" t="str">
        <f>IFERROR(__xludf.DUMMYFUNCTION("""COMPUTED_VALUE"""),"Scottie Barnes")</f>
        <v>Scottie Barnes</v>
      </c>
      <c r="E40">
        <f>IFERROR(__xludf.DUMMYFUNCTION("""COMPUTED_VALUE"""),64.0)</f>
        <v>64</v>
      </c>
      <c r="F40" t="str">
        <f>IFERROR(__xludf.DUMMYFUNCTION("""COMPUTED_VALUE"""),"F")</f>
        <v>F</v>
      </c>
      <c r="G40" s="18">
        <f>IFERROR(__xludf.DUMMYFUNCTION("""COMPUTED_VALUE"""),3.148091343392539)</f>
        <v>3.148091343</v>
      </c>
      <c r="H40" s="18">
        <f>IFERROR(__xludf.DUMMYFUNCTION("""COMPUTED_VALUE"""),3.4311216198651335)</f>
        <v>3.43112162</v>
      </c>
      <c r="I40" s="18">
        <f>IFERROR(__xludf.DUMMYFUNCTION("""COMPUTED_VALUE"""),0.2830302764725947)</f>
        <v>0.2830302765</v>
      </c>
      <c r="J40" s="18">
        <f>IFERROR(__xludf.DUMMYFUNCTION("""COMPUTED_VALUE"""),20.02125)</f>
        <v>20.02125</v>
      </c>
      <c r="K40" s="18">
        <f>IFERROR(__xludf.DUMMYFUNCTION("""COMPUTED_VALUE"""),1.262188)</f>
        <v>1.262188</v>
      </c>
      <c r="L40" s="18">
        <f>IFERROR(__xludf.DUMMYFUNCTION("""COMPUTED_VALUE"""),8.486719)</f>
        <v>8.486719</v>
      </c>
      <c r="M40" s="18">
        <f>IFERROR(__xludf.DUMMYFUNCTION("""COMPUTED_VALUE"""),6.008281)</f>
        <v>6.008281</v>
      </c>
      <c r="N40" s="18">
        <f>IFERROR(__xludf.DUMMYFUNCTION("""COMPUTED_VALUE"""),1.427031)</f>
        <v>1.427031</v>
      </c>
      <c r="O40" s="18">
        <f>IFERROR(__xludf.DUMMYFUNCTION("""COMPUTED_VALUE"""),1.10875)</f>
        <v>1.10875</v>
      </c>
      <c r="P40" s="25">
        <f>IFERROR(__xludf.DUMMYFUNCTION("""COMPUTED_VALUE"""),0.462938)</f>
        <v>0.462938</v>
      </c>
      <c r="Q40" s="25">
        <f>IFERROR(__xludf.DUMMYFUNCTION("""COMPUTED_VALUE"""),0.746995)</f>
        <v>0.746995</v>
      </c>
      <c r="R40" s="18">
        <f>IFERROR(__xludf.DUMMYFUNCTION("""COMPUTED_VALUE"""),2.89)</f>
        <v>2.89</v>
      </c>
      <c r="S40" s="18">
        <f>IFERROR(__xludf.DUMMYFUNCTION("""COMPUTED_VALUE"""),0.49942225778490457)</f>
        <v>0.4994222578</v>
      </c>
      <c r="T40" s="18">
        <f>IFERROR(__xludf.DUMMYFUNCTION("""COMPUTED_VALUE"""),-0.49003072280536814)</f>
        <v>-0.4900307228</v>
      </c>
      <c r="U40" s="18">
        <f>IFERROR(__xludf.DUMMYFUNCTION("""COMPUTED_VALUE"""),0.956725057641704)</f>
        <v>0.9567250576</v>
      </c>
      <c r="V40" s="18">
        <f>IFERROR(__xludf.DUMMYFUNCTION("""COMPUTED_VALUE"""),1.0607519059896635)</f>
        <v>1.060751906</v>
      </c>
      <c r="W40" s="18">
        <f>IFERROR(__xludf.DUMMYFUNCTION("""COMPUTED_VALUE"""),1.163564327248551)</f>
        <v>1.163564327</v>
      </c>
      <c r="X40" s="18">
        <f>IFERROR(__xludf.DUMMYFUNCTION("""COMPUTED_VALUE"""),0.6881605034257916)</f>
        <v>0.6881605034</v>
      </c>
      <c r="Y40" s="18">
        <f>IFERROR(__xludf.DUMMYFUNCTION("""COMPUTED_VALUE"""),-0.4484118103684189)</f>
        <v>-0.4484118104</v>
      </c>
      <c r="Z40" s="18">
        <f>IFERROR(__xludf.DUMMYFUNCTION("""COMPUTED_VALUE"""),-0.48909062185706226)</f>
        <v>-0.4890906219</v>
      </c>
      <c r="AA40" s="18">
        <f>IFERROR(__xludf.DUMMYFUNCTION("""COMPUTED_VALUE"""),0.0)</f>
        <v>0</v>
      </c>
      <c r="AB40" t="str">
        <f>IFERROR(__xludf.DUMMYFUNCTION("SUBSTITUTE(REGEXREPLACE(REGEXREPLACE(REGEXREPLACE(REGEXREPLACE(REGEXREPLACE(REGEXREPLACE(F40,"","",),IF(Projections!$T$11="""",""PG"",),),IF(Projections!$U$11="""",""SG"",),),IF(Projections!$V$11="""",""SF"",),),IF(Projections!$W$11="""",""PF"",),),IF(Pro"&amp;"jections!$X$11="""",""C"",),),""/"","""")"),"F")</f>
        <v>F</v>
      </c>
    </row>
    <row r="41">
      <c r="A41" t="str">
        <f>IF(Projections!$AB$11,Draft!G3,"")</f>
        <v/>
      </c>
      <c r="B41">
        <f>IFERROR(__xludf.DUMMYFUNCTION("""COMPUTED_VALUE"""),36.0)</f>
        <v>36</v>
      </c>
      <c r="D41" t="str">
        <f>IFERROR(__xludf.DUMMYFUNCTION("""COMPUTED_VALUE"""),"Jalen Johnson")</f>
        <v>Jalen Johnson</v>
      </c>
      <c r="E41">
        <f>IFERROR(__xludf.DUMMYFUNCTION("""COMPUTED_VALUE"""),68.0)</f>
        <v>68</v>
      </c>
      <c r="F41" t="str">
        <f>IFERROR(__xludf.DUMMYFUNCTION("""COMPUTED_VALUE"""),"F")</f>
        <v>F</v>
      </c>
      <c r="G41" s="18">
        <f>IFERROR(__xludf.DUMMYFUNCTION("""COMPUTED_VALUE"""),3.1277998924942625)</f>
        <v>3.127799892</v>
      </c>
      <c r="H41" s="18">
        <f>IFERROR(__xludf.DUMMYFUNCTION("""COMPUTED_VALUE"""),3.3899704077551265)</f>
        <v>3.389970408</v>
      </c>
      <c r="I41" s="18">
        <f>IFERROR(__xludf.DUMMYFUNCTION("""COMPUTED_VALUE"""),0.262170515260864)</f>
        <v>0.2621705153</v>
      </c>
      <c r="J41" s="18">
        <f>IFERROR(__xludf.DUMMYFUNCTION("""COMPUTED_VALUE"""),19.61265)</f>
        <v>19.61265</v>
      </c>
      <c r="K41" s="18">
        <f>IFERROR(__xludf.DUMMYFUNCTION("""COMPUTED_VALUE"""),1.142059)</f>
        <v>1.142059</v>
      </c>
      <c r="L41" s="18">
        <f>IFERROR(__xludf.DUMMYFUNCTION("""COMPUTED_VALUE"""),9.251618)</f>
        <v>9.251618</v>
      </c>
      <c r="M41" s="18">
        <f>IFERROR(__xludf.DUMMYFUNCTION("""COMPUTED_VALUE"""),5.156618)</f>
        <v>5.156618</v>
      </c>
      <c r="N41" s="18">
        <f>IFERROR(__xludf.DUMMYFUNCTION("""COMPUTED_VALUE"""),1.372206)</f>
        <v>1.372206</v>
      </c>
      <c r="O41" s="18">
        <f>IFERROR(__xludf.DUMMYFUNCTION("""COMPUTED_VALUE"""),0.834118)</f>
        <v>0.834118</v>
      </c>
      <c r="P41" s="25">
        <f>IFERROR(__xludf.DUMMYFUNCTION("""COMPUTED_VALUE"""),0.51443)</f>
        <v>0.51443</v>
      </c>
      <c r="Q41" s="25">
        <f>IFERROR(__xludf.DUMMYFUNCTION("""COMPUTED_VALUE"""),0.752021)</f>
        <v>0.752021</v>
      </c>
      <c r="R41" s="18">
        <f>IFERROR(__xludf.DUMMYFUNCTION("""COMPUTED_VALUE"""),2.805882)</f>
        <v>2.805882</v>
      </c>
      <c r="S41" s="18">
        <f>IFERROR(__xludf.DUMMYFUNCTION("""COMPUTED_VALUE"""),0.42773640654517586)</f>
        <v>0.4277364065</v>
      </c>
      <c r="T41" s="18">
        <f>IFERROR(__xludf.DUMMYFUNCTION("""COMPUTED_VALUE"""),-0.6060553280942611)</f>
        <v>-0.6060553281</v>
      </c>
      <c r="U41" s="18">
        <f>IFERROR(__xludf.DUMMYFUNCTION("""COMPUTED_VALUE"""),1.2667796257162525)</f>
        <v>1.266779626</v>
      </c>
      <c r="V41" s="18">
        <f>IFERROR(__xludf.DUMMYFUNCTION("""COMPUTED_VALUE"""),0.6447021838603678)</f>
        <v>0.6447021839</v>
      </c>
      <c r="W41" s="18">
        <f>IFERROR(__xludf.DUMMYFUNCTION("""COMPUTED_VALUE"""),0.9964999404016663)</f>
        <v>0.9964999404</v>
      </c>
      <c r="X41" s="18">
        <f>IFERROR(__xludf.DUMMYFUNCTION("""COMPUTED_VALUE"""),0.18888166269759513)</f>
        <v>0.1888816627</v>
      </c>
      <c r="Y41" s="18">
        <f>IFERROR(__xludf.DUMMYFUNCTION("""COMPUTED_VALUE"""),0.2974371718437915)</f>
        <v>0.2974371718</v>
      </c>
      <c r="Z41" s="18">
        <f>IFERROR(__xludf.DUMMYFUNCTION("""COMPUTED_VALUE"""),-0.4320665833097232)</f>
        <v>-0.4320665833</v>
      </c>
      <c r="AA41" s="18">
        <f>IFERROR(__xludf.DUMMYFUNCTION("""COMPUTED_VALUE"""),0.0)</f>
        <v>0</v>
      </c>
      <c r="AB41" t="str">
        <f>IFERROR(__xludf.DUMMYFUNCTION("SUBSTITUTE(REGEXREPLACE(REGEXREPLACE(REGEXREPLACE(REGEXREPLACE(REGEXREPLACE(REGEXREPLACE(F41,"","",),IF(Projections!$T$11="""",""PG"",),),IF(Projections!$U$11="""",""SG"",),),IF(Projections!$V$11="""",""SF"",),),IF(Projections!$W$11="""",""PF"",),),IF(Pro"&amp;"jections!$X$11="""",""C"",),),""/"","""")"),"F")</f>
        <v>F</v>
      </c>
    </row>
    <row r="42">
      <c r="A42" t="str">
        <f>IF(Projections!$AB$11,Draft!G4,"")</f>
        <v/>
      </c>
      <c r="B42">
        <f>IFERROR(__xludf.DUMMYFUNCTION("""COMPUTED_VALUE"""),37.0)</f>
        <v>37</v>
      </c>
      <c r="D42" t="str">
        <f>IFERROR(__xludf.DUMMYFUNCTION("""COMPUTED_VALUE"""),"Jalen Duren")</f>
        <v>Jalen Duren</v>
      </c>
      <c r="E42">
        <f>IFERROR(__xludf.DUMMYFUNCTION("""COMPUTED_VALUE"""),73.0)</f>
        <v>73</v>
      </c>
      <c r="F42" t="str">
        <f>IFERROR(__xludf.DUMMYFUNCTION("""COMPUTED_VALUE"""),"C")</f>
        <v>C</v>
      </c>
      <c r="G42" s="18">
        <f>IFERROR(__xludf.DUMMYFUNCTION("""COMPUTED_VALUE"""),3.0779464973686106)</f>
        <v>3.077946497</v>
      </c>
      <c r="H42" s="18">
        <f>IFERROR(__xludf.DUMMYFUNCTION("""COMPUTED_VALUE"""),3.0806210673527072)</f>
        <v>3.080621067</v>
      </c>
      <c r="I42" s="18">
        <f>IFERROR(__xludf.DUMMYFUNCTION("""COMPUTED_VALUE"""),0.002674569984096653)</f>
        <v>0.002674569984</v>
      </c>
      <c r="J42" s="18">
        <f>IFERROR(__xludf.DUMMYFUNCTION("""COMPUTED_VALUE"""),12.57548)</f>
        <v>12.57548</v>
      </c>
      <c r="K42" s="18">
        <f>IFERROR(__xludf.DUMMYFUNCTION("""COMPUTED_VALUE"""),0.006712)</f>
        <v>0.006712</v>
      </c>
      <c r="L42" s="18">
        <f>IFERROR(__xludf.DUMMYFUNCTION("""COMPUTED_VALUE"""),10.73753)</f>
        <v>10.73753</v>
      </c>
      <c r="M42" s="18">
        <f>IFERROR(__xludf.DUMMYFUNCTION("""COMPUTED_VALUE"""),2.853699)</f>
        <v>2.853699</v>
      </c>
      <c r="N42" s="18">
        <f>IFERROR(__xludf.DUMMYFUNCTION("""COMPUTED_VALUE"""),0.796849)</f>
        <v>0.796849</v>
      </c>
      <c r="O42" s="18">
        <f>IFERROR(__xludf.DUMMYFUNCTION("""COMPUTED_VALUE"""),1.078219)</f>
        <v>1.078219</v>
      </c>
      <c r="P42" s="25">
        <f>IFERROR(__xludf.DUMMYFUNCTION("""COMPUTED_VALUE"""),0.681451)</f>
        <v>0.681451</v>
      </c>
      <c r="Q42" s="25">
        <f>IFERROR(__xludf.DUMMYFUNCTION("""COMPUTED_VALUE"""),0.678018)</f>
        <v>0.678018</v>
      </c>
      <c r="R42" s="18">
        <f>IFERROR(__xludf.DUMMYFUNCTION("""COMPUTED_VALUE"""),1.759452)</f>
        <v>1.759452</v>
      </c>
      <c r="S42" s="18">
        <f>IFERROR(__xludf.DUMMYFUNCTION("""COMPUTED_VALUE"""),-0.806883078938626)</f>
        <v>-0.8068830789</v>
      </c>
      <c r="T42" s="18">
        <f>IFERROR(__xludf.DUMMYFUNCTION("""COMPUTED_VALUE"""),-1.702611426462919)</f>
        <v>-1.702611426</v>
      </c>
      <c r="U42" s="18">
        <f>IFERROR(__xludf.DUMMYFUNCTION("""COMPUTED_VALUE"""),1.8690994135010295)</f>
        <v>1.869099414</v>
      </c>
      <c r="V42" s="18">
        <f>IFERROR(__xludf.DUMMYFUNCTION("""COMPUTED_VALUE"""),-0.48030713324777846)</f>
        <v>-0.4803071332</v>
      </c>
      <c r="W42" s="18">
        <f>IFERROR(__xludf.DUMMYFUNCTION("""COMPUTED_VALUE"""),-0.7567451927139417)</f>
        <v>-0.7567451927</v>
      </c>
      <c r="X42" s="18">
        <f>IFERROR(__xludf.DUMMYFUNCTION("""COMPUTED_VALUE"""),0.6326553828052065)</f>
        <v>0.6326553828</v>
      </c>
      <c r="Y42" s="18">
        <f>IFERROR(__xludf.DUMMYFUNCTION("""COMPUTED_VALUE"""),3.813035850216261)</f>
        <v>3.81303585</v>
      </c>
      <c r="Z42" s="18">
        <f>IFERROR(__xludf.DUMMYFUNCTION("""COMPUTED_VALUE"""),-1.1902341742694436)</f>
        <v>-1.190234174</v>
      </c>
      <c r="AA42" s="18">
        <f>IFERROR(__xludf.DUMMYFUNCTION("""COMPUTED_VALUE"""),0.0)</f>
        <v>0</v>
      </c>
      <c r="AB42" t="str">
        <f>IFERROR(__xludf.DUMMYFUNCTION("SUBSTITUTE(REGEXREPLACE(REGEXREPLACE(REGEXREPLACE(REGEXREPLACE(REGEXREPLACE(REGEXREPLACE(F42,"","",),IF(Projections!$T$11="""",""PG"",),),IF(Projections!$U$11="""",""SG"",),),IF(Projections!$V$11="""",""SF"",),),IF(Projections!$W$11="""",""PF"",),),IF(Pro"&amp;"jections!$X$11="""",""C"",),),""/"","""")"),"C")</f>
        <v>C</v>
      </c>
    </row>
    <row r="43">
      <c r="A43" t="str">
        <f>IF(Projections!$AB$11,Draft!G5,"")</f>
        <v/>
      </c>
      <c r="B43">
        <f>IFERROR(__xludf.DUMMYFUNCTION("""COMPUTED_VALUE"""),38.0)</f>
        <v>38</v>
      </c>
      <c r="D43" t="str">
        <f>IFERROR(__xludf.DUMMYFUNCTION("""COMPUTED_VALUE"""),"Tyler Herro")</f>
        <v>Tyler Herro</v>
      </c>
      <c r="E43">
        <f>IFERROR(__xludf.DUMMYFUNCTION("""COMPUTED_VALUE"""),47.0)</f>
        <v>47</v>
      </c>
      <c r="F43" t="str">
        <f>IFERROR(__xludf.DUMMYFUNCTION("""COMPUTED_VALUE"""),"G")</f>
        <v>G</v>
      </c>
      <c r="G43" s="18">
        <f>IFERROR(__xludf.DUMMYFUNCTION("""COMPUTED_VALUE"""),3.049674242398632)</f>
        <v>3.049674242</v>
      </c>
      <c r="H43" s="18">
        <f>IFERROR(__xludf.DUMMYFUNCTION("""COMPUTED_VALUE"""),3.236202519111559)</f>
        <v>3.236202519</v>
      </c>
      <c r="I43" s="18">
        <f>IFERROR(__xludf.DUMMYFUNCTION("""COMPUTED_VALUE"""),0.18652827671292727)</f>
        <v>0.1865282767</v>
      </c>
      <c r="J43" s="18">
        <f>IFERROR(__xludf.DUMMYFUNCTION("""COMPUTED_VALUE"""),23.14511)</f>
        <v>23.14511</v>
      </c>
      <c r="K43" s="18">
        <f>IFERROR(__xludf.DUMMYFUNCTION("""COMPUTED_VALUE"""),2.425745)</f>
        <v>2.425745</v>
      </c>
      <c r="L43" s="18">
        <f>IFERROR(__xludf.DUMMYFUNCTION("""COMPUTED_VALUE"""),4.789787)</f>
        <v>4.789787</v>
      </c>
      <c r="M43" s="18">
        <f>IFERROR(__xludf.DUMMYFUNCTION("""COMPUTED_VALUE"""),5.553404)</f>
        <v>5.553404</v>
      </c>
      <c r="N43" s="18">
        <f>IFERROR(__xludf.DUMMYFUNCTION("""COMPUTED_VALUE"""),1.04)</f>
        <v>1.04</v>
      </c>
      <c r="O43" s="18">
        <f>IFERROR(__xludf.DUMMYFUNCTION("""COMPUTED_VALUE"""),0.277872)</f>
        <v>0.277872</v>
      </c>
      <c r="P43" s="25">
        <f>IFERROR(__xludf.DUMMYFUNCTION("""COMPUTED_VALUE"""),0.483199)</f>
        <v>0.483199</v>
      </c>
      <c r="Q43" s="25">
        <f>IFERROR(__xludf.DUMMYFUNCTION("""COMPUTED_VALUE"""),0.889982)</f>
        <v>0.889982</v>
      </c>
      <c r="R43" s="18">
        <f>IFERROR(__xludf.DUMMYFUNCTION("""COMPUTED_VALUE"""),2.500851)</f>
        <v>2.500851</v>
      </c>
      <c r="S43" s="18">
        <f>IFERROR(__xludf.DUMMYFUNCTION("""COMPUTED_VALUE"""),1.0474804155277802)</f>
        <v>1.047480416</v>
      </c>
      <c r="T43" s="18">
        <f>IFERROR(__xludf.DUMMYFUNCTION("""COMPUTED_VALUE"""),0.6337715368998503)</f>
        <v>0.6337715369</v>
      </c>
      <c r="U43" s="18">
        <f>IFERROR(__xludf.DUMMYFUNCTION("""COMPUTED_VALUE"""),-0.5418396606557143)</f>
        <v>-0.5418396607</v>
      </c>
      <c r="V43" s="18">
        <f>IFERROR(__xludf.DUMMYFUNCTION("""COMPUTED_VALUE"""),0.8385378970999879)</f>
        <v>0.8385378971</v>
      </c>
      <c r="W43" s="18">
        <f>IFERROR(__xludf.DUMMYFUNCTION("""COMPUTED_VALUE"""),-0.015808161684175464)</f>
        <v>-0.01580816168</v>
      </c>
      <c r="X43" s="18">
        <f>IFERROR(__xludf.DUMMYFUNCTION("""COMPUTED_VALUE"""),-0.8223692404735448)</f>
        <v>-0.8223692405</v>
      </c>
      <c r="Y43" s="18">
        <f>IFERROR(__xludf.DUMMYFUNCTION("""COMPUTED_VALUE"""),-0.17394452354558984)</f>
        <v>-0.1739445235</v>
      </c>
      <c r="Z43" s="18">
        <f>IFERROR(__xludf.DUMMYFUNCTION("""COMPUTED_VALUE"""),1.4480050154694202)</f>
        <v>1.448005015</v>
      </c>
      <c r="AA43" s="18">
        <f>IFERROR(__xludf.DUMMYFUNCTION("""COMPUTED_VALUE"""),0.0)</f>
        <v>0</v>
      </c>
      <c r="AB43" t="str">
        <f>IFERROR(__xludf.DUMMYFUNCTION("SUBSTITUTE(REGEXREPLACE(REGEXREPLACE(REGEXREPLACE(REGEXREPLACE(REGEXREPLACE(REGEXREPLACE(F43,"","",),IF(Projections!$T$11="""",""PG"",),),IF(Projections!$U$11="""",""SG"",),),IF(Projections!$V$11="""",""SF"",),),IF(Projections!$W$11="""",""PF"",),),IF(Pro"&amp;"jections!$X$11="""",""C"",),),""/"","""")"),"G")</f>
        <v>G</v>
      </c>
    </row>
    <row r="44">
      <c r="A44" t="str">
        <f>IF(Projections!$AB$11,Draft!G6,"")</f>
        <v/>
      </c>
      <c r="B44">
        <f>IFERROR(__xludf.DUMMYFUNCTION("""COMPUTED_VALUE"""),39.0)</f>
        <v>39</v>
      </c>
      <c r="D44" t="str">
        <f>IFERROR(__xludf.DUMMYFUNCTION("""COMPUTED_VALUE"""),"Myles Turner")</f>
        <v>Myles Turner</v>
      </c>
      <c r="E44">
        <f>IFERROR(__xludf.DUMMYFUNCTION("""COMPUTED_VALUE"""),73.0)</f>
        <v>73</v>
      </c>
      <c r="F44" t="str">
        <f>IFERROR(__xludf.DUMMYFUNCTION("""COMPUTED_VALUE"""),"C")</f>
        <v>C</v>
      </c>
      <c r="G44" s="18">
        <f>IFERROR(__xludf.DUMMYFUNCTION("""COMPUTED_VALUE"""),2.9193975552791693)</f>
        <v>2.919397555</v>
      </c>
      <c r="H44" s="18">
        <f>IFERROR(__xludf.DUMMYFUNCTION("""COMPUTED_VALUE"""),2.886505287585332)</f>
        <v>2.886505288</v>
      </c>
      <c r="I44" s="18">
        <f>IFERROR(__xludf.DUMMYFUNCTION("""COMPUTED_VALUE"""),-0.03289226769383724)</f>
        <v>-0.03289226769</v>
      </c>
      <c r="J44" s="18">
        <f>IFERROR(__xludf.DUMMYFUNCTION("""COMPUTED_VALUE"""),17.20205)</f>
        <v>17.20205</v>
      </c>
      <c r="K44" s="18">
        <f>IFERROR(__xludf.DUMMYFUNCTION("""COMPUTED_VALUE"""),2.200137)</f>
        <v>2.200137</v>
      </c>
      <c r="L44" s="18">
        <f>IFERROR(__xludf.DUMMYFUNCTION("""COMPUTED_VALUE"""),6.867945)</f>
        <v>6.867945</v>
      </c>
      <c r="M44" s="18">
        <f>IFERROR(__xludf.DUMMYFUNCTION("""COMPUTED_VALUE"""),1.749589)</f>
        <v>1.749589</v>
      </c>
      <c r="N44" s="18">
        <f>IFERROR(__xludf.DUMMYFUNCTION("""COMPUTED_VALUE"""),0.752603)</f>
        <v>0.752603</v>
      </c>
      <c r="O44" s="18">
        <f>IFERROR(__xludf.DUMMYFUNCTION("""COMPUTED_VALUE"""),2.356712)</f>
        <v>2.356712</v>
      </c>
      <c r="P44" s="25">
        <f>IFERROR(__xludf.DUMMYFUNCTION("""COMPUTED_VALUE"""),0.506691)</f>
        <v>0.506691</v>
      </c>
      <c r="Q44" s="25">
        <f>IFERROR(__xludf.DUMMYFUNCTION("""COMPUTED_VALUE"""),0.781993)</f>
        <v>0.781993</v>
      </c>
      <c r="R44" s="18">
        <f>IFERROR(__xludf.DUMMYFUNCTION("""COMPUTED_VALUE"""),1.616027)</f>
        <v>1.616027</v>
      </c>
      <c r="S44" s="18">
        <f>IFERROR(__xludf.DUMMYFUNCTION("""COMPUTED_VALUE"""),0.004814446196448743)</f>
        <v>0.004814446196</v>
      </c>
      <c r="T44" s="18">
        <f>IFERROR(__xludf.DUMMYFUNCTION("""COMPUTED_VALUE"""),0.41587178621503196)</f>
        <v>0.4158717862</v>
      </c>
      <c r="U44" s="18">
        <f>IFERROR(__xludf.DUMMYFUNCTION("""COMPUTED_VALUE"""),0.30054917902203077)</f>
        <v>0.300549179</v>
      </c>
      <c r="V44" s="18">
        <f>IFERROR(__xludf.DUMMYFUNCTION("""COMPUTED_VALUE"""),-1.0196808746222148)</f>
        <v>-1.019680875</v>
      </c>
      <c r="W44" s="18">
        <f>IFERROR(__xludf.DUMMYFUNCTION("""COMPUTED_VALUE"""),-0.891572932986213)</f>
        <v>-0.891572933</v>
      </c>
      <c r="X44" s="18">
        <f>IFERROR(__xludf.DUMMYFUNCTION("""COMPUTED_VALUE"""),2.9569457164848734)</f>
        <v>2.956945716</v>
      </c>
      <c r="Y44" s="18">
        <f>IFERROR(__xludf.DUMMYFUNCTION("""COMPUTED_VALUE"""),0.17516804446330547)</f>
        <v>0.1751680445</v>
      </c>
      <c r="Z44" s="18">
        <f>IFERROR(__xludf.DUMMYFUNCTION("""COMPUTED_VALUE"""),-0.07527095181014538)</f>
        <v>-0.07527095181</v>
      </c>
      <c r="AA44" s="18">
        <f>IFERROR(__xludf.DUMMYFUNCTION("""COMPUTED_VALUE"""),0.0)</f>
        <v>0</v>
      </c>
      <c r="AB44" t="str">
        <f>IFERROR(__xludf.DUMMYFUNCTION("SUBSTITUTE(REGEXREPLACE(REGEXREPLACE(REGEXREPLACE(REGEXREPLACE(REGEXREPLACE(REGEXREPLACE(F44,"","",),IF(Projections!$T$11="""",""PG"",),),IF(Projections!$U$11="""",""SG"",),),IF(Projections!$V$11="""",""SF"",),),IF(Projections!$W$11="""",""PF"",),),IF(Pro"&amp;"jections!$X$11="""",""C"",),),""/"","""")"),"C")</f>
        <v>C</v>
      </c>
    </row>
    <row r="45">
      <c r="A45" t="str">
        <f>IF(Projections!$AB$11,Draft!G7,"")</f>
        <v/>
      </c>
      <c r="B45">
        <f>IFERROR(__xludf.DUMMYFUNCTION("""COMPUTED_VALUE"""),40.0)</f>
        <v>40</v>
      </c>
      <c r="D45" t="str">
        <f>IFERROR(__xludf.DUMMYFUNCTION("""COMPUTED_VALUE"""),"Payton Pritchard")</f>
        <v>Payton Pritchard</v>
      </c>
      <c r="E45">
        <f>IFERROR(__xludf.DUMMYFUNCTION("""COMPUTED_VALUE"""),66.0)</f>
        <v>66</v>
      </c>
      <c r="F45" t="str">
        <f>IFERROR(__xludf.DUMMYFUNCTION("""COMPUTED_VALUE"""),"G")</f>
        <v>G</v>
      </c>
      <c r="G45" s="18">
        <f>IFERROR(__xludf.DUMMYFUNCTION("""COMPUTED_VALUE"""),2.852011912127984)</f>
        <v>2.852011912</v>
      </c>
      <c r="H45" s="18">
        <f>IFERROR(__xludf.DUMMYFUNCTION("""COMPUTED_VALUE"""),2.810035314891489)</f>
        <v>2.810035315</v>
      </c>
      <c r="I45" s="18">
        <f>IFERROR(__xludf.DUMMYFUNCTION("""COMPUTED_VALUE"""),-0.04197659723649494)</f>
        <v>-0.04197659724</v>
      </c>
      <c r="J45" s="18">
        <f>IFERROR(__xludf.DUMMYFUNCTION("""COMPUTED_VALUE"""),19.52621)</f>
        <v>19.52621</v>
      </c>
      <c r="K45" s="18">
        <f>IFERROR(__xludf.DUMMYFUNCTION("""COMPUTED_VALUE"""),4.231364)</f>
        <v>4.231364</v>
      </c>
      <c r="L45" s="18">
        <f>IFERROR(__xludf.DUMMYFUNCTION("""COMPUTED_VALUE"""),4.73803)</f>
        <v>4.73803</v>
      </c>
      <c r="M45" s="18">
        <f>IFERROR(__xludf.DUMMYFUNCTION("""COMPUTED_VALUE"""),4.943939)</f>
        <v>4.943939</v>
      </c>
      <c r="N45" s="18">
        <f>IFERROR(__xludf.DUMMYFUNCTION("""COMPUTED_VALUE"""),0.892727)</f>
        <v>0.892727</v>
      </c>
      <c r="O45" s="18">
        <f>IFERROR(__xludf.DUMMYFUNCTION("""COMPUTED_VALUE"""),0.205303)</f>
        <v>0.205303</v>
      </c>
      <c r="P45" s="25">
        <f>IFERROR(__xludf.DUMMYFUNCTION("""COMPUTED_VALUE"""),0.47378)</f>
        <v>0.47378</v>
      </c>
      <c r="Q45" s="25">
        <f>IFERROR(__xludf.DUMMYFUNCTION("""COMPUTED_VALUE"""),0.847957)</f>
        <v>0.847957</v>
      </c>
      <c r="R45" s="18">
        <f>IFERROR(__xludf.DUMMYFUNCTION("""COMPUTED_VALUE"""),1.579394)</f>
        <v>1.579394</v>
      </c>
      <c r="S45" s="18">
        <f>IFERROR(__xludf.DUMMYFUNCTION("""COMPUTED_VALUE"""),0.41257114716886134)</f>
        <v>0.4125711472</v>
      </c>
      <c r="T45" s="18">
        <f>IFERROR(__xludf.DUMMYFUNCTION("""COMPUTED_VALUE"""),2.3776987466254393)</f>
        <v>2.377698747</v>
      </c>
      <c r="U45" s="18">
        <f>IFERROR(__xludf.DUMMYFUNCTION("""COMPUTED_VALUE"""),-0.5628195472549049)</f>
        <v>-0.5628195473</v>
      </c>
      <c r="V45" s="18">
        <f>IFERROR(__xludf.DUMMYFUNCTION("""COMPUTED_VALUE"""),0.5408054091352286)</f>
        <v>0.5408054091</v>
      </c>
      <c r="W45" s="18">
        <f>IFERROR(__xludf.DUMMYFUNCTION("""COMPUTED_VALUE"""),-0.4645828711069076)</f>
        <v>-0.4645828711</v>
      </c>
      <c r="X45" s="18">
        <f>IFERROR(__xludf.DUMMYFUNCTION("""COMPUTED_VALUE"""),-0.954299118247455)</f>
        <v>-0.9542991182</v>
      </c>
      <c r="Y45" s="18">
        <f>IFERROR(__xludf.DUMMYFUNCTION("""COMPUTED_VALUE"""),-0.304607462996349)</f>
        <v>-0.304607463</v>
      </c>
      <c r="Z45" s="18">
        <f>IFERROR(__xludf.DUMMYFUNCTION("""COMPUTED_VALUE"""),0.8109698933201209)</f>
        <v>0.8109698933</v>
      </c>
      <c r="AA45" s="18">
        <f>IFERROR(__xludf.DUMMYFUNCTION("""COMPUTED_VALUE"""),0.0)</f>
        <v>0</v>
      </c>
      <c r="AB45" t="str">
        <f>IFERROR(__xludf.DUMMYFUNCTION("SUBSTITUTE(REGEXREPLACE(REGEXREPLACE(REGEXREPLACE(REGEXREPLACE(REGEXREPLACE(REGEXREPLACE(F45,"","",),IF(Projections!$T$11="""",""PG"",),),IF(Projections!$U$11="""",""SG"",),),IF(Projections!$V$11="""",""SF"",),),IF(Projections!$W$11="""",""PF"",),),IF(Pro"&amp;"jections!$X$11="""",""C"",),),""/"","""")"),"G")</f>
        <v>G</v>
      </c>
    </row>
    <row r="46">
      <c r="A46" t="str">
        <f>IF(Projections!$AB$11,Draft!G8,"")</f>
        <v/>
      </c>
      <c r="B46">
        <f>IFERROR(__xludf.DUMMYFUNCTION("""COMPUTED_VALUE"""),41.0)</f>
        <v>41</v>
      </c>
      <c r="D46" t="str">
        <f>IFERROR(__xludf.DUMMYFUNCTION("""COMPUTED_VALUE"""),"Domantas Sabonis")</f>
        <v>Domantas Sabonis</v>
      </c>
      <c r="E46">
        <f>IFERROR(__xludf.DUMMYFUNCTION("""COMPUTED_VALUE"""),73.0)</f>
        <v>73</v>
      </c>
      <c r="F46" t="str">
        <f>IFERROR(__xludf.DUMMYFUNCTION("""COMPUTED_VALUE"""),"C")</f>
        <v>C</v>
      </c>
      <c r="G46" s="18">
        <f>IFERROR(__xludf.DUMMYFUNCTION("""COMPUTED_VALUE"""),2.7661187324764396)</f>
        <v>2.766118732</v>
      </c>
      <c r="H46" s="18">
        <f>IFERROR(__xludf.DUMMYFUNCTION("""COMPUTED_VALUE"""),3.046601240496511)</f>
        <v>3.04660124</v>
      </c>
      <c r="I46" s="18">
        <f>IFERROR(__xludf.DUMMYFUNCTION("""COMPUTED_VALUE"""),0.28048250802007146)</f>
        <v>0.280482508</v>
      </c>
      <c r="J46" s="18">
        <f>IFERROR(__xludf.DUMMYFUNCTION("""COMPUTED_VALUE"""),18.12329)</f>
        <v>18.12329</v>
      </c>
      <c r="K46" s="18">
        <f>IFERROR(__xludf.DUMMYFUNCTION("""COMPUTED_VALUE"""),0.792329)</f>
        <v>0.792329</v>
      </c>
      <c r="L46" s="18">
        <f>IFERROR(__xludf.DUMMYFUNCTION("""COMPUTED_VALUE"""),13.9337)</f>
        <v>13.9337</v>
      </c>
      <c r="M46" s="18">
        <f>IFERROR(__xludf.DUMMYFUNCTION("""COMPUTED_VALUE"""),5.446164)</f>
        <v>5.446164</v>
      </c>
      <c r="N46" s="18">
        <f>IFERROR(__xludf.DUMMYFUNCTION("""COMPUTED_VALUE"""),0.715753)</f>
        <v>0.715753</v>
      </c>
      <c r="O46" s="18">
        <f>IFERROR(__xludf.DUMMYFUNCTION("""COMPUTED_VALUE"""),0.280548)</f>
        <v>0.280548</v>
      </c>
      <c r="P46" s="25">
        <f>IFERROR(__xludf.DUMMYFUNCTION("""COMPUTED_VALUE"""),0.569938)</f>
        <v>0.569938</v>
      </c>
      <c r="Q46" s="25">
        <f>IFERROR(__xludf.DUMMYFUNCTION("""COMPUTED_VALUE"""),0.737994)</f>
        <v>0.737994</v>
      </c>
      <c r="R46" s="18">
        <f>IFERROR(__xludf.DUMMYFUNCTION("""COMPUTED_VALUE"""),2.879726)</f>
        <v>2.879726</v>
      </c>
      <c r="S46" s="18">
        <f>IFERROR(__xludf.DUMMYFUNCTION("""COMPUTED_VALUE"""),0.16643919802240992)</f>
        <v>0.166439198</v>
      </c>
      <c r="T46" s="18">
        <f>IFERROR(__xludf.DUMMYFUNCTION("""COMPUTED_VALUE"""),-0.9438362569930654)</f>
        <v>-0.943836257</v>
      </c>
      <c r="U46" s="18">
        <f>IFERROR(__xludf.DUMMYFUNCTION("""COMPUTED_VALUE"""),3.1646784492205553)</f>
        <v>3.164678449</v>
      </c>
      <c r="V46" s="18">
        <f>IFERROR(__xludf.DUMMYFUNCTION("""COMPUTED_VALUE"""),0.7861496024327949)</f>
        <v>0.7861496024</v>
      </c>
      <c r="W46" s="18">
        <f>IFERROR(__xludf.DUMMYFUNCTION("""COMPUTED_VALUE"""),-1.0038633598956106)</f>
        <v>-1.00386336</v>
      </c>
      <c r="X46" s="18">
        <f>IFERROR(__xludf.DUMMYFUNCTION("""COMPUTED_VALUE"""),-0.8175042932795227)</f>
        <v>-0.8175042933</v>
      </c>
      <c r="Y46" s="18">
        <f>IFERROR(__xludf.DUMMYFUNCTION("""COMPUTED_VALUE"""),1.2798740177731)</f>
        <v>1.279874018</v>
      </c>
      <c r="Z46" s="18">
        <f>IFERROR(__xludf.DUMMYFUNCTION("""COMPUTED_VALUE"""),-0.5891994766797606)</f>
        <v>-0.5891994767</v>
      </c>
      <c r="AA46" s="18">
        <f>IFERROR(__xludf.DUMMYFUNCTION("""COMPUTED_VALUE"""),0.0)</f>
        <v>0</v>
      </c>
      <c r="AB46" t="str">
        <f>IFERROR(__xludf.DUMMYFUNCTION("SUBSTITUTE(REGEXREPLACE(REGEXREPLACE(REGEXREPLACE(REGEXREPLACE(REGEXREPLACE(REGEXREPLACE(F46,"","",),IF(Projections!$T$11="""",""PG"",),),IF(Projections!$U$11="""",""SG"",),),IF(Projections!$V$11="""",""SF"",),),IF(Projections!$W$11="""",""PF"",),),IF(Pro"&amp;"jections!$X$11="""",""C"",),),""/"","""")"),"C")</f>
        <v>C</v>
      </c>
    </row>
    <row r="47">
      <c r="A47" t="str">
        <f>IF(Projections!$AB$11,Draft!G9,"")</f>
        <v/>
      </c>
      <c r="B47">
        <f>IFERROR(__xludf.DUMMYFUNCTION("""COMPUTED_VALUE"""),42.0)</f>
        <v>42</v>
      </c>
      <c r="D47" t="str">
        <f>IFERROR(__xludf.DUMMYFUNCTION("""COMPUTED_VALUE"""),"Ausar Thompson")</f>
        <v>Ausar Thompson</v>
      </c>
      <c r="E47">
        <f>IFERROR(__xludf.DUMMYFUNCTION("""COMPUTED_VALUE"""),68.0)</f>
        <v>68</v>
      </c>
      <c r="F47" t="str">
        <f>IFERROR(__xludf.DUMMYFUNCTION("""COMPUTED_VALUE"""),"F")</f>
        <v>F</v>
      </c>
      <c r="G47" s="18">
        <f>IFERROR(__xludf.DUMMYFUNCTION("""COMPUTED_VALUE"""),2.5233258027140844)</f>
        <v>2.523325803</v>
      </c>
      <c r="H47" s="18">
        <f>IFERROR(__xludf.DUMMYFUNCTION("""COMPUTED_VALUE"""),2.4730752815513264)</f>
        <v>2.473075282</v>
      </c>
      <c r="I47" s="18">
        <f>IFERROR(__xludf.DUMMYFUNCTION("""COMPUTED_VALUE"""),-0.050250521162757966)</f>
        <v>-0.05025052116</v>
      </c>
      <c r="J47" s="18">
        <f>IFERROR(__xludf.DUMMYFUNCTION("""COMPUTED_VALUE"""),13.51956)</f>
        <v>13.51956</v>
      </c>
      <c r="K47" s="18">
        <f>IFERROR(__xludf.DUMMYFUNCTION("""COMPUTED_VALUE"""),0.255147)</f>
        <v>0.255147</v>
      </c>
      <c r="L47" s="18">
        <f>IFERROR(__xludf.DUMMYFUNCTION("""COMPUTED_VALUE"""),6.565)</f>
        <v>6.565</v>
      </c>
      <c r="M47" s="18">
        <f>IFERROR(__xludf.DUMMYFUNCTION("""COMPUTED_VALUE"""),3.117206)</f>
        <v>3.117206</v>
      </c>
      <c r="N47" s="18">
        <f>IFERROR(__xludf.DUMMYFUNCTION("""COMPUTED_VALUE"""),2.096912)</f>
        <v>2.096912</v>
      </c>
      <c r="O47" s="18">
        <f>IFERROR(__xludf.DUMMYFUNCTION("""COMPUTED_VALUE"""),1.136176)</f>
        <v>1.136176</v>
      </c>
      <c r="P47" s="25">
        <f>IFERROR(__xludf.DUMMYFUNCTION("""COMPUTED_VALUE"""),0.523389)</f>
        <v>0.523389</v>
      </c>
      <c r="Q47" s="25">
        <f>IFERROR(__xludf.DUMMYFUNCTION("""COMPUTED_VALUE"""),0.687998)</f>
        <v>0.687998</v>
      </c>
      <c r="R47" s="18">
        <f>IFERROR(__xludf.DUMMYFUNCTION("""COMPUTED_VALUE"""),1.546029)</f>
        <v>1.546029</v>
      </c>
      <c r="S47" s="18">
        <f>IFERROR(__xludf.DUMMYFUNCTION("""COMPUTED_VALUE"""),-0.6412512178558971)</f>
        <v>-0.6412512179</v>
      </c>
      <c r="T47" s="18">
        <f>IFERROR(__xludf.DUMMYFUNCTION("""COMPUTED_VALUE"""),-1.4626645958479463)</f>
        <v>-1.462664596</v>
      </c>
      <c r="U47" s="18">
        <f>IFERROR(__xludf.DUMMYFUNCTION("""COMPUTED_VALUE"""),0.17774933077364258)</f>
        <v>0.1777493308</v>
      </c>
      <c r="V47" s="18">
        <f>IFERROR(__xludf.DUMMYFUNCTION("""COMPUTED_VALUE"""),-0.35158014366489865)</f>
        <v>-0.3515801437</v>
      </c>
      <c r="W47" s="18">
        <f>IFERROR(__xludf.DUMMYFUNCTION("""COMPUTED_VALUE"""),3.2048458324994074)</f>
        <v>3.204845832</v>
      </c>
      <c r="X47" s="18">
        <f>IFERROR(__xludf.DUMMYFUNCTION("""COMPUTED_VALUE"""),0.7380207581878426)</f>
        <v>0.7380207582</v>
      </c>
      <c r="Y47" s="18">
        <f>IFERROR(__xludf.DUMMYFUNCTION("""COMPUTED_VALUE"""),0.44347506028976824)</f>
        <v>0.4434750603</v>
      </c>
      <c r="Z47" s="18">
        <f>IFERROR(__xludf.DUMMYFUNCTION("""COMPUTED_VALUE"""),-1.0981843386785384)</f>
        <v>-1.098184339</v>
      </c>
      <c r="AA47" s="18">
        <f>IFERROR(__xludf.DUMMYFUNCTION("""COMPUTED_VALUE"""),0.0)</f>
        <v>0</v>
      </c>
      <c r="AB47" t="str">
        <f>IFERROR(__xludf.DUMMYFUNCTION("SUBSTITUTE(REGEXREPLACE(REGEXREPLACE(REGEXREPLACE(REGEXREPLACE(REGEXREPLACE(REGEXREPLACE(F47,"","",),IF(Projections!$T$11="""",""PG"",),),IF(Projections!$U$11="""",""SG"",),),IF(Projections!$V$11="""",""SF"",),),IF(Projections!$W$11="""",""PF"",),),IF(Pro"&amp;"jections!$X$11="""",""C"",),),""/"","""")"),"F")</f>
        <v>F</v>
      </c>
    </row>
    <row r="48">
      <c r="A48" t="str">
        <f>IF(Projections!$AB$11,Draft!G10,"")</f>
        <v/>
      </c>
      <c r="B48">
        <f>IFERROR(__xludf.DUMMYFUNCTION("""COMPUTED_VALUE"""),43.0)</f>
        <v>43</v>
      </c>
      <c r="D48" t="str">
        <f>IFERROR(__xludf.DUMMYFUNCTION("""COMPUTED_VALUE"""),"Austin Reaves")</f>
        <v>Austin Reaves</v>
      </c>
      <c r="E48">
        <f>IFERROR(__xludf.DUMMYFUNCTION("""COMPUTED_VALUE"""),68.0)</f>
        <v>68</v>
      </c>
      <c r="F48" t="str">
        <f>IFERROR(__xludf.DUMMYFUNCTION("""COMPUTED_VALUE"""),"G,F")</f>
        <v>G,F</v>
      </c>
      <c r="G48" s="18">
        <f>IFERROR(__xludf.DUMMYFUNCTION("""COMPUTED_VALUE"""),2.522468710453807)</f>
        <v>2.52246871</v>
      </c>
      <c r="H48" s="18">
        <f>IFERROR(__xludf.DUMMYFUNCTION("""COMPUTED_VALUE"""),2.6204239681838786)</f>
        <v>2.620423968</v>
      </c>
      <c r="I48" s="18">
        <f>IFERROR(__xludf.DUMMYFUNCTION("""COMPUTED_VALUE"""),0.09795525773007174)</f>
        <v>0.09795525773</v>
      </c>
      <c r="J48" s="18">
        <f>IFERROR(__xludf.DUMMYFUNCTION("""COMPUTED_VALUE"""),20.53868)</f>
        <v>20.53868</v>
      </c>
      <c r="K48" s="18">
        <f>IFERROR(__xludf.DUMMYFUNCTION("""COMPUTED_VALUE"""),2.782353)</f>
        <v>2.782353</v>
      </c>
      <c r="L48" s="18">
        <f>IFERROR(__xludf.DUMMYFUNCTION("""COMPUTED_VALUE"""),4.501912)</f>
        <v>4.501912</v>
      </c>
      <c r="M48" s="18">
        <f>IFERROR(__xludf.DUMMYFUNCTION("""COMPUTED_VALUE"""),4.859118)</f>
        <v>4.859118</v>
      </c>
      <c r="N48" s="18">
        <f>IFERROR(__xludf.DUMMYFUNCTION("""COMPUTED_VALUE"""),1.066176)</f>
        <v>1.066176</v>
      </c>
      <c r="O48" s="18">
        <f>IFERROR(__xludf.DUMMYFUNCTION("""COMPUTED_VALUE"""),0.358676)</f>
        <v>0.358676</v>
      </c>
      <c r="P48" s="25">
        <f>IFERROR(__xludf.DUMMYFUNCTION("""COMPUTED_VALUE"""),0.475197)</f>
        <v>0.475197</v>
      </c>
      <c r="Q48" s="25">
        <f>IFERROR(__xludf.DUMMYFUNCTION("""COMPUTED_VALUE"""),0.889003)</f>
        <v>0.889003</v>
      </c>
      <c r="R48" s="18">
        <f>IFERROR(__xludf.DUMMYFUNCTION("""COMPUTED_VALUE"""),2.143676)</f>
        <v>2.143676</v>
      </c>
      <c r="S48" s="18">
        <f>IFERROR(__xludf.DUMMYFUNCTION("""COMPUTED_VALUE"""),0.5902015284823419)</f>
        <v>0.5902015285</v>
      </c>
      <c r="T48" s="18">
        <f>IFERROR(__xludf.DUMMYFUNCTION("""COMPUTED_VALUE"""),0.978195468197551)</f>
        <v>0.9781954682</v>
      </c>
      <c r="U48" s="18">
        <f>IFERROR(__xludf.DUMMYFUNCTION("""COMPUTED_VALUE"""),-0.6585308300577668)</f>
        <v>-0.6585308301</v>
      </c>
      <c r="V48" s="18">
        <f>IFERROR(__xludf.DUMMYFUNCTION("""COMPUTED_VALUE"""),0.49936912097814146)</f>
        <v>0.499369121</v>
      </c>
      <c r="W48" s="18">
        <f>IFERROR(__xludf.DUMMYFUNCTION("""COMPUTED_VALUE"""),0.0639561317969747)</f>
        <v>0.0639561318</v>
      </c>
      <c r="X48" s="18">
        <f>IFERROR(__xludf.DUMMYFUNCTION("""COMPUTED_VALUE"""),-0.6754681967269995)</f>
        <v>-0.6754681967</v>
      </c>
      <c r="Y48" s="18">
        <f>IFERROR(__xludf.DUMMYFUNCTION("""COMPUTED_VALUE"""),-0.2852910684952662)</f>
        <v>-0.2852910685</v>
      </c>
      <c r="Z48" s="18">
        <f>IFERROR(__xludf.DUMMYFUNCTION("""COMPUTED_VALUE"""),1.4325236172819027)</f>
        <v>1.432523617</v>
      </c>
      <c r="AA48" s="18">
        <f>IFERROR(__xludf.DUMMYFUNCTION("""COMPUTED_VALUE"""),0.0)</f>
        <v>0</v>
      </c>
      <c r="AB48" t="str">
        <f>IFERROR(__xludf.DUMMYFUNCTION("SUBSTITUTE(REGEXREPLACE(REGEXREPLACE(REGEXREPLACE(REGEXREPLACE(REGEXREPLACE(REGEXREPLACE(F48,"","",),IF(Projections!$T$11="""",""PG"",),),IF(Projections!$U$11="""",""SG"",),),IF(Projections!$V$11="""",""SF"",),),IF(Projections!$W$11="""",""PF"",),),IF(Pro"&amp;"jections!$X$11="""",""C"",),),""/"","""")"),"GF")</f>
        <v>GF</v>
      </c>
    </row>
    <row r="49">
      <c r="A49" t="str">
        <f>IF(Projections!$AB$11,Draft!G11,"")</f>
        <v/>
      </c>
      <c r="B49">
        <f>IFERROR(__xludf.DUMMYFUNCTION("""COMPUTED_VALUE"""),44.0)</f>
        <v>44</v>
      </c>
      <c r="D49" t="str">
        <f>IFERROR(__xludf.DUMMYFUNCTION("""COMPUTED_VALUE"""),"Ivica Zubac")</f>
        <v>Ivica Zubac</v>
      </c>
      <c r="E49">
        <f>IFERROR(__xludf.DUMMYFUNCTION("""COMPUTED_VALUE"""),73.0)</f>
        <v>73</v>
      </c>
      <c r="F49" t="str">
        <f>IFERROR(__xludf.DUMMYFUNCTION("""COMPUTED_VALUE"""),"C")</f>
        <v>C</v>
      </c>
      <c r="G49" s="18">
        <f>IFERROR(__xludf.DUMMYFUNCTION("""COMPUTED_VALUE"""),2.496259925370503)</f>
        <v>2.496259925</v>
      </c>
      <c r="H49" s="18">
        <f>IFERROR(__xludf.DUMMYFUNCTION("""COMPUTED_VALUE"""),2.3733129454386206)</f>
        <v>2.373312945</v>
      </c>
      <c r="I49" s="18">
        <f>IFERROR(__xludf.DUMMYFUNCTION("""COMPUTED_VALUE"""),-0.12294697993188253)</f>
        <v>-0.1229469799</v>
      </c>
      <c r="J49" s="18">
        <f>IFERROR(__xludf.DUMMYFUNCTION("""COMPUTED_VALUE"""),16.56041)</f>
        <v>16.56041</v>
      </c>
      <c r="K49" s="18">
        <f>IFERROR(__xludf.DUMMYFUNCTION("""COMPUTED_VALUE"""),0.0)</f>
        <v>0</v>
      </c>
      <c r="L49" s="18">
        <f>IFERROR(__xludf.DUMMYFUNCTION("""COMPUTED_VALUE"""),11.58945)</f>
        <v>11.58945</v>
      </c>
      <c r="M49" s="18">
        <f>IFERROR(__xludf.DUMMYFUNCTION("""COMPUTED_VALUE"""),2.004658)</f>
        <v>2.004658</v>
      </c>
      <c r="N49" s="18">
        <f>IFERROR(__xludf.DUMMYFUNCTION("""COMPUTED_VALUE"""),0.555068)</f>
        <v>0.555068</v>
      </c>
      <c r="O49" s="18">
        <f>IFERROR(__xludf.DUMMYFUNCTION("""COMPUTED_VALUE"""),1.076301)</f>
        <v>1.076301</v>
      </c>
      <c r="P49" s="25">
        <f>IFERROR(__xludf.DUMMYFUNCTION("""COMPUTED_VALUE"""),0.647396)</f>
        <v>0.647396</v>
      </c>
      <c r="Q49" s="25">
        <f>IFERROR(__xludf.DUMMYFUNCTION("""COMPUTED_VALUE"""),0.704991)</f>
        <v>0.704991</v>
      </c>
      <c r="R49" s="18">
        <f>IFERROR(__xludf.DUMMYFUNCTION("""COMPUTED_VALUE"""),1.252877)</f>
        <v>1.252877</v>
      </c>
      <c r="S49" s="18">
        <f>IFERROR(__xludf.DUMMYFUNCTION("""COMPUTED_VALUE"""),-0.1077565513303732)</f>
        <v>-0.1077565513</v>
      </c>
      <c r="T49" s="18">
        <f>IFERROR(__xludf.DUMMYFUNCTION("""COMPUTED_VALUE"""),-1.7090941005108098)</f>
        <v>-1.709094101</v>
      </c>
      <c r="U49" s="18">
        <f>IFERROR(__xludf.DUMMYFUNCTION("""COMPUTED_VALUE"""),2.2144282577459156)</f>
        <v>2.214428258</v>
      </c>
      <c r="V49" s="18">
        <f>IFERROR(__xludf.DUMMYFUNCTION("""COMPUTED_VALUE"""),-0.8950759703657223)</f>
        <v>-0.8950759704</v>
      </c>
      <c r="W49" s="18">
        <f>IFERROR(__xludf.DUMMYFUNCTION("""COMPUTED_VALUE"""),-1.4935075185913098)</f>
        <v>-1.493507519</v>
      </c>
      <c r="X49" s="18">
        <f>IFERROR(__xludf.DUMMYFUNCTION("""COMPUTED_VALUE"""),0.6291684737177123)</f>
        <v>0.6291684737</v>
      </c>
      <c r="Y49" s="18">
        <f>IFERROR(__xludf.DUMMYFUNCTION("""COMPUTED_VALUE"""),2.9601925759258214)</f>
        <v>2.960192576</v>
      </c>
      <c r="Z49" s="18">
        <f>IFERROR(__xludf.DUMMYFUNCTION("""COMPUTED_VALUE"""),-0.9341363216634235)</f>
        <v>-0.9341363217</v>
      </c>
      <c r="AA49" s="18">
        <f>IFERROR(__xludf.DUMMYFUNCTION("""COMPUTED_VALUE"""),0.0)</f>
        <v>0</v>
      </c>
      <c r="AB49" t="str">
        <f>IFERROR(__xludf.DUMMYFUNCTION("SUBSTITUTE(REGEXREPLACE(REGEXREPLACE(REGEXREPLACE(REGEXREPLACE(REGEXREPLACE(REGEXREPLACE(F49,"","",),IF(Projections!$T$11="""",""PG"",),),IF(Projections!$U$11="""",""SG"",),),IF(Projections!$V$11="""",""SF"",),),IF(Projections!$W$11="""",""PF"",),),IF(Pro"&amp;"jections!$X$11="""",""C"",),),""/"","""")"),"C")</f>
        <v>C</v>
      </c>
    </row>
    <row r="50">
      <c r="A50" t="str">
        <f>IF(Projections!$AB$11,Draft!G12,"")</f>
        <v/>
      </c>
      <c r="B50">
        <f>IFERROR(__xludf.DUMMYFUNCTION("""COMPUTED_VALUE"""),45.0)</f>
        <v>45</v>
      </c>
      <c r="D50" t="str">
        <f>IFERROR(__xludf.DUMMYFUNCTION("""COMPUTED_VALUE"""),"Jimmy Butler")</f>
        <v>Jimmy Butler</v>
      </c>
      <c r="E50">
        <f>IFERROR(__xludf.DUMMYFUNCTION("""COMPUTED_VALUE"""),68.0)</f>
        <v>68</v>
      </c>
      <c r="F50" t="str">
        <f>IFERROR(__xludf.DUMMYFUNCTION("""COMPUTED_VALUE"""),"F")</f>
        <v>F</v>
      </c>
      <c r="G50" s="18">
        <f>IFERROR(__xludf.DUMMYFUNCTION("""COMPUTED_VALUE"""),2.4496164124755073)</f>
        <v>2.449616412</v>
      </c>
      <c r="H50" s="18">
        <f>IFERROR(__xludf.DUMMYFUNCTION("""COMPUTED_VALUE"""),2.369498675020136)</f>
        <v>2.369498675</v>
      </c>
      <c r="I50" s="18">
        <f>IFERROR(__xludf.DUMMYFUNCTION("""COMPUTED_VALUE"""),-0.08011773745537143)</f>
        <v>-0.08011773746</v>
      </c>
      <c r="J50" s="18">
        <f>IFERROR(__xludf.DUMMYFUNCTION("""COMPUTED_VALUE"""),16.69765)</f>
        <v>16.69765</v>
      </c>
      <c r="K50" s="18">
        <f>IFERROR(__xludf.DUMMYFUNCTION("""COMPUTED_VALUE"""),0.740294)</f>
        <v>0.740294</v>
      </c>
      <c r="L50" s="18">
        <f>IFERROR(__xludf.DUMMYFUNCTION("""COMPUTED_VALUE"""),5.376912)</f>
        <v>5.376912</v>
      </c>
      <c r="M50" s="18">
        <f>IFERROR(__xludf.DUMMYFUNCTION("""COMPUTED_VALUE"""),5.847353)</f>
        <v>5.847353</v>
      </c>
      <c r="N50" s="18">
        <f>IFERROR(__xludf.DUMMYFUNCTION("""COMPUTED_VALUE"""),1.565441)</f>
        <v>1.565441</v>
      </c>
      <c r="O50" s="18">
        <f>IFERROR(__xludf.DUMMYFUNCTION("""COMPUTED_VALUE"""),0.271471)</f>
        <v>0.271471</v>
      </c>
      <c r="P50" s="25">
        <f>IFERROR(__xludf.DUMMYFUNCTION("""COMPUTED_VALUE"""),0.498564)</f>
        <v>0.498564</v>
      </c>
      <c r="Q50" s="25">
        <f>IFERROR(__xludf.DUMMYFUNCTION("""COMPUTED_VALUE"""),0.859001)</f>
        <v>0.859001</v>
      </c>
      <c r="R50" s="18">
        <f>IFERROR(__xludf.DUMMYFUNCTION("""COMPUTED_VALUE"""),1.425588)</f>
        <v>1.425588</v>
      </c>
      <c r="S50" s="18">
        <f>IFERROR(__xludf.DUMMYFUNCTION("""COMPUTED_VALUE"""),-0.08367880726737696)</f>
        <v>-0.08367880727</v>
      </c>
      <c r="T50" s="18">
        <f>IFERROR(__xludf.DUMMYFUNCTION("""COMPUTED_VALUE"""),-0.9940934000326939)</f>
        <v>-0.9940934</v>
      </c>
      <c r="U50" s="18">
        <f>IFERROR(__xludf.DUMMYFUNCTION("""COMPUTED_VALUE"""),-0.3038464245804033)</f>
        <v>-0.3038464246</v>
      </c>
      <c r="V50" s="18">
        <f>IFERROR(__xludf.DUMMYFUNCTION("""COMPUTED_VALUE"""),0.9821362450030723)</f>
        <v>0.982136245</v>
      </c>
      <c r="W50" s="18">
        <f>IFERROR(__xludf.DUMMYFUNCTION("""COMPUTED_VALUE"""),1.5853314368423015)</f>
        <v>1.585331437</v>
      </c>
      <c r="X50" s="18">
        <f>IFERROR(__xludf.DUMMYFUNCTION("""COMPUTED_VALUE"""),-0.8340062087055832)</f>
        <v>-0.8340062087</v>
      </c>
      <c r="Y50" s="18">
        <f>IFERROR(__xludf.DUMMYFUNCTION("""COMPUTED_VALUE"""),0.05064229356347107)</f>
        <v>0.05064229356</v>
      </c>
      <c r="Z50" s="18">
        <f>IFERROR(__xludf.DUMMYFUNCTION("""COMPUTED_VALUE"""),0.9729201401646548)</f>
        <v>0.9729201402</v>
      </c>
      <c r="AA50" s="18">
        <f>IFERROR(__xludf.DUMMYFUNCTION("""COMPUTED_VALUE"""),0.0)</f>
        <v>0</v>
      </c>
      <c r="AB50" t="str">
        <f>IFERROR(__xludf.DUMMYFUNCTION("SUBSTITUTE(REGEXREPLACE(REGEXREPLACE(REGEXREPLACE(REGEXREPLACE(REGEXREPLACE(REGEXREPLACE(F50,"","",),IF(Projections!$T$11="""",""PG"",),),IF(Projections!$U$11="""",""SG"",),),IF(Projections!$V$11="""",""SF"",),),IF(Projections!$W$11="""",""PF"",),),IF(Pro"&amp;"jections!$X$11="""",""C"",),),""/"","""")"),"F")</f>
        <v>F</v>
      </c>
    </row>
    <row r="51">
      <c r="A51" t="str">
        <f>IF(Projections!$AB$11,Draft!G13,"")</f>
        <v/>
      </c>
      <c r="B51">
        <f>IFERROR(__xludf.DUMMYFUNCTION("""COMPUTED_VALUE"""),46.0)</f>
        <v>46</v>
      </c>
      <c r="D51" t="str">
        <f>IFERROR(__xludf.DUMMYFUNCTION("""COMPUTED_VALUE"""),"Zach Edey")</f>
        <v>Zach Edey</v>
      </c>
      <c r="E51">
        <f>IFERROR(__xludf.DUMMYFUNCTION("""COMPUTED_VALUE"""),47.0)</f>
        <v>47</v>
      </c>
      <c r="F51" t="str">
        <f>IFERROR(__xludf.DUMMYFUNCTION("""COMPUTED_VALUE"""),"C")</f>
        <v>C</v>
      </c>
      <c r="G51" s="18">
        <f>IFERROR(__xludf.DUMMYFUNCTION("""COMPUTED_VALUE"""),2.310851257362038)</f>
        <v>2.310851257</v>
      </c>
      <c r="H51" s="18">
        <f>IFERROR(__xludf.DUMMYFUNCTION("""COMPUTED_VALUE"""),2.262324212035861)</f>
        <v>2.262324212</v>
      </c>
      <c r="I51" s="18">
        <f>IFERROR(__xludf.DUMMYFUNCTION("""COMPUTED_VALUE"""),-0.04852704532617702)</f>
        <v>-0.04852704533</v>
      </c>
      <c r="J51" s="18">
        <f>IFERROR(__xludf.DUMMYFUNCTION("""COMPUTED_VALUE"""),14.4817)</f>
        <v>14.4817</v>
      </c>
      <c r="K51" s="18">
        <f>IFERROR(__xludf.DUMMYFUNCTION("""COMPUTED_VALUE"""),0.311702)</f>
        <v>0.311702</v>
      </c>
      <c r="L51" s="18">
        <f>IFERROR(__xludf.DUMMYFUNCTION("""COMPUTED_VALUE"""),10.99809)</f>
        <v>10.99809</v>
      </c>
      <c r="M51" s="18">
        <f>IFERROR(__xludf.DUMMYFUNCTION("""COMPUTED_VALUE"""),1.331489)</f>
        <v>1.331489</v>
      </c>
      <c r="N51" s="18">
        <f>IFERROR(__xludf.DUMMYFUNCTION("""COMPUTED_VALUE"""),0.664255)</f>
        <v>0.664255</v>
      </c>
      <c r="O51" s="18">
        <f>IFERROR(__xludf.DUMMYFUNCTION("""COMPUTED_VALUE"""),1.605532)</f>
        <v>1.605532</v>
      </c>
      <c r="P51" s="25">
        <f>IFERROR(__xludf.DUMMYFUNCTION("""COMPUTED_VALUE"""),0.619996)</f>
        <v>0.619996</v>
      </c>
      <c r="Q51" s="25">
        <f>IFERROR(__xludf.DUMMYFUNCTION("""COMPUTED_VALUE"""),0.721003)</f>
        <v>0.721003</v>
      </c>
      <c r="R51" s="18">
        <f>IFERROR(__xludf.DUMMYFUNCTION("""COMPUTED_VALUE"""),1.552979)</f>
        <v>1.552979</v>
      </c>
      <c r="S51" s="18">
        <f>IFERROR(__xludf.DUMMYFUNCTION("""COMPUTED_VALUE"""),-0.47245086320148555)</f>
        <v>-0.4724508632</v>
      </c>
      <c r="T51" s="18">
        <f>IFERROR(__xludf.DUMMYFUNCTION("""COMPUTED_VALUE"""),-1.4080418856604535)</f>
        <v>-1.408041886</v>
      </c>
      <c r="U51" s="18">
        <f>IFERROR(__xludf.DUMMYFUNCTION("""COMPUTED_VALUE"""),1.9747183491480944)</f>
        <v>1.974718349</v>
      </c>
      <c r="V51" s="18">
        <f>IFERROR(__xludf.DUMMYFUNCTION("""COMPUTED_VALUE"""),-1.2239287858526646)</f>
        <v>-1.223928786</v>
      </c>
      <c r="W51" s="18">
        <f>IFERROR(__xludf.DUMMYFUNCTION("""COMPUTED_VALUE"""),-1.160789612405248)</f>
        <v>-1.160789612</v>
      </c>
      <c r="X51" s="18">
        <f>IFERROR(__xludf.DUMMYFUNCTION("""COMPUTED_VALUE"""),1.5913063169312645)</f>
        <v>1.591306317</v>
      </c>
      <c r="Y51" s="18">
        <f>IFERROR(__xludf.DUMMYFUNCTION("""COMPUTED_VALUE"""),2.3245942650140092)</f>
        <v>2.324594265</v>
      </c>
      <c r="Z51" s="18">
        <f>IFERROR(__xludf.DUMMYFUNCTION("""COMPUTED_VALUE"""),-0.7711254575981092)</f>
        <v>-0.7711254576</v>
      </c>
      <c r="AA51" s="18">
        <f>IFERROR(__xludf.DUMMYFUNCTION("""COMPUTED_VALUE"""),0.0)</f>
        <v>0</v>
      </c>
      <c r="AB51" t="str">
        <f>IFERROR(__xludf.DUMMYFUNCTION("SUBSTITUTE(REGEXREPLACE(REGEXREPLACE(REGEXREPLACE(REGEXREPLACE(REGEXREPLACE(REGEXREPLACE(F51,"","",),IF(Projections!$T$11="""",""PG"",),),IF(Projections!$U$11="""",""SG"",),),IF(Projections!$V$11="""",""SF"",),),IF(Projections!$W$11="""",""PF"",),),IF(Pro"&amp;"jections!$X$11="""",""C"",),),""/"","""")"),"C")</f>
        <v>C</v>
      </c>
    </row>
    <row r="52">
      <c r="A52" t="str">
        <f>IF(Projections!$AB$11,Draft!G14,"")</f>
        <v/>
      </c>
      <c r="B52">
        <f>IFERROR(__xludf.DUMMYFUNCTION("""COMPUTED_VALUE"""),47.0)</f>
        <v>47</v>
      </c>
      <c r="D52" t="str">
        <f>IFERROR(__xludf.DUMMYFUNCTION("""COMPUTED_VALUE"""),"Darius Garland")</f>
        <v>Darius Garland</v>
      </c>
      <c r="E52">
        <f>IFERROR(__xludf.DUMMYFUNCTION("""COMPUTED_VALUE"""),56.0)</f>
        <v>56</v>
      </c>
      <c r="F52" t="str">
        <f>IFERROR(__xludf.DUMMYFUNCTION("""COMPUTED_VALUE"""),"G")</f>
        <v>G</v>
      </c>
      <c r="G52" s="18">
        <f>IFERROR(__xludf.DUMMYFUNCTION("""COMPUTED_VALUE"""),2.3067288310379728)</f>
        <v>2.306728831</v>
      </c>
      <c r="H52" s="18">
        <f>IFERROR(__xludf.DUMMYFUNCTION("""COMPUTED_VALUE"""),2.501946897717155)</f>
        <v>2.501946898</v>
      </c>
      <c r="I52" s="18">
        <f>IFERROR(__xludf.DUMMYFUNCTION("""COMPUTED_VALUE"""),0.1952180666791823)</f>
        <v>0.1952180667</v>
      </c>
      <c r="J52" s="18">
        <f>IFERROR(__xludf.DUMMYFUNCTION("""COMPUTED_VALUE"""),19.45268)</f>
        <v>19.45268</v>
      </c>
      <c r="K52" s="18">
        <f>IFERROR(__xludf.DUMMYFUNCTION("""COMPUTED_VALUE"""),2.715357)</f>
        <v>2.715357</v>
      </c>
      <c r="L52" s="18">
        <f>IFERROR(__xludf.DUMMYFUNCTION("""COMPUTED_VALUE"""),2.588036)</f>
        <v>2.588036</v>
      </c>
      <c r="M52" s="18">
        <f>IFERROR(__xludf.DUMMYFUNCTION("""COMPUTED_VALUE"""),6.3125)</f>
        <v>6.3125</v>
      </c>
      <c r="N52" s="18">
        <f>IFERROR(__xludf.DUMMYFUNCTION("""COMPUTED_VALUE"""),1.252857)</f>
        <v>1.252857</v>
      </c>
      <c r="O52" s="18">
        <f>IFERROR(__xludf.DUMMYFUNCTION("""COMPUTED_VALUE"""),0.126964)</f>
        <v>0.126964</v>
      </c>
      <c r="P52" s="25">
        <f>IFERROR(__xludf.DUMMYFUNCTION("""COMPUTED_VALUE"""),0.458946)</f>
        <v>0.458946</v>
      </c>
      <c r="Q52" s="25">
        <f>IFERROR(__xludf.DUMMYFUNCTION("""COMPUTED_VALUE"""),0.856974)</f>
        <v>0.856974</v>
      </c>
      <c r="R52" s="18">
        <f>IFERROR(__xludf.DUMMYFUNCTION("""COMPUTED_VALUE"""),2.535893)</f>
        <v>2.535893</v>
      </c>
      <c r="S52" s="18">
        <f>IFERROR(__xludf.DUMMYFUNCTION("""COMPUTED_VALUE"""),0.39967085191272544)</f>
        <v>0.3996708519</v>
      </c>
      <c r="T52" s="18">
        <f>IFERROR(__xludf.DUMMYFUNCTION("""COMPUTED_VALUE"""),0.9134884910651794)</f>
        <v>0.9134884911</v>
      </c>
      <c r="U52" s="18">
        <f>IFERROR(__xludf.DUMMYFUNCTION("""COMPUTED_VALUE"""),-1.4343273685919322)</f>
        <v>-1.434327369</v>
      </c>
      <c r="V52" s="18">
        <f>IFERROR(__xludf.DUMMYFUNCTION("""COMPUTED_VALUE"""),1.2093672977777912)</f>
        <v>1.209367298</v>
      </c>
      <c r="W52" s="18">
        <f>IFERROR(__xludf.DUMMYFUNCTION("""COMPUTED_VALUE"""),0.6328160825669401)</f>
        <v>0.6328160826</v>
      </c>
      <c r="X52" s="18">
        <f>IFERROR(__xludf.DUMMYFUNCTION("""COMPUTED_VALUE"""),-1.096718811159447)</f>
        <v>-1.096718811</v>
      </c>
      <c r="Y52" s="18">
        <f>IFERROR(__xludf.DUMMYFUNCTION("""COMPUTED_VALUE"""),-0.4995813705190771)</f>
        <v>-0.4995813705</v>
      </c>
      <c r="Z52" s="18">
        <f>IFERROR(__xludf.DUMMYFUNCTION("""COMPUTED_VALUE"""),0.942904356073043)</f>
        <v>0.9429043561</v>
      </c>
      <c r="AA52" s="18">
        <f>IFERROR(__xludf.DUMMYFUNCTION("""COMPUTED_VALUE"""),0.0)</f>
        <v>0</v>
      </c>
      <c r="AB52" t="str">
        <f>IFERROR(__xludf.DUMMYFUNCTION("SUBSTITUTE(REGEXREPLACE(REGEXREPLACE(REGEXREPLACE(REGEXREPLACE(REGEXREPLACE(REGEXREPLACE(F52,"","",),IF(Projections!$T$11="""",""PG"",),),IF(Projections!$U$11="""",""SG"",),),IF(Projections!$V$11="""",""SF"",),),IF(Projections!$W$11="""",""PF"",),),IF(Pro"&amp;"jections!$X$11="""",""C"",),),""/"","""")"),"G")</f>
        <v>G</v>
      </c>
    </row>
    <row r="53">
      <c r="A53" t="str">
        <f>IF(Projections!$AB$11,Draft!H3,"")</f>
        <v/>
      </c>
      <c r="B53">
        <f>IFERROR(__xludf.DUMMYFUNCTION("""COMPUTED_VALUE"""),48.0)</f>
        <v>48</v>
      </c>
      <c r="D53" t="str">
        <f>IFERROR(__xludf.DUMMYFUNCTION("""COMPUTED_VALUE"""),"Dereck Lively II")</f>
        <v>Dereck Lively II</v>
      </c>
      <c r="E53">
        <f>IFERROR(__xludf.DUMMYFUNCTION("""COMPUTED_VALUE"""),61.0)</f>
        <v>61</v>
      </c>
      <c r="F53" t="str">
        <f>IFERROR(__xludf.DUMMYFUNCTION("""COMPUTED_VALUE"""),"C")</f>
        <v>C</v>
      </c>
      <c r="G53" s="18">
        <f>IFERROR(__xludf.DUMMYFUNCTION("""COMPUTED_VALUE"""),2.303840731718489)</f>
        <v>2.303840732</v>
      </c>
      <c r="H53" s="18">
        <f>IFERROR(__xludf.DUMMYFUNCTION("""COMPUTED_VALUE"""),2.1321692300204487)</f>
        <v>2.13216923</v>
      </c>
      <c r="I53" s="18">
        <f>IFERROR(__xludf.DUMMYFUNCTION("""COMPUTED_VALUE"""),-0.17167150169804035)</f>
        <v>-0.1716715017</v>
      </c>
      <c r="J53" s="18">
        <f>IFERROR(__xludf.DUMMYFUNCTION("""COMPUTED_VALUE"""),9.158197)</f>
        <v>9.158197</v>
      </c>
      <c r="K53" s="18">
        <f>IFERROR(__xludf.DUMMYFUNCTION("""COMPUTED_VALUE"""),0.0)</f>
        <v>0</v>
      </c>
      <c r="L53" s="18">
        <f>IFERROR(__xludf.DUMMYFUNCTION("""COMPUTED_VALUE"""),7.827541)</f>
        <v>7.827541</v>
      </c>
      <c r="M53" s="18">
        <f>IFERROR(__xludf.DUMMYFUNCTION("""COMPUTED_VALUE"""),1.90377)</f>
        <v>1.90377</v>
      </c>
      <c r="N53" s="18">
        <f>IFERROR(__xludf.DUMMYFUNCTION("""COMPUTED_VALUE"""),0.610492)</f>
        <v>0.610492</v>
      </c>
      <c r="O53" s="18">
        <f>IFERROR(__xludf.DUMMYFUNCTION("""COMPUTED_VALUE"""),1.508197)</f>
        <v>1.508197</v>
      </c>
      <c r="P53" s="25">
        <f>IFERROR(__xludf.DUMMYFUNCTION("""COMPUTED_VALUE"""),0.72299)</f>
        <v>0.72299</v>
      </c>
      <c r="Q53" s="25">
        <f>IFERROR(__xludf.DUMMYFUNCTION("""COMPUTED_VALUE"""),0.67203)</f>
        <v>0.67203</v>
      </c>
      <c r="R53" s="18">
        <f>IFERROR(__xludf.DUMMYFUNCTION("""COMPUTED_VALUE"""),1.056393)</f>
        <v>1.056393</v>
      </c>
      <c r="S53" s="18">
        <f>IFERROR(__xludf.DUMMYFUNCTION("""COMPUTED_VALUE"""),-1.4064201342055225)</f>
        <v>-1.406420134</v>
      </c>
      <c r="T53" s="18">
        <f>IFERROR(__xludf.DUMMYFUNCTION("""COMPUTED_VALUE"""),-1.7090941005108098)</f>
        <v>-1.709094101</v>
      </c>
      <c r="U53" s="18">
        <f>IFERROR(__xludf.DUMMYFUNCTION("""COMPUTED_VALUE"""),0.6895248781745522)</f>
        <v>0.6895248782</v>
      </c>
      <c r="V53" s="18">
        <f>IFERROR(__xludf.DUMMYFUNCTION("""COMPUTED_VALUE"""),-0.9443612209474435)</f>
        <v>-0.9443612209</v>
      </c>
      <c r="W53" s="18">
        <f>IFERROR(__xludf.DUMMYFUNCTION("""COMPUTED_VALUE"""),-1.3246178409515148)</f>
        <v>-1.324617841</v>
      </c>
      <c r="X53" s="18">
        <f>IFERROR(__xludf.DUMMYFUNCTION("""COMPUTED_VALUE"""),1.414352043713726)</f>
        <v>1.414352044</v>
      </c>
      <c r="Y53" s="18">
        <f>IFERROR(__xludf.DUMMYFUNCTION("""COMPUTED_VALUE"""),4.94762975870936)</f>
        <v>4.947629759</v>
      </c>
      <c r="Z53" s="18">
        <f>IFERROR(__xludf.DUMMYFUNCTION("""COMPUTED_VALUE"""),-1.2439382544727091)</f>
        <v>-1.243938254</v>
      </c>
      <c r="AA53" s="18">
        <f>IFERROR(__xludf.DUMMYFUNCTION("""COMPUTED_VALUE"""),0.0)</f>
        <v>0</v>
      </c>
      <c r="AB53" t="str">
        <f>IFERROR(__xludf.DUMMYFUNCTION("SUBSTITUTE(REGEXREPLACE(REGEXREPLACE(REGEXREPLACE(REGEXREPLACE(REGEXREPLACE(REGEXREPLACE(F53,"","",),IF(Projections!$T$11="""",""PG"",),),IF(Projections!$U$11="""",""SG"",),),IF(Projections!$V$11="""",""SF"",),),IF(Projections!$W$11="""",""PF"",),),IF(Pro"&amp;"jections!$X$11="""",""C"",),),""/"","""")"),"C")</f>
        <v>C</v>
      </c>
    </row>
    <row r="54">
      <c r="A54" t="str">
        <f>IF(Projections!$AB$11,Draft!H4,"")</f>
        <v/>
      </c>
      <c r="B54">
        <f>IFERROR(__xludf.DUMMYFUNCTION("""COMPUTED_VALUE"""),49.0)</f>
        <v>49</v>
      </c>
      <c r="D54" t="str">
        <f>IFERROR(__xludf.DUMMYFUNCTION("""COMPUTED_VALUE"""),"LeBron James")</f>
        <v>LeBron James</v>
      </c>
      <c r="E54">
        <f>IFERROR(__xludf.DUMMYFUNCTION("""COMPUTED_VALUE"""),61.0)</f>
        <v>61</v>
      </c>
      <c r="F54" t="str">
        <f>IFERROR(__xludf.DUMMYFUNCTION("""COMPUTED_VALUE"""),"F")</f>
        <v>F</v>
      </c>
      <c r="G54" s="18">
        <f>IFERROR(__xludf.DUMMYFUNCTION("""COMPUTED_VALUE"""),2.298940247123706)</f>
        <v>2.298940247</v>
      </c>
      <c r="H54" s="18">
        <f>IFERROR(__xludf.DUMMYFUNCTION("""COMPUTED_VALUE"""),2.6055084918634375)</f>
        <v>2.605508492</v>
      </c>
      <c r="I54" s="18">
        <f>IFERROR(__xludf.DUMMYFUNCTION("""COMPUTED_VALUE"""),0.30656824473973154)</f>
        <v>0.3065682447</v>
      </c>
      <c r="J54" s="18">
        <f>IFERROR(__xludf.DUMMYFUNCTION("""COMPUTED_VALUE"""),21.74148)</f>
        <v>21.74148</v>
      </c>
      <c r="K54" s="18">
        <f>IFERROR(__xludf.DUMMYFUNCTION("""COMPUTED_VALUE"""),1.939672)</f>
        <v>1.939672</v>
      </c>
      <c r="L54" s="18">
        <f>IFERROR(__xludf.DUMMYFUNCTION("""COMPUTED_VALUE"""),6.941639)</f>
        <v>6.941639</v>
      </c>
      <c r="M54" s="18">
        <f>IFERROR(__xludf.DUMMYFUNCTION("""COMPUTED_VALUE"""),6.455738)</f>
        <v>6.455738</v>
      </c>
      <c r="N54" s="18">
        <f>IFERROR(__xludf.DUMMYFUNCTION("""COMPUTED_VALUE"""),1.033115)</f>
        <v>1.033115</v>
      </c>
      <c r="O54" s="18">
        <f>IFERROR(__xludf.DUMMYFUNCTION("""COMPUTED_VALUE"""),0.558361)</f>
        <v>0.558361</v>
      </c>
      <c r="P54" s="25">
        <f>IFERROR(__xludf.DUMMYFUNCTION("""COMPUTED_VALUE"""),0.494596)</f>
        <v>0.494596</v>
      </c>
      <c r="Q54" s="25">
        <f>IFERROR(__xludf.DUMMYFUNCTION("""COMPUTED_VALUE"""),0.794001)</f>
        <v>0.794001</v>
      </c>
      <c r="R54" s="18">
        <f>IFERROR(__xludf.DUMMYFUNCTION("""COMPUTED_VALUE"""),2.984918)</f>
        <v>2.984918</v>
      </c>
      <c r="S54" s="18">
        <f>IFERROR(__xludf.DUMMYFUNCTION("""COMPUTED_VALUE"""),0.8012239021268491)</f>
        <v>0.8012239021</v>
      </c>
      <c r="T54" s="18">
        <f>IFERROR(__xludf.DUMMYFUNCTION("""COMPUTED_VALUE"""),0.16430597931934965)</f>
        <v>0.1643059793</v>
      </c>
      <c r="U54" s="18">
        <f>IFERROR(__xludf.DUMMYFUNCTION("""COMPUTED_VALUE"""),0.33042130768174394)</f>
        <v>0.3304213077</v>
      </c>
      <c r="V54" s="18">
        <f>IFERROR(__xludf.DUMMYFUNCTION("""COMPUTED_VALUE"""),1.2793411373109822)</f>
        <v>1.279341137</v>
      </c>
      <c r="W54" s="18">
        <f>IFERROR(__xludf.DUMMYFUNCTION("""COMPUTED_VALUE"""),-0.0367883404975053)</f>
        <v>-0.0367883405</v>
      </c>
      <c r="X54" s="18">
        <f>IFERROR(__xludf.DUMMYFUNCTION("""COMPUTED_VALUE"""),-0.31244241928369376)</f>
        <v>-0.3124424193</v>
      </c>
      <c r="Y54" s="18">
        <f>IFERROR(__xludf.DUMMYFUNCTION("""COMPUTED_VALUE"""),-0.008715586458508026)</f>
        <v>-0.008715586459</v>
      </c>
      <c r="Z54" s="18">
        <f>IFERROR(__xludf.DUMMYFUNCTION("""COMPUTED_VALUE"""),0.07572009238052593)</f>
        <v>0.07572009238</v>
      </c>
      <c r="AA54" s="18">
        <f>IFERROR(__xludf.DUMMYFUNCTION("""COMPUTED_VALUE"""),0.0)</f>
        <v>0</v>
      </c>
      <c r="AB54" t="str">
        <f>IFERROR(__xludf.DUMMYFUNCTION("SUBSTITUTE(REGEXREPLACE(REGEXREPLACE(REGEXREPLACE(REGEXREPLACE(REGEXREPLACE(REGEXREPLACE(F54,"","",),IF(Projections!$T$11="""",""PG"",),),IF(Projections!$U$11="""",""SG"",),),IF(Projections!$V$11="""",""SF"",),),IF(Projections!$W$11="""",""PF"",),),IF(Pro"&amp;"jections!$X$11="""",""C"",),),""/"","""")"),"F")</f>
        <v>F</v>
      </c>
    </row>
    <row r="55">
      <c r="A55" t="str">
        <f>IF(Projections!$AB$11,Draft!H5,"")</f>
        <v/>
      </c>
      <c r="B55">
        <f>IFERROR(__xludf.DUMMYFUNCTION("""COMPUTED_VALUE"""),50.0)</f>
        <v>50</v>
      </c>
      <c r="D55" t="str">
        <f>IFERROR(__xludf.DUMMYFUNCTION("""COMPUTED_VALUE"""),"Jarrett Allen")</f>
        <v>Jarrett Allen</v>
      </c>
      <c r="E55">
        <f>IFERROR(__xludf.DUMMYFUNCTION("""COMPUTED_VALUE"""),77.0)</f>
        <v>77</v>
      </c>
      <c r="F55" t="str">
        <f>IFERROR(__xludf.DUMMYFUNCTION("""COMPUTED_VALUE"""),"C")</f>
        <v>C</v>
      </c>
      <c r="G55" s="18">
        <f>IFERROR(__xludf.DUMMYFUNCTION("""COMPUTED_VALUE"""),2.2981056001357256)</f>
        <v>2.2981056</v>
      </c>
      <c r="H55" s="18">
        <f>IFERROR(__xludf.DUMMYFUNCTION("""COMPUTED_VALUE"""),2.1713855720234716)</f>
        <v>2.171385572</v>
      </c>
      <c r="I55" s="18">
        <f>IFERROR(__xludf.DUMMYFUNCTION("""COMPUTED_VALUE"""),-0.12672002811225402)</f>
        <v>-0.1267200281</v>
      </c>
      <c r="J55" s="18">
        <f>IFERROR(__xludf.DUMMYFUNCTION("""COMPUTED_VALUE"""),13.5139)</f>
        <v>13.5139</v>
      </c>
      <c r="K55" s="18">
        <f>IFERROR(__xludf.DUMMYFUNCTION("""COMPUTED_VALUE"""),0.0)</f>
        <v>0</v>
      </c>
      <c r="L55" s="18">
        <f>IFERROR(__xludf.DUMMYFUNCTION("""COMPUTED_VALUE"""),9.24987)</f>
        <v>9.24987</v>
      </c>
      <c r="M55" s="18">
        <f>IFERROR(__xludf.DUMMYFUNCTION("""COMPUTED_VALUE"""),1.941688)</f>
        <v>1.941688</v>
      </c>
      <c r="N55" s="18">
        <f>IFERROR(__xludf.DUMMYFUNCTION("""COMPUTED_VALUE"""),0.824805)</f>
        <v>0.824805</v>
      </c>
      <c r="O55" s="18">
        <f>IFERROR(__xludf.DUMMYFUNCTION("""COMPUTED_VALUE"""),0.825065)</f>
        <v>0.825065</v>
      </c>
      <c r="P55" s="25">
        <f>IFERROR(__xludf.DUMMYFUNCTION("""COMPUTED_VALUE"""),0.683118)</f>
        <v>0.683118</v>
      </c>
      <c r="Q55" s="25">
        <f>IFERROR(__xludf.DUMMYFUNCTION("""COMPUTED_VALUE"""),0.709998)</f>
        <v>0.709998</v>
      </c>
      <c r="R55" s="18">
        <f>IFERROR(__xludf.DUMMYFUNCTION("""COMPUTED_VALUE"""),1.237662)</f>
        <v>1.237662</v>
      </c>
      <c r="S55" s="18">
        <f>IFERROR(__xludf.DUMMYFUNCTION("""COMPUTED_VALUE"""),-0.642244223039492)</f>
        <v>-0.642244223</v>
      </c>
      <c r="T55" s="18">
        <f>IFERROR(__xludf.DUMMYFUNCTION("""COMPUTED_VALUE"""),-1.7090941005108098)</f>
        <v>-1.709094101</v>
      </c>
      <c r="U55" s="18">
        <f>IFERROR(__xludf.DUMMYFUNCTION("""COMPUTED_VALUE"""),1.2660710676125098)</f>
        <v>1.266071068</v>
      </c>
      <c r="V55" s="18">
        <f>IFERROR(__xludf.DUMMYFUNCTION("""COMPUTED_VALUE"""),-0.9258377282470459)</f>
        <v>-0.9258377282</v>
      </c>
      <c r="W55" s="18">
        <f>IFERROR(__xludf.DUMMYFUNCTION("""COMPUTED_VALUE"""),-0.6715568297647121)</f>
        <v>-0.6715568298</v>
      </c>
      <c r="X55" s="18">
        <f>IFERROR(__xludf.DUMMYFUNCTION("""COMPUTED_VALUE"""),0.172423379084934)</f>
        <v>0.1724233791</v>
      </c>
      <c r="Y55" s="18">
        <f>IFERROR(__xludf.DUMMYFUNCTION("""COMPUTED_VALUE"""),3.8565715500607975)</f>
        <v>3.85657155</v>
      </c>
      <c r="Z55" s="18">
        <f>IFERROR(__xludf.DUMMYFUNCTION("""COMPUTED_VALUE"""),-0.8840416436835197)</f>
        <v>-0.8840416437</v>
      </c>
      <c r="AA55" s="18">
        <f>IFERROR(__xludf.DUMMYFUNCTION("""COMPUTED_VALUE"""),0.0)</f>
        <v>0</v>
      </c>
      <c r="AB55" t="str">
        <f>IFERROR(__xludf.DUMMYFUNCTION("SUBSTITUTE(REGEXREPLACE(REGEXREPLACE(REGEXREPLACE(REGEXREPLACE(REGEXREPLACE(REGEXREPLACE(F55,"","",),IF(Projections!$T$11="""",""PG"",),),IF(Projections!$U$11="""",""SG"",),),IF(Projections!$V$11="""",""SF"",),),IF(Projections!$W$11="""",""PF"",),),IF(Pro"&amp;"jections!$X$11="""",""C"",),),""/"","""")"),"C")</f>
        <v>C</v>
      </c>
    </row>
    <row r="56">
      <c r="A56" t="str">
        <f>IF(Projections!$AB$11,Draft!H6,"")</f>
        <v/>
      </c>
      <c r="B56">
        <f>IFERROR(__xludf.DUMMYFUNCTION("""COMPUTED_VALUE"""),51.0)</f>
        <v>51</v>
      </c>
      <c r="D56" t="str">
        <f>IFERROR(__xludf.DUMMYFUNCTION("""COMPUTED_VALUE"""),"Paul George")</f>
        <v>Paul George</v>
      </c>
      <c r="E56">
        <f>IFERROR(__xludf.DUMMYFUNCTION("""COMPUTED_VALUE"""),53.0)</f>
        <v>53</v>
      </c>
      <c r="F56" t="str">
        <f>IFERROR(__xludf.DUMMYFUNCTION("""COMPUTED_VALUE"""),"F")</f>
        <v>F</v>
      </c>
      <c r="G56" s="18">
        <f>IFERROR(__xludf.DUMMYFUNCTION("""COMPUTED_VALUE"""),2.2248703413136077)</f>
        <v>2.224870341</v>
      </c>
      <c r="H56" s="18">
        <f>IFERROR(__xludf.DUMMYFUNCTION("""COMPUTED_VALUE"""),2.3661765959317256)</f>
        <v>2.366176596</v>
      </c>
      <c r="I56" s="18">
        <f>IFERROR(__xludf.DUMMYFUNCTION("""COMPUTED_VALUE"""),0.14130625461811785)</f>
        <v>0.1413062546</v>
      </c>
      <c r="J56" s="18">
        <f>IFERROR(__xludf.DUMMYFUNCTION("""COMPUTED_VALUE"""),16.63868)</f>
        <v>16.63868</v>
      </c>
      <c r="K56" s="18">
        <f>IFERROR(__xludf.DUMMYFUNCTION("""COMPUTED_VALUE"""),2.455849)</f>
        <v>2.455849</v>
      </c>
      <c r="L56" s="18">
        <f>IFERROR(__xludf.DUMMYFUNCTION("""COMPUTED_VALUE"""),5.016038)</f>
        <v>5.016038</v>
      </c>
      <c r="M56" s="18">
        <f>IFERROR(__xludf.DUMMYFUNCTION("""COMPUTED_VALUE"""),3.901509)</f>
        <v>3.901509</v>
      </c>
      <c r="N56" s="18">
        <f>IFERROR(__xludf.DUMMYFUNCTION("""COMPUTED_VALUE"""),1.639623)</f>
        <v>1.639623</v>
      </c>
      <c r="O56" s="18">
        <f>IFERROR(__xludf.DUMMYFUNCTION("""COMPUTED_VALUE"""),0.530189)</f>
        <v>0.530189</v>
      </c>
      <c r="P56" s="25">
        <f>IFERROR(__xludf.DUMMYFUNCTION("""COMPUTED_VALUE"""),0.448288)</f>
        <v>0.448288</v>
      </c>
      <c r="Q56" s="25">
        <f>IFERROR(__xludf.DUMMYFUNCTION("""COMPUTED_VALUE"""),0.844995)</f>
        <v>0.844995</v>
      </c>
      <c r="R56" s="18">
        <f>IFERROR(__xludf.DUMMYFUNCTION("""COMPUTED_VALUE"""),2.318491)</f>
        <v>2.318491</v>
      </c>
      <c r="S56" s="18">
        <f>IFERROR(__xludf.DUMMYFUNCTION("""COMPUTED_VALUE"""),-0.0940246580936293)</f>
        <v>-0.09402465809</v>
      </c>
      <c r="T56" s="18">
        <f>IFERROR(__xludf.DUMMYFUNCTION("""COMPUTED_VALUE"""),0.6628469867713789)</f>
        <v>0.6628469868</v>
      </c>
      <c r="U56" s="18">
        <f>IFERROR(__xludf.DUMMYFUNCTION("""COMPUTED_VALUE"""),-0.4501280018858182)</f>
        <v>-0.4501280019</v>
      </c>
      <c r="V56" s="18">
        <f>IFERROR(__xludf.DUMMYFUNCTION("""COMPUTED_VALUE"""),0.031563241940878436)</f>
        <v>0.03156324194</v>
      </c>
      <c r="W56" s="18">
        <f>IFERROR(__xludf.DUMMYFUNCTION("""COMPUTED_VALUE"""),1.8113810555395313)</f>
        <v>1.811381056</v>
      </c>
      <c r="X56" s="18">
        <f>IFERROR(__xludf.DUMMYFUNCTION("""COMPUTED_VALUE"""),-0.36365889624557274)</f>
        <v>-0.3636588962</v>
      </c>
      <c r="Y56" s="18">
        <f>IFERROR(__xludf.DUMMYFUNCTION("""COMPUTED_VALUE"""),-0.6315054866198391)</f>
        <v>-0.6315054866</v>
      </c>
      <c r="Z56" s="18">
        <f>IFERROR(__xludf.DUMMYFUNCTION("""COMPUTED_VALUE"""),0.7681968679049571)</f>
        <v>0.7681968679</v>
      </c>
      <c r="AA56" s="18">
        <f>IFERROR(__xludf.DUMMYFUNCTION("""COMPUTED_VALUE"""),0.0)</f>
        <v>0</v>
      </c>
      <c r="AB56" t="str">
        <f>IFERROR(__xludf.DUMMYFUNCTION("SUBSTITUTE(REGEXREPLACE(REGEXREPLACE(REGEXREPLACE(REGEXREPLACE(REGEXREPLACE(REGEXREPLACE(F56,"","",),IF(Projections!$T$11="""",""PG"",),),IF(Projections!$U$11="""",""SG"",),),IF(Projections!$V$11="""",""SF"",),),IF(Projections!$W$11="""",""PF"",),),IF(Pro"&amp;"jections!$X$11="""",""C"",),),""/"","""")"),"F")</f>
        <v>F</v>
      </c>
    </row>
    <row r="57">
      <c r="A57" t="str">
        <f>IF(Projections!$AB$11,Draft!H7,"")</f>
        <v/>
      </c>
      <c r="B57">
        <f>IFERROR(__xludf.DUMMYFUNCTION("""COMPUTED_VALUE"""),52.0)</f>
        <v>52</v>
      </c>
      <c r="D57" t="str">
        <f>IFERROR(__xludf.DUMMYFUNCTION("""COMPUTED_VALUE"""),"Jordan Poole")</f>
        <v>Jordan Poole</v>
      </c>
      <c r="E57">
        <f>IFERROR(__xludf.DUMMYFUNCTION("""COMPUTED_VALUE"""),68.0)</f>
        <v>68</v>
      </c>
      <c r="F57" t="str">
        <f>IFERROR(__xludf.DUMMYFUNCTION("""COMPUTED_VALUE"""),"G")</f>
        <v>G</v>
      </c>
      <c r="G57" s="18">
        <f>IFERROR(__xludf.DUMMYFUNCTION("""COMPUTED_VALUE"""),2.1809019605265503)</f>
        <v>2.180901961</v>
      </c>
      <c r="H57" s="18">
        <f>IFERROR(__xludf.DUMMYFUNCTION("""COMPUTED_VALUE"""),2.4266255566637356)</f>
        <v>2.426625557</v>
      </c>
      <c r="I57" s="18">
        <f>IFERROR(__xludf.DUMMYFUNCTION("""COMPUTED_VALUE"""),0.2457235961371853)</f>
        <v>0.2457235961</v>
      </c>
      <c r="J57" s="18">
        <f>IFERROR(__xludf.DUMMYFUNCTION("""COMPUTED_VALUE"""),18.92559)</f>
        <v>18.92559</v>
      </c>
      <c r="K57" s="18">
        <f>IFERROR(__xludf.DUMMYFUNCTION("""COMPUTED_VALUE"""),3.177794)</f>
        <v>3.177794</v>
      </c>
      <c r="L57" s="18">
        <f>IFERROR(__xludf.DUMMYFUNCTION("""COMPUTED_VALUE"""),2.935294)</f>
        <v>2.935294</v>
      </c>
      <c r="M57" s="18">
        <f>IFERROR(__xludf.DUMMYFUNCTION("""COMPUTED_VALUE"""),4.305147)</f>
        <v>4.305147</v>
      </c>
      <c r="N57" s="18">
        <f>IFERROR(__xludf.DUMMYFUNCTION("""COMPUTED_VALUE"""),1.196324)</f>
        <v>1.196324</v>
      </c>
      <c r="O57" s="18">
        <f>IFERROR(__xludf.DUMMYFUNCTION("""COMPUTED_VALUE"""),0.326176)</f>
        <v>0.326176</v>
      </c>
      <c r="P57" s="25">
        <f>IFERROR(__xludf.DUMMYFUNCTION("""COMPUTED_VALUE"""),0.43492)</f>
        <v>0.43492</v>
      </c>
      <c r="Q57" s="25">
        <f>IFERROR(__xludf.DUMMYFUNCTION("""COMPUTED_VALUE"""),0.89899)</f>
        <v>0.89899</v>
      </c>
      <c r="R57" s="18">
        <f>IFERROR(__xludf.DUMMYFUNCTION("""COMPUTED_VALUE"""),2.739559)</f>
        <v>2.739559</v>
      </c>
      <c r="S57" s="18">
        <f>IFERROR(__xludf.DUMMYFUNCTION("""COMPUTED_VALUE"""),0.30719680558392304)</f>
        <v>0.3071968056</v>
      </c>
      <c r="T57" s="18">
        <f>IFERROR(__xludf.DUMMYFUNCTION("""COMPUTED_VALUE"""),1.360125609462733)</f>
        <v>1.360125609</v>
      </c>
      <c r="U57" s="18">
        <f>IFERROR(__xludf.DUMMYFUNCTION("""COMPUTED_VALUE"""),-1.2935650859893513)</f>
        <v>-1.293565086</v>
      </c>
      <c r="V57" s="18">
        <f>IFERROR(__xludf.DUMMYFUNCTION("""COMPUTED_VALUE"""),0.22874625651451214)</f>
        <v>0.2287462565</v>
      </c>
      <c r="W57" s="18">
        <f>IFERROR(__xludf.DUMMYFUNCTION("""COMPUTED_VALUE"""),0.4605470268147289)</f>
        <v>0.4605470268</v>
      </c>
      <c r="X57" s="18">
        <f>IFERROR(__xludf.DUMMYFUNCTION("""COMPUTED_VALUE"""),-0.7345529440385524)</f>
        <v>-0.734552944</v>
      </c>
      <c r="Y57" s="18">
        <f>IFERROR(__xludf.DUMMYFUNCTION("""COMPUTED_VALUE"""),-0.7873256569198599)</f>
        <v>-0.7873256569</v>
      </c>
      <c r="Z57" s="18">
        <f>IFERROR(__xludf.DUMMYFUNCTION("""COMPUTED_VALUE"""),1.5918884592462506)</f>
        <v>1.591888459</v>
      </c>
      <c r="AA57" s="18">
        <f>IFERROR(__xludf.DUMMYFUNCTION("""COMPUTED_VALUE"""),0.0)</f>
        <v>0</v>
      </c>
      <c r="AB57" t="str">
        <f>IFERROR(__xludf.DUMMYFUNCTION("SUBSTITUTE(REGEXREPLACE(REGEXREPLACE(REGEXREPLACE(REGEXREPLACE(REGEXREPLACE(REGEXREPLACE(F57,"","",),IF(Projections!$T$11="""",""PG"",),),IF(Projections!$U$11="""",""SG"",),),IF(Projections!$V$11="""",""SF"",),),IF(Projections!$W$11="""",""PF"",),),IF(Pro"&amp;"jections!$X$11="""",""C"",),),""/"","""")"),"G")</f>
        <v>G</v>
      </c>
    </row>
    <row r="58">
      <c r="A58" t="str">
        <f>IF(Projections!$AB$11,Draft!H8,"")</f>
        <v/>
      </c>
      <c r="B58">
        <f>IFERROR(__xludf.DUMMYFUNCTION("""COMPUTED_VALUE"""),53.0)</f>
        <v>53</v>
      </c>
      <c r="D58" t="str">
        <f>IFERROR(__xludf.DUMMYFUNCTION("""COMPUTED_VALUE"""),"Alperen Sengun")</f>
        <v>Alperen Sengun</v>
      </c>
      <c r="E58">
        <f>IFERROR(__xludf.DUMMYFUNCTION("""COMPUTED_VALUE"""),73.0)</f>
        <v>73</v>
      </c>
      <c r="F58" t="str">
        <f>IFERROR(__xludf.DUMMYFUNCTION("""COMPUTED_VALUE"""),"C")</f>
        <v>C</v>
      </c>
      <c r="G58" s="18">
        <f>IFERROR(__xludf.DUMMYFUNCTION("""COMPUTED_VALUE"""),2.1722127714274655)</f>
        <v>2.172212771</v>
      </c>
      <c r="H58" s="18">
        <f>IFERROR(__xludf.DUMMYFUNCTION("""COMPUTED_VALUE"""),2.392092413426382)</f>
        <v>2.392092413</v>
      </c>
      <c r="I58" s="18">
        <f>IFERROR(__xludf.DUMMYFUNCTION("""COMPUTED_VALUE"""),0.2198796419989164)</f>
        <v>0.219879642</v>
      </c>
      <c r="J58" s="18">
        <f>IFERROR(__xludf.DUMMYFUNCTION("""COMPUTED_VALUE"""),21.69712)</f>
        <v>21.69712</v>
      </c>
      <c r="K58" s="18">
        <f>IFERROR(__xludf.DUMMYFUNCTION("""COMPUTED_VALUE"""),0.259589)</f>
        <v>0.259589</v>
      </c>
      <c r="L58" s="18">
        <f>IFERROR(__xludf.DUMMYFUNCTION("""COMPUTED_VALUE"""),9.897945)</f>
        <v>9.897945</v>
      </c>
      <c r="M58" s="18">
        <f>IFERROR(__xludf.DUMMYFUNCTION("""COMPUTED_VALUE"""),5.252055)</f>
        <v>5.252055</v>
      </c>
      <c r="N58" s="18">
        <f>IFERROR(__xludf.DUMMYFUNCTION("""COMPUTED_VALUE"""),1.01)</f>
        <v>1.01</v>
      </c>
      <c r="O58" s="18">
        <f>IFERROR(__xludf.DUMMYFUNCTION("""COMPUTED_VALUE"""),0.81137)</f>
        <v>0.81137</v>
      </c>
      <c r="P58" s="25">
        <f>IFERROR(__xludf.DUMMYFUNCTION("""COMPUTED_VALUE"""),0.525203)</f>
        <v>0.525203</v>
      </c>
      <c r="Q58" s="25">
        <f>IFERROR(__xludf.DUMMYFUNCTION("""COMPUTED_VALUE"""),0.684007)</f>
        <v>0.684007</v>
      </c>
      <c r="R58" s="18">
        <f>IFERROR(__xludf.DUMMYFUNCTION("""COMPUTED_VALUE"""),2.635342)</f>
        <v>2.635342</v>
      </c>
      <c r="S58" s="18">
        <f>IFERROR(__xludf.DUMMYFUNCTION("""COMPUTED_VALUE"""),0.7934412678610777)</f>
        <v>0.7934412679</v>
      </c>
      <c r="T58" s="18">
        <f>IFERROR(__xludf.DUMMYFUNCTION("""COMPUTED_VALUE"""),-1.4583743637083857)</f>
        <v>-1.458374364</v>
      </c>
      <c r="U58" s="18">
        <f>IFERROR(__xludf.DUMMYFUNCTION("""COMPUTED_VALUE"""),1.5287706059893584)</f>
        <v>1.528770606</v>
      </c>
      <c r="V58" s="18">
        <f>IFERROR(__xludf.DUMMYFUNCTION("""COMPUTED_VALUE"""),0.6913245419184891)</f>
        <v>0.6913245419</v>
      </c>
      <c r="W58" s="18">
        <f>IFERROR(__xludf.DUMMYFUNCTION("""COMPUTED_VALUE"""),-0.10722506283158183)</f>
        <v>-0.1072250628</v>
      </c>
      <c r="X58" s="18">
        <f>IFERROR(__xludf.DUMMYFUNCTION("""COMPUTED_VALUE"""),0.14752597556395808)</f>
        <v>0.1475259756</v>
      </c>
      <c r="Y58" s="18">
        <f>IFERROR(__xludf.DUMMYFUNCTION("""COMPUTED_VALUE"""),0.4736315578297787)</f>
        <v>0.4736315578</v>
      </c>
      <c r="Z58" s="18">
        <f>IFERROR(__xludf.DUMMYFUNCTION("""COMPUTED_VALUE"""),-1.135376472904698)</f>
        <v>-1.135376473</v>
      </c>
      <c r="AA58" s="18">
        <f>IFERROR(__xludf.DUMMYFUNCTION("""COMPUTED_VALUE"""),0.0)</f>
        <v>0</v>
      </c>
      <c r="AB58" t="str">
        <f>IFERROR(__xludf.DUMMYFUNCTION("SUBSTITUTE(REGEXREPLACE(REGEXREPLACE(REGEXREPLACE(REGEXREPLACE(REGEXREPLACE(REGEXREPLACE(F58,"","",),IF(Projections!$T$11="""",""PG"",),),IF(Projections!$U$11="""",""SG"",),),IF(Projections!$V$11="""",""SF"",),),IF(Projections!$W$11="""",""PF"",),),IF(Pro"&amp;"jections!$X$11="""",""C"",),),""/"","""")"),"C")</f>
        <v>C</v>
      </c>
    </row>
    <row r="59">
      <c r="A59" t="str">
        <f>IF(Projections!$AB$11,Draft!H9,"")</f>
        <v/>
      </c>
      <c r="B59">
        <f>IFERROR(__xludf.DUMMYFUNCTION("""COMPUTED_VALUE"""),54.0)</f>
        <v>54</v>
      </c>
      <c r="D59" t="str">
        <f>IFERROR(__xludf.DUMMYFUNCTION("""COMPUTED_VALUE"""),"Chet Holmgren")</f>
        <v>Chet Holmgren</v>
      </c>
      <c r="E59">
        <f>IFERROR(__xludf.DUMMYFUNCTION("""COMPUTED_VALUE"""),62.0)</f>
        <v>62</v>
      </c>
      <c r="F59" t="str">
        <f>IFERROR(__xludf.DUMMYFUNCTION("""COMPUTED_VALUE"""),"F,C")</f>
        <v>F,C</v>
      </c>
      <c r="G59" s="18">
        <f>IFERROR(__xludf.DUMMYFUNCTION("""COMPUTED_VALUE"""),2.170239002023937)</f>
        <v>2.170239002</v>
      </c>
      <c r="H59" s="18">
        <f>IFERROR(__xludf.DUMMYFUNCTION("""COMPUTED_VALUE"""),2.1755692126891777)</f>
        <v>2.175569213</v>
      </c>
      <c r="I59" s="18">
        <f>IFERROR(__xludf.DUMMYFUNCTION("""COMPUTED_VALUE"""),0.005330210665240642)</f>
        <v>0.005330210665</v>
      </c>
      <c r="J59" s="18">
        <f>IFERROR(__xludf.DUMMYFUNCTION("""COMPUTED_VALUE"""),16.75968)</f>
        <v>16.75968</v>
      </c>
      <c r="K59" s="18">
        <f>IFERROR(__xludf.DUMMYFUNCTION("""COMPUTED_VALUE"""),1.498226)</f>
        <v>1.498226</v>
      </c>
      <c r="L59" s="18">
        <f>IFERROR(__xludf.DUMMYFUNCTION("""COMPUTED_VALUE"""),8.287419)</f>
        <v>8.287419</v>
      </c>
      <c r="M59" s="18">
        <f>IFERROR(__xludf.DUMMYFUNCTION("""COMPUTED_VALUE"""),2.248065)</f>
        <v>2.248065</v>
      </c>
      <c r="N59" s="18">
        <f>IFERROR(__xludf.DUMMYFUNCTION("""COMPUTED_VALUE"""),0.776452)</f>
        <v>0.776452</v>
      </c>
      <c r="O59" s="18">
        <f>IFERROR(__xludf.DUMMYFUNCTION("""COMPUTED_VALUE"""),2.04)</f>
        <v>2.04</v>
      </c>
      <c r="P59" s="25">
        <f>IFERROR(__xludf.DUMMYFUNCTION("""COMPUTED_VALUE"""),0.515974)</f>
        <v>0.515974</v>
      </c>
      <c r="Q59" s="25">
        <f>IFERROR(__xludf.DUMMYFUNCTION("""COMPUTED_VALUE"""),0.764011)</f>
        <v>0.764011</v>
      </c>
      <c r="R59" s="18">
        <f>IFERROR(__xludf.DUMMYFUNCTION("""COMPUTED_VALUE"""),1.770161)</f>
        <v>1.770161</v>
      </c>
      <c r="S59" s="18">
        <f>IFERROR(__xludf.DUMMYFUNCTION("""COMPUTED_VALUE"""),-0.07279610204858016)</f>
        <v>-0.07279610205</v>
      </c>
      <c r="T59" s="18">
        <f>IFERROR(__xludf.DUMMYFUNCTION("""COMPUTED_VALUE"""),-0.2620573293435091)</f>
        <v>-0.2620573293</v>
      </c>
      <c r="U59" s="18">
        <f>IFERROR(__xludf.DUMMYFUNCTION("""COMPUTED_VALUE"""),0.8759380839141168)</f>
        <v>0.8759380839</v>
      </c>
      <c r="V59" s="18">
        <f>IFERROR(__xludf.DUMMYFUNCTION("""COMPUTED_VALUE"""),-0.7761681221742129)</f>
        <v>-0.7761681222</v>
      </c>
      <c r="W59" s="18">
        <f>IFERROR(__xludf.DUMMYFUNCTION("""COMPUTED_VALUE"""),-0.8188995438040632)</f>
        <v>-0.8188995438</v>
      </c>
      <c r="X59" s="18">
        <f>IFERROR(__xludf.DUMMYFUNCTION("""COMPUTED_VALUE"""),2.3811657629299035)</f>
        <v>2.381165763</v>
      </c>
      <c r="Y59" s="18">
        <f>IFERROR(__xludf.DUMMYFUNCTION("""COMPUTED_VALUE"""),0.3222615198596845)</f>
        <v>0.3222615199</v>
      </c>
      <c r="Z59" s="18">
        <f>IFERROR(__xludf.DUMMYFUNCTION("""COMPUTED_VALUE"""),-0.29277460044822506)</f>
        <v>-0.2927746004</v>
      </c>
      <c r="AA59" s="18">
        <f>IFERROR(__xludf.DUMMYFUNCTION("""COMPUTED_VALUE"""),0.0)</f>
        <v>0</v>
      </c>
      <c r="AB59" t="str">
        <f>IFERROR(__xludf.DUMMYFUNCTION("SUBSTITUTE(REGEXREPLACE(REGEXREPLACE(REGEXREPLACE(REGEXREPLACE(REGEXREPLACE(REGEXREPLACE(F59,"","",),IF(Projections!$T$11="""",""PG"",),),IF(Projections!$U$11="""",""SG"",),),IF(Projections!$V$11="""",""SF"",),),IF(Projections!$W$11="""",""PF"",),),IF(Pro"&amp;"jections!$X$11="""",""C"",),),""/"","""")"),"FC")</f>
        <v>FC</v>
      </c>
    </row>
    <row r="60">
      <c r="A60" t="str">
        <f>IF(Projections!$AB$11,Draft!H10,"")</f>
        <v/>
      </c>
      <c r="B60">
        <f>IFERROR(__xludf.DUMMYFUNCTION("""COMPUTED_VALUE"""),55.0)</f>
        <v>55</v>
      </c>
      <c r="D60" t="str">
        <f>IFERROR(__xludf.DUMMYFUNCTION("""COMPUTED_VALUE"""),"O.G. Anunoby")</f>
        <v>O.G. Anunoby</v>
      </c>
      <c r="E60">
        <f>IFERROR(__xludf.DUMMYFUNCTION("""COMPUTED_VALUE"""),68.0)</f>
        <v>68</v>
      </c>
      <c r="F60" t="str">
        <f>IFERROR(__xludf.DUMMYFUNCTION("""COMPUTED_VALUE"""),"F")</f>
        <v>F</v>
      </c>
      <c r="G60" s="18">
        <f>IFERROR(__xludf.DUMMYFUNCTION("""COMPUTED_VALUE"""),2.117592930222621)</f>
        <v>2.11759293</v>
      </c>
      <c r="H60" s="18">
        <f>IFERROR(__xludf.DUMMYFUNCTION("""COMPUTED_VALUE"""),2.059866491643257)</f>
        <v>2.059866492</v>
      </c>
      <c r="I60" s="18">
        <f>IFERROR(__xludf.DUMMYFUNCTION("""COMPUTED_VALUE"""),-0.05772643857936366)</f>
        <v>-0.05772643858</v>
      </c>
      <c r="J60" s="18">
        <f>IFERROR(__xludf.DUMMYFUNCTION("""COMPUTED_VALUE"""),18.63368)</f>
        <v>18.63368</v>
      </c>
      <c r="K60" s="18">
        <f>IFERROR(__xludf.DUMMYFUNCTION("""COMPUTED_VALUE"""),2.3825)</f>
        <v>2.3825</v>
      </c>
      <c r="L60" s="18">
        <f>IFERROR(__xludf.DUMMYFUNCTION("""COMPUTED_VALUE"""),4.62)</f>
        <v>4.62</v>
      </c>
      <c r="M60" s="18">
        <f>IFERROR(__xludf.DUMMYFUNCTION("""COMPUTED_VALUE"""),2.382206)</f>
        <v>2.382206</v>
      </c>
      <c r="N60" s="18">
        <f>IFERROR(__xludf.DUMMYFUNCTION("""COMPUTED_VALUE"""),1.510882)</f>
        <v>1.510882</v>
      </c>
      <c r="O60" s="18">
        <f>IFERROR(__xludf.DUMMYFUNCTION("""COMPUTED_VALUE"""),0.868382)</f>
        <v>0.868382</v>
      </c>
      <c r="P60" s="25">
        <f>IFERROR(__xludf.DUMMYFUNCTION("""COMPUTED_VALUE"""),0.476605)</f>
        <v>0.476605</v>
      </c>
      <c r="Q60" s="25">
        <f>IFERROR(__xludf.DUMMYFUNCTION("""COMPUTED_VALUE"""),0.81999)</f>
        <v>0.81999</v>
      </c>
      <c r="R60" s="18">
        <f>IFERROR(__xludf.DUMMYFUNCTION("""COMPUTED_VALUE"""),1.515882)</f>
        <v>1.515882</v>
      </c>
      <c r="S60" s="18">
        <f>IFERROR(__xludf.DUMMYFUNCTION("""COMPUTED_VALUE"""),0.25598335273177103)</f>
        <v>0.2559833527</v>
      </c>
      <c r="T60" s="18">
        <f>IFERROR(__xludf.DUMMYFUNCTION("""COMPUTED_VALUE"""),0.5920040697960021)</f>
        <v>0.5920040698</v>
      </c>
      <c r="U60" s="18">
        <f>IFERROR(__xludf.DUMMYFUNCTION("""COMPUTED_VALUE"""),-0.6106634334017543)</f>
        <v>-0.6106634334</v>
      </c>
      <c r="V60" s="18">
        <f>IFERROR(__xludf.DUMMYFUNCTION("""COMPUTED_VALUE"""),-0.710638299020987)</f>
        <v>-0.710638299</v>
      </c>
      <c r="W60" s="18">
        <f>IFERROR(__xludf.DUMMYFUNCTION("""COMPUTED_VALUE"""),1.4190776131855902)</f>
        <v>1.419077613</v>
      </c>
      <c r="X60" s="18">
        <f>IFERROR(__xludf.DUMMYFUNCTION("""COMPUTED_VALUE"""),0.25117334829399657)</f>
        <v>0.2511733483</v>
      </c>
      <c r="Y60" s="18">
        <f>IFERROR(__xludf.DUMMYFUNCTION("""COMPUTED_VALUE"""),-0.26597787472076323)</f>
        <v>-0.2659778747</v>
      </c>
      <c r="Z60" s="18">
        <f>IFERROR(__xludf.DUMMYFUNCTION("""COMPUTED_VALUE"""),0.41826941575841486)</f>
        <v>0.4182694158</v>
      </c>
      <c r="AA60" s="18">
        <f>IFERROR(__xludf.DUMMYFUNCTION("""COMPUTED_VALUE"""),0.0)</f>
        <v>0</v>
      </c>
      <c r="AB60" t="str">
        <f>IFERROR(__xludf.DUMMYFUNCTION("SUBSTITUTE(REGEXREPLACE(REGEXREPLACE(REGEXREPLACE(REGEXREPLACE(REGEXREPLACE(REGEXREPLACE(F60,"","",),IF(Projections!$T$11="""",""PG"",),),IF(Projections!$U$11="""",""SG"",),),IF(Projections!$V$11="""",""SF"",),),IF(Projections!$W$11="""",""PF"",),),IF(Pro"&amp;"jections!$X$11="""",""C"",),),""/"","""")"),"F")</f>
        <v>F</v>
      </c>
    </row>
    <row r="61">
      <c r="A61" t="str">
        <f>IF(Projections!$AB$11,Draft!H11,"")</f>
        <v/>
      </c>
      <c r="B61">
        <f>IFERROR(__xludf.DUMMYFUNCTION("""COMPUTED_VALUE"""),56.0)</f>
        <v>56</v>
      </c>
      <c r="D61" t="str">
        <f>IFERROR(__xludf.DUMMYFUNCTION("""COMPUTED_VALUE"""),"Jalen Williams")</f>
        <v>Jalen Williams</v>
      </c>
      <c r="E61">
        <f>IFERROR(__xludf.DUMMYFUNCTION("""COMPUTED_VALUE"""),73.0)</f>
        <v>73</v>
      </c>
      <c r="F61" t="str">
        <f>IFERROR(__xludf.DUMMYFUNCTION("""COMPUTED_VALUE"""),"G,F")</f>
        <v>G,F</v>
      </c>
      <c r="G61" s="18">
        <f>IFERROR(__xludf.DUMMYFUNCTION("""COMPUTED_VALUE"""),2.004798053519622)</f>
        <v>2.004798054</v>
      </c>
      <c r="H61" s="18">
        <f>IFERROR(__xludf.DUMMYFUNCTION("""COMPUTED_VALUE"""),2.0433112496013495)</f>
        <v>2.04331125</v>
      </c>
      <c r="I61" s="18">
        <f>IFERROR(__xludf.DUMMYFUNCTION("""COMPUTED_VALUE"""),0.03851319608172732)</f>
        <v>0.03851319608</v>
      </c>
      <c r="J61" s="18">
        <f>IFERROR(__xludf.DUMMYFUNCTION("""COMPUTED_VALUE"""),22.20082)</f>
        <v>22.20082</v>
      </c>
      <c r="K61" s="18">
        <f>IFERROR(__xludf.DUMMYFUNCTION("""COMPUTED_VALUE"""),1.76274)</f>
        <v>1.76274</v>
      </c>
      <c r="L61" s="18">
        <f>IFERROR(__xludf.DUMMYFUNCTION("""COMPUTED_VALUE"""),5.032055)</f>
        <v>5.032055</v>
      </c>
      <c r="M61" s="18">
        <f>IFERROR(__xludf.DUMMYFUNCTION("""COMPUTED_VALUE"""),4.76)</f>
        <v>4.76</v>
      </c>
      <c r="N61" s="18">
        <f>IFERROR(__xludf.DUMMYFUNCTION("""COMPUTED_VALUE"""),1.36)</f>
        <v>1.36</v>
      </c>
      <c r="O61" s="18">
        <f>IFERROR(__xludf.DUMMYFUNCTION("""COMPUTED_VALUE"""),0.476027)</f>
        <v>0.476027</v>
      </c>
      <c r="P61" s="25">
        <f>IFERROR(__xludf.DUMMYFUNCTION("""COMPUTED_VALUE"""),0.498437)</f>
        <v>0.498437</v>
      </c>
      <c r="Q61" s="25">
        <f>IFERROR(__xludf.DUMMYFUNCTION("""COMPUTED_VALUE"""),0.799989)</f>
        <v>0.799989</v>
      </c>
      <c r="R61" s="18">
        <f>IFERROR(__xludf.DUMMYFUNCTION("""COMPUTED_VALUE"""),1.903973)</f>
        <v>1.903973</v>
      </c>
      <c r="S61" s="18">
        <f>IFERROR(__xludf.DUMMYFUNCTION("""COMPUTED_VALUE"""),0.8818117114965434)</f>
        <v>0.8818117115</v>
      </c>
      <c r="T61" s="18">
        <f>IFERROR(__xludf.DUMMYFUNCTION("""COMPUTED_VALUE"""),-0.0065808628501047356)</f>
        <v>-0.00658086285</v>
      </c>
      <c r="U61" s="18">
        <f>IFERROR(__xludf.DUMMYFUNCTION("""COMPUTED_VALUE"""),-0.4436354531743544)</f>
        <v>-0.4436354532</v>
      </c>
      <c r="V61" s="18">
        <f>IFERROR(__xludf.DUMMYFUNCTION("""COMPUTED_VALUE"""),0.45094854105625753)</f>
        <v>0.4509485411</v>
      </c>
      <c r="W61" s="18">
        <f>IFERROR(__xludf.DUMMYFUNCTION("""COMPUTED_VALUE"""),0.9593054505548251)</f>
        <v>0.9593054506</v>
      </c>
      <c r="X61" s="18">
        <f>IFERROR(__xludf.DUMMYFUNCTION("""COMPUTED_VALUE"""),-0.46212499113444444)</f>
        <v>-0.4621249911</v>
      </c>
      <c r="Y61" s="18">
        <f>IFERROR(__xludf.DUMMYFUNCTION("""COMPUTED_VALUE"""),0.04872782875672441)</f>
        <v>0.04872782876</v>
      </c>
      <c r="Z61" s="18">
        <f>IFERROR(__xludf.DUMMYFUNCTION("""COMPUTED_VALUE"""),0.1527340337614584)</f>
        <v>0.1527340338</v>
      </c>
      <c r="AA61" s="18">
        <f>IFERROR(__xludf.DUMMYFUNCTION("""COMPUTED_VALUE"""),0.0)</f>
        <v>0</v>
      </c>
      <c r="AB61" t="str">
        <f>IFERROR(__xludf.DUMMYFUNCTION("SUBSTITUTE(REGEXREPLACE(REGEXREPLACE(REGEXREPLACE(REGEXREPLACE(REGEXREPLACE(REGEXREPLACE(F61,"","",),IF(Projections!$T$11="""",""PG"",),),IF(Projections!$U$11="""",""SG"",),),IF(Projections!$V$11="""",""SF"",),),IF(Projections!$W$11="""",""PF"",),),IF(Pro"&amp;"jections!$X$11="""",""C"",),),""/"","""")"),"GF")</f>
        <v>GF</v>
      </c>
    </row>
    <row r="62">
      <c r="A62" t="str">
        <f>IF(Projections!$AB$11,Draft!H12,"")</f>
        <v/>
      </c>
      <c r="B62">
        <f>IFERROR(__xludf.DUMMYFUNCTION("""COMPUTED_VALUE"""),57.0)</f>
        <v>57</v>
      </c>
      <c r="D62" t="str">
        <f>IFERROR(__xludf.DUMMYFUNCTION("""COMPUTED_VALUE"""),"Bam Adebayo")</f>
        <v>Bam Adebayo</v>
      </c>
      <c r="E62">
        <f>IFERROR(__xludf.DUMMYFUNCTION("""COMPUTED_VALUE"""),73.0)</f>
        <v>73</v>
      </c>
      <c r="F62" t="str">
        <f>IFERROR(__xludf.DUMMYFUNCTION("""COMPUTED_VALUE"""),"F,C")</f>
        <v>F,C</v>
      </c>
      <c r="G62" s="18">
        <f>IFERROR(__xludf.DUMMYFUNCTION("""COMPUTED_VALUE"""),1.9946263248309755)</f>
        <v>1.994626325</v>
      </c>
      <c r="H62" s="18">
        <f>IFERROR(__xludf.DUMMYFUNCTION("""COMPUTED_VALUE"""),1.991356019098474)</f>
        <v>1.991356019</v>
      </c>
      <c r="I62" s="18">
        <f>IFERROR(__xludf.DUMMYFUNCTION("""COMPUTED_VALUE"""),-0.0032703057325014218)</f>
        <v>-0.003270305733</v>
      </c>
      <c r="J62" s="18">
        <f>IFERROR(__xludf.DUMMYFUNCTION("""COMPUTED_VALUE"""),19.5174)</f>
        <v>19.5174</v>
      </c>
      <c r="K62" s="18">
        <f>IFERROR(__xludf.DUMMYFUNCTION("""COMPUTED_VALUE"""),1.322055)</f>
        <v>1.322055</v>
      </c>
      <c r="L62" s="18">
        <f>IFERROR(__xludf.DUMMYFUNCTION("""COMPUTED_VALUE"""),8.468767)</f>
        <v>8.468767</v>
      </c>
      <c r="M62" s="18">
        <f>IFERROR(__xludf.DUMMYFUNCTION("""COMPUTED_VALUE"""),4.373288)</f>
        <v>4.373288</v>
      </c>
      <c r="N62" s="18">
        <f>IFERROR(__xludf.DUMMYFUNCTION("""COMPUTED_VALUE"""),1.318904)</f>
        <v>1.318904</v>
      </c>
      <c r="O62" s="18">
        <f>IFERROR(__xludf.DUMMYFUNCTION("""COMPUTED_VALUE"""),0.556164)</f>
        <v>0.556164</v>
      </c>
      <c r="P62" s="25">
        <f>IFERROR(__xludf.DUMMYFUNCTION("""COMPUTED_VALUE"""),0.47959)</f>
        <v>0.47959</v>
      </c>
      <c r="Q62" s="25">
        <f>IFERROR(__xludf.DUMMYFUNCTION("""COMPUTED_VALUE"""),0.794011)</f>
        <v>0.794011</v>
      </c>
      <c r="R62" s="18">
        <f>IFERROR(__xludf.DUMMYFUNCTION("""COMPUTED_VALUE"""),1.735479)</f>
        <v>1.735479</v>
      </c>
      <c r="S62" s="18">
        <f>IFERROR(__xludf.DUMMYFUNCTION("""COMPUTED_VALUE"""),0.41102549775764735)</f>
        <v>0.4110254978</v>
      </c>
      <c r="T62" s="18">
        <f>IFERROR(__xludf.DUMMYFUNCTION("""COMPUTED_VALUE"""),-0.432209172265281)</f>
        <v>-0.4322091723</v>
      </c>
      <c r="U62" s="18">
        <f>IFERROR(__xludf.DUMMYFUNCTION("""COMPUTED_VALUE"""),0.9494481497021269)</f>
        <v>0.9494481497</v>
      </c>
      <c r="V62" s="18">
        <f>IFERROR(__xludf.DUMMYFUNCTION("""COMPUTED_VALUE"""),0.26203412286025246)</f>
        <v>0.2620341229</v>
      </c>
      <c r="W62" s="18">
        <f>IFERROR(__xludf.DUMMYFUNCTION("""COMPUTED_VALUE"""),0.8340764849030314)</f>
        <v>0.8340764849</v>
      </c>
      <c r="X62" s="18">
        <f>IFERROR(__xludf.DUMMYFUNCTION("""COMPUTED_VALUE"""),-0.31643654820195477)</f>
        <v>-0.3164365482</v>
      </c>
      <c r="Y62" s="18">
        <f>IFERROR(__xludf.DUMMYFUNCTION("""COMPUTED_VALUE"""),-0.22463944014617288)</f>
        <v>-0.2246394401</v>
      </c>
      <c r="Z62" s="18">
        <f>IFERROR(__xludf.DUMMYFUNCTION("""COMPUTED_VALUE"""),0.07584775222354366)</f>
        <v>0.07584775222</v>
      </c>
      <c r="AA62" s="18">
        <f>IFERROR(__xludf.DUMMYFUNCTION("""COMPUTED_VALUE"""),0.0)</f>
        <v>0</v>
      </c>
      <c r="AB62" t="str">
        <f>IFERROR(__xludf.DUMMYFUNCTION("SUBSTITUTE(REGEXREPLACE(REGEXREPLACE(REGEXREPLACE(REGEXREPLACE(REGEXREPLACE(REGEXREPLACE(F62,"","",),IF(Projections!$T$11="""",""PG"",),),IF(Projections!$U$11="""",""SG"",),),IF(Projections!$V$11="""",""SF"",),),IF(Projections!$W$11="""",""PF"",),),IF(Pro"&amp;"jections!$X$11="""",""C"",),),""/"","""")"),"FC")</f>
        <v>FC</v>
      </c>
    </row>
    <row r="63">
      <c r="A63" t="str">
        <f>IF(Projections!$AB$11,Draft!H13,"")</f>
        <v/>
      </c>
      <c r="B63">
        <f>IFERROR(__xludf.DUMMYFUNCTION("""COMPUTED_VALUE"""),58.0)</f>
        <v>58</v>
      </c>
      <c r="D63" t="str">
        <f>IFERROR(__xludf.DUMMYFUNCTION("""COMPUTED_VALUE"""),"Deni Avdija")</f>
        <v>Deni Avdija</v>
      </c>
      <c r="E63">
        <f>IFERROR(__xludf.DUMMYFUNCTION("""COMPUTED_VALUE"""),73.0)</f>
        <v>73</v>
      </c>
      <c r="F63" t="str">
        <f>IFERROR(__xludf.DUMMYFUNCTION("""COMPUTED_VALUE"""),"G,F")</f>
        <v>G,F</v>
      </c>
      <c r="G63" s="18">
        <f>IFERROR(__xludf.DUMMYFUNCTION("""COMPUTED_VALUE"""),1.920973517360369)</f>
        <v>1.920973517</v>
      </c>
      <c r="H63" s="18">
        <f>IFERROR(__xludf.DUMMYFUNCTION("""COMPUTED_VALUE"""),2.304657262510646)</f>
        <v>2.304657263</v>
      </c>
      <c r="I63" s="18">
        <f>IFERROR(__xludf.DUMMYFUNCTION("""COMPUTED_VALUE"""),0.3836837451502768)</f>
        <v>0.3836837452</v>
      </c>
      <c r="J63" s="18">
        <f>IFERROR(__xludf.DUMMYFUNCTION("""COMPUTED_VALUE"""),22.23795)</f>
        <v>22.23795</v>
      </c>
      <c r="K63" s="18">
        <f>IFERROR(__xludf.DUMMYFUNCTION("""COMPUTED_VALUE"""),2.328904)</f>
        <v>2.328904</v>
      </c>
      <c r="L63" s="18">
        <f>IFERROR(__xludf.DUMMYFUNCTION("""COMPUTED_VALUE"""),8.344932)</f>
        <v>8.344932</v>
      </c>
      <c r="M63" s="18">
        <f>IFERROR(__xludf.DUMMYFUNCTION("""COMPUTED_VALUE"""),4.658767)</f>
        <v>4.658767</v>
      </c>
      <c r="N63" s="18">
        <f>IFERROR(__xludf.DUMMYFUNCTION("""COMPUTED_VALUE"""),1.054795)</f>
        <v>1.054795</v>
      </c>
      <c r="O63" s="18">
        <f>IFERROR(__xludf.DUMMYFUNCTION("""COMPUTED_VALUE"""),0.42)</f>
        <v>0.42</v>
      </c>
      <c r="P63" s="25">
        <f>IFERROR(__xludf.DUMMYFUNCTION("""COMPUTED_VALUE"""),0.477298)</f>
        <v>0.477298</v>
      </c>
      <c r="Q63" s="25">
        <f>IFERROR(__xludf.DUMMYFUNCTION("""COMPUTED_VALUE"""),0.771993)</f>
        <v>0.771993</v>
      </c>
      <c r="R63" s="18">
        <f>IFERROR(__xludf.DUMMYFUNCTION("""COMPUTED_VALUE"""),3.29589)</f>
        <v>3.29589</v>
      </c>
      <c r="S63" s="18">
        <f>IFERROR(__xludf.DUMMYFUNCTION("""COMPUTED_VALUE"""),0.8883258956779707)</f>
        <v>0.8883258957</v>
      </c>
      <c r="T63" s="18">
        <f>IFERROR(__xludf.DUMMYFUNCTION("""COMPUTED_VALUE"""),0.5402392607568569)</f>
        <v>0.5402392608</v>
      </c>
      <c r="U63" s="18">
        <f>IFERROR(__xludf.DUMMYFUNCTION("""COMPUTED_VALUE"""),0.8992511858709392)</f>
        <v>0.8992511859</v>
      </c>
      <c r="V63" s="18">
        <f>IFERROR(__xludf.DUMMYFUNCTION("""COMPUTED_VALUE"""),0.4014947529730428)</f>
        <v>0.401494753</v>
      </c>
      <c r="W63" s="18">
        <f>IFERROR(__xludf.DUMMYFUNCTION("""COMPUTED_VALUE"""),0.029275606731686738)</f>
        <v>0.02927560673</v>
      </c>
      <c r="X63" s="18">
        <f>IFERROR(__xludf.DUMMYFUNCTION("""COMPUTED_VALUE"""),-0.5639816415228867)</f>
        <v>-0.5639816415</v>
      </c>
      <c r="Y63" s="18">
        <f>IFERROR(__xludf.DUMMYFUNCTION("""COMPUTED_VALUE"""),-0.25642842441571473)</f>
        <v>-0.2564284244</v>
      </c>
      <c r="Z63" s="18">
        <f>IFERROR(__xludf.DUMMYFUNCTION("""COMPUTED_VALUE"""),-0.197501015084136)</f>
        <v>-0.1975010151</v>
      </c>
      <c r="AA63" s="18">
        <f>IFERROR(__xludf.DUMMYFUNCTION("""COMPUTED_VALUE"""),0.0)</f>
        <v>0</v>
      </c>
      <c r="AB63" t="str">
        <f>IFERROR(__xludf.DUMMYFUNCTION("SUBSTITUTE(REGEXREPLACE(REGEXREPLACE(REGEXREPLACE(REGEXREPLACE(REGEXREPLACE(REGEXREPLACE(F63,"","",),IF(Projections!$T$11="""",""PG"",),),IF(Projections!$U$11="""",""SG"",),),IF(Projections!$V$11="""",""SF"",),),IF(Projections!$W$11="""",""PF"",),),IF(Pro"&amp;"jections!$X$11="""",""C"",),),""/"","""")"),"GF")</f>
        <v>GF</v>
      </c>
    </row>
    <row r="64">
      <c r="A64" t="str">
        <f>IF(Projections!$AB$11,Draft!H14,"")</f>
        <v/>
      </c>
      <c r="B64">
        <f>IFERROR(__xludf.DUMMYFUNCTION("""COMPUTED_VALUE"""),59.0)</f>
        <v>59</v>
      </c>
      <c r="D64" t="str">
        <f>IFERROR(__xludf.DUMMYFUNCTION("""COMPUTED_VALUE"""),"Immanuel Quickley")</f>
        <v>Immanuel Quickley</v>
      </c>
      <c r="E64">
        <f>IFERROR(__xludf.DUMMYFUNCTION("""COMPUTED_VALUE"""),73.0)</f>
        <v>73</v>
      </c>
      <c r="F64" t="str">
        <f>IFERROR(__xludf.DUMMYFUNCTION("""COMPUTED_VALUE"""),"G")</f>
        <v>G</v>
      </c>
      <c r="G64" s="18">
        <f>IFERROR(__xludf.DUMMYFUNCTION("""COMPUTED_VALUE"""),1.9116785037857609)</f>
        <v>1.911678504</v>
      </c>
      <c r="H64" s="18">
        <f>IFERROR(__xludf.DUMMYFUNCTION("""COMPUTED_VALUE"""),1.9037543173302212)</f>
        <v>1.903754317</v>
      </c>
      <c r="I64" s="18">
        <f>IFERROR(__xludf.DUMMYFUNCTION("""COMPUTED_VALUE"""),-0.007924186455539717)</f>
        <v>-0.007924186456</v>
      </c>
      <c r="J64" s="18">
        <f>IFERROR(__xludf.DUMMYFUNCTION("""COMPUTED_VALUE"""),17.72644)</f>
        <v>17.72644</v>
      </c>
      <c r="K64" s="18">
        <f>IFERROR(__xludf.DUMMYFUNCTION("""COMPUTED_VALUE"""),2.901644)</f>
        <v>2.901644</v>
      </c>
      <c r="L64" s="18">
        <f>IFERROR(__xludf.DUMMYFUNCTION("""COMPUTED_VALUE"""),4.463288)</f>
        <v>4.463288</v>
      </c>
      <c r="M64" s="18">
        <f>IFERROR(__xludf.DUMMYFUNCTION("""COMPUTED_VALUE"""),6.24863)</f>
        <v>6.24863</v>
      </c>
      <c r="N64" s="18">
        <f>IFERROR(__xludf.DUMMYFUNCTION("""COMPUTED_VALUE"""),0.96137)</f>
        <v>0.96137</v>
      </c>
      <c r="O64" s="18">
        <f>IFERROR(__xludf.DUMMYFUNCTION("""COMPUTED_VALUE"""),0.13589)</f>
        <v>0.13589</v>
      </c>
      <c r="P64" s="25">
        <f>IFERROR(__xludf.DUMMYFUNCTION("""COMPUTED_VALUE"""),0.436883)</f>
        <v>0.436883</v>
      </c>
      <c r="Q64" s="25">
        <f>IFERROR(__xludf.DUMMYFUNCTION("""COMPUTED_VALUE"""),0.876018)</f>
        <v>0.876018</v>
      </c>
      <c r="R64" s="18">
        <f>IFERROR(__xludf.DUMMYFUNCTION("""COMPUTED_VALUE"""),1.716712)</f>
        <v>1.716712</v>
      </c>
      <c r="S64" s="18">
        <f>IFERROR(__xludf.DUMMYFUNCTION("""COMPUTED_VALUE"""),0.09681479747300616)</f>
        <v>0.09681479747</v>
      </c>
      <c r="T64" s="18">
        <f>IFERROR(__xludf.DUMMYFUNCTION("""COMPUTED_VALUE"""),1.0934107050638973)</f>
        <v>1.093410705</v>
      </c>
      <c r="U64" s="18">
        <f>IFERROR(__xludf.DUMMYFUNCTION("""COMPUTED_VALUE"""),-0.6741872077459469)</f>
        <v>-0.6741872077</v>
      </c>
      <c r="V64" s="18">
        <f>IFERROR(__xludf.DUMMYFUNCTION("""COMPUTED_VALUE"""),1.178165876849093)</f>
        <v>1.178165877</v>
      </c>
      <c r="W64" s="18">
        <f>IFERROR(__xludf.DUMMYFUNCTION("""COMPUTED_VALUE"""),-0.2554118595915276)</f>
        <v>-0.2554118596</v>
      </c>
      <c r="X64" s="18">
        <f>IFERROR(__xludf.DUMMYFUNCTION("""COMPUTED_VALUE"""),-1.080491412559357)</f>
        <v>-1.080491413</v>
      </c>
      <c r="Y64" s="18">
        <f>IFERROR(__xludf.DUMMYFUNCTION("""COMPUTED_VALUE"""),-0.7651170548745709)</f>
        <v>-0.7651170549</v>
      </c>
      <c r="Z64" s="18">
        <f>IFERROR(__xludf.DUMMYFUNCTION("""COMPUTED_VALUE"""),1.2300790601562699)</f>
        <v>1.23007906</v>
      </c>
      <c r="AA64" s="18">
        <f>IFERROR(__xludf.DUMMYFUNCTION("""COMPUTED_VALUE"""),0.0)</f>
        <v>0</v>
      </c>
      <c r="AB64" t="str">
        <f>IFERROR(__xludf.DUMMYFUNCTION("SUBSTITUTE(REGEXREPLACE(REGEXREPLACE(REGEXREPLACE(REGEXREPLACE(REGEXREPLACE(REGEXREPLACE(F64,"","",),IF(Projections!$T$11="""",""PG"",),),IF(Projections!$U$11="""",""SG"",),),IF(Projections!$V$11="""",""SF"",),),IF(Projections!$W$11="""",""PF"",),),IF(Pro"&amp;"jections!$X$11="""",""C"",),),""/"","""")"),"G")</f>
        <v>G</v>
      </c>
    </row>
    <row r="65">
      <c r="A65" t="str">
        <f>IF(Projections!$AB$11,Draft!I3,"")</f>
        <v/>
      </c>
      <c r="B65">
        <f>IFERROR(__xludf.DUMMYFUNCTION("""COMPUTED_VALUE"""),60.0)</f>
        <v>60</v>
      </c>
      <c r="D65" t="str">
        <f>IFERROR(__xludf.DUMMYFUNCTION("""COMPUTED_VALUE"""),"Trey Murphy")</f>
        <v>Trey Murphy</v>
      </c>
      <c r="E65">
        <f>IFERROR(__xludf.DUMMYFUNCTION("""COMPUTED_VALUE"""),66.0)</f>
        <v>66</v>
      </c>
      <c r="F65" t="str">
        <f>IFERROR(__xludf.DUMMYFUNCTION("""COMPUTED_VALUE"""),"F")</f>
        <v>F</v>
      </c>
      <c r="G65" s="18">
        <f>IFERROR(__xludf.DUMMYFUNCTION("""COMPUTED_VALUE"""),1.8894886352866078)</f>
        <v>1.889488635</v>
      </c>
      <c r="H65" s="18">
        <f>IFERROR(__xludf.DUMMYFUNCTION("""COMPUTED_VALUE"""),1.8461592955049975)</f>
        <v>1.846159296</v>
      </c>
      <c r="I65" s="18">
        <f>IFERROR(__xludf.DUMMYFUNCTION("""COMPUTED_VALUE"""),-0.043329339781610354)</f>
        <v>-0.04332933978</v>
      </c>
      <c r="J65" s="18">
        <f>IFERROR(__xludf.DUMMYFUNCTION("""COMPUTED_VALUE"""),19.88212)</f>
        <v>19.88212</v>
      </c>
      <c r="K65" s="18">
        <f>IFERROR(__xludf.DUMMYFUNCTION("""COMPUTED_VALUE"""),3.000303)</f>
        <v>3.000303</v>
      </c>
      <c r="L65" s="18">
        <f>IFERROR(__xludf.DUMMYFUNCTION("""COMPUTED_VALUE"""),5.079394)</f>
        <v>5.079394</v>
      </c>
      <c r="M65" s="18">
        <f>IFERROR(__xludf.DUMMYFUNCTION("""COMPUTED_VALUE"""),3.219394)</f>
        <v>3.219394</v>
      </c>
      <c r="N65" s="18">
        <f>IFERROR(__xludf.DUMMYFUNCTION("""COMPUTED_VALUE"""),0.995303)</f>
        <v>0.995303</v>
      </c>
      <c r="O65" s="18">
        <f>IFERROR(__xludf.DUMMYFUNCTION("""COMPUTED_VALUE"""),0.646667)</f>
        <v>0.646667</v>
      </c>
      <c r="P65" s="25">
        <f>IFERROR(__xludf.DUMMYFUNCTION("""COMPUTED_VALUE"""),0.468123)</f>
        <v>0.468123</v>
      </c>
      <c r="Q65" s="25">
        <f>IFERROR(__xludf.DUMMYFUNCTION("""COMPUTED_VALUE"""),0.872001)</f>
        <v>0.872001</v>
      </c>
      <c r="R65" s="18">
        <f>IFERROR(__xludf.DUMMYFUNCTION("""COMPUTED_VALUE"""),1.573939)</f>
        <v>1.573939</v>
      </c>
      <c r="S65" s="18">
        <f>IFERROR(__xludf.DUMMYFUNCTION("""COMPUTED_VALUE"""),0.475012927185337)</f>
        <v>0.4750129272</v>
      </c>
      <c r="T65" s="18">
        <f>IFERROR(__xludf.DUMMYFUNCTION("""COMPUTED_VALUE"""),1.1886988664004345)</f>
        <v>1.188698866</v>
      </c>
      <c r="U65" s="18">
        <f>IFERROR(__xludf.DUMMYFUNCTION("""COMPUTED_VALUE"""),-0.42444641880761963)</f>
        <v>-0.4244464188</v>
      </c>
      <c r="V65" s="18">
        <f>IFERROR(__xludf.DUMMYFUNCTION("""COMPUTED_VALUE"""),-0.30165982423696946)</f>
        <v>-0.3016598242</v>
      </c>
      <c r="W65" s="18">
        <f>IFERROR(__xludf.DUMMYFUNCTION("""COMPUTED_VALUE"""),-0.15201020270369606)</f>
        <v>-0.1520102027</v>
      </c>
      <c r="X65" s="18">
        <f>IFERROR(__xludf.DUMMYFUNCTION("""COMPUTED_VALUE"""),-0.15190279786541722)</f>
        <v>-0.1519027979</v>
      </c>
      <c r="Y65" s="18">
        <f>IFERROR(__xludf.DUMMYFUNCTION("""COMPUTED_VALUE"""),-0.38052096876503483)</f>
        <v>-0.3805209688</v>
      </c>
      <c r="Z65" s="18">
        <f>IFERROR(__xludf.DUMMYFUNCTION("""COMPUTED_VALUE"""),1.1685412954903436)</f>
        <v>1.168541295</v>
      </c>
      <c r="AA65" s="18">
        <f>IFERROR(__xludf.DUMMYFUNCTION("""COMPUTED_VALUE"""),0.0)</f>
        <v>0</v>
      </c>
      <c r="AB65" t="str">
        <f>IFERROR(__xludf.DUMMYFUNCTION("SUBSTITUTE(REGEXREPLACE(REGEXREPLACE(REGEXREPLACE(REGEXREPLACE(REGEXREPLACE(REGEXREPLACE(F65,"","",),IF(Projections!$T$11="""",""PG"",),),IF(Projections!$U$11="""",""SG"",),),IF(Projections!$V$11="""",""SF"",),),IF(Projections!$W$11="""",""PF"",),),IF(Pro"&amp;"jections!$X$11="""",""C"",),),""/"","""")"),"F")</f>
        <v>F</v>
      </c>
    </row>
    <row r="66">
      <c r="A66" t="str">
        <f>IF(Projections!$AB$11,Draft!I4,"")</f>
        <v/>
      </c>
      <c r="B66">
        <f>IFERROR(__xludf.DUMMYFUNCTION("""COMPUTED_VALUE"""),61.0)</f>
        <v>61</v>
      </c>
      <c r="D66" t="str">
        <f>IFERROR(__xludf.DUMMYFUNCTION("""COMPUTED_VALUE"""),"Jalen Brunson")</f>
        <v>Jalen Brunson</v>
      </c>
      <c r="E66">
        <f>IFERROR(__xludf.DUMMYFUNCTION("""COMPUTED_VALUE"""),68.0)</f>
        <v>68</v>
      </c>
      <c r="F66" t="str">
        <f>IFERROR(__xludf.DUMMYFUNCTION("""COMPUTED_VALUE"""),"G")</f>
        <v>G</v>
      </c>
      <c r="G66" s="18">
        <f>IFERROR(__xludf.DUMMYFUNCTION("""COMPUTED_VALUE"""),1.8758865971042749)</f>
        <v>1.875886597</v>
      </c>
      <c r="H66" s="18">
        <f>IFERROR(__xludf.DUMMYFUNCTION("""COMPUTED_VALUE"""),2.0886796536381587)</f>
        <v>2.088679654</v>
      </c>
      <c r="I66" s="18">
        <f>IFERROR(__xludf.DUMMYFUNCTION("""COMPUTED_VALUE"""),0.2127930565338838)</f>
        <v>0.2127930565</v>
      </c>
      <c r="J66" s="18">
        <f>IFERROR(__xludf.DUMMYFUNCTION("""COMPUTED_VALUE"""),24.84897)</f>
        <v>24.84897</v>
      </c>
      <c r="K66" s="18">
        <f>IFERROR(__xludf.DUMMYFUNCTION("""COMPUTED_VALUE"""),2.247647)</f>
        <v>2.247647</v>
      </c>
      <c r="L66" s="18">
        <f>IFERROR(__xludf.DUMMYFUNCTION("""COMPUTED_VALUE"""),2.815294)</f>
        <v>2.815294</v>
      </c>
      <c r="M66" s="18">
        <f>IFERROR(__xludf.DUMMYFUNCTION("""COMPUTED_VALUE"""),6.713382)</f>
        <v>6.713382</v>
      </c>
      <c r="N66" s="18">
        <f>IFERROR(__xludf.DUMMYFUNCTION("""COMPUTED_VALUE"""),0.933676)</f>
        <v>0.933676</v>
      </c>
      <c r="O66" s="18">
        <f>IFERROR(__xludf.DUMMYFUNCTION("""COMPUTED_VALUE"""),0.144853)</f>
        <v>0.144853</v>
      </c>
      <c r="P66" s="25">
        <f>IFERROR(__xludf.DUMMYFUNCTION("""COMPUTED_VALUE"""),0.482759)</f>
        <v>0.482759</v>
      </c>
      <c r="Q66" s="25">
        <f>IFERROR(__xludf.DUMMYFUNCTION("""COMPUTED_VALUE"""),0.82301)</f>
        <v>0.82301</v>
      </c>
      <c r="R66" s="18">
        <f>IFERROR(__xludf.DUMMYFUNCTION("""COMPUTED_VALUE"""),2.606765)</f>
        <v>2.606765</v>
      </c>
      <c r="S66" s="18">
        <f>IFERROR(__xludf.DUMMYFUNCTION("""COMPUTED_VALUE"""),1.3464100643122252)</f>
        <v>1.346410064</v>
      </c>
      <c r="T66" s="18">
        <f>IFERROR(__xludf.DUMMYFUNCTION("""COMPUTED_VALUE"""),0.46175853293959757)</f>
        <v>0.4617585329</v>
      </c>
      <c r="U66" s="18">
        <f>IFERROR(__xludf.DUMMYFUNCTION("""COMPUTED_VALUE"""),-1.3422075187405325)</f>
        <v>-1.342207519</v>
      </c>
      <c r="V66" s="18">
        <f>IFERROR(__xludf.DUMMYFUNCTION("""COMPUTED_VALUE"""),1.405203966397464)</f>
        <v>1.405203966</v>
      </c>
      <c r="W66" s="18">
        <f>IFERROR(__xludf.DUMMYFUNCTION("""COMPUTED_VALUE"""),-0.33980184827073656)</f>
        <v>-0.3398018483</v>
      </c>
      <c r="X66" s="18">
        <f>IFERROR(__xludf.DUMMYFUNCTION("""COMPUTED_VALUE"""),-1.0641967482469432)</f>
        <v>-1.064196748</v>
      </c>
      <c r="Y66" s="18">
        <f>IFERROR(__xludf.DUMMYFUNCTION("""COMPUTED_VALUE"""),-0.18016700372411776)</f>
        <v>-0.1801670037</v>
      </c>
      <c r="Z66" s="18">
        <f>IFERROR(__xludf.DUMMYFUNCTION("""COMPUTED_VALUE"""),0.4594726902306693)</f>
        <v>0.4594726902</v>
      </c>
      <c r="AA66" s="18">
        <f>IFERROR(__xludf.DUMMYFUNCTION("""COMPUTED_VALUE"""),0.0)</f>
        <v>0</v>
      </c>
      <c r="AB66" t="str">
        <f>IFERROR(__xludf.DUMMYFUNCTION("SUBSTITUTE(REGEXREPLACE(REGEXREPLACE(REGEXREPLACE(REGEXREPLACE(REGEXREPLACE(REGEXREPLACE(F66,"","",),IF(Projections!$T$11="""",""PG"",),),IF(Projections!$U$11="""",""SG"",),),IF(Projections!$V$11="""",""SF"",),),IF(Projections!$W$11="""",""PF"",),),IF(Pro"&amp;"jections!$X$11="""",""C"",),),""/"","""")"),"G")</f>
        <v>G</v>
      </c>
    </row>
    <row r="67">
      <c r="A67" t="str">
        <f>IF(Projections!$AB$11,Draft!I5,"")</f>
        <v/>
      </c>
      <c r="B67">
        <f>IFERROR(__xludf.DUMMYFUNCTION("""COMPUTED_VALUE"""),62.0)</f>
        <v>62</v>
      </c>
      <c r="D67" t="str">
        <f>IFERROR(__xludf.DUMMYFUNCTION("""COMPUTED_VALUE"""),"Cooper Flagg")</f>
        <v>Cooper Flagg</v>
      </c>
      <c r="E67">
        <f>IFERROR(__xludf.DUMMYFUNCTION("""COMPUTED_VALUE"""),73.0)</f>
        <v>73</v>
      </c>
      <c r="F67" t="str">
        <f>IFERROR(__xludf.DUMMYFUNCTION("""COMPUTED_VALUE"""),"G,F")</f>
        <v>G,F</v>
      </c>
      <c r="G67" s="18">
        <f>IFERROR(__xludf.DUMMYFUNCTION("""COMPUTED_VALUE"""),1.7188823941960014)</f>
        <v>1.718882394</v>
      </c>
      <c r="H67" s="18">
        <f>IFERROR(__xludf.DUMMYFUNCTION("""COMPUTED_VALUE"""),2.0658444488667675)</f>
        <v>2.065844449</v>
      </c>
      <c r="I67" s="18">
        <f>IFERROR(__xludf.DUMMYFUNCTION("""COMPUTED_VALUE"""),0.34696205467076613)</f>
        <v>0.3469620547</v>
      </c>
      <c r="J67" s="18">
        <f>IFERROR(__xludf.DUMMYFUNCTION("""COMPUTED_VALUE"""),18.4174)</f>
        <v>18.4174</v>
      </c>
      <c r="K67" s="18">
        <f>IFERROR(__xludf.DUMMYFUNCTION("""COMPUTED_VALUE"""),1.85)</f>
        <v>1.85</v>
      </c>
      <c r="L67" s="18">
        <f>IFERROR(__xludf.DUMMYFUNCTION("""COMPUTED_VALUE"""),5.937945)</f>
        <v>5.937945</v>
      </c>
      <c r="M67" s="18">
        <f>IFERROR(__xludf.DUMMYFUNCTION("""COMPUTED_VALUE"""),4.292466)</f>
        <v>4.292466</v>
      </c>
      <c r="N67" s="18">
        <f>IFERROR(__xludf.DUMMYFUNCTION("""COMPUTED_VALUE"""),1.287808)</f>
        <v>1.287808</v>
      </c>
      <c r="O67" s="18">
        <f>IFERROR(__xludf.DUMMYFUNCTION("""COMPUTED_VALUE"""),1.001644)</f>
        <v>1.001644</v>
      </c>
      <c r="P67" s="25">
        <f>IFERROR(__xludf.DUMMYFUNCTION("""COMPUTED_VALUE"""),0.429869)</f>
        <v>0.429869</v>
      </c>
      <c r="Q67" s="25">
        <f>IFERROR(__xludf.DUMMYFUNCTION("""COMPUTED_VALUE"""),0.817996)</f>
        <v>0.817996</v>
      </c>
      <c r="R67" s="18">
        <f>IFERROR(__xludf.DUMMYFUNCTION("""COMPUTED_VALUE"""),3.147808)</f>
        <v>3.147808</v>
      </c>
      <c r="S67" s="18">
        <f>IFERROR(__xludf.DUMMYFUNCTION("""COMPUTED_VALUE"""),0.21803862462083526)</f>
        <v>0.2180386246</v>
      </c>
      <c r="T67" s="18">
        <f>IFERROR(__xludf.DUMMYFUNCTION("""COMPUTED_VALUE"""),0.07769776310623216)</f>
        <v>0.07769776311</v>
      </c>
      <c r="U67" s="18">
        <f>IFERROR(__xludf.DUMMYFUNCTION("""COMPUTED_VALUE"""),-0.07642967479962412)</f>
        <v>-0.0764296748</v>
      </c>
      <c r="V67" s="18">
        <f>IFERROR(__xludf.DUMMYFUNCTION("""COMPUTED_VALUE"""),0.2225514041770013)</f>
        <v>0.2225514042</v>
      </c>
      <c r="W67" s="18">
        <f>IFERROR(__xludf.DUMMYFUNCTION("""COMPUTED_VALUE"""),0.7393198196337065)</f>
        <v>0.7393198196</v>
      </c>
      <c r="X67" s="18">
        <f>IFERROR(__xludf.DUMMYFUNCTION("""COMPUTED_VALUE"""),0.493442628178063)</f>
        <v>0.4934426282</v>
      </c>
      <c r="Y67" s="18">
        <f>IFERROR(__xludf.DUMMYFUNCTION("""COMPUTED_VALUE"""),-0.843406422436293)</f>
        <v>-0.8434064224</v>
      </c>
      <c r="Z67" s="18">
        <f>IFERROR(__xludf.DUMMYFUNCTION("""COMPUTED_VALUE"""),0.39122388395055335)</f>
        <v>0.391223884</v>
      </c>
      <c r="AA67" s="18">
        <f>IFERROR(__xludf.DUMMYFUNCTION("""COMPUTED_VALUE"""),0.0)</f>
        <v>0</v>
      </c>
      <c r="AB67" t="str">
        <f>IFERROR(__xludf.DUMMYFUNCTION("SUBSTITUTE(REGEXREPLACE(REGEXREPLACE(REGEXREPLACE(REGEXREPLACE(REGEXREPLACE(REGEXREPLACE(F67,"","",),IF(Projections!$T$11="""",""PG"",),),IF(Projections!$U$11="""",""SG"",),),IF(Projections!$V$11="""",""SF"",),),IF(Projections!$W$11="""",""PF"",),),IF(Pro"&amp;"jections!$X$11="""",""C"",),),""/"","""")"),"GF")</f>
        <v>GF</v>
      </c>
    </row>
    <row r="68">
      <c r="A68" t="str">
        <f>IF(Projections!$AB$11,Draft!I6,"")</f>
        <v/>
      </c>
      <c r="B68">
        <f>IFERROR(__xludf.DUMMYFUNCTION("""COMPUTED_VALUE"""),63.0)</f>
        <v>63</v>
      </c>
      <c r="D68" t="str">
        <f>IFERROR(__xludf.DUMMYFUNCTION("""COMPUTED_VALUE"""),"De'Aaron Fox")</f>
        <v>De'Aaron Fox</v>
      </c>
      <c r="E68">
        <f>IFERROR(__xludf.DUMMYFUNCTION("""COMPUTED_VALUE"""),68.0)</f>
        <v>68</v>
      </c>
      <c r="F68" t="str">
        <f>IFERROR(__xludf.DUMMYFUNCTION("""COMPUTED_VALUE"""),"G")</f>
        <v>G</v>
      </c>
      <c r="G68" s="18">
        <f>IFERROR(__xludf.DUMMYFUNCTION("""COMPUTED_VALUE"""),1.659799968651093)</f>
        <v>1.659799969</v>
      </c>
      <c r="H68" s="18">
        <f>IFERROR(__xludf.DUMMYFUNCTION("""COMPUTED_VALUE"""),1.8532650496196579)</f>
        <v>1.85326505</v>
      </c>
      <c r="I68" s="18">
        <f>IFERROR(__xludf.DUMMYFUNCTION("""COMPUTED_VALUE"""),0.19346508096856496)</f>
        <v>0.193465081</v>
      </c>
      <c r="J68" s="18">
        <f>IFERROR(__xludf.DUMMYFUNCTION("""COMPUTED_VALUE"""),19.96029)</f>
        <v>19.96029</v>
      </c>
      <c r="K68" s="18">
        <f>IFERROR(__xludf.DUMMYFUNCTION("""COMPUTED_VALUE"""),1.665441)</f>
        <v>1.665441</v>
      </c>
      <c r="L68" s="18">
        <f>IFERROR(__xludf.DUMMYFUNCTION("""COMPUTED_VALUE"""),4.118235)</f>
        <v>4.118235</v>
      </c>
      <c r="M68" s="18">
        <f>IFERROR(__xludf.DUMMYFUNCTION("""COMPUTED_VALUE"""),6.5025)</f>
        <v>6.5025</v>
      </c>
      <c r="N68" s="18">
        <f>IFERROR(__xludf.DUMMYFUNCTION("""COMPUTED_VALUE"""),1.228235)</f>
        <v>1.228235</v>
      </c>
      <c r="O68" s="18">
        <f>IFERROR(__xludf.DUMMYFUNCTION("""COMPUTED_VALUE"""),0.435294)</f>
        <v>0.435294</v>
      </c>
      <c r="P68" s="25">
        <f>IFERROR(__xludf.DUMMYFUNCTION("""COMPUTED_VALUE"""),0.454485)</f>
        <v>0.454485</v>
      </c>
      <c r="Q68" s="25">
        <f>IFERROR(__xludf.DUMMYFUNCTION("""COMPUTED_VALUE"""),0.840016)</f>
        <v>0.840016</v>
      </c>
      <c r="R68" s="18">
        <f>IFERROR(__xludf.DUMMYFUNCTION("""COMPUTED_VALUE"""),2.528824)</f>
        <v>2.528824</v>
      </c>
      <c r="S68" s="18">
        <f>IFERROR(__xludf.DUMMYFUNCTION("""COMPUTED_VALUE"""),0.4887272761608867)</f>
        <v>0.4887272762</v>
      </c>
      <c r="T68" s="18">
        <f>IFERROR(__xludf.DUMMYFUNCTION("""COMPUTED_VALUE"""),-0.10055549070852345)</f>
        <v>-0.1005554907</v>
      </c>
      <c r="U68" s="18">
        <f>IFERROR(__xludf.DUMMYFUNCTION("""COMPUTED_VALUE"""),-0.8140556856467249)</f>
        <v>-0.8140556856</v>
      </c>
      <c r="V68" s="18">
        <f>IFERROR(__xludf.DUMMYFUNCTION("""COMPUTED_VALUE"""),1.302185052223583)</f>
        <v>1.302185052</v>
      </c>
      <c r="W68" s="18">
        <f>IFERROR(__xludf.DUMMYFUNCTION("""COMPUTED_VALUE"""),0.557787184565225)</f>
        <v>0.5577871846</v>
      </c>
      <c r="X68" s="18">
        <f>IFERROR(__xludf.DUMMYFUNCTION("""COMPUTED_VALUE"""),-0.5361772684341823)</f>
        <v>-0.5361772684</v>
      </c>
      <c r="Y68" s="18">
        <f>IFERROR(__xludf.DUMMYFUNCTION("""COMPUTED_VALUE"""),-0.5556298189582709)</f>
        <v>-0.555629819</v>
      </c>
      <c r="Z68" s="18">
        <f>IFERROR(__xludf.DUMMYFUNCTION("""COMPUTED_VALUE"""),0.6969281147709401)</f>
        <v>0.6969281148</v>
      </c>
      <c r="AA68" s="18">
        <f>IFERROR(__xludf.DUMMYFUNCTION("""COMPUTED_VALUE"""),0.0)</f>
        <v>0</v>
      </c>
      <c r="AB68" t="str">
        <f>IFERROR(__xludf.DUMMYFUNCTION("SUBSTITUTE(REGEXREPLACE(REGEXREPLACE(REGEXREPLACE(REGEXREPLACE(REGEXREPLACE(REGEXREPLACE(F68,"","",),IF(Projections!$T$11="""",""PG"",),),IF(Projections!$U$11="""",""SG"",),),IF(Projections!$V$11="""",""SF"",),),IF(Projections!$W$11="""",""PF"",),),IF(Pro"&amp;"jections!$X$11="""",""C"",),),""/"","""")"),"G")</f>
        <v>G</v>
      </c>
    </row>
    <row r="69">
      <c r="A69" t="str">
        <f>IF(Projections!$AB$11,Draft!I7,"")</f>
        <v/>
      </c>
      <c r="B69">
        <f>IFERROR(__xludf.DUMMYFUNCTION("""COMPUTED_VALUE"""),64.0)</f>
        <v>64</v>
      </c>
      <c r="D69" t="str">
        <f>IFERROR(__xludf.DUMMYFUNCTION("""COMPUTED_VALUE"""),"Lauri Markkanen")</f>
        <v>Lauri Markkanen</v>
      </c>
      <c r="E69">
        <f>IFERROR(__xludf.DUMMYFUNCTION("""COMPUTED_VALUE"""),53.0)</f>
        <v>53</v>
      </c>
      <c r="F69" t="str">
        <f>IFERROR(__xludf.DUMMYFUNCTION("""COMPUTED_VALUE"""),"F")</f>
        <v>F</v>
      </c>
      <c r="G69" s="18">
        <f>IFERROR(__xludf.DUMMYFUNCTION("""COMPUTED_VALUE"""),1.6124880750489659)</f>
        <v>1.612488075</v>
      </c>
      <c r="H69" s="18">
        <f>IFERROR(__xludf.DUMMYFUNCTION("""COMPUTED_VALUE"""),1.542307477697692)</f>
        <v>1.542307478</v>
      </c>
      <c r="I69" s="18">
        <f>IFERROR(__xludf.DUMMYFUNCTION("""COMPUTED_VALUE"""),-0.07018059735127391)</f>
        <v>-0.07018059735</v>
      </c>
      <c r="J69" s="18">
        <f>IFERROR(__xludf.DUMMYFUNCTION("""COMPUTED_VALUE"""),21.86509)</f>
        <v>21.86509</v>
      </c>
      <c r="K69" s="18">
        <f>IFERROR(__xludf.DUMMYFUNCTION("""COMPUTED_VALUE"""),3.411132)</f>
        <v>3.411132</v>
      </c>
      <c r="L69" s="18">
        <f>IFERROR(__xludf.DUMMYFUNCTION("""COMPUTED_VALUE"""),5.65434)</f>
        <v>5.65434</v>
      </c>
      <c r="M69" s="18">
        <f>IFERROR(__xludf.DUMMYFUNCTION("""COMPUTED_VALUE"""),1.796038)</f>
        <v>1.796038</v>
      </c>
      <c r="N69" s="18">
        <f>IFERROR(__xludf.DUMMYFUNCTION("""COMPUTED_VALUE"""),0.729811)</f>
        <v>0.729811</v>
      </c>
      <c r="O69" s="18">
        <f>IFERROR(__xludf.DUMMYFUNCTION("""COMPUTED_VALUE"""),0.399811)</f>
        <v>0.399811</v>
      </c>
      <c r="P69" s="25">
        <f>IFERROR(__xludf.DUMMYFUNCTION("""COMPUTED_VALUE"""),0.457836)</f>
        <v>0.457836</v>
      </c>
      <c r="Q69" s="25">
        <f>IFERROR(__xludf.DUMMYFUNCTION("""COMPUTED_VALUE"""),0.886981)</f>
        <v>0.886981</v>
      </c>
      <c r="R69" s="18">
        <f>IFERROR(__xludf.DUMMYFUNCTION("""COMPUTED_VALUE"""),1.46566)</f>
        <v>1.46566</v>
      </c>
      <c r="S69" s="18">
        <f>IFERROR(__xludf.DUMMYFUNCTION("""COMPUTED_VALUE"""),0.8229103633890684)</f>
        <v>0.8229103634</v>
      </c>
      <c r="T69" s="18">
        <f>IFERROR(__xludf.DUMMYFUNCTION("""COMPUTED_VALUE"""),1.5854912526371507)</f>
        <v>1.585491253</v>
      </c>
      <c r="U69" s="18">
        <f>IFERROR(__xludf.DUMMYFUNCTION("""COMPUTED_VALUE"""),-0.19138998430294707)</f>
        <v>-0.1913899843</v>
      </c>
      <c r="V69" s="18">
        <f>IFERROR(__xludf.DUMMYFUNCTION("""COMPUTED_VALUE"""),-0.9969898647472013)</f>
        <v>-0.9969898647</v>
      </c>
      <c r="W69" s="18">
        <f>IFERROR(__xludf.DUMMYFUNCTION("""COMPUTED_VALUE"""),-0.9610254000179359)</f>
        <v>-0.9610254</v>
      </c>
      <c r="X69" s="18">
        <f>IFERROR(__xludf.DUMMYFUNCTION("""COMPUTED_VALUE"""),-0.6006850865528233)</f>
        <v>-0.6006850866</v>
      </c>
      <c r="Y69" s="18">
        <f>IFERROR(__xludf.DUMMYFUNCTION("""COMPUTED_VALUE"""),-0.5136392574607143)</f>
        <v>-0.5136392575</v>
      </c>
      <c r="Z69" s="18">
        <f>IFERROR(__xludf.DUMMYFUNCTION("""COMPUTED_VALUE"""),1.4006455900058936)</f>
        <v>1.40064559</v>
      </c>
      <c r="AA69" s="18">
        <f>IFERROR(__xludf.DUMMYFUNCTION("""COMPUTED_VALUE"""),0.0)</f>
        <v>0</v>
      </c>
      <c r="AB69" t="str">
        <f>IFERROR(__xludf.DUMMYFUNCTION("SUBSTITUTE(REGEXREPLACE(REGEXREPLACE(REGEXREPLACE(REGEXREPLACE(REGEXREPLACE(REGEXREPLACE(F69,"","",),IF(Projections!$T$11="""",""PG"",),),IF(Projections!$U$11="""",""SG"",),),IF(Projections!$V$11="""",""SF"",),),IF(Projections!$W$11="""",""PF"",),),IF(Pro"&amp;"jections!$X$11="""",""C"",),),""/"","""")"),"F")</f>
        <v>F</v>
      </c>
    </row>
    <row r="70">
      <c r="A70" t="str">
        <f>IF(Projections!$AB$11,Draft!I8,"")</f>
        <v/>
      </c>
      <c r="B70">
        <f>IFERROR(__xludf.DUMMYFUNCTION("""COMPUTED_VALUE"""),65.0)</f>
        <v>65</v>
      </c>
      <c r="D70" t="str">
        <f>IFERROR(__xludf.DUMMYFUNCTION("""COMPUTED_VALUE"""),"Desmond Bane")</f>
        <v>Desmond Bane</v>
      </c>
      <c r="E70">
        <f>IFERROR(__xludf.DUMMYFUNCTION("""COMPUTED_VALUE"""),68.0)</f>
        <v>68</v>
      </c>
      <c r="F70" t="str">
        <f>IFERROR(__xludf.DUMMYFUNCTION("""COMPUTED_VALUE"""),"G,F")</f>
        <v>G,F</v>
      </c>
      <c r="G70" s="18">
        <f>IFERROR(__xludf.DUMMYFUNCTION("""COMPUTED_VALUE"""),1.5612317125595103)</f>
        <v>1.561231713</v>
      </c>
      <c r="H70" s="18">
        <f>IFERROR(__xludf.DUMMYFUNCTION("""COMPUTED_VALUE"""),1.6095905433376085)</f>
        <v>1.609590543</v>
      </c>
      <c r="I70" s="18">
        <f>IFERROR(__xludf.DUMMYFUNCTION("""COMPUTED_VALUE"""),0.048358830778098216)</f>
        <v>0.04835883078</v>
      </c>
      <c r="J70" s="18">
        <f>IFERROR(__xludf.DUMMYFUNCTION("""COMPUTED_VALUE"""),18.04632)</f>
        <v>18.04632</v>
      </c>
      <c r="K70" s="18">
        <f>IFERROR(__xludf.DUMMYFUNCTION("""COMPUTED_VALUE"""),2.480147)</f>
        <v>2.480147</v>
      </c>
      <c r="L70" s="18">
        <f>IFERROR(__xludf.DUMMYFUNCTION("""COMPUTED_VALUE"""),4.512059)</f>
        <v>4.512059</v>
      </c>
      <c r="M70" s="18">
        <f>IFERROR(__xludf.DUMMYFUNCTION("""COMPUTED_VALUE"""),4.165)</f>
        <v>4.165</v>
      </c>
      <c r="N70" s="18">
        <f>IFERROR(__xludf.DUMMYFUNCTION("""COMPUTED_VALUE"""),1.043235)</f>
        <v>1.043235</v>
      </c>
      <c r="O70" s="18">
        <f>IFERROR(__xludf.DUMMYFUNCTION("""COMPUTED_VALUE"""),0.346618)</f>
        <v>0.346618</v>
      </c>
      <c r="P70" s="25">
        <f>IFERROR(__xludf.DUMMYFUNCTION("""COMPUTED_VALUE"""),0.485113)</f>
        <v>0.485113</v>
      </c>
      <c r="Q70" s="25">
        <f>IFERROR(__xludf.DUMMYFUNCTION("""COMPUTED_VALUE"""),0.88803)</f>
        <v>0.88803</v>
      </c>
      <c r="R70" s="18">
        <f>IFERROR(__xludf.DUMMYFUNCTION("""COMPUTED_VALUE"""),1.943676)</f>
        <v>1.943676</v>
      </c>
      <c r="S70" s="18">
        <f>IFERROR(__xludf.DUMMYFUNCTION("""COMPUTED_VALUE"""),0.15293538018119143)</f>
        <v>0.1529353802</v>
      </c>
      <c r="T70" s="18">
        <f>IFERROR(__xludf.DUMMYFUNCTION("""COMPUTED_VALUE"""),0.686314807691469)</f>
        <v>0.6863148077</v>
      </c>
      <c r="U70" s="18">
        <f>IFERROR(__xludf.DUMMYFUNCTION("""COMPUTED_VALUE"""),-0.6544177070150482)</f>
        <v>-0.654417707</v>
      </c>
      <c r="V70" s="18">
        <f>IFERROR(__xludf.DUMMYFUNCTION("""COMPUTED_VALUE"""),0.16028241529180515)</f>
        <v>0.1602824153</v>
      </c>
      <c r="W70" s="18">
        <f>IFERROR(__xludf.DUMMYFUNCTION("""COMPUTED_VALUE"""),-0.005950372510447195)</f>
        <v>-0.00595037251</v>
      </c>
      <c r="X70" s="18">
        <f>IFERROR(__xludf.DUMMYFUNCTION("""COMPUTED_VALUE"""),-0.6973895469756982)</f>
        <v>-0.697389547</v>
      </c>
      <c r="Y70" s="18">
        <f>IFERROR(__xludf.DUMMYFUNCTION("""COMPUTED_VALUE"""),-0.14674138875041376)</f>
        <v>-0.1467413888</v>
      </c>
      <c r="Z70" s="18">
        <f>IFERROR(__xludf.DUMMYFUNCTION("""COMPUTED_VALUE"""),1.4171674084490522)</f>
        <v>1.417167408</v>
      </c>
      <c r="AA70" s="18">
        <f>IFERROR(__xludf.DUMMYFUNCTION("""COMPUTED_VALUE"""),0.0)</f>
        <v>0</v>
      </c>
      <c r="AB70" t="str">
        <f>IFERROR(__xludf.DUMMYFUNCTION("SUBSTITUTE(REGEXREPLACE(REGEXREPLACE(REGEXREPLACE(REGEXREPLACE(REGEXREPLACE(REGEXREPLACE(F70,"","",),IF(Projections!$T$11="""",""PG"",),),IF(Projections!$U$11="""",""SG"",),),IF(Projections!$V$11="""",""SF"",),),IF(Projections!$W$11="""",""PF"",),),IF(Pro"&amp;"jections!$X$11="""",""C"",),),""/"","""")"),"GF")</f>
        <v>GF</v>
      </c>
    </row>
    <row r="71">
      <c r="A71" t="str">
        <f>IF(Projections!$AB$11,Draft!I9,"")</f>
        <v/>
      </c>
      <c r="B71">
        <f>IFERROR(__xludf.DUMMYFUNCTION("""COMPUTED_VALUE"""),66.0)</f>
        <v>66</v>
      </c>
      <c r="D71" t="str">
        <f>IFERROR(__xludf.DUMMYFUNCTION("""COMPUTED_VALUE"""),"Paolo Banchero")</f>
        <v>Paolo Banchero</v>
      </c>
      <c r="E71">
        <f>IFERROR(__xludf.DUMMYFUNCTION("""COMPUTED_VALUE"""),73.0)</f>
        <v>73</v>
      </c>
      <c r="F71" t="str">
        <f>IFERROR(__xludf.DUMMYFUNCTION("""COMPUTED_VALUE"""),"F")</f>
        <v>F</v>
      </c>
      <c r="G71" s="18">
        <f>IFERROR(__xludf.DUMMYFUNCTION("""COMPUTED_VALUE"""),1.520291587227292)</f>
        <v>1.520291587</v>
      </c>
      <c r="H71" s="18">
        <f>IFERROR(__xludf.DUMMYFUNCTION("""COMPUTED_VALUE"""),1.76004377355946)</f>
        <v>1.760043774</v>
      </c>
      <c r="I71" s="18">
        <f>IFERROR(__xludf.DUMMYFUNCTION("""COMPUTED_VALUE"""),0.2397521863321681)</f>
        <v>0.2397521863</v>
      </c>
      <c r="J71" s="18">
        <f>IFERROR(__xludf.DUMMYFUNCTION("""COMPUTED_VALUE"""),26.10795)</f>
        <v>26.10795</v>
      </c>
      <c r="K71" s="18">
        <f>IFERROR(__xludf.DUMMYFUNCTION("""COMPUTED_VALUE"""),1.899589)</f>
        <v>1.899589</v>
      </c>
      <c r="L71" s="18">
        <f>IFERROR(__xludf.DUMMYFUNCTION("""COMPUTED_VALUE"""),7.860411)</f>
        <v>7.860411</v>
      </c>
      <c r="M71" s="18">
        <f>IFERROR(__xludf.DUMMYFUNCTION("""COMPUTED_VALUE"""),4.716301)</f>
        <v>4.716301</v>
      </c>
      <c r="N71" s="18">
        <f>IFERROR(__xludf.DUMMYFUNCTION("""COMPUTED_VALUE"""),0.785205)</f>
        <v>0.785205</v>
      </c>
      <c r="O71" s="18">
        <f>IFERROR(__xludf.DUMMYFUNCTION("""COMPUTED_VALUE"""),0.571644)</f>
        <v>0.571644</v>
      </c>
      <c r="P71" s="25">
        <f>IFERROR(__xludf.DUMMYFUNCTION("""COMPUTED_VALUE"""),0.468228)</f>
        <v>0.468228</v>
      </c>
      <c r="Q71" s="25">
        <f>IFERROR(__xludf.DUMMYFUNCTION("""COMPUTED_VALUE"""),0.755002)</f>
        <v>0.755002</v>
      </c>
      <c r="R71" s="18">
        <f>IFERROR(__xludf.DUMMYFUNCTION("""COMPUTED_VALUE"""),2.715479)</f>
        <v>2.715479</v>
      </c>
      <c r="S71" s="18">
        <f>IFERROR(__xludf.DUMMYFUNCTION("""COMPUTED_VALUE"""),1.567288803895665)</f>
        <v>1.567288804</v>
      </c>
      <c r="T71" s="18">
        <f>IFERROR(__xludf.DUMMYFUNCTION("""COMPUTED_VALUE"""),0.1255924775521269)</f>
        <v>0.1255924776</v>
      </c>
      <c r="U71" s="18">
        <f>IFERROR(__xludf.DUMMYFUNCTION("""COMPUTED_VALUE"""),0.7028488512123133)</f>
        <v>0.7028488512</v>
      </c>
      <c r="V71" s="18">
        <f>IFERROR(__xludf.DUMMYFUNCTION("""COMPUTED_VALUE"""),0.42960094604822247)</f>
        <v>0.429600946</v>
      </c>
      <c r="W71" s="18">
        <f>IFERROR(__xludf.DUMMYFUNCTION("""COMPUTED_VALUE"""),-0.7922271392792882)</f>
        <v>-0.7922271393</v>
      </c>
      <c r="X71" s="18">
        <f>IFERROR(__xludf.DUMMYFUNCTION("""COMPUTED_VALUE"""),-0.2882940285594058)</f>
        <v>-0.2882940286</v>
      </c>
      <c r="Y71" s="18">
        <f>IFERROR(__xludf.DUMMYFUNCTION("""COMPUTED_VALUE"""),-0.3791294445121253)</f>
        <v>-0.3791294445</v>
      </c>
      <c r="Z71" s="18">
        <f>IFERROR(__xludf.DUMMYFUNCTION("""COMPUTED_VALUE"""),-0.3978638320773367)</f>
        <v>-0.3978638321</v>
      </c>
      <c r="AA71" s="18">
        <f>IFERROR(__xludf.DUMMYFUNCTION("""COMPUTED_VALUE"""),0.0)</f>
        <v>0</v>
      </c>
      <c r="AB71" t="str">
        <f>IFERROR(__xludf.DUMMYFUNCTION("SUBSTITUTE(REGEXREPLACE(REGEXREPLACE(REGEXREPLACE(REGEXREPLACE(REGEXREPLACE(REGEXREPLACE(F71,"","",),IF(Projections!$T$11="""",""PG"",),),IF(Projections!$U$11="""",""SG"",),),IF(Projections!$V$11="""",""SF"",),),IF(Projections!$W$11="""",""PF"",),),IF(Pro"&amp;"jections!$X$11="""",""C"",),),""/"","""")"),"F")</f>
        <v>F</v>
      </c>
    </row>
    <row r="72">
      <c r="A72" t="str">
        <f>IF(Projections!$AB$11,Draft!I10,"")</f>
        <v/>
      </c>
      <c r="B72">
        <f>IFERROR(__xludf.DUMMYFUNCTION("""COMPUTED_VALUE"""),67.0)</f>
        <v>67</v>
      </c>
      <c r="D72" t="str">
        <f>IFERROR(__xludf.DUMMYFUNCTION("""COMPUTED_VALUE"""),"Coby White")</f>
        <v>Coby White</v>
      </c>
      <c r="E72">
        <f>IFERROR(__xludf.DUMMYFUNCTION("""COMPUTED_VALUE"""),73.0)</f>
        <v>73</v>
      </c>
      <c r="F72" t="str">
        <f>IFERROR(__xludf.DUMMYFUNCTION("""COMPUTED_VALUE"""),"G")</f>
        <v>G</v>
      </c>
      <c r="G72" s="18">
        <f>IFERROR(__xludf.DUMMYFUNCTION("""COMPUTED_VALUE"""),1.5093859363476858)</f>
        <v>1.509385936</v>
      </c>
      <c r="H72" s="18">
        <f>IFERROR(__xludf.DUMMYFUNCTION("""COMPUTED_VALUE"""),1.6785822456979762)</f>
        <v>1.678582246</v>
      </c>
      <c r="I72" s="18">
        <f>IFERROR(__xludf.DUMMYFUNCTION("""COMPUTED_VALUE"""),0.1691963093502904)</f>
        <v>0.1691963094</v>
      </c>
      <c r="J72" s="18">
        <f>IFERROR(__xludf.DUMMYFUNCTION("""COMPUTED_VALUE"""),22.47932)</f>
        <v>22.47932</v>
      </c>
      <c r="K72" s="18">
        <f>IFERROR(__xludf.DUMMYFUNCTION("""COMPUTED_VALUE"""),2.823836)</f>
        <v>2.823836</v>
      </c>
      <c r="L72" s="18">
        <f>IFERROR(__xludf.DUMMYFUNCTION("""COMPUTED_VALUE"""),4.29)</f>
        <v>4.29</v>
      </c>
      <c r="M72" s="18">
        <f>IFERROR(__xludf.DUMMYFUNCTION("""COMPUTED_VALUE"""),4.256575)</f>
        <v>4.256575</v>
      </c>
      <c r="N72" s="18">
        <f>IFERROR(__xludf.DUMMYFUNCTION("""COMPUTED_VALUE"""),0.855205)</f>
        <v>0.855205</v>
      </c>
      <c r="O72" s="18">
        <f>IFERROR(__xludf.DUMMYFUNCTION("""COMPUTED_VALUE"""),0.214932)</f>
        <v>0.214932</v>
      </c>
      <c r="P72" s="25">
        <f>IFERROR(__xludf.DUMMYFUNCTION("""COMPUTED_VALUE"""),0.463321)</f>
        <v>0.463321</v>
      </c>
      <c r="Q72" s="25">
        <f>IFERROR(__xludf.DUMMYFUNCTION("""COMPUTED_VALUE"""),0.87999)</f>
        <v>0.87999</v>
      </c>
      <c r="R72" s="18">
        <f>IFERROR(__xludf.DUMMYFUNCTION("""COMPUTED_VALUE"""),2.430959)</f>
        <v>2.430959</v>
      </c>
      <c r="S72" s="18">
        <f>IFERROR(__xludf.DUMMYFUNCTION("""COMPUTED_VALUE"""),0.9306724789225456)</f>
        <v>0.9306724789</v>
      </c>
      <c r="T72" s="18">
        <f>IFERROR(__xludf.DUMMYFUNCTION("""COMPUTED_VALUE"""),1.0182611367804837)</f>
        <v>1.018261137</v>
      </c>
      <c r="U72" s="18">
        <f>IFERROR(__xludf.DUMMYFUNCTION("""COMPUTED_VALUE"""),-0.7444301234675029)</f>
        <v>-0.7444301235</v>
      </c>
      <c r="V72" s="18">
        <f>IFERROR(__xludf.DUMMYFUNCTION("""COMPUTED_VALUE"""),0.20501813036219113)</f>
        <v>0.2050181304</v>
      </c>
      <c r="W72" s="18">
        <f>IFERROR(__xludf.DUMMYFUNCTION("""COMPUTED_VALUE"""),-0.5789210366020071)</f>
        <v>-0.5789210366</v>
      </c>
      <c r="X72" s="18">
        <f>IFERROR(__xludf.DUMMYFUNCTION("""COMPUTED_VALUE"""),-0.9367936711132105)</f>
        <v>-0.9367936711</v>
      </c>
      <c r="Y72" s="18">
        <f>IFERROR(__xludf.DUMMYFUNCTION("""COMPUTED_VALUE"""),-0.4434521709296442)</f>
        <v>-0.4434521709</v>
      </c>
      <c r="Z72" s="18">
        <f>IFERROR(__xludf.DUMMYFUNCTION("""COMPUTED_VALUE"""),1.29143383063191)</f>
        <v>1.291433831</v>
      </c>
      <c r="AA72" s="18">
        <f>IFERROR(__xludf.DUMMYFUNCTION("""COMPUTED_VALUE"""),0.0)</f>
        <v>0</v>
      </c>
      <c r="AB72" t="str">
        <f>IFERROR(__xludf.DUMMYFUNCTION("SUBSTITUTE(REGEXREPLACE(REGEXREPLACE(REGEXREPLACE(REGEXREPLACE(REGEXREPLACE(REGEXREPLACE(F72,"","",),IF(Projections!$T$11="""",""PG"",),),IF(Projections!$U$11="""",""SG"",),),IF(Projections!$V$11="""",""SF"",),),IF(Projections!$W$11="""",""PF"",),),IF(Pro"&amp;"jections!$X$11="""",""C"",),),""/"","""")"),"G")</f>
        <v>G</v>
      </c>
    </row>
    <row r="73">
      <c r="A73" t="str">
        <f>IF(Projections!$AB$11,Draft!I11,"")</f>
        <v/>
      </c>
      <c r="B73">
        <f>IFERROR(__xludf.DUMMYFUNCTION("""COMPUTED_VALUE"""),68.0)</f>
        <v>68</v>
      </c>
      <c r="D73" t="str">
        <f>IFERROR(__xludf.DUMMYFUNCTION("""COMPUTED_VALUE"""),"Miles Bridges")</f>
        <v>Miles Bridges</v>
      </c>
      <c r="E73">
        <f>IFERROR(__xludf.DUMMYFUNCTION("""COMPUTED_VALUE"""),66.0)</f>
        <v>66</v>
      </c>
      <c r="F73" t="str">
        <f>IFERROR(__xludf.DUMMYFUNCTION("""COMPUTED_VALUE"""),"F")</f>
        <v>F</v>
      </c>
      <c r="G73" s="18">
        <f>IFERROR(__xludf.DUMMYFUNCTION("""COMPUTED_VALUE"""),1.4749620061177537)</f>
        <v>1.474962006</v>
      </c>
      <c r="H73" s="18">
        <f>IFERROR(__xludf.DUMMYFUNCTION("""COMPUTED_VALUE"""),1.518689522547077)</f>
        <v>1.518689523</v>
      </c>
      <c r="I73" s="18">
        <f>IFERROR(__xludf.DUMMYFUNCTION("""COMPUTED_VALUE"""),0.043727516429323154)</f>
        <v>0.04372751643</v>
      </c>
      <c r="J73" s="18">
        <f>IFERROR(__xludf.DUMMYFUNCTION("""COMPUTED_VALUE"""),19.04182)</f>
        <v>19.04182</v>
      </c>
      <c r="K73" s="18">
        <f>IFERROR(__xludf.DUMMYFUNCTION("""COMPUTED_VALUE"""),2.304394)</f>
        <v>2.304394</v>
      </c>
      <c r="L73" s="18">
        <f>IFERROR(__xludf.DUMMYFUNCTION("""COMPUTED_VALUE"""),7.287576)</f>
        <v>7.287576</v>
      </c>
      <c r="M73" s="18">
        <f>IFERROR(__xludf.DUMMYFUNCTION("""COMPUTED_VALUE"""),3.712576)</f>
        <v>3.712576</v>
      </c>
      <c r="N73" s="18">
        <f>IFERROR(__xludf.DUMMYFUNCTION("""COMPUTED_VALUE"""),0.693333)</f>
        <v>0.693333</v>
      </c>
      <c r="O73" s="18">
        <f>IFERROR(__xludf.DUMMYFUNCTION("""COMPUTED_VALUE"""),0.75197)</f>
        <v>0.75197</v>
      </c>
      <c r="P73" s="25">
        <f>IFERROR(__xludf.DUMMYFUNCTION("""COMPUTED_VALUE"""),0.443477)</f>
        <v>0.443477</v>
      </c>
      <c r="Q73" s="25">
        <f>IFERROR(__xludf.DUMMYFUNCTION("""COMPUTED_VALUE"""),0.855007)</f>
        <v>0.855007</v>
      </c>
      <c r="R73" s="18">
        <f>IFERROR(__xludf.DUMMYFUNCTION("""COMPUTED_VALUE"""),1.925)</f>
        <v>1.925</v>
      </c>
      <c r="S73" s="18">
        <f>IFERROR(__xludf.DUMMYFUNCTION("""COMPUTED_VALUE"""),0.3275885003700067)</f>
        <v>0.3275885004</v>
      </c>
      <c r="T73" s="18">
        <f>IFERROR(__xludf.DUMMYFUNCTION("""COMPUTED_VALUE"""),0.5165666831475304)</f>
        <v>0.5165666831</v>
      </c>
      <c r="U73" s="18">
        <f>IFERROR(__xludf.DUMMYFUNCTION("""COMPUTED_VALUE"""),0.4706481181704554)</f>
        <v>0.4706481182</v>
      </c>
      <c r="V73" s="18">
        <f>IFERROR(__xludf.DUMMYFUNCTION("""COMPUTED_VALUE"""),-0.06073326753652544)</f>
        <v>-0.06073326754</v>
      </c>
      <c r="W73" s="18">
        <f>IFERROR(__xludf.DUMMYFUNCTION("""COMPUTED_VALUE"""),-1.0721822573531055)</f>
        <v>-1.072182257</v>
      </c>
      <c r="X73" s="18">
        <f>IFERROR(__xludf.DUMMYFUNCTION("""COMPUTED_VALUE"""),0.0395372374006891)</f>
        <v>0.0395372374</v>
      </c>
      <c r="Y73" s="18">
        <f>IFERROR(__xludf.DUMMYFUNCTION("""COMPUTED_VALUE"""),-0.6888201671870059)</f>
        <v>-0.6888201672</v>
      </c>
      <c r="Z73" s="18">
        <f>IFERROR(__xludf.DUMMYFUNCTION("""COMPUTED_VALUE"""),0.9139024181819267)</f>
        <v>0.9139024182</v>
      </c>
      <c r="AA73" s="18">
        <f>IFERROR(__xludf.DUMMYFUNCTION("""COMPUTED_VALUE"""),0.0)</f>
        <v>0</v>
      </c>
      <c r="AB73" t="str">
        <f>IFERROR(__xludf.DUMMYFUNCTION("SUBSTITUTE(REGEXREPLACE(REGEXREPLACE(REGEXREPLACE(REGEXREPLACE(REGEXREPLACE(REGEXREPLACE(F73,"","",),IF(Projections!$T$11="""",""PG"",),),IF(Projections!$U$11="""",""SG"",),),IF(Projections!$V$11="""",""SF"",),),IF(Projections!$W$11="""",""PF"",),),IF(Pro"&amp;"jections!$X$11="""",""C"",),),""/"","""")"),"F")</f>
        <v>F</v>
      </c>
    </row>
    <row r="74">
      <c r="A74" t="str">
        <f>IF(Projections!$AB$11,Draft!I12,"")</f>
        <v/>
      </c>
      <c r="B74">
        <f>IFERROR(__xludf.DUMMYFUNCTION("""COMPUTED_VALUE"""),69.0)</f>
        <v>69</v>
      </c>
      <c r="D74" t="str">
        <f>IFERROR(__xludf.DUMMYFUNCTION("""COMPUTED_VALUE"""),"Jaylen Brown")</f>
        <v>Jaylen Brown</v>
      </c>
      <c r="E74">
        <f>IFERROR(__xludf.DUMMYFUNCTION("""COMPUTED_VALUE"""),54.0)</f>
        <v>54</v>
      </c>
      <c r="F74" t="str">
        <f>IFERROR(__xludf.DUMMYFUNCTION("""COMPUTED_VALUE"""),"G,F")</f>
        <v>G,F</v>
      </c>
      <c r="G74" s="18">
        <f>IFERROR(__xludf.DUMMYFUNCTION("""COMPUTED_VALUE"""),1.4431035444677782)</f>
        <v>1.443103544</v>
      </c>
      <c r="H74" s="18">
        <f>IFERROR(__xludf.DUMMYFUNCTION("""COMPUTED_VALUE"""),1.711897910530213)</f>
        <v>1.711897911</v>
      </c>
      <c r="I74" s="18">
        <f>IFERROR(__xludf.DUMMYFUNCTION("""COMPUTED_VALUE"""),0.2687943660624348)</f>
        <v>0.2687943661</v>
      </c>
      <c r="J74" s="18">
        <f>IFERROR(__xludf.DUMMYFUNCTION("""COMPUTED_VALUE"""),24.59241)</f>
        <v>24.59241</v>
      </c>
      <c r="K74" s="18">
        <f>IFERROR(__xludf.DUMMYFUNCTION("""COMPUTED_VALUE"""),1.963148)</f>
        <v>1.963148</v>
      </c>
      <c r="L74" s="18">
        <f>IFERROR(__xludf.DUMMYFUNCTION("""COMPUTED_VALUE"""),6.514815)</f>
        <v>6.514815</v>
      </c>
      <c r="M74" s="18">
        <f>IFERROR(__xludf.DUMMYFUNCTION("""COMPUTED_VALUE"""),5.240185)</f>
        <v>5.240185</v>
      </c>
      <c r="N74" s="18">
        <f>IFERROR(__xludf.DUMMYFUNCTION("""COMPUTED_VALUE"""),1.062222)</f>
        <v>1.062222</v>
      </c>
      <c r="O74" s="18">
        <f>IFERROR(__xludf.DUMMYFUNCTION("""COMPUTED_VALUE"""),0.353889)</f>
        <v>0.353889</v>
      </c>
      <c r="P74" s="25">
        <f>IFERROR(__xludf.DUMMYFUNCTION("""COMPUTED_VALUE"""),0.471803)</f>
        <v>0.471803</v>
      </c>
      <c r="Q74" s="25">
        <f>IFERROR(__xludf.DUMMYFUNCTION("""COMPUTED_VALUE"""),0.759993)</f>
        <v>0.759993</v>
      </c>
      <c r="R74" s="18">
        <f>IFERROR(__xludf.DUMMYFUNCTION("""COMPUTED_VALUE"""),2.832593)</f>
        <v>2.832593</v>
      </c>
      <c r="S74" s="18">
        <f>IFERROR(__xludf.DUMMYFUNCTION("""COMPUTED_VALUE"""),1.3013985077922428)</f>
        <v>1.301398508</v>
      </c>
      <c r="T74" s="18">
        <f>IFERROR(__xludf.DUMMYFUNCTION("""COMPUTED_VALUE"""),0.18697988515192984)</f>
        <v>0.1869798852</v>
      </c>
      <c r="U74" s="18">
        <f>IFERROR(__xludf.DUMMYFUNCTION("""COMPUTED_VALUE"""),0.15740666004349196)</f>
        <v>0.15740666</v>
      </c>
      <c r="V74" s="18">
        <f>IFERROR(__xludf.DUMMYFUNCTION("""COMPUTED_VALUE"""),0.6855258748381126)</f>
        <v>0.6855258748</v>
      </c>
      <c r="W74" s="18">
        <f>IFERROR(__xludf.DUMMYFUNCTION("""COMPUTED_VALUE"""),0.051907384225746506)</f>
        <v>0.05190738423</v>
      </c>
      <c r="X74" s="18">
        <f>IFERROR(__xludf.DUMMYFUNCTION("""COMPUTED_VALUE"""),-0.684170925507935)</f>
        <v>-0.6841709255</v>
      </c>
      <c r="Y74" s="18">
        <f>IFERROR(__xludf.DUMMYFUNCTION("""COMPUTED_VALUE"""),-0.3313561531937706)</f>
        <v>-0.3313561532</v>
      </c>
      <c r="Z74" s="18">
        <f>IFERROR(__xludf.DUMMYFUNCTION("""COMPUTED_VALUE"""),-0.33996424832754024)</f>
        <v>-0.3399642483</v>
      </c>
      <c r="AA74" s="18">
        <f>IFERROR(__xludf.DUMMYFUNCTION("""COMPUTED_VALUE"""),0.0)</f>
        <v>0</v>
      </c>
      <c r="AB74" t="str">
        <f>IFERROR(__xludf.DUMMYFUNCTION("SUBSTITUTE(REGEXREPLACE(REGEXREPLACE(REGEXREPLACE(REGEXREPLACE(REGEXREPLACE(REGEXREPLACE(F74,"","",),IF(Projections!$T$11="""",""PG"",),),IF(Projections!$U$11="""",""SG"",),),IF(Projections!$V$11="""",""SF"",),),IF(Projections!$W$11="""",""PF"",),),IF(Pro"&amp;"jections!$X$11="""",""C"",),),""/"","""")"),"GF")</f>
        <v>GF</v>
      </c>
    </row>
    <row r="75">
      <c r="A75" t="str">
        <f>IF(Projections!$AB$11,Draft!I13,"")</f>
        <v/>
      </c>
      <c r="B75">
        <f>IFERROR(__xludf.DUMMYFUNCTION("""COMPUTED_VALUE"""),70.0)</f>
        <v>70</v>
      </c>
      <c r="D75" t="str">
        <f>IFERROR(__xludf.DUMMYFUNCTION("""COMPUTED_VALUE"""),"Franz Wagner")</f>
        <v>Franz Wagner</v>
      </c>
      <c r="E75">
        <f>IFERROR(__xludf.DUMMYFUNCTION("""COMPUTED_VALUE"""),73.0)</f>
        <v>73</v>
      </c>
      <c r="F75" t="str">
        <f>IFERROR(__xludf.DUMMYFUNCTION("""COMPUTED_VALUE"""),"F")</f>
        <v>F</v>
      </c>
      <c r="G75" s="18">
        <f>IFERROR(__xludf.DUMMYFUNCTION("""COMPUTED_VALUE"""),1.4430209772675373)</f>
        <v>1.443020977</v>
      </c>
      <c r="H75" s="18">
        <f>IFERROR(__xludf.DUMMYFUNCTION("""COMPUTED_VALUE"""),1.4569398011880508)</f>
        <v>1.456939801</v>
      </c>
      <c r="I75" s="18">
        <f>IFERROR(__xludf.DUMMYFUNCTION("""COMPUTED_VALUE"""),0.013918823920513468)</f>
        <v>0.01391882392</v>
      </c>
      <c r="J75" s="18">
        <f>IFERROR(__xludf.DUMMYFUNCTION("""COMPUTED_VALUE"""),20.80904)</f>
        <v>20.80904</v>
      </c>
      <c r="K75" s="18">
        <f>IFERROR(__xludf.DUMMYFUNCTION("""COMPUTED_VALUE"""),1.599315)</f>
        <v>1.599315</v>
      </c>
      <c r="L75" s="18">
        <f>IFERROR(__xludf.DUMMYFUNCTION("""COMPUTED_VALUE"""),5.761644)</f>
        <v>5.761644</v>
      </c>
      <c r="M75" s="18">
        <f>IFERROR(__xludf.DUMMYFUNCTION("""COMPUTED_VALUE"""),3.817945)</f>
        <v>3.817945</v>
      </c>
      <c r="N75" s="18">
        <f>IFERROR(__xludf.DUMMYFUNCTION("""COMPUTED_VALUE"""),1.107397)</f>
        <v>1.107397</v>
      </c>
      <c r="O75" s="18">
        <f>IFERROR(__xludf.DUMMYFUNCTION("""COMPUTED_VALUE"""),0.278219)</f>
        <v>0.278219</v>
      </c>
      <c r="P75" s="25">
        <f>IFERROR(__xludf.DUMMYFUNCTION("""COMPUTED_VALUE"""),0.485499)</f>
        <v>0.485499</v>
      </c>
      <c r="Q75" s="25">
        <f>IFERROR(__xludf.DUMMYFUNCTION("""COMPUTED_VALUE"""),0.866993)</f>
        <v>0.866993</v>
      </c>
      <c r="R75" s="18">
        <f>IFERROR(__xludf.DUMMYFUNCTION("""COMPUTED_VALUE"""),1.804795)</f>
        <v>1.804795</v>
      </c>
      <c r="S75" s="18">
        <f>IFERROR(__xludf.DUMMYFUNCTION("""COMPUTED_VALUE"""),0.6376341930471315)</f>
        <v>0.637634193</v>
      </c>
      <c r="T75" s="18">
        <f>IFERROR(__xludf.DUMMYFUNCTION("""COMPUTED_VALUE"""),-0.16442219274827496)</f>
        <v>-0.1644221927</v>
      </c>
      <c r="U75" s="18">
        <f>IFERROR(__xludf.DUMMYFUNCTION("""COMPUTED_VALUE"""),-0.14789392093684073)</f>
        <v>-0.1478939209</v>
      </c>
      <c r="V75" s="18">
        <f>IFERROR(__xludf.DUMMYFUNCTION("""COMPUTED_VALUE"""),-0.00925898349337484)</f>
        <v>-0.009258983493</v>
      </c>
      <c r="W75" s="18">
        <f>IFERROR(__xludf.DUMMYFUNCTION("""COMPUTED_VALUE"""),0.18956600120354902)</f>
        <v>0.1895660012</v>
      </c>
      <c r="X75" s="18">
        <f>IFERROR(__xludf.DUMMYFUNCTION("""COMPUTED_VALUE"""),-0.8217383971714799)</f>
        <v>-0.8217383972</v>
      </c>
      <c r="Y75" s="18">
        <f>IFERROR(__xludf.DUMMYFUNCTION("""COMPUTED_VALUE"""),-0.14122861176836715)</f>
        <v>-0.1412286118</v>
      </c>
      <c r="Z75" s="18">
        <f>IFERROR(__xludf.DUMMYFUNCTION("""COMPUTED_VALUE"""),1.0925433158842277)</f>
        <v>1.092543316</v>
      </c>
      <c r="AA75" s="18">
        <f>IFERROR(__xludf.DUMMYFUNCTION("""COMPUTED_VALUE"""),0.0)</f>
        <v>0</v>
      </c>
      <c r="AB75" t="str">
        <f>IFERROR(__xludf.DUMMYFUNCTION("SUBSTITUTE(REGEXREPLACE(REGEXREPLACE(REGEXREPLACE(REGEXREPLACE(REGEXREPLACE(REGEXREPLACE(F75,"","",),IF(Projections!$T$11="""",""PG"",),),IF(Projections!$U$11="""",""SG"",),),IF(Projections!$V$11="""",""SF"",),),IF(Projections!$W$11="""",""PF"",),),IF(Pro"&amp;"jections!$X$11="""",""C"",),),""/"","""")"),"F")</f>
        <v>F</v>
      </c>
    </row>
    <row r="76">
      <c r="A76" t="str">
        <f>IF(Projections!$AB$11,Draft!I14,"")</f>
        <v/>
      </c>
      <c r="B76">
        <f>IFERROR(__xludf.DUMMYFUNCTION("""COMPUTED_VALUE"""),71.0)</f>
        <v>71</v>
      </c>
      <c r="D76" t="str">
        <f>IFERROR(__xludf.DUMMYFUNCTION("""COMPUTED_VALUE"""),"Nikola Vucevic")</f>
        <v>Nikola Vucevic</v>
      </c>
      <c r="E76">
        <f>IFERROR(__xludf.DUMMYFUNCTION("""COMPUTED_VALUE"""),73.0)</f>
        <v>73</v>
      </c>
      <c r="F76" t="str">
        <f>IFERROR(__xludf.DUMMYFUNCTION("""COMPUTED_VALUE"""),"C")</f>
        <v>C</v>
      </c>
      <c r="G76" s="18">
        <f>IFERROR(__xludf.DUMMYFUNCTION("""COMPUTED_VALUE"""),1.3972927435521594)</f>
        <v>1.397292744</v>
      </c>
      <c r="H76" s="18">
        <f>IFERROR(__xludf.DUMMYFUNCTION("""COMPUTED_VALUE"""),1.3667444029960727)</f>
        <v>1.366744403</v>
      </c>
      <c r="I76" s="18">
        <f>IFERROR(__xludf.DUMMYFUNCTION("""COMPUTED_VALUE"""),-0.030548340556086684)</f>
        <v>-0.03054834056</v>
      </c>
      <c r="J76" s="18">
        <f>IFERROR(__xludf.DUMMYFUNCTION("""COMPUTED_VALUE"""),17.2374)</f>
        <v>17.2374</v>
      </c>
      <c r="K76" s="18">
        <f>IFERROR(__xludf.DUMMYFUNCTION("""COMPUTED_VALUE"""),1.530411)</f>
        <v>1.530411</v>
      </c>
      <c r="L76" s="18">
        <f>IFERROR(__xludf.DUMMYFUNCTION("""COMPUTED_VALUE"""),9.815068)</f>
        <v>9.815068</v>
      </c>
      <c r="M76" s="18">
        <f>IFERROR(__xludf.DUMMYFUNCTION("""COMPUTED_VALUE"""),3.25)</f>
        <v>3.25</v>
      </c>
      <c r="N76" s="18">
        <f>IFERROR(__xludf.DUMMYFUNCTION("""COMPUTED_VALUE"""),0.844658)</f>
        <v>0.844658</v>
      </c>
      <c r="O76" s="18">
        <f>IFERROR(__xludf.DUMMYFUNCTION("""COMPUTED_VALUE"""),0.715205)</f>
        <v>0.715205</v>
      </c>
      <c r="P76" s="25">
        <f>IFERROR(__xludf.DUMMYFUNCTION("""COMPUTED_VALUE"""),0.50581)</f>
        <v>0.50581</v>
      </c>
      <c r="Q76" s="25">
        <f>IFERROR(__xludf.DUMMYFUNCTION("""COMPUTED_VALUE"""),0.806977)</f>
        <v>0.806977</v>
      </c>
      <c r="R76" s="18">
        <f>IFERROR(__xludf.DUMMYFUNCTION("""COMPUTED_VALUE"""),1.625479)</f>
        <v>1.625479</v>
      </c>
      <c r="S76" s="18">
        <f>IFERROR(__xludf.DUMMYFUNCTION("""COMPUTED_VALUE"""),0.011016342528618318)</f>
        <v>0.01101634253</v>
      </c>
      <c r="T76" s="18">
        <f>IFERROR(__xludf.DUMMYFUNCTION("""COMPUTED_VALUE"""),-0.23097198008377162)</f>
        <v>-0.2309719801</v>
      </c>
      <c r="U76" s="18">
        <f>IFERROR(__xludf.DUMMYFUNCTION("""COMPUTED_VALUE"""),1.4951761151633614)</f>
        <v>1.495176115</v>
      </c>
      <c r="V76" s="18">
        <f>IFERROR(__xludf.DUMMYFUNCTION("""COMPUTED_VALUE"""),-0.2867083495392437)</f>
        <v>-0.2867083495</v>
      </c>
      <c r="W76" s="18">
        <f>IFERROR(__xludf.DUMMYFUNCTION("""COMPUTED_VALUE"""),-0.6110601718153968)</f>
        <v>-0.6110601718</v>
      </c>
      <c r="X76" s="18">
        <f>IFERROR(__xludf.DUMMYFUNCTION("""COMPUTED_VALUE"""),-0.027301246750364577)</f>
        <v>-0.02730124675</v>
      </c>
      <c r="Y76" s="18">
        <f>IFERROR(__xludf.DUMMYFUNCTION("""COMPUTED_VALUE"""),0.16147717848258772)</f>
        <v>0.1614771785</v>
      </c>
      <c r="Z76" s="18">
        <f>IFERROR(__xludf.DUMMYFUNCTION("""COMPUTED_VALUE"""),0.2440563431948851)</f>
        <v>0.2440563432</v>
      </c>
      <c r="AA76" s="18">
        <f>IFERROR(__xludf.DUMMYFUNCTION("""COMPUTED_VALUE"""),0.0)</f>
        <v>0</v>
      </c>
      <c r="AB76" t="str">
        <f>IFERROR(__xludf.DUMMYFUNCTION("SUBSTITUTE(REGEXREPLACE(REGEXREPLACE(REGEXREPLACE(REGEXREPLACE(REGEXREPLACE(REGEXREPLACE(F76,"","",),IF(Projections!$T$11="""",""PG"",),),IF(Projections!$U$11="""",""SG"",),),IF(Projections!$V$11="""",""SF"",),),IF(Projections!$W$11="""",""PF"",),),IF(Pro"&amp;"jections!$X$11="""",""C"",),),""/"","""")"),"C")</f>
        <v>C</v>
      </c>
    </row>
    <row r="77">
      <c r="A77" t="str">
        <f>IF(Projections!$AB$11,Draft!J3,"")</f>
        <v/>
      </c>
      <c r="B77">
        <f>IFERROR(__xludf.DUMMYFUNCTION("""COMPUTED_VALUE"""),72.0)</f>
        <v>72</v>
      </c>
      <c r="D77" t="str">
        <f>IFERROR(__xludf.DUMMYFUNCTION("""COMPUTED_VALUE"""),"Isaiah Hartenstein")</f>
        <v>Isaiah Hartenstein</v>
      </c>
      <c r="E77">
        <f>IFERROR(__xludf.DUMMYFUNCTION("""COMPUTED_VALUE"""),68.0)</f>
        <v>68</v>
      </c>
      <c r="F77" t="str">
        <f>IFERROR(__xludf.DUMMYFUNCTION("""COMPUTED_VALUE"""),"C")</f>
        <v>C</v>
      </c>
      <c r="G77" s="18">
        <f>IFERROR(__xludf.DUMMYFUNCTION("""COMPUTED_VALUE"""),1.2332626321228632)</f>
        <v>1.233262632</v>
      </c>
      <c r="H77" s="18">
        <f>IFERROR(__xludf.DUMMYFUNCTION("""COMPUTED_VALUE"""),1.1837781277743784)</f>
        <v>1.183778128</v>
      </c>
      <c r="I77" s="18">
        <f>IFERROR(__xludf.DUMMYFUNCTION("""COMPUTED_VALUE"""),-0.04948450434848484)</f>
        <v>-0.04948450435</v>
      </c>
      <c r="J77" s="18">
        <f>IFERROR(__xludf.DUMMYFUNCTION("""COMPUTED_VALUE"""),10.70441)</f>
        <v>10.70441</v>
      </c>
      <c r="K77" s="18">
        <f>IFERROR(__xludf.DUMMYFUNCTION("""COMPUTED_VALUE"""),0.062941)</f>
        <v>0.062941</v>
      </c>
      <c r="L77" s="18">
        <f>IFERROR(__xludf.DUMMYFUNCTION("""COMPUTED_VALUE"""),9.466912)</f>
        <v>9.466912</v>
      </c>
      <c r="M77" s="18">
        <f>IFERROR(__xludf.DUMMYFUNCTION("""COMPUTED_VALUE"""),3.4425)</f>
        <v>3.4425</v>
      </c>
      <c r="N77" s="18">
        <f>IFERROR(__xludf.DUMMYFUNCTION("""COMPUTED_VALUE"""),0.911618)</f>
        <v>0.911618</v>
      </c>
      <c r="O77" s="18">
        <f>IFERROR(__xludf.DUMMYFUNCTION("""COMPUTED_VALUE"""),1.095)</f>
        <v>1.095</v>
      </c>
      <c r="P77" s="25">
        <f>IFERROR(__xludf.DUMMYFUNCTION("""COMPUTED_VALUE"""),0.599334)</f>
        <v>0.599334</v>
      </c>
      <c r="Q77" s="25">
        <f>IFERROR(__xludf.DUMMYFUNCTION("""COMPUTED_VALUE"""),0.700976)</f>
        <v>0.700976</v>
      </c>
      <c r="R77" s="18">
        <f>IFERROR(__xludf.DUMMYFUNCTION("""COMPUTED_VALUE"""),1.549118)</f>
        <v>1.549118</v>
      </c>
      <c r="S77" s="18">
        <f>IFERROR(__xludf.DUMMYFUNCTION("""COMPUTED_VALUE"""),-1.135148486865986)</f>
        <v>-1.135148487</v>
      </c>
      <c r="T77" s="18">
        <f>IFERROR(__xludf.DUMMYFUNCTION("""COMPUTED_VALUE"""),-1.648303577976799)</f>
        <v>-1.648303578</v>
      </c>
      <c r="U77" s="18">
        <f>IFERROR(__xludf.DUMMYFUNCTION("""COMPUTED_VALUE"""),1.3540498250223594)</f>
        <v>1.354049825</v>
      </c>
      <c r="V77" s="18">
        <f>IFERROR(__xludf.DUMMYFUNCTION("""COMPUTED_VALUE"""),-0.19266930885074438)</f>
        <v>-0.1926693089</v>
      </c>
      <c r="W77" s="18">
        <f>IFERROR(__xludf.DUMMYFUNCTION("""COMPUTED_VALUE"""),-0.4070176484543859)</f>
        <v>-0.4070176485</v>
      </c>
      <c r="X77" s="18">
        <f>IFERROR(__xludf.DUMMYFUNCTION("""COMPUTED_VALUE"""),0.6631631103324424)</f>
        <v>0.6631631103</v>
      </c>
      <c r="Y77" s="18">
        <f>IFERROR(__xludf.DUMMYFUNCTION("""COMPUTED_VALUE"""),1.8751287045782699)</f>
        <v>1.875128705</v>
      </c>
      <c r="Z77" s="18">
        <f>IFERROR(__xludf.DUMMYFUNCTION("""COMPUTED_VALUE"""),-0.9737280679875768)</f>
        <v>-0.973728068</v>
      </c>
      <c r="AA77" s="18">
        <f>IFERROR(__xludf.DUMMYFUNCTION("""COMPUTED_VALUE"""),0.0)</f>
        <v>0</v>
      </c>
      <c r="AB77" t="str">
        <f>IFERROR(__xludf.DUMMYFUNCTION("SUBSTITUTE(REGEXREPLACE(REGEXREPLACE(REGEXREPLACE(REGEXREPLACE(REGEXREPLACE(REGEXREPLACE(F77,"","",),IF(Projections!$T$11="""",""PG"",),),IF(Projections!$U$11="""",""SG"",),),IF(Projections!$V$11="""",""SF"",),),IF(Projections!$W$11="""",""PF"",),),IF(Pro"&amp;"jections!$X$11="""",""C"",),),""/"","""")"),"C")</f>
        <v>C</v>
      </c>
    </row>
    <row r="78">
      <c r="A78" t="str">
        <f>IF(Projections!$AB$11,Draft!J4,"")</f>
        <v/>
      </c>
      <c r="B78">
        <f>IFERROR(__xludf.DUMMYFUNCTION("""COMPUTED_VALUE"""),73.0)</f>
        <v>73</v>
      </c>
      <c r="D78" t="str">
        <f>IFERROR(__xludf.DUMMYFUNCTION("""COMPUTED_VALUE"""),"Deandre Ayton")</f>
        <v>Deandre Ayton</v>
      </c>
      <c r="E78">
        <f>IFERROR(__xludf.DUMMYFUNCTION("""COMPUTED_VALUE"""),68.0)</f>
        <v>68</v>
      </c>
      <c r="F78" t="str">
        <f>IFERROR(__xludf.DUMMYFUNCTION("""COMPUTED_VALUE"""),"C")</f>
        <v>C</v>
      </c>
      <c r="G78" s="18">
        <f>IFERROR(__xludf.DUMMYFUNCTION("""COMPUTED_VALUE"""),1.0940373253837588)</f>
        <v>1.094037325</v>
      </c>
      <c r="H78" s="18">
        <f>IFERROR(__xludf.DUMMYFUNCTION("""COMPUTED_VALUE"""),1.0492205887578587)</f>
        <v>1.049220589</v>
      </c>
      <c r="I78" s="18">
        <f>IFERROR(__xludf.DUMMYFUNCTION("""COMPUTED_VALUE"""),-0.04481673662590002)</f>
        <v>-0.04481673663</v>
      </c>
      <c r="J78" s="18">
        <f>IFERROR(__xludf.DUMMYFUNCTION("""COMPUTED_VALUE"""),14.84897)</f>
        <v>14.84897</v>
      </c>
      <c r="K78" s="18">
        <f>IFERROR(__xludf.DUMMYFUNCTION("""COMPUTED_VALUE"""),0.093088)</f>
        <v>0.093088</v>
      </c>
      <c r="L78" s="18">
        <f>IFERROR(__xludf.DUMMYFUNCTION("""COMPUTED_VALUE"""),10.64926)</f>
        <v>10.64926</v>
      </c>
      <c r="M78" s="18">
        <f>IFERROR(__xludf.DUMMYFUNCTION("""COMPUTED_VALUE"""),1.567941)</f>
        <v>1.567941</v>
      </c>
      <c r="N78" s="18">
        <f>IFERROR(__xludf.DUMMYFUNCTION("""COMPUTED_VALUE"""),0.856765)</f>
        <v>0.856765</v>
      </c>
      <c r="O78" s="18">
        <f>IFERROR(__xludf.DUMMYFUNCTION("""COMPUTED_VALUE"""),0.974265)</f>
        <v>0.974265</v>
      </c>
      <c r="P78" s="25">
        <f>IFERROR(__xludf.DUMMYFUNCTION("""COMPUTED_VALUE"""),0.574801)</f>
        <v>0.574801</v>
      </c>
      <c r="Q78" s="25">
        <f>IFERROR(__xludf.DUMMYFUNCTION("""COMPUTED_VALUE"""),0.744962)</f>
        <v>0.744962</v>
      </c>
      <c r="R78" s="18">
        <f>IFERROR(__xludf.DUMMYFUNCTION("""COMPUTED_VALUE"""),1.567941)</f>
        <v>1.567941</v>
      </c>
      <c r="S78" s="18">
        <f>IFERROR(__xludf.DUMMYFUNCTION("""COMPUTED_VALUE"""),-0.4080160551133428)</f>
        <v>-0.4080160551</v>
      </c>
      <c r="T78" s="18">
        <f>IFERROR(__xludf.DUMMYFUNCTION("""COMPUTED_VALUE"""),-1.6191865972673594)</f>
        <v>-1.619186597</v>
      </c>
      <c r="U78" s="18">
        <f>IFERROR(__xludf.DUMMYFUNCTION("""COMPUTED_VALUE"""),1.8333188506764733)</f>
        <v>1.833318851</v>
      </c>
      <c r="V78" s="18">
        <f>IFERROR(__xludf.DUMMYFUNCTION("""COMPUTED_VALUE"""),-1.1084185559883681)</f>
        <v>-1.108418556</v>
      </c>
      <c r="W78" s="18">
        <f>IFERROR(__xludf.DUMMYFUNCTION("""COMPUTED_VALUE"""),-0.574167357742342)</f>
        <v>-0.5741673577</v>
      </c>
      <c r="X78" s="18">
        <f>IFERROR(__xludf.DUMMYFUNCTION("""COMPUTED_VALUE"""),0.443667819050586)</f>
        <v>0.4436678191</v>
      </c>
      <c r="Y78" s="18">
        <f>IFERROR(__xludf.DUMMYFUNCTION("""COMPUTED_VALUE"""),1.374763531801243)</f>
        <v>1.374763532</v>
      </c>
      <c r="Z78" s="18">
        <f>IFERROR(__xludf.DUMMYFUNCTION("""COMPUTED_VALUE"""),-0.5119276439263907)</f>
        <v>-0.5119276439</v>
      </c>
      <c r="AA78" s="18">
        <f>IFERROR(__xludf.DUMMYFUNCTION("""COMPUTED_VALUE"""),0.0)</f>
        <v>0</v>
      </c>
      <c r="AB78" t="str">
        <f>IFERROR(__xludf.DUMMYFUNCTION("SUBSTITUTE(REGEXREPLACE(REGEXREPLACE(REGEXREPLACE(REGEXREPLACE(REGEXREPLACE(REGEXREPLACE(F78,"","",),IF(Projections!$T$11="""",""PG"",),),IF(Projections!$U$11="""",""SG"",),),IF(Projections!$V$11="""",""SF"",),),IF(Projections!$W$11="""",""PF"",),),IF(Pro"&amp;"jections!$X$11="""",""C"",),),""/"","""")"),"C")</f>
        <v>C</v>
      </c>
    </row>
    <row r="79">
      <c r="A79" t="str">
        <f>IF(Projections!$AB$11,Draft!J5,"")</f>
        <v/>
      </c>
      <c r="B79">
        <f>IFERROR(__xludf.DUMMYFUNCTION("""COMPUTED_VALUE"""),74.0)</f>
        <v>74</v>
      </c>
      <c r="D79" t="str">
        <f>IFERROR(__xludf.DUMMYFUNCTION("""COMPUTED_VALUE"""),"Onyeka Okongwu")</f>
        <v>Onyeka Okongwu</v>
      </c>
      <c r="E79">
        <f>IFERROR(__xludf.DUMMYFUNCTION("""COMPUTED_VALUE"""),73.0)</f>
        <v>73</v>
      </c>
      <c r="F79" t="str">
        <f>IFERROR(__xludf.DUMMYFUNCTION("""COMPUTED_VALUE"""),"C")</f>
        <v>C</v>
      </c>
      <c r="G79" s="18">
        <f>IFERROR(__xludf.DUMMYFUNCTION("""COMPUTED_VALUE"""),1.056075550881152)</f>
        <v>1.056075551</v>
      </c>
      <c r="H79" s="18">
        <f>IFERROR(__xludf.DUMMYFUNCTION("""COMPUTED_VALUE"""),0.9286785315410034)</f>
        <v>0.9286785315</v>
      </c>
      <c r="I79" s="18">
        <f>IFERROR(__xludf.DUMMYFUNCTION("""COMPUTED_VALUE"""),-0.12739701934014847)</f>
        <v>-0.1273970193</v>
      </c>
      <c r="J79" s="18">
        <f>IFERROR(__xludf.DUMMYFUNCTION("""COMPUTED_VALUE"""),14.09507)</f>
        <v>14.09507</v>
      </c>
      <c r="K79" s="18">
        <f>IFERROR(__xludf.DUMMYFUNCTION("""COMPUTED_VALUE"""),0.916164)</f>
        <v>0.916164</v>
      </c>
      <c r="L79" s="18">
        <f>IFERROR(__xludf.DUMMYFUNCTION("""COMPUTED_VALUE"""),8.645068)</f>
        <v>8.645068</v>
      </c>
      <c r="M79" s="18">
        <f>IFERROR(__xludf.DUMMYFUNCTION("""COMPUTED_VALUE"""),2.21)</f>
        <v>2.21</v>
      </c>
      <c r="N79" s="18">
        <f>IFERROR(__xludf.DUMMYFUNCTION("""COMPUTED_VALUE"""),0.969589)</f>
        <v>0.969589</v>
      </c>
      <c r="O79" s="18">
        <f>IFERROR(__xludf.DUMMYFUNCTION("""COMPUTED_VALUE"""),0.844932)</f>
        <v>0.844932</v>
      </c>
      <c r="P79" s="25">
        <f>IFERROR(__xludf.DUMMYFUNCTION("""COMPUTED_VALUE"""),0.564522)</f>
        <v>0.564522</v>
      </c>
      <c r="Q79" s="25">
        <f>IFERROR(__xludf.DUMMYFUNCTION("""COMPUTED_VALUE"""),0.795022)</f>
        <v>0.795022</v>
      </c>
      <c r="R79" s="18">
        <f>IFERROR(__xludf.DUMMYFUNCTION("""COMPUTED_VALUE"""),1.234932)</f>
        <v>1.234932</v>
      </c>
      <c r="S79" s="18">
        <f>IFERROR(__xludf.DUMMYFUNCTION("""COMPUTED_VALUE"""),-0.5402822402568364)</f>
        <v>-0.5402822403</v>
      </c>
      <c r="T79" s="18">
        <f>IFERROR(__xludf.DUMMYFUNCTION("""COMPUTED_VALUE"""),-0.8242322729762998)</f>
        <v>-0.824232273</v>
      </c>
      <c r="U79" s="18">
        <f>IFERROR(__xludf.DUMMYFUNCTION("""COMPUTED_VALUE"""),1.0209123958393438)</f>
        <v>1.020912396</v>
      </c>
      <c r="V79" s="18">
        <f>IFERROR(__xludf.DUMMYFUNCTION("""COMPUTED_VALUE"""),-0.7947634265056817)</f>
        <v>-0.7947634265</v>
      </c>
      <c r="W79" s="18">
        <f>IFERROR(__xludf.DUMMYFUNCTION("""COMPUTED_VALUE"""),-0.23036667590717627)</f>
        <v>-0.2303666759</v>
      </c>
      <c r="X79" s="18">
        <f>IFERROR(__xludf.DUMMYFUNCTION("""COMPUTED_VALUE"""),0.20854143061842997)</f>
        <v>0.2085414306</v>
      </c>
      <c r="Y79" s="18">
        <f>IFERROR(__xludf.DUMMYFUNCTION("""COMPUTED_VALUE"""),1.1758664133290917)</f>
        <v>1.175866413</v>
      </c>
      <c r="Z79" s="18">
        <f>IFERROR(__xludf.DUMMYFUNCTION("""COMPUTED_VALUE"""),0.0887706344238326)</f>
        <v>0.08877063442</v>
      </c>
      <c r="AA79" s="18">
        <f>IFERROR(__xludf.DUMMYFUNCTION("""COMPUTED_VALUE"""),0.0)</f>
        <v>0</v>
      </c>
      <c r="AB79" t="str">
        <f>IFERROR(__xludf.DUMMYFUNCTION("SUBSTITUTE(REGEXREPLACE(REGEXREPLACE(REGEXREPLACE(REGEXREPLACE(REGEXREPLACE(REGEXREPLACE(F79,"","",),IF(Projections!$T$11="""",""PG"",),),IF(Projections!$U$11="""",""SG"",),),IF(Projections!$V$11="""",""SF"",),),IF(Projections!$W$11="""",""PF"",),),IF(Pro"&amp;"jections!$X$11="""",""C"",),),""/"","""")"),"C")</f>
        <v>C</v>
      </c>
    </row>
    <row r="80">
      <c r="A80" t="str">
        <f>IF(Projections!$AB$11,Draft!J6,"")</f>
        <v/>
      </c>
      <c r="B80">
        <f>IFERROR(__xludf.DUMMYFUNCTION("""COMPUTED_VALUE"""),75.0)</f>
        <v>75</v>
      </c>
      <c r="D80" t="str">
        <f>IFERROR(__xludf.DUMMYFUNCTION("""COMPUTED_VALUE"""),"Alexandre Sarr")</f>
        <v>Alexandre Sarr</v>
      </c>
      <c r="E80">
        <f>IFERROR(__xludf.DUMMYFUNCTION("""COMPUTED_VALUE"""),73.0)</f>
        <v>73</v>
      </c>
      <c r="F80" t="str">
        <f>IFERROR(__xludf.DUMMYFUNCTION("""COMPUTED_VALUE"""),"F,C")</f>
        <v>F,C</v>
      </c>
      <c r="G80" s="18">
        <f>IFERROR(__xludf.DUMMYFUNCTION("""COMPUTED_VALUE"""),0.9432082951620109)</f>
        <v>0.9432082952</v>
      </c>
      <c r="H80" s="18">
        <f>IFERROR(__xludf.DUMMYFUNCTION("""COMPUTED_VALUE"""),1.0145024976197798)</f>
        <v>1.014502498</v>
      </c>
      <c r="I80" s="18">
        <f>IFERROR(__xludf.DUMMYFUNCTION("""COMPUTED_VALUE"""),0.07129420245776896)</f>
        <v>0.07129420246</v>
      </c>
      <c r="J80" s="18">
        <f>IFERROR(__xludf.DUMMYFUNCTION("""COMPUTED_VALUE"""),17.26192)</f>
        <v>17.26192</v>
      </c>
      <c r="K80" s="18">
        <f>IFERROR(__xludf.DUMMYFUNCTION("""COMPUTED_VALUE"""),1.937534)</f>
        <v>1.937534</v>
      </c>
      <c r="L80" s="18">
        <f>IFERROR(__xludf.DUMMYFUNCTION("""COMPUTED_VALUE"""),7.916027)</f>
        <v>7.916027</v>
      </c>
      <c r="M80" s="18">
        <f>IFERROR(__xludf.DUMMYFUNCTION("""COMPUTED_VALUE"""),3.259589)</f>
        <v>3.259589</v>
      </c>
      <c r="N80" s="18">
        <f>IFERROR(__xludf.DUMMYFUNCTION("""COMPUTED_VALUE"""),0.748493)</f>
        <v>0.748493</v>
      </c>
      <c r="O80" s="18">
        <f>IFERROR(__xludf.DUMMYFUNCTION("""COMPUTED_VALUE"""),1.796027)</f>
        <v>1.796027</v>
      </c>
      <c r="P80" s="25">
        <f>IFERROR(__xludf.DUMMYFUNCTION("""COMPUTED_VALUE"""),0.427608)</f>
        <v>0.427608</v>
      </c>
      <c r="Q80" s="25">
        <f>IFERROR(__xludf.DUMMYFUNCTION("""COMPUTED_VALUE"""),0.729991)</f>
        <v>0.729991</v>
      </c>
      <c r="R80" s="18">
        <f>IFERROR(__xludf.DUMMYFUNCTION("""COMPUTED_VALUE"""),2.036164)</f>
        <v>2.036164</v>
      </c>
      <c r="S80" s="18">
        <f>IFERROR(__xludf.DUMMYFUNCTION("""COMPUTED_VALUE"""),0.015318195373449632)</f>
        <v>0.01531819537</v>
      </c>
      <c r="T80" s="18">
        <f>IFERROR(__xludf.DUMMYFUNCTION("""COMPUTED_VALUE"""),0.16224102742507224)</f>
        <v>0.1622410274</v>
      </c>
      <c r="U80" s="18">
        <f>IFERROR(__xludf.DUMMYFUNCTION("""COMPUTED_VALUE"""),0.7253929973780606)</f>
        <v>0.7253929974</v>
      </c>
      <c r="V80" s="18">
        <f>IFERROR(__xludf.DUMMYFUNCTION("""COMPUTED_VALUE"""),-0.28202398402671364)</f>
        <v>-0.282023984</v>
      </c>
      <c r="W80" s="18">
        <f>IFERROR(__xludf.DUMMYFUNCTION("""COMPUTED_VALUE"""),-0.9040970484434078)</f>
        <v>-0.9040970484</v>
      </c>
      <c r="X80" s="18">
        <f>IFERROR(__xludf.DUMMYFUNCTION("""COMPUTED_VALUE"""),1.937624745827088)</f>
        <v>1.937624746</v>
      </c>
      <c r="Y80" s="18">
        <f>IFERROR(__xludf.DUMMYFUNCTION("""COMPUTED_VALUE"""),-0.8680134562071855)</f>
        <v>-0.8680134562</v>
      </c>
      <c r="Z80" s="18">
        <f>IFERROR(__xludf.DUMMYFUNCTION("""COMPUTED_VALUE"""),-0.6760370281499916)</f>
        <v>-0.6760370281</v>
      </c>
      <c r="AA80" s="18">
        <f>IFERROR(__xludf.DUMMYFUNCTION("""COMPUTED_VALUE"""),0.0)</f>
        <v>0</v>
      </c>
      <c r="AB80" t="str">
        <f>IFERROR(__xludf.DUMMYFUNCTION("SUBSTITUTE(REGEXREPLACE(REGEXREPLACE(REGEXREPLACE(REGEXREPLACE(REGEXREPLACE(REGEXREPLACE(F80,"","",),IF(Projections!$T$11="""",""PG"",),),IF(Projections!$U$11="""",""SG"",),),IF(Projections!$V$11="""",""SF"",),),IF(Projections!$W$11="""",""PF"",),),IF(Pro"&amp;"jections!$X$11="""",""C"",),),""/"","""")"),"FC")</f>
        <v>FC</v>
      </c>
    </row>
    <row r="81">
      <c r="A81" t="str">
        <f>IF(Projections!$AB$11,Draft!J7,"")</f>
        <v/>
      </c>
      <c r="B81">
        <f>IFERROR(__xludf.DUMMYFUNCTION("""COMPUTED_VALUE"""),76.0)</f>
        <v>76</v>
      </c>
      <c r="D81" t="str">
        <f>IFERROR(__xludf.DUMMYFUNCTION("""COMPUTED_VALUE"""),"Michael Porter Jr.")</f>
        <v>Michael Porter Jr.</v>
      </c>
      <c r="E81">
        <f>IFERROR(__xludf.DUMMYFUNCTION("""COMPUTED_VALUE"""),57.0)</f>
        <v>57</v>
      </c>
      <c r="F81" t="str">
        <f>IFERROR(__xludf.DUMMYFUNCTION("""COMPUTED_VALUE"""),"F")</f>
        <v>F</v>
      </c>
      <c r="G81" s="18">
        <f>IFERROR(__xludf.DUMMYFUNCTION("""COMPUTED_VALUE"""),0.8155165920826469)</f>
        <v>0.8155165921</v>
      </c>
      <c r="H81" s="18">
        <f>IFERROR(__xludf.DUMMYFUNCTION("""COMPUTED_VALUE"""),0.7621176897369775)</f>
        <v>0.7621176897</v>
      </c>
      <c r="I81" s="18">
        <f>IFERROR(__xludf.DUMMYFUNCTION("""COMPUTED_VALUE"""),-0.05339890234566946)</f>
        <v>-0.05339890235</v>
      </c>
      <c r="J81" s="18">
        <f>IFERROR(__xludf.DUMMYFUNCTION("""COMPUTED_VALUE"""),19.69175)</f>
        <v>19.69175</v>
      </c>
      <c r="K81" s="18">
        <f>IFERROR(__xludf.DUMMYFUNCTION("""COMPUTED_VALUE"""),2.973684)</f>
        <v>2.973684</v>
      </c>
      <c r="L81" s="18">
        <f>IFERROR(__xludf.DUMMYFUNCTION("""COMPUTED_VALUE"""),7.0)</f>
        <v>7</v>
      </c>
      <c r="M81" s="18">
        <f>IFERROR(__xludf.DUMMYFUNCTION("""COMPUTED_VALUE"""),1.887193)</f>
        <v>1.887193</v>
      </c>
      <c r="N81" s="18">
        <f>IFERROR(__xludf.DUMMYFUNCTION("""COMPUTED_VALUE"""),0.59386)</f>
        <v>0.59386</v>
      </c>
      <c r="O81" s="18">
        <f>IFERROR(__xludf.DUMMYFUNCTION("""COMPUTED_VALUE"""),0.537018)</f>
        <v>0.537018</v>
      </c>
      <c r="P81" s="25">
        <f>IFERROR(__xludf.DUMMYFUNCTION("""COMPUTED_VALUE"""),0.468182)</f>
        <v>0.468182</v>
      </c>
      <c r="Q81" s="25">
        <f>IFERROR(__xludf.DUMMYFUNCTION("""COMPUTED_VALUE"""),0.825007)</f>
        <v>0.825007</v>
      </c>
      <c r="R81" s="18">
        <f>IFERROR(__xludf.DUMMYFUNCTION("""COMPUTED_VALUE"""),1.533333)</f>
        <v>1.533333</v>
      </c>
      <c r="S81" s="18">
        <f>IFERROR(__xludf.DUMMYFUNCTION("""COMPUTED_VALUE"""),0.44161391714983217)</f>
        <v>0.4416139171</v>
      </c>
      <c r="T81" s="18">
        <f>IFERROR(__xludf.DUMMYFUNCTION("""COMPUTED_VALUE"""),1.1629893460665846)</f>
        <v>1.162989346</v>
      </c>
      <c r="U81" s="18">
        <f>IFERROR(__xludf.DUMMYFUNCTION("""COMPUTED_VALUE"""),0.3540781494966746)</f>
        <v>0.3540781495</v>
      </c>
      <c r="V81" s="18">
        <f>IFERROR(__xludf.DUMMYFUNCTION("""COMPUTED_VALUE"""),-0.9524593257655902)</f>
        <v>-0.9524593258</v>
      </c>
      <c r="W81" s="18">
        <f>IFERROR(__xludf.DUMMYFUNCTION("""COMPUTED_VALUE"""),-1.3752993709476367)</f>
        <v>-1.375299371</v>
      </c>
      <c r="X81" s="18">
        <f>IFERROR(__xludf.DUMMYFUNCTION("""COMPUTED_VALUE"""),-0.3512438273412468)</f>
        <v>-0.3512438273</v>
      </c>
      <c r="Y81" s="18">
        <f>IFERROR(__xludf.DUMMYFUNCTION("""COMPUTED_VALUE"""),-0.3797391461890468)</f>
        <v>-0.3797391462</v>
      </c>
      <c r="Z81" s="18">
        <f>IFERROR(__xludf.DUMMYFUNCTION("""COMPUTED_VALUE"""),0.4868785763197702)</f>
        <v>0.4868785763</v>
      </c>
      <c r="AA81" s="18">
        <f>IFERROR(__xludf.DUMMYFUNCTION("""COMPUTED_VALUE"""),0.0)</f>
        <v>0</v>
      </c>
      <c r="AB81" t="str">
        <f>IFERROR(__xludf.DUMMYFUNCTION("SUBSTITUTE(REGEXREPLACE(REGEXREPLACE(REGEXREPLACE(REGEXREPLACE(REGEXREPLACE(REGEXREPLACE(F81,"","",),IF(Projections!$T$11="""",""PG"",),),IF(Projections!$U$11="""",""SG"",),),IF(Projections!$V$11="""",""SF"",),),IF(Projections!$W$11="""",""PF"",),),IF(Pro"&amp;"jections!$X$11="""",""C"",),),""/"","""")"),"F")</f>
        <v>F</v>
      </c>
    </row>
    <row r="82">
      <c r="A82" t="str">
        <f>IF(Projections!$AB$11,Draft!J8,"")</f>
        <v/>
      </c>
      <c r="B82">
        <f>IFERROR(__xludf.DUMMYFUNCTION("""COMPUTED_VALUE"""),77.0)</f>
        <v>77</v>
      </c>
      <c r="D82" t="str">
        <f>IFERROR(__xludf.DUMMYFUNCTION("""COMPUTED_VALUE"""),"Adem Bona")</f>
        <v>Adem Bona</v>
      </c>
      <c r="E82">
        <f>IFERROR(__xludf.DUMMYFUNCTION("""COMPUTED_VALUE"""),66.0)</f>
        <v>66</v>
      </c>
      <c r="F82" t="str">
        <f>IFERROR(__xludf.DUMMYFUNCTION("""COMPUTED_VALUE"""),"C")</f>
        <v>C</v>
      </c>
      <c r="G82" s="18">
        <f>IFERROR(__xludf.DUMMYFUNCTION("""COMPUTED_VALUE"""),0.8120745123174455)</f>
        <v>0.8120745123</v>
      </c>
      <c r="H82" s="18">
        <f>IFERROR(__xludf.DUMMYFUNCTION("""COMPUTED_VALUE"""),0.7513864231026446)</f>
        <v>0.7513864231</v>
      </c>
      <c r="I82" s="18">
        <f>IFERROR(__xludf.DUMMYFUNCTION("""COMPUTED_VALUE"""),-0.060688089214800955)</f>
        <v>-0.06068808921</v>
      </c>
      <c r="J82" s="18">
        <f>IFERROR(__xludf.DUMMYFUNCTION("""COMPUTED_VALUE"""),8.162424)</f>
        <v>8.162424</v>
      </c>
      <c r="K82" s="18">
        <f>IFERROR(__xludf.DUMMYFUNCTION("""COMPUTED_VALUE"""),0.008182)</f>
        <v>0.008182</v>
      </c>
      <c r="L82" s="18">
        <f>IFERROR(__xludf.DUMMYFUNCTION("""COMPUTED_VALUE"""),5.944091)</f>
        <v>5.944091</v>
      </c>
      <c r="M82" s="18">
        <f>IFERROR(__xludf.DUMMYFUNCTION("""COMPUTED_VALUE"""),0.619848)</f>
        <v>0.619848</v>
      </c>
      <c r="N82" s="18">
        <f>IFERROR(__xludf.DUMMYFUNCTION("""COMPUTED_VALUE"""),0.629697)</f>
        <v>0.629697</v>
      </c>
      <c r="O82" s="18">
        <f>IFERROR(__xludf.DUMMYFUNCTION("""COMPUTED_VALUE"""),1.733182)</f>
        <v>1.733182</v>
      </c>
      <c r="P82" s="25">
        <f>IFERROR(__xludf.DUMMYFUNCTION("""COMPUTED_VALUE"""),0.713611)</f>
        <v>0.713611</v>
      </c>
      <c r="Q82" s="25">
        <f>IFERROR(__xludf.DUMMYFUNCTION("""COMPUTED_VALUE"""),0.670027)</f>
        <v>0.670027</v>
      </c>
      <c r="R82" s="18">
        <f>IFERROR(__xludf.DUMMYFUNCTION("""COMPUTED_VALUE"""),1.503939)</f>
        <v>1.503939</v>
      </c>
      <c r="S82" s="18">
        <f>IFERROR(__xludf.DUMMYFUNCTION("""COMPUTED_VALUE"""),-1.581121150227398)</f>
        <v>-1.58112115</v>
      </c>
      <c r="T82" s="18">
        <f>IFERROR(__xludf.DUMMYFUNCTION("""COMPUTED_VALUE"""),-1.7011916513064236)</f>
        <v>-1.701191651</v>
      </c>
      <c r="U82" s="18">
        <f>IFERROR(__xludf.DUMMYFUNCTION("""COMPUTED_VALUE"""),-0.07393837153555102)</f>
        <v>-0.07393837154</v>
      </c>
      <c r="V82" s="18">
        <f>IFERROR(__xludf.DUMMYFUNCTION("""COMPUTED_VALUE"""),-1.5715757310713885)</f>
        <v>-1.571575731</v>
      </c>
      <c r="W82" s="18">
        <f>IFERROR(__xludf.DUMMYFUNCTION("""COMPUTED_VALUE"""),-1.2660957880669839)</f>
        <v>-1.266095788</v>
      </c>
      <c r="X82" s="18">
        <f>IFERROR(__xludf.DUMMYFUNCTION("""COMPUTED_VALUE"""),1.8233730244487945)</f>
        <v>1.823373024</v>
      </c>
      <c r="Y82" s="18">
        <f>IFERROR(__xludf.DUMMYFUNCTION("""COMPUTED_VALUE"""),4.682391415301835)</f>
        <v>4.682391415</v>
      </c>
      <c r="Z82" s="18">
        <f>IFERROR(__xludf.DUMMYFUNCTION("""COMPUTED_VALUE"""),-1.2616469757466628)</f>
        <v>-1.261646976</v>
      </c>
      <c r="AA82" s="18">
        <f>IFERROR(__xludf.DUMMYFUNCTION("""COMPUTED_VALUE"""),0.0)</f>
        <v>0</v>
      </c>
      <c r="AB82" t="str">
        <f>IFERROR(__xludf.DUMMYFUNCTION("SUBSTITUTE(REGEXREPLACE(REGEXREPLACE(REGEXREPLACE(REGEXREPLACE(REGEXREPLACE(REGEXREPLACE(F82,"","",),IF(Projections!$T$11="""",""PG"",),),IF(Projections!$U$11="""",""SG"",),),IF(Projections!$V$11="""",""SF"",),),IF(Projections!$W$11="""",""PF"",),),IF(Pro"&amp;"jections!$X$11="""",""C"",),),""/"","""")"),"C")</f>
        <v>C</v>
      </c>
    </row>
    <row r="83">
      <c r="A83" t="str">
        <f>IF(Projections!$AB$11,Draft!J9,"")</f>
        <v/>
      </c>
      <c r="B83">
        <f>IFERROR(__xludf.DUMMYFUNCTION("""COMPUTED_VALUE"""),78.0)</f>
        <v>78</v>
      </c>
      <c r="D83" t="str">
        <f>IFERROR(__xludf.DUMMYFUNCTION("""COMPUTED_VALUE"""),"Jrue Holiday")</f>
        <v>Jrue Holiday</v>
      </c>
      <c r="E83">
        <f>IFERROR(__xludf.DUMMYFUNCTION("""COMPUTED_VALUE"""),61.0)</f>
        <v>61</v>
      </c>
      <c r="F83" t="str">
        <f>IFERROR(__xludf.DUMMYFUNCTION("""COMPUTED_VALUE"""),"G")</f>
        <v>G</v>
      </c>
      <c r="G83" s="18">
        <f>IFERROR(__xludf.DUMMYFUNCTION("""COMPUTED_VALUE"""),0.79143243716743)</f>
        <v>0.7914324372</v>
      </c>
      <c r="H83" s="18">
        <f>IFERROR(__xludf.DUMMYFUNCTION("""COMPUTED_VALUE"""),0.7825349208329576)</f>
        <v>0.7825349208</v>
      </c>
      <c r="I83" s="18">
        <f>IFERROR(__xludf.DUMMYFUNCTION("""COMPUTED_VALUE"""),-0.008897516334472333)</f>
        <v>-0.008897516334</v>
      </c>
      <c r="J83" s="18">
        <f>IFERROR(__xludf.DUMMYFUNCTION("""COMPUTED_VALUE"""),12.25689)</f>
        <v>12.25689</v>
      </c>
      <c r="K83" s="18">
        <f>IFERROR(__xludf.DUMMYFUNCTION("""COMPUTED_VALUE"""),2.04459)</f>
        <v>2.04459</v>
      </c>
      <c r="L83" s="18">
        <f>IFERROR(__xludf.DUMMYFUNCTION("""COMPUTED_VALUE"""),4.611311)</f>
        <v>4.611311</v>
      </c>
      <c r="M83" s="18">
        <f>IFERROR(__xludf.DUMMYFUNCTION("""COMPUTED_VALUE"""),5.27)</f>
        <v>5.27</v>
      </c>
      <c r="N83" s="18">
        <f>IFERROR(__xludf.DUMMYFUNCTION("""COMPUTED_VALUE"""),1.187541)</f>
        <v>1.187541</v>
      </c>
      <c r="O83" s="18">
        <f>IFERROR(__xludf.DUMMYFUNCTION("""COMPUTED_VALUE"""),0.526557)</f>
        <v>0.526557</v>
      </c>
      <c r="P83" s="25">
        <f>IFERROR(__xludf.DUMMYFUNCTION("""COMPUTED_VALUE"""),0.436481)</f>
        <v>0.436481</v>
      </c>
      <c r="Q83" s="25">
        <f>IFERROR(__xludf.DUMMYFUNCTION("""COMPUTED_VALUE"""),0.869939)</f>
        <v>0.869939</v>
      </c>
      <c r="R83" s="18">
        <f>IFERROR(__xludf.DUMMYFUNCTION("""COMPUTED_VALUE"""),1.712787)</f>
        <v>1.712787</v>
      </c>
      <c r="S83" s="18">
        <f>IFERROR(__xludf.DUMMYFUNCTION("""COMPUTED_VALUE"""),-0.8627773406774052)</f>
        <v>-0.8627773407</v>
      </c>
      <c r="T83" s="18">
        <f>IFERROR(__xludf.DUMMYFUNCTION("""COMPUTED_VALUE"""),0.265639292155551)</f>
        <v>0.2656392922</v>
      </c>
      <c r="U83" s="18">
        <f>IFERROR(__xludf.DUMMYFUNCTION("""COMPUTED_VALUE"""),-0.6141855508865462)</f>
        <v>-0.6141855509</v>
      </c>
      <c r="V83" s="18">
        <f>IFERROR(__xludf.DUMMYFUNCTION("""COMPUTED_VALUE"""),0.7000909345686452)</f>
        <v>0.7000909346</v>
      </c>
      <c r="W83" s="18">
        <f>IFERROR(__xludf.DUMMYFUNCTION("""COMPUTED_VALUE"""),0.43378320538880666)</f>
        <v>0.4337832054</v>
      </c>
      <c r="X83" s="18">
        <f>IFERROR(__xludf.DUMMYFUNCTION("""COMPUTED_VALUE"""),-0.37026184400666684)</f>
        <v>-0.370261844</v>
      </c>
      <c r="Y83" s="18">
        <f>IFERROR(__xludf.DUMMYFUNCTION("""COMPUTED_VALUE"""),-0.7696839737865523)</f>
        <v>-0.7696839738</v>
      </c>
      <c r="Z83" s="18">
        <f>IFERROR(__xludf.DUMMYFUNCTION("""COMPUTED_VALUE"""),1.13715285739972)</f>
        <v>1.137152857</v>
      </c>
      <c r="AA83" s="18">
        <f>IFERROR(__xludf.DUMMYFUNCTION("""COMPUTED_VALUE"""),0.0)</f>
        <v>0</v>
      </c>
      <c r="AB83" t="str">
        <f>IFERROR(__xludf.DUMMYFUNCTION("SUBSTITUTE(REGEXREPLACE(REGEXREPLACE(REGEXREPLACE(REGEXREPLACE(REGEXREPLACE(REGEXREPLACE(F83,"","",),IF(Projections!$T$11="""",""PG"",),),IF(Projections!$U$11="""",""SG"",),),IF(Projections!$V$11="""",""SF"",),),IF(Projections!$W$11="""",""PF"",),),IF(Pro"&amp;"jections!$X$11="""",""C"",),),""/"","""")"),"G")</f>
        <v>G</v>
      </c>
    </row>
    <row r="84">
      <c r="A84" t="str">
        <f>IF(Projections!$AB$11,Draft!J10,"")</f>
        <v/>
      </c>
      <c r="B84">
        <f>IFERROR(__xludf.DUMMYFUNCTION("""COMPUTED_VALUE"""),79.0)</f>
        <v>79</v>
      </c>
      <c r="D84" t="str">
        <f>IFERROR(__xludf.DUMMYFUNCTION("""COMPUTED_VALUE"""),"Kyrie Irving")</f>
        <v>Kyrie Irving</v>
      </c>
      <c r="E84">
        <f>IFERROR(__xludf.DUMMYFUNCTION("""COMPUTED_VALUE"""),10.0)</f>
        <v>10</v>
      </c>
      <c r="F84" t="str">
        <f>IFERROR(__xludf.DUMMYFUNCTION("""COMPUTED_VALUE"""),"G")</f>
        <v>G</v>
      </c>
      <c r="G84" s="18">
        <f>IFERROR(__xludf.DUMMYFUNCTION("""COMPUTED_VALUE"""),0.7865551622523133)</f>
        <v>0.7865551623</v>
      </c>
      <c r="H84" s="18">
        <f>IFERROR(__xludf.DUMMYFUNCTION("""COMPUTED_VALUE"""),0.7861418586943802)</f>
        <v>0.7861418587</v>
      </c>
      <c r="I84" s="18">
        <f>IFERROR(__xludf.DUMMYFUNCTION("""COMPUTED_VALUE"""),-4.133035579330091E-4)</f>
        <v>-0.0004133035579</v>
      </c>
      <c r="J84" s="18">
        <f>IFERROR(__xludf.DUMMYFUNCTION("""COMPUTED_VALUE"""),18.409)</f>
        <v>18.409</v>
      </c>
      <c r="K84" s="18">
        <f>IFERROR(__xludf.DUMMYFUNCTION("""COMPUTED_VALUE"""),2.257)</f>
        <v>2.257</v>
      </c>
      <c r="L84" s="18">
        <f>IFERROR(__xludf.DUMMYFUNCTION("""COMPUTED_VALUE"""),3.653)</f>
        <v>3.653</v>
      </c>
      <c r="M84" s="18">
        <f>IFERROR(__xludf.DUMMYFUNCTION("""COMPUTED_VALUE"""),3.067)</f>
        <v>3.067</v>
      </c>
      <c r="N84" s="18">
        <f>IFERROR(__xludf.DUMMYFUNCTION("""COMPUTED_VALUE"""),1.021)</f>
        <v>1.021</v>
      </c>
      <c r="O84" s="18">
        <f>IFERROR(__xludf.DUMMYFUNCTION("""COMPUTED_VALUE"""),0.424)</f>
        <v>0.424</v>
      </c>
      <c r="P84" s="25">
        <f>IFERROR(__xludf.DUMMYFUNCTION("""COMPUTED_VALUE"""),0.453499)</f>
        <v>0.453499</v>
      </c>
      <c r="Q84" s="25">
        <f>IFERROR(__xludf.DUMMYFUNCTION("""COMPUTED_VALUE"""),0.904008)</f>
        <v>0.904008</v>
      </c>
      <c r="R84" s="18">
        <f>IFERROR(__xludf.DUMMYFUNCTION("""COMPUTED_VALUE"""),1.747)</f>
        <v>1.747</v>
      </c>
      <c r="S84" s="18">
        <f>IFERROR(__xludf.DUMMYFUNCTION("""COMPUTED_VALUE"""),0.21656490668051748)</f>
        <v>0.2165649067</v>
      </c>
      <c r="T84" s="18">
        <f>IFERROR(__xludf.DUMMYFUNCTION("""COMPUTED_VALUE"""),0.4707919731019814)</f>
        <v>0.4707919731</v>
      </c>
      <c r="U84" s="18">
        <f>IFERROR(__xludf.DUMMYFUNCTION("""COMPUTED_VALUE"""),-1.0026403706550235)</f>
        <v>-1.002640371</v>
      </c>
      <c r="V84" s="18">
        <f>IFERROR(__xludf.DUMMYFUNCTION("""COMPUTED_VALUE"""),-0.37610650250545336)</f>
        <v>-0.3761065025</v>
      </c>
      <c r="W84" s="18">
        <f>IFERROR(__xludf.DUMMYFUNCTION("""COMPUTED_VALUE"""),-0.0737055324108665)</f>
        <v>-0.07370553241</v>
      </c>
      <c r="X84" s="18">
        <f>IFERROR(__xludf.DUMMYFUNCTION("""COMPUTED_VALUE"""),-0.5567096726230032)</f>
        <v>-0.5567096726</v>
      </c>
      <c r="Y84" s="18">
        <f>IFERROR(__xludf.DUMMYFUNCTION("""COMPUTED_VALUE"""),-0.5678566851548554)</f>
        <v>-0.5678566852</v>
      </c>
      <c r="Z84" s="18">
        <f>IFERROR(__xludf.DUMMYFUNCTION("""COMPUTED_VALUE"""),1.6731633716060599)</f>
        <v>1.673163372</v>
      </c>
      <c r="AA84" s="18">
        <f>IFERROR(__xludf.DUMMYFUNCTION("""COMPUTED_VALUE"""),0.0)</f>
        <v>0</v>
      </c>
      <c r="AB84" t="str">
        <f>IFERROR(__xludf.DUMMYFUNCTION("SUBSTITUTE(REGEXREPLACE(REGEXREPLACE(REGEXREPLACE(REGEXREPLACE(REGEXREPLACE(REGEXREPLACE(F84,"","",),IF(Projections!$T$11="""",""PG"",),),IF(Projections!$U$11="""",""SG"",),),IF(Projections!$V$11="""",""SF"",),),IF(Projections!$W$11="""",""PF"",),),IF(Pro"&amp;"jections!$X$11="""",""C"",),),""/"","""")"),"G")</f>
        <v>G</v>
      </c>
    </row>
    <row r="85">
      <c r="A85" t="str">
        <f>IF(Projections!$AB$11,Draft!J11,"")</f>
        <v/>
      </c>
      <c r="B85">
        <f>IFERROR(__xludf.DUMMYFUNCTION("""COMPUTED_VALUE"""),80.0)</f>
        <v>80</v>
      </c>
      <c r="D85" t="str">
        <f>IFERROR(__xludf.DUMMYFUNCTION("""COMPUTED_VALUE"""),"Robert Williams")</f>
        <v>Robert Williams</v>
      </c>
      <c r="E85">
        <f>IFERROR(__xludf.DUMMYFUNCTION("""COMPUTED_VALUE"""),44.0)</f>
        <v>44</v>
      </c>
      <c r="F85" t="str">
        <f>IFERROR(__xludf.DUMMYFUNCTION("""COMPUTED_VALUE"""),"C")</f>
        <v>C</v>
      </c>
      <c r="G85" s="18">
        <f>IFERROR(__xludf.DUMMYFUNCTION("""COMPUTED_VALUE"""),0.6943480104956483)</f>
        <v>0.6943480105</v>
      </c>
      <c r="H85" s="18">
        <f>IFERROR(__xludf.DUMMYFUNCTION("""COMPUTED_VALUE"""),0.4835555911642959)</f>
        <v>0.4835555912</v>
      </c>
      <c r="I85" s="18">
        <f>IFERROR(__xludf.DUMMYFUNCTION("""COMPUTED_VALUE"""),-0.2107924193313524)</f>
        <v>-0.2107924193</v>
      </c>
      <c r="J85" s="18">
        <f>IFERROR(__xludf.DUMMYFUNCTION("""COMPUTED_VALUE"""),6.698636)</f>
        <v>6.698636</v>
      </c>
      <c r="K85" s="18">
        <f>IFERROR(__xludf.DUMMYFUNCTION("""COMPUTED_VALUE"""),0.025227)</f>
        <v>0.025227</v>
      </c>
      <c r="L85" s="18">
        <f>IFERROR(__xludf.DUMMYFUNCTION("""COMPUTED_VALUE"""),7.14)</f>
        <v>7.14</v>
      </c>
      <c r="M85" s="18">
        <f>IFERROR(__xludf.DUMMYFUNCTION("""COMPUTED_VALUE"""),1.2925)</f>
        <v>1.2925</v>
      </c>
      <c r="N85" s="18">
        <f>IFERROR(__xludf.DUMMYFUNCTION("""COMPUTED_VALUE"""),0.748636)</f>
        <v>0.748636</v>
      </c>
      <c r="O85" s="18">
        <f>IFERROR(__xludf.DUMMYFUNCTION("""COMPUTED_VALUE"""),1.529318)</f>
        <v>1.529318</v>
      </c>
      <c r="P85" s="25">
        <f>IFERROR(__xludf.DUMMYFUNCTION("""COMPUTED_VALUE"""),0.643746)</f>
        <v>0.643746</v>
      </c>
      <c r="Q85" s="25">
        <f>IFERROR(__xludf.DUMMYFUNCTION("""COMPUTED_VALUE"""),0.752938)</f>
        <v>0.752938</v>
      </c>
      <c r="R85" s="18">
        <f>IFERROR(__xludf.DUMMYFUNCTION("""COMPUTED_VALUE"""),0.898636)</f>
        <v>0.898636</v>
      </c>
      <c r="S85" s="18">
        <f>IFERROR(__xludf.DUMMYFUNCTION("""COMPUTED_VALUE"""),-1.8379319402775691)</f>
        <v>-1.83793194</v>
      </c>
      <c r="T85" s="18">
        <f>IFERROR(__xludf.DUMMYFUNCTION("""COMPUTED_VALUE"""),-1.684729020325152)</f>
        <v>-1.68472902</v>
      </c>
      <c r="U85" s="18">
        <f>IFERROR(__xludf.DUMMYFUNCTION("""COMPUTED_VALUE"""),0.41082765437305263)</f>
        <v>0.4108276544</v>
      </c>
      <c r="V85" s="18">
        <f>IFERROR(__xludf.DUMMYFUNCTION("""COMPUTED_VALUE"""),-1.2429754775794382)</f>
        <v>-1.242975478</v>
      </c>
      <c r="W85" s="18">
        <f>IFERROR(__xludf.DUMMYFUNCTION("""COMPUTED_VALUE"""),-0.9036612945479385)</f>
        <v>-0.9036612945</v>
      </c>
      <c r="X85" s="18">
        <f>IFERROR(__xludf.DUMMYFUNCTION("""COMPUTED_VALUE"""),1.4527498574973354)</f>
        <v>1.452749857</v>
      </c>
      <c r="Y85" s="18">
        <f>IFERROR(__xludf.DUMMYFUNCTION("""COMPUTED_VALUE"""),2.872919382368157)</f>
        <v>2.872919382</v>
      </c>
      <c r="Z85" s="18">
        <f>IFERROR(__xludf.DUMMYFUNCTION("""COMPUTED_VALUE"""),-0.42157551062172016)</f>
        <v>-0.4215755106</v>
      </c>
      <c r="AA85" s="18">
        <f>IFERROR(__xludf.DUMMYFUNCTION("""COMPUTED_VALUE"""),0.0)</f>
        <v>0</v>
      </c>
      <c r="AB85" t="str">
        <f>IFERROR(__xludf.DUMMYFUNCTION("SUBSTITUTE(REGEXREPLACE(REGEXREPLACE(REGEXREPLACE(REGEXREPLACE(REGEXREPLACE(REGEXREPLACE(F85,"","",),IF(Projections!$T$11="""",""PG"",),),IF(Projections!$U$11="""",""SG"",),),IF(Projections!$V$11="""",""SF"",),),IF(Projections!$W$11="""",""PF"",),),IF(Pro"&amp;"jections!$X$11="""",""C"",),),""/"","""")"),"C")</f>
        <v>C</v>
      </c>
    </row>
    <row r="86">
      <c r="A86" t="str">
        <f>IF(Projections!$AB$11,Draft!J12,"")</f>
        <v/>
      </c>
      <c r="B86">
        <f>IFERROR(__xludf.DUMMYFUNCTION("""COMPUTED_VALUE"""),81.0)</f>
        <v>81</v>
      </c>
      <c r="D86" t="str">
        <f>IFERROR(__xludf.DUMMYFUNCTION("""COMPUTED_VALUE"""),"Mitchell Robinson")</f>
        <v>Mitchell Robinson</v>
      </c>
      <c r="E86">
        <f>IFERROR(__xludf.DUMMYFUNCTION("""COMPUTED_VALUE"""),68.0)</f>
        <v>68</v>
      </c>
      <c r="F86" t="str">
        <f>IFERROR(__xludf.DUMMYFUNCTION("""COMPUTED_VALUE"""),"C")</f>
        <v>C</v>
      </c>
      <c r="G86" s="18">
        <f>IFERROR(__xludf.DUMMYFUNCTION("""COMPUTED_VALUE"""),0.6707148554946181)</f>
        <v>0.6707148555</v>
      </c>
      <c r="H86" s="18">
        <f>IFERROR(__xludf.DUMMYFUNCTION("""COMPUTED_VALUE"""),0.41981777340136084)</f>
        <v>0.4198177734</v>
      </c>
      <c r="I86" s="18">
        <f>IFERROR(__xludf.DUMMYFUNCTION("""COMPUTED_VALUE"""),-0.25089708209325723)</f>
        <v>-0.2508970821</v>
      </c>
      <c r="J86" s="18">
        <f>IFERROR(__xludf.DUMMYFUNCTION("""COMPUTED_VALUE"""),7.251618)</f>
        <v>7.251618</v>
      </c>
      <c r="K86" s="18">
        <f>IFERROR(__xludf.DUMMYFUNCTION("""COMPUTED_VALUE"""),0.0)</f>
        <v>0</v>
      </c>
      <c r="L86" s="18">
        <f>IFERROR(__xludf.DUMMYFUNCTION("""COMPUTED_VALUE"""),8.464559)</f>
        <v>8.464559</v>
      </c>
      <c r="M86" s="18">
        <f>IFERROR(__xludf.DUMMYFUNCTION("""COMPUTED_VALUE"""),0.770588)</f>
        <v>0.770588</v>
      </c>
      <c r="N86" s="18">
        <f>IFERROR(__xludf.DUMMYFUNCTION("""COMPUTED_VALUE"""),0.99)</f>
        <v>0.99</v>
      </c>
      <c r="O86" s="18">
        <f>IFERROR(__xludf.DUMMYFUNCTION("""COMPUTED_VALUE"""),1.485)</f>
        <v>1.485</v>
      </c>
      <c r="P86" s="25">
        <f>IFERROR(__xludf.DUMMYFUNCTION("""COMPUTED_VALUE"""),0.657908)</f>
        <v>0.657908</v>
      </c>
      <c r="Q86" s="25">
        <f>IFERROR(__xludf.DUMMYFUNCTION("""COMPUTED_VALUE"""),0.51302)</f>
        <v>0.51302</v>
      </c>
      <c r="R86" s="18">
        <f>IFERROR(__xludf.DUMMYFUNCTION("""COMPUTED_VALUE"""),0.736912)</f>
        <v>0.736912</v>
      </c>
      <c r="S86" s="18">
        <f>IFERROR(__xludf.DUMMYFUNCTION("""COMPUTED_VALUE"""),-1.7409153338403502)</f>
        <v>-1.740915334</v>
      </c>
      <c r="T86" s="18">
        <f>IFERROR(__xludf.DUMMYFUNCTION("""COMPUTED_VALUE"""),-1.7090941005108098)</f>
        <v>-1.709094101</v>
      </c>
      <c r="U86" s="18">
        <f>IFERROR(__xludf.DUMMYFUNCTION("""COMPUTED_VALUE"""),0.9477424217269854)</f>
        <v>0.9477424217</v>
      </c>
      <c r="V86" s="18">
        <f>IFERROR(__xludf.DUMMYFUNCTION("""COMPUTED_VALUE"""),-1.49793705578108)</f>
        <v>-1.497937056</v>
      </c>
      <c r="W86" s="18">
        <f>IFERROR(__xludf.DUMMYFUNCTION("""COMPUTED_VALUE"""),-0.16816966359651941)</f>
        <v>-0.1681696636</v>
      </c>
      <c r="X86" s="18">
        <f>IFERROR(__xludf.DUMMYFUNCTION("""COMPUTED_VALUE"""),1.3721800780710771)</f>
        <v>1.372180078</v>
      </c>
      <c r="Y86" s="18">
        <f>IFERROR(__xludf.DUMMYFUNCTION("""COMPUTED_VALUE"""),3.2160114273320586)</f>
        <v>3.216011427</v>
      </c>
      <c r="Z86" s="18">
        <f>IFERROR(__xludf.DUMMYFUNCTION("""COMPUTED_VALUE"""),-2.2513655890760775)</f>
        <v>-2.251365589</v>
      </c>
      <c r="AA86" s="18">
        <f>IFERROR(__xludf.DUMMYFUNCTION("""COMPUTED_VALUE"""),0.0)</f>
        <v>0</v>
      </c>
      <c r="AB86" t="str">
        <f>IFERROR(__xludf.DUMMYFUNCTION("SUBSTITUTE(REGEXREPLACE(REGEXREPLACE(REGEXREPLACE(REGEXREPLACE(REGEXREPLACE(REGEXREPLACE(F86,"","",),IF(Projections!$T$11="""",""PG"",),),IF(Projections!$U$11="""",""SG"",),),IF(Projections!$V$11="""",""SF"",),),IF(Projections!$W$11="""",""PF"",),),IF(Pro"&amp;"jections!$X$11="""",""C"",),),""/"","""")"),"C")</f>
        <v>C</v>
      </c>
    </row>
    <row r="87">
      <c r="A87" t="str">
        <f>IF(Projections!$AB$11,Draft!J13,"")</f>
        <v/>
      </c>
      <c r="B87">
        <f>IFERROR(__xludf.DUMMYFUNCTION("""COMPUTED_VALUE"""),82.0)</f>
        <v>82</v>
      </c>
      <c r="D87" t="str">
        <f>IFERROR(__xludf.DUMMYFUNCTION("""COMPUTED_VALUE"""),"Pascal Siakam")</f>
        <v>Pascal Siakam</v>
      </c>
      <c r="E87">
        <f>IFERROR(__xludf.DUMMYFUNCTION("""COMPUTED_VALUE"""),73.0)</f>
        <v>73</v>
      </c>
      <c r="F87" t="str">
        <f>IFERROR(__xludf.DUMMYFUNCTION("""COMPUTED_VALUE"""),"F")</f>
        <v>F</v>
      </c>
      <c r="G87" s="18">
        <f>IFERROR(__xludf.DUMMYFUNCTION("""COMPUTED_VALUE"""),0.637664126094064)</f>
        <v>0.6376641261</v>
      </c>
      <c r="H87" s="18">
        <f>IFERROR(__xludf.DUMMYFUNCTION("""COMPUTED_VALUE"""),0.7550559755644793)</f>
        <v>0.7550559756</v>
      </c>
      <c r="I87" s="18">
        <f>IFERROR(__xludf.DUMMYFUNCTION("""COMPUTED_VALUE"""),0.11739184947041537)</f>
        <v>0.1173918495</v>
      </c>
      <c r="J87" s="18">
        <f>IFERROR(__xludf.DUMMYFUNCTION("""COMPUTED_VALUE"""),22.26479)</f>
        <v>22.26479</v>
      </c>
      <c r="K87" s="18">
        <f>IFERROR(__xludf.DUMMYFUNCTION("""COMPUTED_VALUE"""),1.548082)</f>
        <v>1.548082</v>
      </c>
      <c r="L87" s="18">
        <f>IFERROR(__xludf.DUMMYFUNCTION("""COMPUTED_VALUE"""),6.943699)</f>
        <v>6.943699</v>
      </c>
      <c r="M87" s="18">
        <f>IFERROR(__xludf.DUMMYFUNCTION("""COMPUTED_VALUE"""),5.138356)</f>
        <v>5.138356</v>
      </c>
      <c r="N87" s="18">
        <f>IFERROR(__xludf.DUMMYFUNCTION("""COMPUTED_VALUE"""),0.908082)</f>
        <v>0.908082</v>
      </c>
      <c r="O87" s="18">
        <f>IFERROR(__xludf.DUMMYFUNCTION("""COMPUTED_VALUE"""),0.486027)</f>
        <v>0.486027</v>
      </c>
      <c r="P87" s="25">
        <f>IFERROR(__xludf.DUMMYFUNCTION("""COMPUTED_VALUE"""),0.4932)</f>
        <v>0.4932</v>
      </c>
      <c r="Q87" s="25">
        <f>IFERROR(__xludf.DUMMYFUNCTION("""COMPUTED_VALUE"""),0.722999)</f>
        <v>0.722999</v>
      </c>
      <c r="R87" s="18">
        <f>IFERROR(__xludf.DUMMYFUNCTION("""COMPUTED_VALUE"""),2.222055)</f>
        <v>2.222055</v>
      </c>
      <c r="S87" s="18">
        <f>IFERROR(__xludf.DUMMYFUNCTION("""COMPUTED_VALUE"""),0.8930347753825089)</f>
        <v>0.8930347754</v>
      </c>
      <c r="T87" s="18">
        <f>IFERROR(__xludf.DUMMYFUNCTION("""COMPUTED_VALUE"""),-0.2139047373691896)</f>
        <v>-0.2139047374</v>
      </c>
      <c r="U87" s="18">
        <f>IFERROR(__xludf.DUMMYFUNCTION("""COMPUTED_VALUE"""),0.3312563361106389)</f>
        <v>0.3312563361</v>
      </c>
      <c r="V87" s="18">
        <f>IFERROR(__xludf.DUMMYFUNCTION("""COMPUTED_VALUE"""),0.635780932114636)</f>
        <v>0.6357809321</v>
      </c>
      <c r="W87" s="18">
        <f>IFERROR(__xludf.DUMMYFUNCTION("""COMPUTED_VALUE"""),-0.41779265386962716)</f>
        <v>-0.4177926539</v>
      </c>
      <c r="X87" s="18">
        <f>IFERROR(__xludf.DUMMYFUNCTION("""COMPUTED_VALUE"""),-0.44394506888473584)</f>
        <v>-0.4439450689</v>
      </c>
      <c r="Y87" s="18">
        <f>IFERROR(__xludf.DUMMYFUNCTION("""COMPUTED_VALUE"""),-0.0293736079197517)</f>
        <v>-0.02937360792</v>
      </c>
      <c r="Z87" s="18">
        <f>IFERROR(__xludf.DUMMYFUNCTION("""COMPUTED_VALUE"""),-0.7502315081756625)</f>
        <v>-0.7502315082</v>
      </c>
      <c r="AA87" s="18">
        <f>IFERROR(__xludf.DUMMYFUNCTION("""COMPUTED_VALUE"""),0.0)</f>
        <v>0</v>
      </c>
      <c r="AB87" t="str">
        <f>IFERROR(__xludf.DUMMYFUNCTION("SUBSTITUTE(REGEXREPLACE(REGEXREPLACE(REGEXREPLACE(REGEXREPLACE(REGEXREPLACE(REGEXREPLACE(F87,"","",),IF(Projections!$T$11="""",""PG"",),),IF(Projections!$U$11="""",""SG"",),),IF(Projections!$V$11="""",""SF"",),),IF(Projections!$W$11="""",""PF"",),),IF(Pro"&amp;"jections!$X$11="""",""C"",),),""/"","""")"),"F")</f>
        <v>F</v>
      </c>
    </row>
    <row r="88">
      <c r="A88" t="str">
        <f>IF(Projections!$AB$11,Draft!J14,"")</f>
        <v/>
      </c>
      <c r="B88">
        <f>IFERROR(__xludf.DUMMYFUNCTION("""COMPUTED_VALUE"""),83.0)</f>
        <v>83</v>
      </c>
      <c r="D88" t="str">
        <f>IFERROR(__xludf.DUMMYFUNCTION("""COMPUTED_VALUE"""),"Shaedon Sharpe")</f>
        <v>Shaedon Sharpe</v>
      </c>
      <c r="E88">
        <f>IFERROR(__xludf.DUMMYFUNCTION("""COMPUTED_VALUE"""),68.0)</f>
        <v>68</v>
      </c>
      <c r="F88" t="str">
        <f>IFERROR(__xludf.DUMMYFUNCTION("""COMPUTED_VALUE"""),"G,F")</f>
        <v>G,F</v>
      </c>
      <c r="G88" s="18">
        <f>IFERROR(__xludf.DUMMYFUNCTION("""COMPUTED_VALUE"""),0.6281207082759439)</f>
        <v>0.6281207083</v>
      </c>
      <c r="H88" s="18">
        <f>IFERROR(__xludf.DUMMYFUNCTION("""COMPUTED_VALUE"""),0.7499990505284349)</f>
        <v>0.7499990505</v>
      </c>
      <c r="I88" s="18">
        <f>IFERROR(__xludf.DUMMYFUNCTION("""COMPUTED_VALUE"""),0.12187834225249095)</f>
        <v>0.1218783423</v>
      </c>
      <c r="J88" s="18">
        <f>IFERROR(__xludf.DUMMYFUNCTION("""COMPUTED_VALUE"""),23.31574)</f>
        <v>23.31574</v>
      </c>
      <c r="K88" s="18">
        <f>IFERROR(__xludf.DUMMYFUNCTION("""COMPUTED_VALUE"""),2.597206)</f>
        <v>2.597206</v>
      </c>
      <c r="L88" s="18">
        <f>IFERROR(__xludf.DUMMYFUNCTION("""COMPUTED_VALUE"""),5.329559)</f>
        <v>5.329559</v>
      </c>
      <c r="M88" s="18">
        <f>IFERROR(__xludf.DUMMYFUNCTION("""COMPUTED_VALUE"""),3.366029)</f>
        <v>3.366029</v>
      </c>
      <c r="N88" s="18">
        <f>IFERROR(__xludf.DUMMYFUNCTION("""COMPUTED_VALUE"""),0.984559)</f>
        <v>0.984559</v>
      </c>
      <c r="O88" s="18">
        <f>IFERROR(__xludf.DUMMYFUNCTION("""COMPUTED_VALUE"""),0.21)</f>
        <v>0.21</v>
      </c>
      <c r="P88" s="25">
        <f>IFERROR(__xludf.DUMMYFUNCTION("""COMPUTED_VALUE"""),0.467503)</f>
        <v>0.467503</v>
      </c>
      <c r="Q88" s="25">
        <f>IFERROR(__xludf.DUMMYFUNCTION("""COMPUTED_VALUE"""),0.788005)</f>
        <v>0.788005</v>
      </c>
      <c r="R88" s="18">
        <f>IFERROR(__xludf.DUMMYFUNCTION("""COMPUTED_VALUE"""),2.240147)</f>
        <v>2.240147</v>
      </c>
      <c r="S88" s="18">
        <f>IFERROR(__xludf.DUMMYFUNCTION("""COMPUTED_VALUE"""),1.077416188403539)</f>
        <v>1.077416188</v>
      </c>
      <c r="T88" s="18">
        <f>IFERROR(__xludf.DUMMYFUNCTION("""COMPUTED_VALUE"""),0.7993743043201971)</f>
        <v>0.7993743043</v>
      </c>
      <c r="U88" s="18">
        <f>IFERROR(__xludf.DUMMYFUNCTION("""COMPUTED_VALUE"""),-0.32304113389762573)</f>
        <v>-0.3230411339</v>
      </c>
      <c r="V88" s="18">
        <f>IFERROR(__xludf.DUMMYFUNCTION("""COMPUTED_VALUE"""),-0.23002650095718702)</f>
        <v>-0.230026501</v>
      </c>
      <c r="W88" s="18">
        <f>IFERROR(__xludf.DUMMYFUNCTION("""COMPUTED_VALUE"""),-0.18474964223462076)</f>
        <v>-0.1847496422</v>
      </c>
      <c r="X88" s="18">
        <f>IFERROR(__xludf.DUMMYFUNCTION("""COMPUTED_VALUE"""),-0.9457600087667669)</f>
        <v>-0.9457600088</v>
      </c>
      <c r="Y88" s="18">
        <f>IFERROR(__xludf.DUMMYFUNCTION("""COMPUTED_VALUE"""),-0.388724085271329)</f>
        <v>-0.3887240853</v>
      </c>
      <c r="Z88" s="18">
        <f>IFERROR(__xludf.DUMMYFUNCTION("""COMPUTED_VALUE"""),-2.5007983453858933E-4)</f>
        <v>-0.0002500798345</v>
      </c>
      <c r="AA88" s="18">
        <f>IFERROR(__xludf.DUMMYFUNCTION("""COMPUTED_VALUE"""),0.0)</f>
        <v>0</v>
      </c>
      <c r="AB88" t="str">
        <f>IFERROR(__xludf.DUMMYFUNCTION("SUBSTITUTE(REGEXREPLACE(REGEXREPLACE(REGEXREPLACE(REGEXREPLACE(REGEXREPLACE(REGEXREPLACE(F88,"","",),IF(Projections!$T$11="""",""PG"",),),IF(Projections!$U$11="""",""SG"",),),IF(Projections!$V$11="""",""SF"",),),IF(Projections!$W$11="""",""PF"",),),IF(Pro"&amp;"jections!$X$11="""",""C"",),),""/"","""")"),"GF")</f>
        <v>GF</v>
      </c>
    </row>
    <row r="89">
      <c r="A89" t="str">
        <f>IF(Projections!$AB$11,Draft!K3,"")</f>
        <v/>
      </c>
      <c r="B89">
        <f>IFERROR(__xludf.DUMMYFUNCTION("""COMPUTED_VALUE"""),84.0)</f>
        <v>84</v>
      </c>
      <c r="D89" t="str">
        <f>IFERROR(__xludf.DUMMYFUNCTION("""COMPUTED_VALUE"""),"Toumani Camara")</f>
        <v>Toumani Camara</v>
      </c>
      <c r="E89">
        <f>IFERROR(__xludf.DUMMYFUNCTION("""COMPUTED_VALUE"""),73.0)</f>
        <v>73</v>
      </c>
      <c r="F89" t="str">
        <f>IFERROR(__xludf.DUMMYFUNCTION("""COMPUTED_VALUE"""),"F")</f>
        <v>F</v>
      </c>
      <c r="G89" s="18">
        <f>IFERROR(__xludf.DUMMYFUNCTION("""COMPUTED_VALUE"""),0.6235022803650957)</f>
        <v>0.6235022804</v>
      </c>
      <c r="H89" s="18">
        <f>IFERROR(__xludf.DUMMYFUNCTION("""COMPUTED_VALUE"""),0.46811378159965783)</f>
        <v>0.4681137816</v>
      </c>
      <c r="I89" s="18">
        <f>IFERROR(__xludf.DUMMYFUNCTION("""COMPUTED_VALUE"""),-0.15538849876543787)</f>
        <v>-0.1553884988</v>
      </c>
      <c r="J89" s="18">
        <f>IFERROR(__xludf.DUMMYFUNCTION("""COMPUTED_VALUE"""),14.79849)</f>
        <v>14.79849</v>
      </c>
      <c r="K89" s="18">
        <f>IFERROR(__xludf.DUMMYFUNCTION("""COMPUTED_VALUE"""),2.506986)</f>
        <v>2.506986</v>
      </c>
      <c r="L89" s="18">
        <f>IFERROR(__xludf.DUMMYFUNCTION("""COMPUTED_VALUE"""),5.820411)</f>
        <v>5.820411</v>
      </c>
      <c r="M89" s="18">
        <f>IFERROR(__xludf.DUMMYFUNCTION("""COMPUTED_VALUE"""),2.363425)</f>
        <v>2.363425</v>
      </c>
      <c r="N89" s="18">
        <f>IFERROR(__xludf.DUMMYFUNCTION("""COMPUTED_VALUE"""),1.536986)</f>
        <v>1.536986</v>
      </c>
      <c r="O89" s="18">
        <f>IFERROR(__xludf.DUMMYFUNCTION("""COMPUTED_VALUE"""),0.703014)</f>
        <v>0.703014</v>
      </c>
      <c r="P89" s="25">
        <f>IFERROR(__xludf.DUMMYFUNCTION("""COMPUTED_VALUE"""),0.459902)</f>
        <v>0.459902</v>
      </c>
      <c r="Q89" s="25">
        <f>IFERROR(__xludf.DUMMYFUNCTION("""COMPUTED_VALUE"""),0.731026)</f>
        <v>0.731026</v>
      </c>
      <c r="R89" s="18">
        <f>IFERROR(__xludf.DUMMYFUNCTION("""COMPUTED_VALUE"""),1.122055)</f>
        <v>1.122055</v>
      </c>
      <c r="S89" s="18">
        <f>IFERROR(__xludf.DUMMYFUNCTION("""COMPUTED_VALUE"""),-0.41687239816420313)</f>
        <v>-0.4168723982</v>
      </c>
      <c r="T89" s="18">
        <f>IFERROR(__xludf.DUMMYFUNCTION("""COMPUTED_VALUE"""),0.7122368113820731)</f>
        <v>0.7122368114</v>
      </c>
      <c r="U89" s="18">
        <f>IFERROR(__xludf.DUMMYFUNCTION("""COMPUTED_VALUE"""),-0.12407250555776864)</f>
        <v>-0.1240725056</v>
      </c>
      <c r="V89" s="18">
        <f>IFERROR(__xludf.DUMMYFUNCTION("""COMPUTED_VALUE"""),-0.719813089790705)</f>
        <v>-0.7198130898</v>
      </c>
      <c r="W89" s="18">
        <f>IFERROR(__xludf.DUMMYFUNCTION("""COMPUTED_VALUE"""),1.4986225061039864)</f>
        <v>1.498622506</v>
      </c>
      <c r="X89" s="18">
        <f>IFERROR(__xludf.DUMMYFUNCTION("""COMPUTED_VALUE"""),-0.04946438996498422)</f>
        <v>-0.04946438996</v>
      </c>
      <c r="Y89" s="18">
        <f>IFERROR(__xludf.DUMMYFUNCTION("""COMPUTED_VALUE"""),-0.4874145255845845)</f>
        <v>-0.4874145256</v>
      </c>
      <c r="Z89" s="18">
        <f>IFERROR(__xludf.DUMMYFUNCTION("""COMPUTED_VALUE"""),-0.6649217166148611)</f>
        <v>-0.6649217166</v>
      </c>
      <c r="AA89" s="18">
        <f>IFERROR(__xludf.DUMMYFUNCTION("""COMPUTED_VALUE"""),0.0)</f>
        <v>0</v>
      </c>
      <c r="AB89" t="str">
        <f>IFERROR(__xludf.DUMMYFUNCTION("SUBSTITUTE(REGEXREPLACE(REGEXREPLACE(REGEXREPLACE(REGEXREPLACE(REGEXREPLACE(REGEXREPLACE(F89,"","",),IF(Projections!$T$11="""",""PG"",),),IF(Projections!$U$11="""",""SG"",),),IF(Projections!$V$11="""",""SF"",),),IF(Projections!$W$11="""",""PF"",),),IF(Pro"&amp;"jections!$X$11="""",""C"",),),""/"","""")"),"F")</f>
        <v>F</v>
      </c>
    </row>
    <row r="90">
      <c r="A90" t="str">
        <f>IF(Projections!$AB$11,Draft!K4,"")</f>
        <v/>
      </c>
      <c r="B90">
        <f>IFERROR(__xludf.DUMMYFUNCTION("""COMPUTED_VALUE"""),85.0)</f>
        <v>85</v>
      </c>
      <c r="D90" t="str">
        <f>IFERROR(__xludf.DUMMYFUNCTION("""COMPUTED_VALUE"""),"Daniel Gafford")</f>
        <v>Daniel Gafford</v>
      </c>
      <c r="E90">
        <f>IFERROR(__xludf.DUMMYFUNCTION("""COMPUTED_VALUE"""),68.0)</f>
        <v>68</v>
      </c>
      <c r="F90" t="str">
        <f>IFERROR(__xludf.DUMMYFUNCTION("""COMPUTED_VALUE"""),"C")</f>
        <v>C</v>
      </c>
      <c r="G90" s="18">
        <f>IFERROR(__xludf.DUMMYFUNCTION("""COMPUTED_VALUE"""),0.6046238204041576)</f>
        <v>0.6046238204</v>
      </c>
      <c r="H90" s="18">
        <f>IFERROR(__xludf.DUMMYFUNCTION("""COMPUTED_VALUE"""),0.41203899335327887)</f>
        <v>0.4120389934</v>
      </c>
      <c r="I90" s="18">
        <f>IFERROR(__xludf.DUMMYFUNCTION("""COMPUTED_VALUE"""),-0.19258482705087876)</f>
        <v>-0.1925848271</v>
      </c>
      <c r="J90" s="18">
        <f>IFERROR(__xludf.DUMMYFUNCTION("""COMPUTED_VALUE"""),9.703971)</f>
        <v>9.703971</v>
      </c>
      <c r="K90" s="18">
        <f>IFERROR(__xludf.DUMMYFUNCTION("""COMPUTED_VALUE"""),0.0)</f>
        <v>0</v>
      </c>
      <c r="L90" s="18">
        <f>IFERROR(__xludf.DUMMYFUNCTION("""COMPUTED_VALUE"""),6.318824)</f>
        <v>6.318824</v>
      </c>
      <c r="M90" s="18">
        <f>IFERROR(__xludf.DUMMYFUNCTION("""COMPUTED_VALUE"""),1.368382)</f>
        <v>1.368382</v>
      </c>
      <c r="N90" s="18">
        <f>IFERROR(__xludf.DUMMYFUNCTION("""COMPUTED_VALUE"""),0.48)</f>
        <v>0.48</v>
      </c>
      <c r="O90" s="18">
        <f>IFERROR(__xludf.DUMMYFUNCTION("""COMPUTED_VALUE"""),1.590735)</f>
        <v>1.590735</v>
      </c>
      <c r="P90" s="25">
        <f>IFERROR(__xludf.DUMMYFUNCTION("""COMPUTED_VALUE"""),0.694505)</f>
        <v>0.694505</v>
      </c>
      <c r="Q90" s="25">
        <f>IFERROR(__xludf.DUMMYFUNCTION("""COMPUTED_VALUE"""),0.680998)</f>
        <v>0.680998</v>
      </c>
      <c r="R90" s="18">
        <f>IFERROR(__xludf.DUMMYFUNCTION("""COMPUTED_VALUE"""),0.972059)</f>
        <v>0.972059</v>
      </c>
      <c r="S90" s="18">
        <f>IFERROR(__xludf.DUMMYFUNCTION("""COMPUTED_VALUE"""),-1.3106681181151856)</f>
        <v>-1.310668118</v>
      </c>
      <c r="T90" s="18">
        <f>IFERROR(__xludf.DUMMYFUNCTION("""COMPUTED_VALUE"""),-1.7090941005108098)</f>
        <v>-1.709094101</v>
      </c>
      <c r="U90" s="18">
        <f>IFERROR(__xludf.DUMMYFUNCTION("""COMPUTED_VALUE"""),0.07796100139901911)</f>
        <v>0.0779610014</v>
      </c>
      <c r="V90" s="18">
        <f>IFERROR(__xludf.DUMMYFUNCTION("""COMPUTED_VALUE"""),-1.2059060205117773)</f>
        <v>-1.205906021</v>
      </c>
      <c r="W90" s="18">
        <f>IFERROR(__xludf.DUMMYFUNCTION("""COMPUTED_VALUE"""),-1.7222569831024264)</f>
        <v>-1.722256983</v>
      </c>
      <c r="X90" s="18">
        <f>IFERROR(__xludf.DUMMYFUNCTION("""COMPUTED_VALUE"""),1.5644054859783707)</f>
        <v>1.564405486</v>
      </c>
      <c r="Y90" s="18">
        <f>IFERROR(__xludf.DUMMYFUNCTION("""COMPUTED_VALUE"""),4.158421975134807)</f>
        <v>4.158421975</v>
      </c>
      <c r="Z90" s="18">
        <f>IFERROR(__xludf.DUMMYFUNCTION("""COMPUTED_VALUE"""),-1.1630812300211464)</f>
        <v>-1.16308123</v>
      </c>
      <c r="AA90" s="18">
        <f>IFERROR(__xludf.DUMMYFUNCTION("""COMPUTED_VALUE"""),0.0)</f>
        <v>0</v>
      </c>
      <c r="AB90" t="str">
        <f>IFERROR(__xludf.DUMMYFUNCTION("SUBSTITUTE(REGEXREPLACE(REGEXREPLACE(REGEXREPLACE(REGEXREPLACE(REGEXREPLACE(REGEXREPLACE(F90,"","",),IF(Projections!$T$11="""",""PG"",),),IF(Projections!$U$11="""",""SG"",),),IF(Projections!$V$11="""",""SF"",),),IF(Projections!$W$11="""",""PF"",),),IF(Pro"&amp;"jections!$X$11="""",""C"",),),""/"","""")"),"C")</f>
        <v>C</v>
      </c>
    </row>
    <row r="91">
      <c r="A91" t="str">
        <f>IF(Projections!$AB$11,Draft!K5,"")</f>
        <v/>
      </c>
      <c r="B91">
        <f>IFERROR(__xludf.DUMMYFUNCTION("""COMPUTED_VALUE"""),86.0)</f>
        <v>86</v>
      </c>
      <c r="D91" t="str">
        <f>IFERROR(__xludf.DUMMYFUNCTION("""COMPUTED_VALUE"""),"Tari Eason")</f>
        <v>Tari Eason</v>
      </c>
      <c r="E91">
        <f>IFERROR(__xludf.DUMMYFUNCTION("""COMPUTED_VALUE"""),64.0)</f>
        <v>64</v>
      </c>
      <c r="F91" t="str">
        <f>IFERROR(__xludf.DUMMYFUNCTION("""COMPUTED_VALUE"""),"F")</f>
        <v>F</v>
      </c>
      <c r="G91" s="18">
        <f>IFERROR(__xludf.DUMMYFUNCTION("""COMPUTED_VALUE"""),0.5966892509348858)</f>
        <v>0.5966892509</v>
      </c>
      <c r="H91" s="18">
        <f>IFERROR(__xludf.DUMMYFUNCTION("""COMPUTED_VALUE"""),0.47361009652517616)</f>
        <v>0.4736100965</v>
      </c>
      <c r="I91" s="18">
        <f>IFERROR(__xludf.DUMMYFUNCTION("""COMPUTED_VALUE"""),-0.12307915440970962)</f>
        <v>-0.1230791544</v>
      </c>
      <c r="J91" s="18">
        <f>IFERROR(__xludf.DUMMYFUNCTION("""COMPUTED_VALUE"""),13.505)</f>
        <v>13.505</v>
      </c>
      <c r="K91" s="18">
        <f>IFERROR(__xludf.DUMMYFUNCTION("""COMPUTED_VALUE"""),1.240781)</f>
        <v>1.240781</v>
      </c>
      <c r="L91" s="18">
        <f>IFERROR(__xludf.DUMMYFUNCTION("""COMPUTED_VALUE"""),7.044688)</f>
        <v>7.044688</v>
      </c>
      <c r="M91" s="18">
        <f>IFERROR(__xludf.DUMMYFUNCTION("""COMPUTED_VALUE"""),1.57625)</f>
        <v>1.57625</v>
      </c>
      <c r="N91" s="18">
        <f>IFERROR(__xludf.DUMMYFUNCTION("""COMPUTED_VALUE"""),1.533906)</f>
        <v>1.533906</v>
      </c>
      <c r="O91" s="18">
        <f>IFERROR(__xludf.DUMMYFUNCTION("""COMPUTED_VALUE"""),0.854219)</f>
        <v>0.854219</v>
      </c>
      <c r="P91" s="25">
        <f>IFERROR(__xludf.DUMMYFUNCTION("""COMPUTED_VALUE"""),0.493378)</f>
        <v>0.493378</v>
      </c>
      <c r="Q91" s="25">
        <f>IFERROR(__xludf.DUMMYFUNCTION("""COMPUTED_VALUE"""),0.752028)</f>
        <v>0.752028</v>
      </c>
      <c r="R91" s="18">
        <f>IFERROR(__xludf.DUMMYFUNCTION("""COMPUTED_VALUE"""),1.252344)</f>
        <v>1.252344</v>
      </c>
      <c r="S91" s="18">
        <f>IFERROR(__xludf.DUMMYFUNCTION("""COMPUTED_VALUE"""),-0.6438056622857806)</f>
        <v>-0.6438056623</v>
      </c>
      <c r="T91" s="18">
        <f>IFERROR(__xludf.DUMMYFUNCTION("""COMPUTED_VALUE"""),-0.510706319251017)</f>
        <v>-0.5107063193</v>
      </c>
      <c r="U91" s="18">
        <f>IFERROR(__xludf.DUMMYFUNCTION("""COMPUTED_VALUE"""),0.3721925914532144)</f>
        <v>0.3721925915</v>
      </c>
      <c r="V91" s="18">
        <f>IFERROR(__xludf.DUMMYFUNCTION("""COMPUTED_VALUE"""),-1.1043594890321047)</f>
        <v>-1.104359489</v>
      </c>
      <c r="W91" s="18">
        <f>IFERROR(__xludf.DUMMYFUNCTION("""COMPUTED_VALUE"""),1.489237037586186)</f>
        <v>1.489237038</v>
      </c>
      <c r="X91" s="18">
        <f>IFERROR(__xludf.DUMMYFUNCTION("""COMPUTED_VALUE"""),0.2254251244117342)</f>
        <v>0.2254251244</v>
      </c>
      <c r="Y91" s="18">
        <f>IFERROR(__xludf.DUMMYFUNCTION("""COMPUTED_VALUE"""),-0.02674607495298616)</f>
        <v>-0.02674607495</v>
      </c>
      <c r="Z91" s="18">
        <f>IFERROR(__xludf.DUMMYFUNCTION("""COMPUTED_VALUE"""),-0.43198660043617504)</f>
        <v>-0.4319866004</v>
      </c>
      <c r="AA91" s="18">
        <f>IFERROR(__xludf.DUMMYFUNCTION("""COMPUTED_VALUE"""),0.0)</f>
        <v>0</v>
      </c>
      <c r="AB91" t="str">
        <f>IFERROR(__xludf.DUMMYFUNCTION("SUBSTITUTE(REGEXREPLACE(REGEXREPLACE(REGEXREPLACE(REGEXREPLACE(REGEXREPLACE(REGEXREPLACE(F91,"","",),IF(Projections!$T$11="""",""PG"",),),IF(Projections!$U$11="""",""SG"",),),IF(Projections!$V$11="""",""SF"",),),IF(Projections!$W$11="""",""PF"",),),IF(Pro"&amp;"jections!$X$11="""",""C"",),),""/"","""")"),"F")</f>
        <v>F</v>
      </c>
    </row>
    <row r="92">
      <c r="A92" t="str">
        <f>IF(Projections!$AB$11,Draft!K6,"")</f>
        <v/>
      </c>
      <c r="B92">
        <f>IFERROR(__xludf.DUMMYFUNCTION("""COMPUTED_VALUE"""),87.0)</f>
        <v>87</v>
      </c>
      <c r="D92" t="str">
        <f>IFERROR(__xludf.DUMMYFUNCTION("""COMPUTED_VALUE"""),"Matas Buzelis")</f>
        <v>Matas Buzelis</v>
      </c>
      <c r="E92">
        <f>IFERROR(__xludf.DUMMYFUNCTION("""COMPUTED_VALUE"""),73.0)</f>
        <v>73</v>
      </c>
      <c r="F92" t="str">
        <f>IFERROR(__xludf.DUMMYFUNCTION("""COMPUTED_VALUE"""),"F")</f>
        <v>F</v>
      </c>
      <c r="G92" s="18">
        <f>IFERROR(__xludf.DUMMYFUNCTION("""COMPUTED_VALUE"""),0.5837237410934454)</f>
        <v>0.5837237411</v>
      </c>
      <c r="H92" s="18">
        <f>IFERROR(__xludf.DUMMYFUNCTION("""COMPUTED_VALUE"""),0.6175488349175375)</f>
        <v>0.6175488349</v>
      </c>
      <c r="I92" s="18">
        <f>IFERROR(__xludf.DUMMYFUNCTION("""COMPUTED_VALUE"""),0.033825093824092156)</f>
        <v>0.03382509382</v>
      </c>
      <c r="J92" s="18">
        <f>IFERROR(__xludf.DUMMYFUNCTION("""COMPUTED_VALUE"""),15.55767)</f>
        <v>15.55767</v>
      </c>
      <c r="K92" s="18">
        <f>IFERROR(__xludf.DUMMYFUNCTION("""COMPUTED_VALUE"""),2.104795)</f>
        <v>2.104795</v>
      </c>
      <c r="L92" s="18">
        <f>IFERROR(__xludf.DUMMYFUNCTION("""COMPUTED_VALUE"""),5.72)</f>
        <v>5.72</v>
      </c>
      <c r="M92" s="18">
        <f>IFERROR(__xludf.DUMMYFUNCTION("""COMPUTED_VALUE"""),2.08)</f>
        <v>2.08</v>
      </c>
      <c r="N92" s="18">
        <f>IFERROR(__xludf.DUMMYFUNCTION("""COMPUTED_VALUE"""),0.78)</f>
        <v>0.78</v>
      </c>
      <c r="O92" s="18">
        <f>IFERROR(__xludf.DUMMYFUNCTION("""COMPUTED_VALUE"""),1.494932)</f>
        <v>1.494932</v>
      </c>
      <c r="P92" s="25">
        <f>IFERROR(__xludf.DUMMYFUNCTION("""COMPUTED_VALUE"""),0.479121)</f>
        <v>0.479121</v>
      </c>
      <c r="Q92" s="25">
        <f>IFERROR(__xludf.DUMMYFUNCTION("""COMPUTED_VALUE"""),0.817997)</f>
        <v>0.817997</v>
      </c>
      <c r="R92" s="18">
        <f>IFERROR(__xludf.DUMMYFUNCTION("""COMPUTED_VALUE"""),1.885068)</f>
        <v>1.885068</v>
      </c>
      <c r="S92" s="18">
        <f>IFERROR(__xludf.DUMMYFUNCTION("""COMPUTED_VALUE"""),-0.2836798760296528)</f>
        <v>-0.283679876</v>
      </c>
      <c r="T92" s="18">
        <f>IFERROR(__xludf.DUMMYFUNCTION("""COMPUTED_VALUE"""),0.32378729439828857)</f>
        <v>0.3237872944</v>
      </c>
      <c r="U92" s="18">
        <f>IFERROR(__xludf.DUMMYFUNCTION("""COMPUTED_VALUE"""),-0.16477446651592595)</f>
        <v>-0.1647744665</v>
      </c>
      <c r="V92" s="18">
        <f>IFERROR(__xludf.DUMMYFUNCTION("""COMPUTED_VALUE"""),-0.8582703111264863)</f>
        <v>-0.8582703111</v>
      </c>
      <c r="W92" s="18">
        <f>IFERROR(__xludf.DUMMYFUNCTION("""COMPUTED_VALUE"""),-0.8080879716283633)</f>
        <v>-0.8080879716</v>
      </c>
      <c r="X92" s="18">
        <f>IFERROR(__xludf.DUMMYFUNCTION("""COMPUTED_VALUE"""),1.3902363768494874)</f>
        <v>1.390236377</v>
      </c>
      <c r="Y92" s="18">
        <f>IFERROR(__xludf.DUMMYFUNCTION("""COMPUTED_VALUE"""),-0.2311699377593521)</f>
        <v>-0.2311699378</v>
      </c>
      <c r="Z92" s="18">
        <f>IFERROR(__xludf.DUMMYFUNCTION("""COMPUTED_VALUE"""),0.39123741560305575)</f>
        <v>0.3912374156</v>
      </c>
      <c r="AA92" s="18">
        <f>IFERROR(__xludf.DUMMYFUNCTION("""COMPUTED_VALUE"""),0.0)</f>
        <v>0</v>
      </c>
      <c r="AB92" t="str">
        <f>IFERROR(__xludf.DUMMYFUNCTION("SUBSTITUTE(REGEXREPLACE(REGEXREPLACE(REGEXREPLACE(REGEXREPLACE(REGEXREPLACE(REGEXREPLACE(F92,"","",),IF(Projections!$T$11="""",""PG"",),),IF(Projections!$U$11="""",""SG"",),),IF(Projections!$V$11="""",""SF"",),),IF(Projections!$W$11="""",""PF"",),),IF(Pro"&amp;"jections!$X$11="""",""C"",),),""/"","""")"),"F")</f>
        <v>F</v>
      </c>
    </row>
    <row r="93">
      <c r="A93" t="str">
        <f>IF(Projections!$AB$11,Draft!K7,"")</f>
        <v/>
      </c>
      <c r="B93">
        <f>IFERROR(__xludf.DUMMYFUNCTION("""COMPUTED_VALUE"""),88.0)</f>
        <v>88</v>
      </c>
      <c r="D93" t="str">
        <f>IFERROR(__xludf.DUMMYFUNCTION("""COMPUTED_VALUE"""),"Cam Johnson")</f>
        <v>Cam Johnson</v>
      </c>
      <c r="E93">
        <f>IFERROR(__xludf.DUMMYFUNCTION("""COMPUTED_VALUE"""),68.0)</f>
        <v>68</v>
      </c>
      <c r="F93" t="str">
        <f>IFERROR(__xludf.DUMMYFUNCTION("""COMPUTED_VALUE"""),"F")</f>
        <v>F</v>
      </c>
      <c r="G93" s="18">
        <f>IFERROR(__xludf.DUMMYFUNCTION("""COMPUTED_VALUE"""),0.44414213517950685)</f>
        <v>0.4441421352</v>
      </c>
      <c r="H93" s="18">
        <f>IFERROR(__xludf.DUMMYFUNCTION("""COMPUTED_VALUE"""),0.37784592998711153)</f>
        <v>0.37784593</v>
      </c>
      <c r="I93" s="18">
        <f>IFERROR(__xludf.DUMMYFUNCTION("""COMPUTED_VALUE"""),-0.06629620519239532)</f>
        <v>-0.06629620519</v>
      </c>
      <c r="J93" s="18">
        <f>IFERROR(__xludf.DUMMYFUNCTION("""COMPUTED_VALUE"""),15.83882)</f>
        <v>15.83882</v>
      </c>
      <c r="K93" s="18">
        <f>IFERROR(__xludf.DUMMYFUNCTION("""COMPUTED_VALUE"""),2.806765)</f>
        <v>2.806765</v>
      </c>
      <c r="L93" s="18">
        <f>IFERROR(__xludf.DUMMYFUNCTION("""COMPUTED_VALUE"""),4.578676)</f>
        <v>4.578676</v>
      </c>
      <c r="M93" s="18">
        <f>IFERROR(__xludf.DUMMYFUNCTION("""COMPUTED_VALUE"""),2.558676)</f>
        <v>2.558676</v>
      </c>
      <c r="N93" s="18">
        <f>IFERROR(__xludf.DUMMYFUNCTION("""COMPUTED_VALUE"""),1.015441)</f>
        <v>1.015441</v>
      </c>
      <c r="O93" s="18">
        <f>IFERROR(__xludf.DUMMYFUNCTION("""COMPUTED_VALUE"""),0.469559)</f>
        <v>0.469559</v>
      </c>
      <c r="P93" s="25">
        <f>IFERROR(__xludf.DUMMYFUNCTION("""COMPUTED_VALUE"""),0.465492)</f>
        <v>0.465492</v>
      </c>
      <c r="Q93" s="25">
        <f>IFERROR(__xludf.DUMMYFUNCTION("""COMPUTED_VALUE"""),0.875008)</f>
        <v>0.875008</v>
      </c>
      <c r="R93" s="18">
        <f>IFERROR(__xludf.DUMMYFUNCTION("""COMPUTED_VALUE"""),1.481324)</f>
        <v>1.481324</v>
      </c>
      <c r="S93" s="18">
        <f>IFERROR(__xludf.DUMMYFUNCTION("""COMPUTED_VALUE"""),-0.23435418568200286)</f>
        <v>-0.2343541857</v>
      </c>
      <c r="T93" s="18">
        <f>IFERROR(__xludf.DUMMYFUNCTION("""COMPUTED_VALUE"""),1.0017733941297775)</f>
        <v>1.001773394</v>
      </c>
      <c r="U93" s="18">
        <f>IFERROR(__xludf.DUMMYFUNCTION("""COMPUTED_VALUE"""),-0.6274142658268362)</f>
        <v>-0.6274142658</v>
      </c>
      <c r="V93" s="18">
        <f>IFERROR(__xludf.DUMMYFUNCTION("""COMPUTED_VALUE"""),-0.6244301457207299)</f>
        <v>-0.6244301457</v>
      </c>
      <c r="W93" s="18">
        <f>IFERROR(__xludf.DUMMYFUNCTION("""COMPUTED_VALUE"""),-0.09064508419348048)</f>
        <v>-0.09064508419</v>
      </c>
      <c r="X93" s="18">
        <f>IFERROR(__xludf.DUMMYFUNCTION("""COMPUTED_VALUE"""),-0.4738837648455559)</f>
        <v>-0.4738837648</v>
      </c>
      <c r="Y93" s="18">
        <f>IFERROR(__xludf.DUMMYFUNCTION("""COMPUTED_VALUE"""),-0.4151723517545418)</f>
        <v>-0.4151723518</v>
      </c>
      <c r="Z93" s="18">
        <f>IFERROR(__xludf.DUMMYFUNCTION("""COMPUTED_VALUE"""),1.214558068053645)</f>
        <v>1.214558068</v>
      </c>
      <c r="AA93" s="18">
        <f>IFERROR(__xludf.DUMMYFUNCTION("""COMPUTED_VALUE"""),0.0)</f>
        <v>0</v>
      </c>
      <c r="AB93" t="str">
        <f>IFERROR(__xludf.DUMMYFUNCTION("SUBSTITUTE(REGEXREPLACE(REGEXREPLACE(REGEXREPLACE(REGEXREPLACE(REGEXREPLACE(REGEXREPLACE(F93,"","",),IF(Projections!$T$11="""",""PG"",),),IF(Projections!$U$11="""",""SG"",),),IF(Projections!$V$11="""",""SF"",),),IF(Projections!$W$11="""",""PF"",),),IF(Pro"&amp;"jections!$X$11="""",""C"",),),""/"","""")"),"F")</f>
        <v>F</v>
      </c>
    </row>
    <row r="94">
      <c r="A94" t="str">
        <f>IF(Projections!$AB$11,Draft!K8,"")</f>
        <v/>
      </c>
      <c r="B94">
        <f>IFERROR(__xludf.DUMMYFUNCTION("""COMPUTED_VALUE"""),89.0)</f>
        <v>89</v>
      </c>
      <c r="D94" t="str">
        <f>IFERROR(__xludf.DUMMYFUNCTION("""COMPUTED_VALUE"""),"Jalen Green")</f>
        <v>Jalen Green</v>
      </c>
      <c r="E94">
        <f>IFERROR(__xludf.DUMMYFUNCTION("""COMPUTED_VALUE"""),77.0)</f>
        <v>77</v>
      </c>
      <c r="F94" t="str">
        <f>IFERROR(__xludf.DUMMYFUNCTION("""COMPUTED_VALUE"""),"G")</f>
        <v>G</v>
      </c>
      <c r="G94" s="18">
        <f>IFERROR(__xludf.DUMMYFUNCTION("""COMPUTED_VALUE"""),0.42364097882169205)</f>
        <v>0.4236409788</v>
      </c>
      <c r="H94" s="18">
        <f>IFERROR(__xludf.DUMMYFUNCTION("""COMPUTED_VALUE"""),0.7060592353856991)</f>
        <v>0.7060592354</v>
      </c>
      <c r="I94" s="18">
        <f>IFERROR(__xludf.DUMMYFUNCTION("""COMPUTED_VALUE"""),0.2824182565640071)</f>
        <v>0.2824182566</v>
      </c>
      <c r="J94" s="18">
        <f>IFERROR(__xludf.DUMMYFUNCTION("""COMPUTED_VALUE"""),21.6387)</f>
        <v>21.6387</v>
      </c>
      <c r="K94" s="18">
        <f>IFERROR(__xludf.DUMMYFUNCTION("""COMPUTED_VALUE"""),2.884416)</f>
        <v>2.884416</v>
      </c>
      <c r="L94" s="18">
        <f>IFERROR(__xludf.DUMMYFUNCTION("""COMPUTED_VALUE"""),5.053117)</f>
        <v>5.053117</v>
      </c>
      <c r="M94" s="18">
        <f>IFERROR(__xludf.DUMMYFUNCTION("""COMPUTED_VALUE"""),5.341818)</f>
        <v>5.341818</v>
      </c>
      <c r="N94" s="18">
        <f>IFERROR(__xludf.DUMMYFUNCTION("""COMPUTED_VALUE"""),0.878831)</f>
        <v>0.878831</v>
      </c>
      <c r="O94" s="18">
        <f>IFERROR(__xludf.DUMMYFUNCTION("""COMPUTED_VALUE"""),0.357403)</f>
        <v>0.357403</v>
      </c>
      <c r="P94" s="25">
        <f>IFERROR(__xludf.DUMMYFUNCTION("""COMPUTED_VALUE"""),0.42896)</f>
        <v>0.42896</v>
      </c>
      <c r="Q94" s="25">
        <f>IFERROR(__xludf.DUMMYFUNCTION("""COMPUTED_VALUE"""),0.765996)</f>
        <v>0.765996</v>
      </c>
      <c r="R94" s="18">
        <f>IFERROR(__xludf.DUMMYFUNCTION("""COMPUTED_VALUE"""),2.887532)</f>
        <v>2.887532</v>
      </c>
      <c r="S94" s="18">
        <f>IFERROR(__xludf.DUMMYFUNCTION("""COMPUTED_VALUE"""),0.7831919104713932)</f>
        <v>0.7831919105</v>
      </c>
      <c r="T94" s="18">
        <f>IFERROR(__xludf.DUMMYFUNCTION("""COMPUTED_VALUE"""),1.0767713265631433)</f>
        <v>1.076771327</v>
      </c>
      <c r="U94" s="18">
        <f>IFERROR(__xludf.DUMMYFUNCTION("""COMPUTED_VALUE"""),-0.43509789551930933)</f>
        <v>-0.4350978955</v>
      </c>
      <c r="V94" s="18">
        <f>IFERROR(__xludf.DUMMYFUNCTION("""COMPUTED_VALUE"""),0.7351750687201605)</f>
        <v>0.7351750687</v>
      </c>
      <c r="W94" s="18">
        <f>IFERROR(__xludf.DUMMYFUNCTION("""COMPUTED_VALUE"""),-0.5069271797183863)</f>
        <v>-0.5069271797</v>
      </c>
      <c r="X94" s="18">
        <f>IFERROR(__xludf.DUMMYFUNCTION("""COMPUTED_VALUE"""),-0.6777825008293874)</f>
        <v>-0.6777825008</v>
      </c>
      <c r="Y94" s="18">
        <f>IFERROR(__xludf.DUMMYFUNCTION("""COMPUTED_VALUE"""),-0.8533362168635684)</f>
        <v>-0.8533362169</v>
      </c>
      <c r="Z94" s="18">
        <f>IFERROR(__xludf.DUMMYFUNCTION("""COMPUTED_VALUE"""),-0.26927149430191494)</f>
        <v>-0.2692714943</v>
      </c>
      <c r="AA94" s="18">
        <f>IFERROR(__xludf.DUMMYFUNCTION("""COMPUTED_VALUE"""),0.0)</f>
        <v>0</v>
      </c>
      <c r="AB94" t="str">
        <f>IFERROR(__xludf.DUMMYFUNCTION("SUBSTITUTE(REGEXREPLACE(REGEXREPLACE(REGEXREPLACE(REGEXREPLACE(REGEXREPLACE(REGEXREPLACE(F94,"","",),IF(Projections!$T$11="""",""PG"",),),IF(Projections!$U$11="""",""SG"",),),IF(Projections!$V$11="""",""SF"",),),IF(Projections!$W$11="""",""PF"",),),IF(Pro"&amp;"jections!$X$11="""",""C"",),),""/"","""")"),"G")</f>
        <v>G</v>
      </c>
    </row>
    <row r="95">
      <c r="A95" t="str">
        <f>IF(Projections!$AB$11,Draft!K9,"")</f>
        <v/>
      </c>
      <c r="B95">
        <f>IFERROR(__xludf.DUMMYFUNCTION("""COMPUTED_VALUE"""),90.0)</f>
        <v>90</v>
      </c>
      <c r="D95" t="str">
        <f>IFERROR(__xludf.DUMMYFUNCTION("""COMPUTED_VALUE"""),"Julius Randle")</f>
        <v>Julius Randle</v>
      </c>
      <c r="E95">
        <f>IFERROR(__xludf.DUMMYFUNCTION("""COMPUTED_VALUE"""),68.0)</f>
        <v>68</v>
      </c>
      <c r="F95" t="str">
        <f>IFERROR(__xludf.DUMMYFUNCTION("""COMPUTED_VALUE"""),"F")</f>
        <v>F</v>
      </c>
      <c r="G95" s="18">
        <f>IFERROR(__xludf.DUMMYFUNCTION("""COMPUTED_VALUE"""),0.4085566328341801)</f>
        <v>0.4085566328</v>
      </c>
      <c r="H95" s="18">
        <f>IFERROR(__xludf.DUMMYFUNCTION("""COMPUTED_VALUE"""),0.7175521267089411)</f>
        <v>0.7175521267</v>
      </c>
      <c r="I95" s="18">
        <f>IFERROR(__xludf.DUMMYFUNCTION("""COMPUTED_VALUE"""),0.308995493874761)</f>
        <v>0.3089954939</v>
      </c>
      <c r="J95" s="18">
        <f>IFERROR(__xludf.DUMMYFUNCTION("""COMPUTED_VALUE"""),19.18368)</f>
        <v>19.18368</v>
      </c>
      <c r="K95" s="18">
        <f>IFERROR(__xludf.DUMMYFUNCTION("""COMPUTED_VALUE"""),1.692794)</f>
        <v>1.692794</v>
      </c>
      <c r="L95" s="18">
        <f>IFERROR(__xludf.DUMMYFUNCTION("""COMPUTED_VALUE"""),7.418824)</f>
        <v>7.418824</v>
      </c>
      <c r="M95" s="18">
        <f>IFERROR(__xludf.DUMMYFUNCTION("""COMPUTED_VALUE"""),5.376912)</f>
        <v>5.376912</v>
      </c>
      <c r="N95" s="18">
        <f>IFERROR(__xludf.DUMMYFUNCTION("""COMPUTED_VALUE"""),0.754706)</f>
        <v>0.754706</v>
      </c>
      <c r="O95" s="18">
        <f>IFERROR(__xludf.DUMMYFUNCTION("""COMPUTED_VALUE"""),0.270735)</f>
        <v>0.270735</v>
      </c>
      <c r="P95" s="25">
        <f>IFERROR(__xludf.DUMMYFUNCTION("""COMPUTED_VALUE"""),0.487284)</f>
        <v>0.487284</v>
      </c>
      <c r="Q95" s="25">
        <f>IFERROR(__xludf.DUMMYFUNCTION("""COMPUTED_VALUE"""),0.796989)</f>
        <v>0.796989</v>
      </c>
      <c r="R95" s="18">
        <f>IFERROR(__xludf.DUMMYFUNCTION("""COMPUTED_VALUE"""),2.994706)</f>
        <v>2.994706</v>
      </c>
      <c r="S95" s="18">
        <f>IFERROR(__xludf.DUMMYFUNCTION("""COMPUTED_VALUE"""),0.35247678930017734)</f>
        <v>0.3524767893</v>
      </c>
      <c r="T95" s="18">
        <f>IFERROR(__xludf.DUMMYFUNCTION("""COMPUTED_VALUE"""),-0.07413704862986567)</f>
        <v>-0.07413704863</v>
      </c>
      <c r="U95" s="18">
        <f>IFERROR(__xludf.DUMMYFUNCTION("""COMPUTED_VALUE"""),0.5238499682848474)</f>
        <v>0.5238499683</v>
      </c>
      <c r="V95" s="18">
        <f>IFERROR(__xludf.DUMMYFUNCTION("""COMPUTED_VALUE"""),0.7523189964807953)</f>
        <v>0.7523189965</v>
      </c>
      <c r="W95" s="18">
        <f>IFERROR(__xludf.DUMMYFUNCTION("""COMPUTED_VALUE"""),-0.8851646082157799)</f>
        <v>-0.8851646082</v>
      </c>
      <c r="X95" s="18">
        <f>IFERROR(__xludf.DUMMYFUNCTION("""COMPUTED_VALUE"""),-0.8353442509831618)</f>
        <v>-0.835344251</v>
      </c>
      <c r="Y95" s="18">
        <f>IFERROR(__xludf.DUMMYFUNCTION("""COMPUTED_VALUE"""),-0.11561917737845294)</f>
        <v>-0.1156191774</v>
      </c>
      <c r="Z95" s="18">
        <f>IFERROR(__xludf.DUMMYFUNCTION("""COMPUTED_VALUE"""),0.11400684963460153)</f>
        <v>0.1140068496</v>
      </c>
      <c r="AA95" s="18">
        <f>IFERROR(__xludf.DUMMYFUNCTION("""COMPUTED_VALUE"""),0.0)</f>
        <v>0</v>
      </c>
      <c r="AB95" t="str">
        <f>IFERROR(__xludf.DUMMYFUNCTION("SUBSTITUTE(REGEXREPLACE(REGEXREPLACE(REGEXREPLACE(REGEXREPLACE(REGEXREPLACE(REGEXREPLACE(F95,"","",),IF(Projections!$T$11="""",""PG"",),),IF(Projections!$U$11="""",""SG"",),),IF(Projections!$V$11="""",""SF"",),),IF(Projections!$W$11="""",""PF"",),),IF(Pro"&amp;"jections!$X$11="""",""C"",),),""/"","""")"),"F")</f>
        <v>F</v>
      </c>
    </row>
    <row r="96">
      <c r="A96" t="str">
        <f>IF(Projections!$AB$11,Draft!K10,"")</f>
        <v/>
      </c>
      <c r="B96">
        <f>IFERROR(__xludf.DUMMYFUNCTION("""COMPUTED_VALUE"""),91.0)</f>
        <v>91</v>
      </c>
      <c r="D96" t="str">
        <f>IFERROR(__xludf.DUMMYFUNCTION("""COMPUTED_VALUE"""),"Bradley Beal")</f>
        <v>Bradley Beal</v>
      </c>
      <c r="E96">
        <f>IFERROR(__xludf.DUMMYFUNCTION("""COMPUTED_VALUE"""),63.0)</f>
        <v>63</v>
      </c>
      <c r="F96" t="str">
        <f>IFERROR(__xludf.DUMMYFUNCTION("""COMPUTED_VALUE"""),"G")</f>
        <v>G</v>
      </c>
      <c r="G96" s="18">
        <f>IFERROR(__xludf.DUMMYFUNCTION("""COMPUTED_VALUE"""),0.3610334896591495)</f>
        <v>0.3610334897</v>
      </c>
      <c r="H96" s="18">
        <f>IFERROR(__xludf.DUMMYFUNCTION("""COMPUTED_VALUE"""),0.3282999305315588)</f>
        <v>0.3282999305</v>
      </c>
      <c r="I96" s="18">
        <f>IFERROR(__xludf.DUMMYFUNCTION("""COMPUTED_VALUE"""),-0.03273355912759068)</f>
        <v>-0.03273355913</v>
      </c>
      <c r="J96" s="18">
        <f>IFERROR(__xludf.DUMMYFUNCTION("""COMPUTED_VALUE"""),17.70365)</f>
        <v>17.70365</v>
      </c>
      <c r="K96" s="18">
        <f>IFERROR(__xludf.DUMMYFUNCTION("""COMPUTED_VALUE"""),2.102222)</f>
        <v>2.102222</v>
      </c>
      <c r="L96" s="18">
        <f>IFERROR(__xludf.DUMMYFUNCTION("""COMPUTED_VALUE"""),3.362698)</f>
        <v>3.362698</v>
      </c>
      <c r="M96" s="18">
        <f>IFERROR(__xludf.DUMMYFUNCTION("""COMPUTED_VALUE"""),3.492063)</f>
        <v>3.492063</v>
      </c>
      <c r="N96" s="18">
        <f>IFERROR(__xludf.DUMMYFUNCTION("""COMPUTED_VALUE"""),1.036508)</f>
        <v>1.036508</v>
      </c>
      <c r="O96" s="18">
        <f>IFERROR(__xludf.DUMMYFUNCTION("""COMPUTED_VALUE"""),0.516667)</f>
        <v>0.516667</v>
      </c>
      <c r="P96" s="25">
        <f>IFERROR(__xludf.DUMMYFUNCTION("""COMPUTED_VALUE"""),0.491198)</f>
        <v>0.491198</v>
      </c>
      <c r="Q96" s="25">
        <f>IFERROR(__xludf.DUMMYFUNCTION("""COMPUTED_VALUE"""),0.830012)</f>
        <v>0.830012</v>
      </c>
      <c r="R96" s="18">
        <f>IFERROR(__xludf.DUMMYFUNCTION("""COMPUTED_VALUE"""),1.616667)</f>
        <v>1.616667</v>
      </c>
      <c r="S96" s="18">
        <f>IFERROR(__xludf.DUMMYFUNCTION("""COMPUTED_VALUE"""),0.09281646034683519)</f>
        <v>0.09281646035</v>
      </c>
      <c r="T96" s="18">
        <f>IFERROR(__xludf.DUMMYFUNCTION("""COMPUTED_VALUE"""),0.32130220495770084)</f>
        <v>0.321302205</v>
      </c>
      <c r="U96" s="18">
        <f>IFERROR(__xludf.DUMMYFUNCTION("""COMPUTED_VALUE"""),-1.1203153332594689)</f>
        <v>-1.120315333</v>
      </c>
      <c r="V96" s="18">
        <f>IFERROR(__xludf.DUMMYFUNCTION("""COMPUTED_VALUE"""),-0.16845706483181402)</f>
        <v>-0.1684570648</v>
      </c>
      <c r="W96" s="18">
        <f>IFERROR(__xludf.DUMMYFUNCTION("""COMPUTED_VALUE"""),-0.02644908897773371)</f>
        <v>-0.02644908898</v>
      </c>
      <c r="X96" s="18">
        <f>IFERROR(__xludf.DUMMYFUNCTION("""COMPUTED_VALUE"""),-0.38824178711162877)</f>
        <v>-0.3882417871</v>
      </c>
      <c r="Y96" s="18">
        <f>IFERROR(__xludf.DUMMYFUNCTION("""COMPUTED_VALUE"""),-0.05879486856685919)</f>
        <v>-0.05879486857</v>
      </c>
      <c r="Z96" s="18">
        <f>IFERROR(__xludf.DUMMYFUNCTION("""COMPUTED_VALUE"""),0.5561240747150584)</f>
        <v>0.5561240747</v>
      </c>
      <c r="AA96" s="18">
        <f>IFERROR(__xludf.DUMMYFUNCTION("""COMPUTED_VALUE"""),0.0)</f>
        <v>0</v>
      </c>
      <c r="AB96" t="str">
        <f>IFERROR(__xludf.DUMMYFUNCTION("SUBSTITUTE(REGEXREPLACE(REGEXREPLACE(REGEXREPLACE(REGEXREPLACE(REGEXREPLACE(REGEXREPLACE(F96,"","",),IF(Projections!$T$11="""",""PG"",),),IF(Projections!$U$11="""",""SG"",),),IF(Projections!$V$11="""",""SF"",),),IF(Projections!$W$11="""",""PF"",),),IF(Pro"&amp;"jections!$X$11="""",""C"",),),""/"","""")"),"G")</f>
        <v>G</v>
      </c>
    </row>
    <row r="97">
      <c r="A97" t="str">
        <f>IF(Projections!$AB$11,Draft!K11,"")</f>
        <v/>
      </c>
      <c r="B97">
        <f>IFERROR(__xludf.DUMMYFUNCTION("""COMPUTED_VALUE"""),92.0)</f>
        <v>92</v>
      </c>
      <c r="D97" t="str">
        <f>IFERROR(__xludf.DUMMYFUNCTION("""COMPUTED_VALUE"""),"Keegan Murray")</f>
        <v>Keegan Murray</v>
      </c>
      <c r="E97">
        <f>IFERROR(__xludf.DUMMYFUNCTION("""COMPUTED_VALUE"""),77.0)</f>
        <v>77</v>
      </c>
      <c r="F97" t="str">
        <f>IFERROR(__xludf.DUMMYFUNCTION("""COMPUTED_VALUE"""),"F")</f>
        <v>F</v>
      </c>
      <c r="G97" s="18">
        <f>IFERROR(__xludf.DUMMYFUNCTION("""COMPUTED_VALUE"""),0.3241306954045702)</f>
        <v>0.3241306954</v>
      </c>
      <c r="H97" s="18">
        <f>IFERROR(__xludf.DUMMYFUNCTION("""COMPUTED_VALUE"""),0.06056966165339617)</f>
        <v>0.06056966165</v>
      </c>
      <c r="I97" s="18">
        <f>IFERROR(__xludf.DUMMYFUNCTION("""COMPUTED_VALUE"""),-0.263561033751174)</f>
        <v>-0.2635610338</v>
      </c>
      <c r="J97" s="18">
        <f>IFERROR(__xludf.DUMMYFUNCTION("""COMPUTED_VALUE"""),12.73091)</f>
        <v>12.73091</v>
      </c>
      <c r="K97" s="18">
        <f>IFERROR(__xludf.DUMMYFUNCTION("""COMPUTED_VALUE"""),2.393766)</f>
        <v>2.393766</v>
      </c>
      <c r="L97" s="18">
        <f>IFERROR(__xludf.DUMMYFUNCTION("""COMPUTED_VALUE"""),6.183766)</f>
        <v>6.183766</v>
      </c>
      <c r="M97" s="18">
        <f>IFERROR(__xludf.DUMMYFUNCTION("""COMPUTED_VALUE"""),1.453247)</f>
        <v>1.453247</v>
      </c>
      <c r="N97" s="18">
        <f>IFERROR(__xludf.DUMMYFUNCTION("""COMPUTED_VALUE"""),0.827013)</f>
        <v>0.827013</v>
      </c>
      <c r="O97" s="18">
        <f>IFERROR(__xludf.DUMMYFUNCTION("""COMPUTED_VALUE"""),0.95987)</f>
        <v>0.95987</v>
      </c>
      <c r="P97" s="25">
        <f>IFERROR(__xludf.DUMMYFUNCTION("""COMPUTED_VALUE"""),0.469411)</f>
        <v>0.469411</v>
      </c>
      <c r="Q97" s="25">
        <f>IFERROR(__xludf.DUMMYFUNCTION("""COMPUTED_VALUE"""),0.848912)</f>
        <v>0.848912</v>
      </c>
      <c r="R97" s="18">
        <f>IFERROR(__xludf.DUMMYFUNCTION("""COMPUTED_VALUE"""),0.685844)</f>
        <v>0.685844</v>
      </c>
      <c r="S97" s="18">
        <f>IFERROR(__xludf.DUMMYFUNCTION("""COMPUTED_VALUE"""),-0.7796140337643945)</f>
        <v>-0.7796140338</v>
      </c>
      <c r="T97" s="18">
        <f>IFERROR(__xludf.DUMMYFUNCTION("""COMPUTED_VALUE"""),0.60288514932871)</f>
        <v>0.6028851493</v>
      </c>
      <c r="U97" s="18">
        <f>IFERROR(__xludf.DUMMYFUNCTION("""COMPUTED_VALUE"""),0.023214754044777137)</f>
        <v>0.02321475404</v>
      </c>
      <c r="V97" s="18">
        <f>IFERROR(__xludf.DUMMYFUNCTION("""COMPUTED_VALUE"""),-1.1644482377168188)</f>
        <v>-1.164448238</v>
      </c>
      <c r="W97" s="18">
        <f>IFERROR(__xludf.DUMMYFUNCTION("""COMPUTED_VALUE"""),-0.664828545840263)</f>
        <v>-0.6648285458</v>
      </c>
      <c r="X97" s="18">
        <f>IFERROR(__xludf.DUMMYFUNCTION("""COMPUTED_VALUE"""),0.4174978209721304)</f>
        <v>0.417497821</v>
      </c>
      <c r="Y97" s="18">
        <f>IFERROR(__xludf.DUMMYFUNCTION("""COMPUTED_VALUE"""),-0.3634058328266853)</f>
        <v>-0.3634058328</v>
      </c>
      <c r="Z97" s="18">
        <f>IFERROR(__xludf.DUMMYFUNCTION("""COMPUTED_VALUE"""),0.8248203497391212)</f>
        <v>0.8248203497</v>
      </c>
      <c r="AA97" s="18">
        <f>IFERROR(__xludf.DUMMYFUNCTION("""COMPUTED_VALUE"""),0.0)</f>
        <v>0</v>
      </c>
      <c r="AB97" t="str">
        <f>IFERROR(__xludf.DUMMYFUNCTION("SUBSTITUTE(REGEXREPLACE(REGEXREPLACE(REGEXREPLACE(REGEXREPLACE(REGEXREPLACE(REGEXREPLACE(F97,"","",),IF(Projections!$T$11="""",""PG"",),),IF(Projections!$U$11="""",""SG"",),),IF(Projections!$V$11="""",""SF"",),),IF(Projections!$W$11="""",""PF"",),),IF(Pro"&amp;"jections!$X$11="""",""C"",),),""/"","""")"),"F")</f>
        <v>F</v>
      </c>
    </row>
    <row r="98">
      <c r="A98" t="str">
        <f>IF(Projections!$AB$11,Draft!K12,"")</f>
        <v/>
      </c>
      <c r="B98">
        <f>IFERROR(__xludf.DUMMYFUNCTION("""COMPUTED_VALUE"""),93.0)</f>
        <v>93</v>
      </c>
      <c r="D98" t="str">
        <f>IFERROR(__xludf.DUMMYFUNCTION("""COMPUTED_VALUE"""),"Anfernee Simons")</f>
        <v>Anfernee Simons</v>
      </c>
      <c r="E98">
        <f>IFERROR(__xludf.DUMMYFUNCTION("""COMPUTED_VALUE"""),61.0)</f>
        <v>61</v>
      </c>
      <c r="F98" t="str">
        <f>IFERROR(__xludf.DUMMYFUNCTION("""COMPUTED_VALUE"""),"G")</f>
        <v>G</v>
      </c>
      <c r="G98" s="18">
        <f>IFERROR(__xludf.DUMMYFUNCTION("""COMPUTED_VALUE"""),0.2650008857999262)</f>
        <v>0.2650008858</v>
      </c>
      <c r="H98" s="18">
        <f>IFERROR(__xludf.DUMMYFUNCTION("""COMPUTED_VALUE"""),0.42200738533396076)</f>
        <v>0.4220073853</v>
      </c>
      <c r="I98" s="18">
        <f>IFERROR(__xludf.DUMMYFUNCTION("""COMPUTED_VALUE"""),0.15700649953403456)</f>
        <v>0.1570064995</v>
      </c>
      <c r="J98" s="18">
        <f>IFERROR(__xludf.DUMMYFUNCTION("""COMPUTED_VALUE"""),18.41)</f>
        <v>18.41</v>
      </c>
      <c r="K98" s="18">
        <f>IFERROR(__xludf.DUMMYFUNCTION("""COMPUTED_VALUE"""),3.131803)</f>
        <v>3.131803</v>
      </c>
      <c r="L98" s="18">
        <f>IFERROR(__xludf.DUMMYFUNCTION("""COMPUTED_VALUE"""),2.510656)</f>
        <v>2.510656</v>
      </c>
      <c r="M98" s="18">
        <f>IFERROR(__xludf.DUMMYFUNCTION("""COMPUTED_VALUE"""),5.021311)</f>
        <v>5.021311</v>
      </c>
      <c r="N98" s="18">
        <f>IFERROR(__xludf.DUMMYFUNCTION("""COMPUTED_VALUE"""),0.64377)</f>
        <v>0.64377</v>
      </c>
      <c r="O98" s="18">
        <f>IFERROR(__xludf.DUMMYFUNCTION("""COMPUTED_VALUE"""),0.06459)</f>
        <v>0.06459</v>
      </c>
      <c r="P98" s="25">
        <f>IFERROR(__xludf.DUMMYFUNCTION("""COMPUTED_VALUE"""),0.426504)</f>
        <v>0.426504</v>
      </c>
      <c r="Q98" s="25">
        <f>IFERROR(__xludf.DUMMYFUNCTION("""COMPUTED_VALUE"""),0.900991)</f>
        <v>0.900991</v>
      </c>
      <c r="R98" s="18">
        <f>IFERROR(__xludf.DUMMYFUNCTION("""COMPUTED_VALUE"""),2.381803)</f>
        <v>2.381803</v>
      </c>
      <c r="S98" s="18">
        <f>IFERROR(__xludf.DUMMYFUNCTION("""COMPUTED_VALUE"""),0.21674034929246025)</f>
        <v>0.2167403493</v>
      </c>
      <c r="T98" s="18">
        <f>IFERROR(__xludf.DUMMYFUNCTION("""COMPUTED_VALUE"""),1.3157059637332134)</f>
        <v>1.315705964</v>
      </c>
      <c r="U98" s="18">
        <f>IFERROR(__xludf.DUMMYFUNCTION("""COMPUTED_VALUE"""),-1.465693630644319)</f>
        <v>-1.465693631</v>
      </c>
      <c r="V98" s="18">
        <f>IFERROR(__xludf.DUMMYFUNCTION("""COMPUTED_VALUE"""),0.578602752803543)</f>
        <v>0.5786027528</v>
      </c>
      <c r="W98" s="18">
        <f>IFERROR(__xludf.DUMMYFUNCTION("""COMPUTED_VALUE"""),-1.2232121197387356)</f>
        <v>-1.22321212</v>
      </c>
      <c r="X98" s="18">
        <f>IFERROR(__xludf.DUMMYFUNCTION("""COMPUTED_VALUE"""),-1.2101142581997792)</f>
        <v>-1.210114258</v>
      </c>
      <c r="Y98" s="18">
        <f>IFERROR(__xludf.DUMMYFUNCTION("""COMPUTED_VALUE"""),-0.8799169702331278)</f>
        <v>-0.8799169702</v>
      </c>
      <c r="Z98" s="18">
        <f>IFERROR(__xludf.DUMMYFUNCTION("""COMPUTED_VALUE"""),1.6242016676763866)</f>
        <v>1.624201668</v>
      </c>
      <c r="AA98" s="18">
        <f>IFERROR(__xludf.DUMMYFUNCTION("""COMPUTED_VALUE"""),0.0)</f>
        <v>0</v>
      </c>
      <c r="AB98" t="str">
        <f>IFERROR(__xludf.DUMMYFUNCTION("SUBSTITUTE(REGEXREPLACE(REGEXREPLACE(REGEXREPLACE(REGEXREPLACE(REGEXREPLACE(REGEXREPLACE(F98,"","",),IF(Projections!$T$11="""",""PG"",),),IF(Projections!$U$11="""",""SG"",),),IF(Projections!$V$11="""",""SF"",),),IF(Projections!$W$11="""",""PF"",),),IF(Pro"&amp;"jections!$X$11="""",""C"",),),""/"","""")"),"G")</f>
        <v>G</v>
      </c>
    </row>
    <row r="99">
      <c r="A99" t="str">
        <f>IF(Projections!$AB$11,Draft!K13,"")</f>
        <v/>
      </c>
      <c r="B99">
        <f>IFERROR(__xludf.DUMMYFUNCTION("""COMPUTED_VALUE"""),94.0)</f>
        <v>94</v>
      </c>
      <c r="D99" t="str">
        <f>IFERROR(__xludf.DUMMYFUNCTION("""COMPUTED_VALUE"""),"Reed Sheppard")</f>
        <v>Reed Sheppard</v>
      </c>
      <c r="E99">
        <f>IFERROR(__xludf.DUMMYFUNCTION("""COMPUTED_VALUE"""),73.0)</f>
        <v>73</v>
      </c>
      <c r="F99" t="str">
        <f>IFERROR(__xludf.DUMMYFUNCTION("""COMPUTED_VALUE"""),"G")</f>
        <v>G</v>
      </c>
      <c r="G99" s="18">
        <f>IFERROR(__xludf.DUMMYFUNCTION("""COMPUTED_VALUE"""),0.26058922925924854)</f>
        <v>0.2605892293</v>
      </c>
      <c r="H99" s="18">
        <f>IFERROR(__xludf.DUMMYFUNCTION("""COMPUTED_VALUE"""),0.2777690182518542)</f>
        <v>0.2777690183</v>
      </c>
      <c r="I99" s="18">
        <f>IFERROR(__xludf.DUMMYFUNCTION("""COMPUTED_VALUE"""),0.017179788992605638)</f>
        <v>0.01717978899</v>
      </c>
      <c r="J99" s="18">
        <f>IFERROR(__xludf.DUMMYFUNCTION("""COMPUTED_VALUE"""),11.86575)</f>
        <v>11.86575</v>
      </c>
      <c r="K99" s="18">
        <f>IFERROR(__xludf.DUMMYFUNCTION("""COMPUTED_VALUE"""),2.369178)</f>
        <v>2.369178</v>
      </c>
      <c r="L99" s="18">
        <f>IFERROR(__xludf.DUMMYFUNCTION("""COMPUTED_VALUE"""),3.232192)</f>
        <v>3.232192</v>
      </c>
      <c r="M99" s="18">
        <f>IFERROR(__xludf.DUMMYFUNCTION("""COMPUTED_VALUE"""),4.20411)</f>
        <v>4.20411</v>
      </c>
      <c r="N99" s="18">
        <f>IFERROR(__xludf.DUMMYFUNCTION("""COMPUTED_VALUE"""),1.533973)</f>
        <v>1.533973</v>
      </c>
      <c r="O99" s="18">
        <f>IFERROR(__xludf.DUMMYFUNCTION("""COMPUTED_VALUE"""),0.636438)</f>
        <v>0.636438</v>
      </c>
      <c r="P99" s="25">
        <f>IFERROR(__xludf.DUMMYFUNCTION("""COMPUTED_VALUE"""),0.399386)</f>
        <v>0.399386</v>
      </c>
      <c r="Q99" s="25">
        <f>IFERROR(__xludf.DUMMYFUNCTION("""COMPUTED_VALUE"""),0.809772)</f>
        <v>0.809772</v>
      </c>
      <c r="R99" s="18">
        <f>IFERROR(__xludf.DUMMYFUNCTION("""COMPUTED_VALUE"""),1.817945)</f>
        <v>1.817945</v>
      </c>
      <c r="S99" s="18">
        <f>IFERROR(__xludf.DUMMYFUNCTION("""COMPUTED_VALUE"""),-0.9313999639126169)</f>
        <v>-0.9313999639</v>
      </c>
      <c r="T99" s="18">
        <f>IFERROR(__xludf.DUMMYFUNCTION("""COMPUTED_VALUE"""),0.5791372367110798)</f>
        <v>0.5791372367</v>
      </c>
      <c r="U99" s="18">
        <f>IFERROR(__xludf.DUMMYFUNCTION("""COMPUTED_VALUE"""),-1.173216410998016)</f>
        <v>-1.173216411</v>
      </c>
      <c r="V99" s="18">
        <f>IFERROR(__xludf.DUMMYFUNCTION("""COMPUTED_VALUE"""),0.1793882172727257)</f>
        <v>0.1793882173</v>
      </c>
      <c r="W99" s="18">
        <f>IFERROR(__xludf.DUMMYFUNCTION("""COMPUTED_VALUE"""),1.4894412019987486)</f>
        <v>1.489441202</v>
      </c>
      <c r="X99" s="18">
        <f>IFERROR(__xludf.DUMMYFUNCTION("""COMPUTED_VALUE"""),-0.1704990403346442)</f>
        <v>-0.1704990403</v>
      </c>
      <c r="Y99" s="18">
        <f>IFERROR(__xludf.DUMMYFUNCTION("""COMPUTED_VALUE"""),-1.1493176269166936)</f>
        <v>-1.149317627</v>
      </c>
      <c r="Z99" s="18">
        <f>IFERROR(__xludf.DUMMYFUNCTION("""COMPUTED_VALUE"""),0.28101899343325504)</f>
        <v>0.2810189934</v>
      </c>
      <c r="AA99" s="18">
        <f>IFERROR(__xludf.DUMMYFUNCTION("""COMPUTED_VALUE"""),0.0)</f>
        <v>0</v>
      </c>
      <c r="AB99" t="str">
        <f>IFERROR(__xludf.DUMMYFUNCTION("SUBSTITUTE(REGEXREPLACE(REGEXREPLACE(REGEXREPLACE(REGEXREPLACE(REGEXREPLACE(REGEXREPLACE(F99,"","",),IF(Projections!$T$11="""",""PG"",),),IF(Projections!$U$11="""",""SG"",),),IF(Projections!$V$11="""",""SF"",),),IF(Projections!$W$11="""",""PF"",),),IF(Pro"&amp;"jections!$X$11="""",""C"",),),""/"","""")"),"G")</f>
        <v>G</v>
      </c>
    </row>
    <row r="100">
      <c r="A100" t="str">
        <f>IF(Projections!$AB$11,Draft!K14,"")</f>
        <v/>
      </c>
      <c r="B100">
        <f>IFERROR(__xludf.DUMMYFUNCTION("""COMPUTED_VALUE"""),95.0)</f>
        <v>95</v>
      </c>
      <c r="D100" t="str">
        <f>IFERROR(__xludf.DUMMYFUNCTION("""COMPUTED_VALUE"""),"Isaiah Jackson")</f>
        <v>Isaiah Jackson</v>
      </c>
      <c r="E100">
        <f>IFERROR(__xludf.DUMMYFUNCTION("""COMPUTED_VALUE"""),55.0)</f>
        <v>55</v>
      </c>
      <c r="F100" t="str">
        <f>IFERROR(__xludf.DUMMYFUNCTION("""COMPUTED_VALUE"""),"C")</f>
        <v>C</v>
      </c>
      <c r="G100" s="18">
        <f>IFERROR(__xludf.DUMMYFUNCTION("""COMPUTED_VALUE"""),0.24323560833104452)</f>
        <v>0.2432356083</v>
      </c>
      <c r="H100" s="18">
        <f>IFERROR(__xludf.DUMMYFUNCTION("""COMPUTED_VALUE"""),0.10456110544842168)</f>
        <v>0.1045611054</v>
      </c>
      <c r="I100" s="18">
        <f>IFERROR(__xludf.DUMMYFUNCTION("""COMPUTED_VALUE"""),-0.13867450288262284)</f>
        <v>-0.1386745029</v>
      </c>
      <c r="J100" s="18">
        <f>IFERROR(__xludf.DUMMYFUNCTION("""COMPUTED_VALUE"""),10.28545)</f>
        <v>10.28545</v>
      </c>
      <c r="K100" s="18">
        <f>IFERROR(__xludf.DUMMYFUNCTION("""COMPUTED_VALUE"""),0.050182)</f>
        <v>0.050182</v>
      </c>
      <c r="L100" s="18">
        <f>IFERROR(__xludf.DUMMYFUNCTION("""COMPUTED_VALUE"""),6.868)</f>
        <v>6.868</v>
      </c>
      <c r="M100" s="18">
        <f>IFERROR(__xludf.DUMMYFUNCTION("""COMPUTED_VALUE"""),1.399455)</f>
        <v>1.399455</v>
      </c>
      <c r="N100" s="18">
        <f>IFERROR(__xludf.DUMMYFUNCTION("""COMPUTED_VALUE"""),0.943636)</f>
        <v>0.943636</v>
      </c>
      <c r="O100" s="18">
        <f>IFERROR(__xludf.DUMMYFUNCTION("""COMPUTED_VALUE"""),1.926727)</f>
        <v>1.926727</v>
      </c>
      <c r="P100" s="25">
        <f>IFERROR(__xludf.DUMMYFUNCTION("""COMPUTED_VALUE"""),0.582506)</f>
        <v>0.582506</v>
      </c>
      <c r="Q100" s="25">
        <f>IFERROR(__xludf.DUMMYFUNCTION("""COMPUTED_VALUE"""),0.677996)</f>
        <v>0.677996</v>
      </c>
      <c r="R100" s="18">
        <f>IFERROR(__xludf.DUMMYFUNCTION("""COMPUTED_VALUE"""),1.189455)</f>
        <v>1.189455</v>
      </c>
      <c r="S100" s="18">
        <f>IFERROR(__xludf.DUMMYFUNCTION("""COMPUTED_VALUE"""),-1.2086519235654392)</f>
        <v>-1.208651924</v>
      </c>
      <c r="T100" s="18">
        <f>IFERROR(__xludf.DUMMYFUNCTION("""COMPUTED_VALUE"""),-1.6606266468351176)</f>
        <v>-1.660626647</v>
      </c>
      <c r="U100" s="18">
        <f>IFERROR(__xludf.DUMMYFUNCTION("""COMPUTED_VALUE"""),0.30057147347037527)</f>
        <v>0.3005714735</v>
      </c>
      <c r="V100" s="18">
        <f>IFERROR(__xludf.DUMMYFUNCTION("""COMPUTED_VALUE"""),-1.1907264095439138)</f>
        <v>-1.19072641</v>
      </c>
      <c r="W100" s="18">
        <f>IFERROR(__xludf.DUMMYFUNCTION("""COMPUTED_VALUE"""),-0.30945143708979744)</f>
        <v>-0.3094514371</v>
      </c>
      <c r="X100" s="18">
        <f>IFERROR(__xludf.DUMMYFUNCTION("""COMPUTED_VALUE"""),2.1752363296307795)</f>
        <v>2.17523633</v>
      </c>
      <c r="Y100" s="18">
        <f>IFERROR(__xludf.DUMMYFUNCTION("""COMPUTED_VALUE"""),1.5280166508807207)</f>
        <v>1.528016651</v>
      </c>
      <c r="Z100" s="18">
        <f>IFERROR(__xludf.DUMMYFUNCTION("""COMPUTED_VALUE"""),-1.1904335783343036)</f>
        <v>-1.190433578</v>
      </c>
      <c r="AA100" s="18">
        <f>IFERROR(__xludf.DUMMYFUNCTION("""COMPUTED_VALUE"""),0.0)</f>
        <v>0</v>
      </c>
      <c r="AB100" t="str">
        <f>IFERROR(__xludf.DUMMYFUNCTION("SUBSTITUTE(REGEXREPLACE(REGEXREPLACE(REGEXREPLACE(REGEXREPLACE(REGEXREPLACE(REGEXREPLACE(F100,"","",),IF(Projections!$T$11="""",""PG"",),),IF(Projections!$U$11="""",""SG"",),),IF(Projections!$V$11="""",""SF"",),),IF(Projections!$W$11="""",""PF"",),),IF(Pr"&amp;"ojections!$X$11="""",""C"",),),""/"","""")"),"C")</f>
        <v>C</v>
      </c>
    </row>
    <row r="101">
      <c r="A101" t="str">
        <f>IF(Projections!$AB$11,Draft!L3,"")</f>
        <v/>
      </c>
      <c r="B101">
        <f>IFERROR(__xludf.DUMMYFUNCTION("""COMPUTED_VALUE"""),96.0)</f>
        <v>96</v>
      </c>
      <c r="D101" t="str">
        <f>IFERROR(__xludf.DUMMYFUNCTION("""COMPUTED_VALUE"""),"Mikal Bridges")</f>
        <v>Mikal Bridges</v>
      </c>
      <c r="E101">
        <f>IFERROR(__xludf.DUMMYFUNCTION("""COMPUTED_VALUE"""),80.0)</f>
        <v>80</v>
      </c>
      <c r="F101" t="str">
        <f>IFERROR(__xludf.DUMMYFUNCTION("""COMPUTED_VALUE"""),"G,F")</f>
        <v>G,F</v>
      </c>
      <c r="G101" s="18">
        <f>IFERROR(__xludf.DUMMYFUNCTION("""COMPUTED_VALUE"""),0.2362058193104064)</f>
        <v>0.2362058193</v>
      </c>
      <c r="H101" s="18">
        <f>IFERROR(__xludf.DUMMYFUNCTION("""COMPUTED_VALUE"""),0.2247263129888144)</f>
        <v>0.224726313</v>
      </c>
      <c r="I101" s="18">
        <f>IFERROR(__xludf.DUMMYFUNCTION("""COMPUTED_VALUE"""),-0.011479506321592003)</f>
        <v>-0.01147950632</v>
      </c>
      <c r="J101" s="18">
        <f>IFERROR(__xludf.DUMMYFUNCTION("""COMPUTED_VALUE"""),16.497)</f>
        <v>16.497</v>
      </c>
      <c r="K101" s="18">
        <f>IFERROR(__xludf.DUMMYFUNCTION("""COMPUTED_VALUE"""),1.641125)</f>
        <v>1.641125</v>
      </c>
      <c r="L101" s="18">
        <f>IFERROR(__xludf.DUMMYFUNCTION("""COMPUTED_VALUE"""),2.97)</f>
        <v>2.97</v>
      </c>
      <c r="M101" s="18">
        <f>IFERROR(__xludf.DUMMYFUNCTION("""COMPUTED_VALUE"""),4.35975)</f>
        <v>4.35975</v>
      </c>
      <c r="N101" s="18">
        <f>IFERROR(__xludf.DUMMYFUNCTION("""COMPUTED_VALUE"""),0.89575)</f>
        <v>0.89575</v>
      </c>
      <c r="O101" s="18">
        <f>IFERROR(__xludf.DUMMYFUNCTION("""COMPUTED_VALUE"""),0.51775)</f>
        <v>0.51775</v>
      </c>
      <c r="P101" s="25">
        <f>IFERROR(__xludf.DUMMYFUNCTION("""COMPUTED_VALUE"""),0.502544)</f>
        <v>0.502544</v>
      </c>
      <c r="Q101" s="25">
        <f>IFERROR(__xludf.DUMMYFUNCTION("""COMPUTED_VALUE"""),0.856963)</f>
        <v>0.856963</v>
      </c>
      <c r="R101" s="18">
        <f>IFERROR(__xludf.DUMMYFUNCTION("""COMPUTED_VALUE"""),1.702375)</f>
        <v>1.702375</v>
      </c>
      <c r="S101" s="18">
        <f>IFERROR(__xludf.DUMMYFUNCTION("""COMPUTED_VALUE"""),-0.1188813673536509)</f>
        <v>-0.1188813674</v>
      </c>
      <c r="T101" s="18">
        <f>IFERROR(__xludf.DUMMYFUNCTION("""COMPUTED_VALUE"""),-0.12404069663052993)</f>
        <v>-0.1240406966</v>
      </c>
      <c r="U101" s="18">
        <f>IFERROR(__xludf.DUMMYFUNCTION("""COMPUTED_VALUE"""),-1.279496883730497)</f>
        <v>-1.279496884</v>
      </c>
      <c r="V101" s="18">
        <f>IFERROR(__xludf.DUMMYFUNCTION("""COMPUTED_VALUE"""),0.25542061359874146)</f>
        <v>0.2554206136</v>
      </c>
      <c r="W101" s="18">
        <f>IFERROR(__xludf.DUMMYFUNCTION("""COMPUTED_VALUE"""),-0.45537109470128734)</f>
        <v>-0.4553710947</v>
      </c>
      <c r="X101" s="18">
        <f>IFERROR(__xludf.DUMMYFUNCTION("""COMPUTED_VALUE"""),-0.38627290153198524)</f>
        <v>-0.3862729015</v>
      </c>
      <c r="Y101" s="18">
        <f>IFERROR(__xludf.DUMMYFUNCTION("""COMPUTED_VALUE"""),0.11112993362076651)</f>
        <v>0.1111299336</v>
      </c>
      <c r="Z101" s="18">
        <f>IFERROR(__xludf.DUMMYFUNCTION("""COMPUTED_VALUE"""),0.9427418259867599)</f>
        <v>0.942741826</v>
      </c>
      <c r="AA101" s="18">
        <f>IFERROR(__xludf.DUMMYFUNCTION("""COMPUTED_VALUE"""),0.0)</f>
        <v>0</v>
      </c>
      <c r="AB101" t="str">
        <f>IFERROR(__xludf.DUMMYFUNCTION("SUBSTITUTE(REGEXREPLACE(REGEXREPLACE(REGEXREPLACE(REGEXREPLACE(REGEXREPLACE(REGEXREPLACE(F101,"","",),IF(Projections!$T$11="""",""PG"",),),IF(Projections!$U$11="""",""SG"",),),IF(Projections!$V$11="""",""SF"",),),IF(Projections!$W$11="""",""PF"",),),IF(Pr"&amp;"ojections!$X$11="""",""C"",),),""/"","""")"),"GF")</f>
        <v>GF</v>
      </c>
    </row>
    <row r="102">
      <c r="A102" t="str">
        <f>IF(Projections!$AB$11,Draft!L4,"")</f>
        <v/>
      </c>
      <c r="B102">
        <f>IFERROR(__xludf.DUMMYFUNCTION("""COMPUTED_VALUE"""),97.0)</f>
        <v>97</v>
      </c>
      <c r="D102" t="str">
        <f>IFERROR(__xludf.DUMMYFUNCTION("""COMPUTED_VALUE"""),"Brandon Ingram")</f>
        <v>Brandon Ingram</v>
      </c>
      <c r="E102">
        <f>IFERROR(__xludf.DUMMYFUNCTION("""COMPUTED_VALUE"""),61.0)</f>
        <v>61</v>
      </c>
      <c r="F102" t="str">
        <f>IFERROR(__xludf.DUMMYFUNCTION("""COMPUTED_VALUE"""),"F")</f>
        <v>F</v>
      </c>
      <c r="G102" s="18">
        <f>IFERROR(__xludf.DUMMYFUNCTION("""COMPUTED_VALUE"""),0.21848941303554648)</f>
        <v>0.218489413</v>
      </c>
      <c r="H102" s="18">
        <f>IFERROR(__xludf.DUMMYFUNCTION("""COMPUTED_VALUE"""),0.4872505494919235)</f>
        <v>0.4872505495</v>
      </c>
      <c r="I102" s="18">
        <f>IFERROR(__xludf.DUMMYFUNCTION("""COMPUTED_VALUE"""),0.268761136456377)</f>
        <v>0.2687611365</v>
      </c>
      <c r="J102" s="18">
        <f>IFERROR(__xludf.DUMMYFUNCTION("""COMPUTED_VALUE"""),19.02902)</f>
        <v>19.02902</v>
      </c>
      <c r="K102" s="18">
        <f>IFERROR(__xludf.DUMMYFUNCTION("""COMPUTED_VALUE"""),1.749672)</f>
        <v>1.749672</v>
      </c>
      <c r="L102" s="18">
        <f>IFERROR(__xludf.DUMMYFUNCTION("""COMPUTED_VALUE"""),5.523443)</f>
        <v>5.523443</v>
      </c>
      <c r="M102" s="18">
        <f>IFERROR(__xludf.DUMMYFUNCTION("""COMPUTED_VALUE"""),4.744426)</f>
        <v>4.744426</v>
      </c>
      <c r="N102" s="18">
        <f>IFERROR(__xludf.DUMMYFUNCTION("""COMPUTED_VALUE"""),0.708197)</f>
        <v>0.708197</v>
      </c>
      <c r="O102" s="18">
        <f>IFERROR(__xludf.DUMMYFUNCTION("""COMPUTED_VALUE"""),0.566557)</f>
        <v>0.566557</v>
      </c>
      <c r="P102" s="25">
        <f>IFERROR(__xludf.DUMMYFUNCTION("""COMPUTED_VALUE"""),0.468587)</f>
        <v>0.468587</v>
      </c>
      <c r="Q102" s="25">
        <f>IFERROR(__xludf.DUMMYFUNCTION("""COMPUTED_VALUE"""),0.836999)</f>
        <v>0.836999</v>
      </c>
      <c r="R102" s="18">
        <f>IFERROR(__xludf.DUMMYFUNCTION("""COMPUTED_VALUE"""),2.832459)</f>
        <v>2.832459</v>
      </c>
      <c r="S102" s="18">
        <f>IFERROR(__xludf.DUMMYFUNCTION("""COMPUTED_VALUE"""),0.32534283493714156)</f>
        <v>0.3253428349</v>
      </c>
      <c r="T102" s="18">
        <f>IFERROR(__xludf.DUMMYFUNCTION("""COMPUTED_VALUE"""),-0.01920237424131968)</f>
        <v>-0.01920237424</v>
      </c>
      <c r="U102" s="18">
        <f>IFERROR(__xludf.DUMMYFUNCTION("""COMPUTED_VALUE"""),-0.2444495553015419)</f>
        <v>-0.2444495553</v>
      </c>
      <c r="V102" s="18">
        <f>IFERROR(__xludf.DUMMYFUNCTION("""COMPUTED_VALUE"""),0.4433404162786851)</f>
        <v>0.4433404163</v>
      </c>
      <c r="W102" s="18">
        <f>IFERROR(__xludf.DUMMYFUNCTION("""COMPUTED_VALUE"""),-1.0268882300646038)</f>
        <v>-1.02688823</v>
      </c>
      <c r="X102" s="18">
        <f>IFERROR(__xludf.DUMMYFUNCTION("""COMPUTED_VALUE"""),-0.29754215500783265)</f>
        <v>-0.297542155</v>
      </c>
      <c r="Y102" s="18">
        <f>IFERROR(__xludf.DUMMYFUNCTION("""COMPUTED_VALUE"""),-0.3743667529179966)</f>
        <v>-0.3743667529</v>
      </c>
      <c r="Z102" s="18">
        <f>IFERROR(__xludf.DUMMYFUNCTION("""COMPUTED_VALUE"""),0.6541281357447875)</f>
        <v>0.6541281357</v>
      </c>
      <c r="AA102" s="18">
        <f>IFERROR(__xludf.DUMMYFUNCTION("""COMPUTED_VALUE"""),0.0)</f>
        <v>0</v>
      </c>
      <c r="AB102" t="str">
        <f>IFERROR(__xludf.DUMMYFUNCTION("SUBSTITUTE(REGEXREPLACE(REGEXREPLACE(REGEXREPLACE(REGEXREPLACE(REGEXREPLACE(REGEXREPLACE(F102,"","",),IF(Projections!$T$11="""",""PG"",),),IF(Projections!$U$11="""",""SG"",),),IF(Projections!$V$11="""",""SF"",),),IF(Projections!$W$11="""",""PF"",),),IF(Pr"&amp;"ojections!$X$11="""",""C"",),),""/"","""")"),"F")</f>
        <v>F</v>
      </c>
    </row>
    <row r="103">
      <c r="A103" t="str">
        <f>IF(Projections!$AB$11,Draft!L5,"")</f>
        <v/>
      </c>
      <c r="B103">
        <f>IFERROR(__xludf.DUMMYFUNCTION("""COMPUTED_VALUE"""),98.0)</f>
        <v>98</v>
      </c>
      <c r="D103" t="str">
        <f>IFERROR(__xludf.DUMMYFUNCTION("""COMPUTED_VALUE"""),"Donovan Clingan")</f>
        <v>Donovan Clingan</v>
      </c>
      <c r="E103">
        <f>IFERROR(__xludf.DUMMYFUNCTION("""COMPUTED_VALUE"""),68.0)</f>
        <v>68</v>
      </c>
      <c r="F103" t="str">
        <f>IFERROR(__xludf.DUMMYFUNCTION("""COMPUTED_VALUE"""),"C")</f>
        <v>C</v>
      </c>
      <c r="G103" s="18">
        <f>IFERROR(__xludf.DUMMYFUNCTION("""COMPUTED_VALUE"""),0.2099285764078489)</f>
        <v>0.2099285764</v>
      </c>
      <c r="H103" s="18">
        <f>IFERROR(__xludf.DUMMYFUNCTION("""COMPUTED_VALUE"""),0.126164013678699)</f>
        <v>0.1261640137</v>
      </c>
      <c r="I103" s="18">
        <f>IFERROR(__xludf.DUMMYFUNCTION("""COMPUTED_VALUE"""),-0.0837645627291499)</f>
        <v>-0.08376456273</v>
      </c>
      <c r="J103" s="18">
        <f>IFERROR(__xludf.DUMMYFUNCTION("""COMPUTED_VALUE"""),11.13206)</f>
        <v>11.13206</v>
      </c>
      <c r="K103" s="18">
        <f>IFERROR(__xludf.DUMMYFUNCTION("""COMPUTED_VALUE"""),0.3125)</f>
        <v>0.3125</v>
      </c>
      <c r="L103" s="18">
        <f>IFERROR(__xludf.DUMMYFUNCTION("""COMPUTED_VALUE"""),10.3275)</f>
        <v>10.3275</v>
      </c>
      <c r="M103" s="18">
        <f>IFERROR(__xludf.DUMMYFUNCTION("""COMPUTED_VALUE"""),1.861176)</f>
        <v>1.861176</v>
      </c>
      <c r="N103" s="18">
        <f>IFERROR(__xludf.DUMMYFUNCTION("""COMPUTED_VALUE"""),0.71)</f>
        <v>0.71</v>
      </c>
      <c r="O103" s="18">
        <f>IFERROR(__xludf.DUMMYFUNCTION("""COMPUTED_VALUE"""),1.721176)</f>
        <v>1.721176</v>
      </c>
      <c r="P103" s="25">
        <f>IFERROR(__xludf.DUMMYFUNCTION("""COMPUTED_VALUE"""),0.559216)</f>
        <v>0.559216</v>
      </c>
      <c r="Q103" s="25">
        <f>IFERROR(__xludf.DUMMYFUNCTION("""COMPUTED_VALUE"""),0.579018)</f>
        <v>0.579018</v>
      </c>
      <c r="R103" s="18">
        <f>IFERROR(__xludf.DUMMYFUNCTION("""COMPUTED_VALUE"""),1.410882)</f>
        <v>1.410882</v>
      </c>
      <c r="S103" s="18">
        <f>IFERROR(__xludf.DUMMYFUNCTION("""COMPUTED_VALUE"""),-1.0601204538687516)</f>
        <v>-1.060120454</v>
      </c>
      <c r="T103" s="18">
        <f>IFERROR(__xludf.DUMMYFUNCTION("""COMPUTED_VALUE"""),-1.4072711505754987)</f>
        <v>-1.407271151</v>
      </c>
      <c r="U103" s="18">
        <f>IFERROR(__xludf.DUMMYFUNCTION("""COMPUTED_VALUE"""),1.702892274326306)</f>
        <v>1.702892274</v>
      </c>
      <c r="V103" s="18">
        <f>IFERROR(__xludf.DUMMYFUNCTION("""COMPUTED_VALUE"""),-0.9651690074362016)</f>
        <v>-0.9651690074</v>
      </c>
      <c r="W103" s="18">
        <f>IFERROR(__xludf.DUMMYFUNCTION("""COMPUTED_VALUE"""),-1.0213940743056449)</f>
        <v>-1.021394074</v>
      </c>
      <c r="X103" s="18">
        <f>IFERROR(__xludf.DUMMYFUNCTION("""COMPUTED_VALUE"""),1.8015462097957944)</f>
        <v>1.80154621</v>
      </c>
      <c r="Y103" s="18">
        <f>IFERROR(__xludf.DUMMYFUNCTION("""COMPUTED_VALUE"""),1.0756802157426955)</f>
        <v>1.075680216</v>
      </c>
      <c r="Z103" s="18">
        <f>IFERROR(__xludf.DUMMYFUNCTION("""COMPUTED_VALUE"""),-1.931185437397601)</f>
        <v>-1.931185437</v>
      </c>
      <c r="AA103" s="18">
        <f>IFERROR(__xludf.DUMMYFUNCTION("""COMPUTED_VALUE"""),0.0)</f>
        <v>0</v>
      </c>
      <c r="AB103" t="str">
        <f>IFERROR(__xludf.DUMMYFUNCTION("SUBSTITUTE(REGEXREPLACE(REGEXREPLACE(REGEXREPLACE(REGEXREPLACE(REGEXREPLACE(REGEXREPLACE(F103,"","",),IF(Projections!$T$11="""",""PG"",),),IF(Projections!$U$11="""",""SG"",),),IF(Projections!$V$11="""",""SF"",),),IF(Projections!$W$11="""",""PF"",),),IF(Pr"&amp;"ojections!$X$11="""",""C"",),),""/"","""")"),"C")</f>
        <v>C</v>
      </c>
    </row>
    <row r="104">
      <c r="A104" t="str">
        <f>IF(Projections!$AB$11,Draft!L6,"")</f>
        <v/>
      </c>
      <c r="B104">
        <f>IFERROR(__xludf.DUMMYFUNCTION("""COMPUTED_VALUE"""),99.0)</f>
        <v>99</v>
      </c>
      <c r="D104" t="str">
        <f>IFERROR(__xludf.DUMMYFUNCTION("""COMPUTED_VALUE"""),"Jalen Suggs")</f>
        <v>Jalen Suggs</v>
      </c>
      <c r="E104">
        <f>IFERROR(__xludf.DUMMYFUNCTION("""COMPUTED_VALUE"""),61.0)</f>
        <v>61</v>
      </c>
      <c r="F104" t="str">
        <f>IFERROR(__xludf.DUMMYFUNCTION("""COMPUTED_VALUE"""),"G")</f>
        <v>G</v>
      </c>
      <c r="G104" s="18">
        <f>IFERROR(__xludf.DUMMYFUNCTION("""COMPUTED_VALUE"""),0.10426750160354625)</f>
        <v>0.1042675016</v>
      </c>
      <c r="H104" s="18">
        <f>IFERROR(__xludf.DUMMYFUNCTION("""COMPUTED_VALUE"""),0.2326139618769788)</f>
        <v>0.2326139619</v>
      </c>
      <c r="I104" s="18">
        <f>IFERROR(__xludf.DUMMYFUNCTION("""COMPUTED_VALUE"""),0.12834646027343255)</f>
        <v>0.1283464603</v>
      </c>
      <c r="J104" s="18">
        <f>IFERROR(__xludf.DUMMYFUNCTION("""COMPUTED_VALUE"""),12.77279)</f>
        <v>12.77279</v>
      </c>
      <c r="K104" s="18">
        <f>IFERROR(__xludf.DUMMYFUNCTION("""COMPUTED_VALUE"""),1.747869)</f>
        <v>1.747869</v>
      </c>
      <c r="L104" s="18">
        <f>IFERROR(__xludf.DUMMYFUNCTION("""COMPUTED_VALUE"""),3.858689)</f>
        <v>3.858689</v>
      </c>
      <c r="M104" s="18">
        <f>IFERROR(__xludf.DUMMYFUNCTION("""COMPUTED_VALUE"""),3.307541)</f>
        <v>3.307541</v>
      </c>
      <c r="N104" s="18">
        <f>IFERROR(__xludf.DUMMYFUNCTION("""COMPUTED_VALUE"""),1.486066)</f>
        <v>1.486066</v>
      </c>
      <c r="O104" s="18">
        <f>IFERROR(__xludf.DUMMYFUNCTION("""COMPUTED_VALUE"""),0.851311)</f>
        <v>0.851311</v>
      </c>
      <c r="P104" s="25">
        <f>IFERROR(__xludf.DUMMYFUNCTION("""COMPUTED_VALUE"""),0.419407)</f>
        <v>0.419407</v>
      </c>
      <c r="Q104" s="25">
        <f>IFERROR(__xludf.DUMMYFUNCTION("""COMPUTED_VALUE"""),0.836005)</f>
        <v>0.836005</v>
      </c>
      <c r="R104" s="18">
        <f>IFERROR(__xludf.DUMMYFUNCTION("""COMPUTED_VALUE"""),2.26623)</f>
        <v>2.26623</v>
      </c>
      <c r="S104" s="18">
        <f>IFERROR(__xludf.DUMMYFUNCTION("""COMPUTED_VALUE"""),-0.7722664971762402)</f>
        <v>-0.7722664972</v>
      </c>
      <c r="T104" s="18">
        <f>IFERROR(__xludf.DUMMYFUNCTION("""COMPUTED_VALUE"""),-0.02094377193326645)</f>
        <v>-0.02094377193</v>
      </c>
      <c r="U104" s="18">
        <f>IFERROR(__xludf.DUMMYFUNCTION("""COMPUTED_VALUE"""),-0.9192635927370425)</f>
        <v>-0.9192635927</v>
      </c>
      <c r="V104" s="18">
        <f>IFERROR(__xludf.DUMMYFUNCTION("""COMPUTED_VALUE"""),-0.25859873686258417)</f>
        <v>-0.2585987369</v>
      </c>
      <c r="W104" s="18">
        <f>IFERROR(__xludf.DUMMYFUNCTION("""COMPUTED_VALUE"""),1.3434575525564558)</f>
        <v>1.343457553</v>
      </c>
      <c r="X104" s="18">
        <f>IFERROR(__xludf.DUMMYFUNCTION("""COMPUTED_VALUE"""),0.22013840302151913)</f>
        <v>0.220138403</v>
      </c>
      <c r="Y104" s="18">
        <f>IFERROR(__xludf.DUMMYFUNCTION("""COMPUTED_VALUE"""),-0.9546896284953122)</f>
        <v>-0.9546896285</v>
      </c>
      <c r="Z104" s="18">
        <f>IFERROR(__xludf.DUMMYFUNCTION("""COMPUTED_VALUE"""),0.6400906050081372)</f>
        <v>0.640090605</v>
      </c>
      <c r="AA104" s="18">
        <f>IFERROR(__xludf.DUMMYFUNCTION("""COMPUTED_VALUE"""),0.0)</f>
        <v>0</v>
      </c>
      <c r="AB104" t="str">
        <f>IFERROR(__xludf.DUMMYFUNCTION("SUBSTITUTE(REGEXREPLACE(REGEXREPLACE(REGEXREPLACE(REGEXREPLACE(REGEXREPLACE(REGEXREPLACE(F104,"","",),IF(Projections!$T$11="""",""PG"",),),IF(Projections!$U$11="""",""SG"",),),IF(Projections!$V$11="""",""SF"",),),IF(Projections!$W$11="""",""PF"",),),IF(Pr"&amp;"ojections!$X$11="""",""C"",),),""/"","""")"),"G")</f>
        <v>G</v>
      </c>
    </row>
    <row r="105">
      <c r="A105" t="str">
        <f>IF(Projections!$AB$11,Draft!L7,"")</f>
        <v/>
      </c>
      <c r="B105">
        <f>IFERROR(__xludf.DUMMYFUNCTION("""COMPUTED_VALUE"""),100.0)</f>
        <v>100</v>
      </c>
      <c r="D105" t="str">
        <f>IFERROR(__xludf.DUMMYFUNCTION("""COMPUTED_VALUE"""),"Herb Jones")</f>
        <v>Herb Jones</v>
      </c>
      <c r="E105">
        <f>IFERROR(__xludf.DUMMYFUNCTION("""COMPUTED_VALUE"""),73.0)</f>
        <v>73</v>
      </c>
      <c r="F105" t="str">
        <f>IFERROR(__xludf.DUMMYFUNCTION("""COMPUTED_VALUE"""),"F")</f>
        <v>F</v>
      </c>
      <c r="G105" s="18">
        <f>IFERROR(__xludf.DUMMYFUNCTION("""COMPUTED_VALUE"""),0.026228674799771756)</f>
        <v>0.0262286748</v>
      </c>
      <c r="H105" s="18">
        <f>IFERROR(__xludf.DUMMYFUNCTION("""COMPUTED_VALUE"""),0.02306028972465657)</f>
        <v>0.02306028972</v>
      </c>
      <c r="I105" s="18">
        <f>IFERROR(__xludf.DUMMYFUNCTION("""COMPUTED_VALUE"""),-0.0031683850751151876)</f>
        <v>-0.003168385075</v>
      </c>
      <c r="J105" s="18">
        <f>IFERROR(__xludf.DUMMYFUNCTION("""COMPUTED_VALUE"""),10.25288)</f>
        <v>10.25288</v>
      </c>
      <c r="K105" s="18">
        <f>IFERROR(__xludf.DUMMYFUNCTION("""COMPUTED_VALUE"""),1.004932)</f>
        <v>1.004932</v>
      </c>
      <c r="L105" s="18">
        <f>IFERROR(__xludf.DUMMYFUNCTION("""COMPUTED_VALUE"""),4.027397)</f>
        <v>4.027397</v>
      </c>
      <c r="M105" s="18">
        <f>IFERROR(__xludf.DUMMYFUNCTION("""COMPUTED_VALUE"""),3.062329)</f>
        <v>3.062329</v>
      </c>
      <c r="N105" s="18">
        <f>IFERROR(__xludf.DUMMYFUNCTION("""COMPUTED_VALUE"""),1.737671)</f>
        <v>1.737671</v>
      </c>
      <c r="O105" s="18">
        <f>IFERROR(__xludf.DUMMYFUNCTION("""COMPUTED_VALUE"""),0.555068)</f>
        <v>0.555068</v>
      </c>
      <c r="P105" s="25">
        <f>IFERROR(__xludf.DUMMYFUNCTION("""COMPUTED_VALUE"""),0.45336)</f>
        <v>0.45336</v>
      </c>
      <c r="Q105" s="25">
        <f>IFERROR(__xludf.DUMMYFUNCTION("""COMPUTED_VALUE"""),0.845028)</f>
        <v>0.845028</v>
      </c>
      <c r="R105" s="18">
        <f>IFERROR(__xludf.DUMMYFUNCTION("""COMPUTED_VALUE"""),1.73589)</f>
        <v>1.73589</v>
      </c>
      <c r="S105" s="18">
        <f>IFERROR(__xludf.DUMMYFUNCTION("""COMPUTED_VALUE"""),-1.2143660894364086)</f>
        <v>-1.214366089</v>
      </c>
      <c r="T105" s="18">
        <f>IFERROR(__xludf.DUMMYFUNCTION("""COMPUTED_VALUE"""),-0.7384971701927552)</f>
        <v>-0.7384971702</v>
      </c>
      <c r="U105" s="18">
        <f>IFERROR(__xludf.DUMMYFUNCTION("""COMPUTED_VALUE"""),-0.8508771965321569)</f>
        <v>-0.8508771965</v>
      </c>
      <c r="V105" s="18">
        <f>IFERROR(__xludf.DUMMYFUNCTION("""COMPUTED_VALUE"""),-0.3783883537213286)</f>
        <v>-0.3783883537</v>
      </c>
      <c r="W105" s="18">
        <f>IFERROR(__xludf.DUMMYFUNCTION("""COMPUTED_VALUE"""),2.1101558663295608)</f>
        <v>2.110155866</v>
      </c>
      <c r="X105" s="18">
        <f>IFERROR(__xludf.DUMMYFUNCTION("""COMPUTED_VALUE"""),-0.3184290676805228)</f>
        <v>-0.3184290677</v>
      </c>
      <c r="Y105" s="18">
        <f>IFERROR(__xludf.DUMMYFUNCTION("""COMPUTED_VALUE"""),-0.5695756534019499)</f>
        <v>-0.5695756534</v>
      </c>
      <c r="Z105" s="18">
        <f>IFERROR(__xludf.DUMMYFUNCTION("""COMPUTED_VALUE"""),0.7686718649238096)</f>
        <v>0.7686718649</v>
      </c>
      <c r="AA105" s="18">
        <f>IFERROR(__xludf.DUMMYFUNCTION("""COMPUTED_VALUE"""),0.0)</f>
        <v>0</v>
      </c>
      <c r="AB105" t="str">
        <f>IFERROR(__xludf.DUMMYFUNCTION("SUBSTITUTE(REGEXREPLACE(REGEXREPLACE(REGEXREPLACE(REGEXREPLACE(REGEXREPLACE(REGEXREPLACE(F105,"","",),IF(Projections!$T$11="""",""PG"",),),IF(Projections!$U$11="""",""SG"",),),IF(Projections!$V$11="""",""SF"",),),IF(Projections!$W$11="""",""PF"",),),IF(Pr"&amp;"ojections!$X$11="""",""C"",),),""/"","""")"),"F")</f>
        <v>F</v>
      </c>
    </row>
    <row r="106">
      <c r="A106" t="str">
        <f>IF(Projections!$AB$11,Draft!L8,"")</f>
        <v/>
      </c>
      <c r="B106">
        <f>IFERROR(__xludf.DUMMYFUNCTION("""COMPUTED_VALUE"""),101.0)</f>
        <v>101</v>
      </c>
      <c r="D106" t="str">
        <f>IFERROR(__xludf.DUMMYFUNCTION("""COMPUTED_VALUE"""),"Cason Wallace")</f>
        <v>Cason Wallace</v>
      </c>
      <c r="E106">
        <f>IFERROR(__xludf.DUMMYFUNCTION("""COMPUTED_VALUE"""),73.0)</f>
        <v>73</v>
      </c>
      <c r="F106" t="str">
        <f>IFERROR(__xludf.DUMMYFUNCTION("""COMPUTED_VALUE"""),"G,F")</f>
        <v>G,F</v>
      </c>
      <c r="G106" s="18">
        <f>IFERROR(__xludf.DUMMYFUNCTION("""COMPUTED_VALUE"""),-0.051516770834307835)</f>
        <v>-0.05151677083</v>
      </c>
      <c r="H106" s="18">
        <f>IFERROR(__xludf.DUMMYFUNCTION("""COMPUTED_VALUE"""),-0.2335038333740891)</f>
        <v>-0.2335038334</v>
      </c>
      <c r="I106" s="18">
        <f>IFERROR(__xludf.DUMMYFUNCTION("""COMPUTED_VALUE"""),-0.18198706253978125)</f>
        <v>-0.1819870625</v>
      </c>
      <c r="J106" s="18">
        <f>IFERROR(__xludf.DUMMYFUNCTION("""COMPUTED_VALUE"""),9.631644)</f>
        <v>9.631644</v>
      </c>
      <c r="K106" s="18">
        <f>IFERROR(__xludf.DUMMYFUNCTION("""COMPUTED_VALUE"""),1.197397)</f>
        <v>1.197397</v>
      </c>
      <c r="L106" s="18">
        <f>IFERROR(__xludf.DUMMYFUNCTION("""COMPUTED_VALUE"""),3.093973)</f>
        <v>3.093973</v>
      </c>
      <c r="M106" s="18">
        <f>IFERROR(__xludf.DUMMYFUNCTION("""COMPUTED_VALUE"""),2.677534)</f>
        <v>2.677534</v>
      </c>
      <c r="N106" s="18">
        <f>IFERROR(__xludf.DUMMYFUNCTION("""COMPUTED_VALUE"""),1.833562)</f>
        <v>1.833562</v>
      </c>
      <c r="O106" s="18">
        <f>IFERROR(__xludf.DUMMYFUNCTION("""COMPUTED_VALUE"""),0.418082)</f>
        <v>0.418082</v>
      </c>
      <c r="P106" s="25">
        <f>IFERROR(__xludf.DUMMYFUNCTION("""COMPUTED_VALUE"""),0.505295)</f>
        <v>0.505295</v>
      </c>
      <c r="Q106" s="25">
        <f>IFERROR(__xludf.DUMMYFUNCTION("""COMPUTED_VALUE"""),0.797946)</f>
        <v>0.797946</v>
      </c>
      <c r="R106" s="18">
        <f>IFERROR(__xludf.DUMMYFUNCTION("""COMPUTED_VALUE"""),1.014795)</f>
        <v>1.014795</v>
      </c>
      <c r="S106" s="18">
        <f>IFERROR(__xludf.DUMMYFUNCTION("""COMPUTED_VALUE"""),-1.3233573559091547)</f>
        <v>-1.323357356</v>
      </c>
      <c r="T106" s="18">
        <f>IFERROR(__xludf.DUMMYFUNCTION("""COMPUTED_VALUE"""),-0.5526080372029962)</f>
        <v>-0.5526080372</v>
      </c>
      <c r="U106" s="18">
        <f>IFERROR(__xludf.DUMMYFUNCTION("""COMPUTED_VALUE"""),-1.2292439811016453)</f>
        <v>-1.229243981</v>
      </c>
      <c r="V106" s="18">
        <f>IFERROR(__xludf.DUMMYFUNCTION("""COMPUTED_VALUE"""),-0.5663662896264252)</f>
        <v>-0.5663662896</v>
      </c>
      <c r="W106" s="18">
        <f>IFERROR(__xludf.DUMMYFUNCTION("""COMPUTED_VALUE"""),2.4023578019270917)</f>
        <v>2.402357802</v>
      </c>
      <c r="X106" s="18">
        <f>IFERROR(__xludf.DUMMYFUNCTION("""COMPUTED_VALUE"""),-0.5674685506103807)</f>
        <v>-0.5674685506</v>
      </c>
      <c r="Y106" s="18">
        <f>IFERROR(__xludf.DUMMYFUNCTION("""COMPUTED_VALUE"""),0.15349560165551962)</f>
        <v>0.1534956017</v>
      </c>
      <c r="Z106" s="18">
        <f>IFERROR(__xludf.DUMMYFUNCTION("""COMPUTED_VALUE"""),0.12632962158474748)</f>
        <v>0.1263296216</v>
      </c>
      <c r="AA106" s="18">
        <f>IFERROR(__xludf.DUMMYFUNCTION("""COMPUTED_VALUE"""),0.0)</f>
        <v>0</v>
      </c>
      <c r="AB106" t="str">
        <f>IFERROR(__xludf.DUMMYFUNCTION("SUBSTITUTE(REGEXREPLACE(REGEXREPLACE(REGEXREPLACE(REGEXREPLACE(REGEXREPLACE(REGEXREPLACE(F106,"","",),IF(Projections!$T$11="""",""PG"",),),IF(Projections!$U$11="""",""SG"",),),IF(Projections!$V$11="""",""SF"",),),IF(Projections!$W$11="""",""PF"",),),IF(Pr"&amp;"ojections!$X$11="""",""C"",),),""/"","""")"),"GF")</f>
        <v>GF</v>
      </c>
    </row>
    <row r="107">
      <c r="A107" t="str">
        <f>IF(Projections!$AB$11,Draft!L9,"")</f>
        <v/>
      </c>
      <c r="B107">
        <f>IFERROR(__xludf.DUMMYFUNCTION("""COMPUTED_VALUE"""),102.0)</f>
        <v>102</v>
      </c>
      <c r="D107" t="str">
        <f>IFERROR(__xludf.DUMMYFUNCTION("""COMPUTED_VALUE"""),"Andrew Wiggins")</f>
        <v>Andrew Wiggins</v>
      </c>
      <c r="E107">
        <f>IFERROR(__xludf.DUMMYFUNCTION("""COMPUTED_VALUE"""),68.0)</f>
        <v>68</v>
      </c>
      <c r="F107" t="str">
        <f>IFERROR(__xludf.DUMMYFUNCTION("""COMPUTED_VALUE"""),"G,F")</f>
        <v>G,F</v>
      </c>
      <c r="G107" s="18">
        <f>IFERROR(__xludf.DUMMYFUNCTION("""COMPUTED_VALUE"""),-0.05305034724921376)</f>
        <v>-0.05305034725</v>
      </c>
      <c r="H107" s="18">
        <f>IFERROR(__xludf.DUMMYFUNCTION("""COMPUTED_VALUE"""),0.08137291523650936)</f>
        <v>0.08137291524</v>
      </c>
      <c r="I107" s="18">
        <f>IFERROR(__xludf.DUMMYFUNCTION("""COMPUTED_VALUE"""),0.13442326248572312)</f>
        <v>0.1344232625</v>
      </c>
      <c r="J107" s="18">
        <f>IFERROR(__xludf.DUMMYFUNCTION("""COMPUTED_VALUE"""),18.89221)</f>
        <v>18.89221</v>
      </c>
      <c r="K107" s="18">
        <f>IFERROR(__xludf.DUMMYFUNCTION("""COMPUTED_VALUE"""),2.253971)</f>
        <v>2.253971</v>
      </c>
      <c r="L107" s="18">
        <f>IFERROR(__xludf.DUMMYFUNCTION("""COMPUTED_VALUE"""),4.918382)</f>
        <v>4.918382</v>
      </c>
      <c r="M107" s="18">
        <f>IFERROR(__xludf.DUMMYFUNCTION("""COMPUTED_VALUE"""),3.368824)</f>
        <v>3.368824</v>
      </c>
      <c r="N107" s="18">
        <f>IFERROR(__xludf.DUMMYFUNCTION("""COMPUTED_VALUE"""),1.086471)</f>
        <v>1.086471</v>
      </c>
      <c r="O107" s="18">
        <f>IFERROR(__xludf.DUMMYFUNCTION("""COMPUTED_VALUE"""),0.871176)</f>
        <v>0.871176</v>
      </c>
      <c r="P107" s="25">
        <f>IFERROR(__xludf.DUMMYFUNCTION("""COMPUTED_VALUE"""),0.44985)</f>
        <v>0.44985</v>
      </c>
      <c r="Q107" s="25">
        <f>IFERROR(__xludf.DUMMYFUNCTION("""COMPUTED_VALUE"""),0.759003)</f>
        <v>0.759003</v>
      </c>
      <c r="R107" s="18">
        <f>IFERROR(__xludf.DUMMYFUNCTION("""COMPUTED_VALUE"""),2.290735)</f>
        <v>2.290735</v>
      </c>
      <c r="S107" s="18">
        <f>IFERROR(__xludf.DUMMYFUNCTION("""COMPUTED_VALUE"""),0.30134053119728027)</f>
        <v>0.3013405312</v>
      </c>
      <c r="T107" s="18">
        <f>IFERROR(__xludf.DUMMYFUNCTION("""COMPUTED_VALUE"""),0.4678664636128483)</f>
        <v>0.4678664636</v>
      </c>
      <c r="U107" s="18">
        <f>IFERROR(__xludf.DUMMYFUNCTION("""COMPUTED_VALUE"""),-0.48971321365872944)</f>
        <v>-0.4897132137</v>
      </c>
      <c r="V107" s="18">
        <f>IFERROR(__xludf.DUMMYFUNCTION("""COMPUTED_VALUE"""),-0.22866110293783976)</f>
        <v>-0.2286611029</v>
      </c>
      <c r="W107" s="18">
        <f>IFERROR(__xludf.DUMMYFUNCTION("""COMPUTED_VALUE"""),0.1257996654231949)</f>
        <v>0.1257996654</v>
      </c>
      <c r="X107" s="18">
        <f>IFERROR(__xludf.DUMMYFUNCTION("""COMPUTED_VALUE"""),0.25625281857056503)</f>
        <v>0.2562528186</v>
      </c>
      <c r="Y107" s="18">
        <f>IFERROR(__xludf.DUMMYFUNCTION("""COMPUTED_VALUE"""),-0.6125979438029884)</f>
        <v>-0.6125979438</v>
      </c>
      <c r="Z107" s="18">
        <f>IFERROR(__xludf.DUMMYFUNCTION("""COMPUTED_VALUE"""),-0.3515122469708099)</f>
        <v>-0.351512247</v>
      </c>
      <c r="AA107" s="18">
        <f>IFERROR(__xludf.DUMMYFUNCTION("""COMPUTED_VALUE"""),0.0)</f>
        <v>0</v>
      </c>
      <c r="AB107" t="str">
        <f>IFERROR(__xludf.DUMMYFUNCTION("SUBSTITUTE(REGEXREPLACE(REGEXREPLACE(REGEXREPLACE(REGEXREPLACE(REGEXREPLACE(REGEXREPLACE(F107,"","",),IF(Projections!$T$11="""",""PG"",),),IF(Projections!$U$11="""",""SG"",),),IF(Projections!$V$11="""",""SF"",),),IF(Projections!$W$11="""",""PF"",),),IF(Pr"&amp;"ojections!$X$11="""",""C"",),),""/"","""")"),"GF")</f>
        <v>GF</v>
      </c>
    </row>
    <row r="108">
      <c r="A108" t="str">
        <f>IF(Projections!$AB$11,Draft!L10,"")</f>
        <v/>
      </c>
      <c r="B108">
        <f>IFERROR(__xludf.DUMMYFUNCTION("""COMPUTED_VALUE"""),103.0)</f>
        <v>103</v>
      </c>
      <c r="D108" t="str">
        <f>IFERROR(__xludf.DUMMYFUNCTION("""COMPUTED_VALUE"""),"Norman Powell")</f>
        <v>Norman Powell</v>
      </c>
      <c r="E108">
        <f>IFERROR(__xludf.DUMMYFUNCTION("""COMPUTED_VALUE"""),68.0)</f>
        <v>68</v>
      </c>
      <c r="F108" t="str">
        <f>IFERROR(__xludf.DUMMYFUNCTION("""COMPUTED_VALUE"""),"G,F")</f>
        <v>G,F</v>
      </c>
      <c r="G108" s="18">
        <f>IFERROR(__xludf.DUMMYFUNCTION("""COMPUTED_VALUE"""),-0.07593745724840906)</f>
        <v>-0.07593745725</v>
      </c>
      <c r="H108" s="18">
        <f>IFERROR(__xludf.DUMMYFUNCTION("""COMPUTED_VALUE"""),-0.11619553829101847)</f>
        <v>-0.1161955383</v>
      </c>
      <c r="I108" s="18">
        <f>IFERROR(__xludf.DUMMYFUNCTION("""COMPUTED_VALUE"""),-0.04025808104260942)</f>
        <v>-0.04025808104</v>
      </c>
      <c r="J108" s="18">
        <f>IFERROR(__xludf.DUMMYFUNCTION("""COMPUTED_VALUE"""),20.04441)</f>
        <v>20.04441</v>
      </c>
      <c r="K108" s="18">
        <f>IFERROR(__xludf.DUMMYFUNCTION("""COMPUTED_VALUE"""),2.721324)</f>
        <v>2.721324</v>
      </c>
      <c r="L108" s="18">
        <f>IFERROR(__xludf.DUMMYFUNCTION("""COMPUTED_VALUE"""),3.470882)</f>
        <v>3.470882</v>
      </c>
      <c r="M108" s="18">
        <f>IFERROR(__xludf.DUMMYFUNCTION("""COMPUTED_VALUE"""),1.995)</f>
        <v>1.995</v>
      </c>
      <c r="N108" s="18">
        <f>IFERROR(__xludf.DUMMYFUNCTION("""COMPUTED_VALUE"""),1.193235)</f>
        <v>1.193235</v>
      </c>
      <c r="O108" s="18">
        <f>IFERROR(__xludf.DUMMYFUNCTION("""COMPUTED_VALUE"""),0.137794)</f>
        <v>0.137794</v>
      </c>
      <c r="P108" s="25">
        <f>IFERROR(__xludf.DUMMYFUNCTION("""COMPUTED_VALUE"""),0.48002)</f>
        <v>0.48002</v>
      </c>
      <c r="Q108" s="25">
        <f>IFERROR(__xludf.DUMMYFUNCTION("""COMPUTED_VALUE"""),0.80399)</f>
        <v>0.80399</v>
      </c>
      <c r="R108" s="18">
        <f>IFERROR(__xludf.DUMMYFUNCTION("""COMPUTED_VALUE"""),1.586324)</f>
        <v>1.586324</v>
      </c>
      <c r="S108" s="18">
        <f>IFERROR(__xludf.DUMMYFUNCTION("""COMPUTED_VALUE"""),0.5034855086774943)</f>
        <v>0.5034855087</v>
      </c>
      <c r="T108" s="18">
        <f>IFERROR(__xludf.DUMMYFUNCTION("""COMPUTED_VALUE"""),0.9192516192004243)</f>
        <v>0.9192516192</v>
      </c>
      <c r="U108" s="18">
        <f>IFERROR(__xludf.DUMMYFUNCTION("""COMPUTED_VALUE"""),-1.0764625587198537)</f>
        <v>-1.076462559</v>
      </c>
      <c r="V108" s="18">
        <f>IFERROR(__xludf.DUMMYFUNCTION("""COMPUTED_VALUE"""),-0.899794043378551)</f>
        <v>-0.8997940434</v>
      </c>
      <c r="W108" s="18">
        <f>IFERROR(__xludf.DUMMYFUNCTION("""COMPUTED_VALUE"""),0.45113413322658463)</f>
        <v>0.4511341332</v>
      </c>
      <c r="X108" s="18">
        <f>IFERROR(__xludf.DUMMYFUNCTION("""COMPUTED_VALUE"""),-1.0770299553630127)</f>
        <v>-1.077029955</v>
      </c>
      <c r="Y108" s="18">
        <f>IFERROR(__xludf.DUMMYFUNCTION("""COMPUTED_VALUE"""),-0.21864037782194665)</f>
        <v>-0.2186403778</v>
      </c>
      <c r="Z108" s="18">
        <f>IFERROR(__xludf.DUMMYFUNCTION("""COMPUTED_VALUE"""),0.20483018052482968)</f>
        <v>0.2048301805</v>
      </c>
      <c r="AA108" s="18">
        <f>IFERROR(__xludf.DUMMYFUNCTION("""COMPUTED_VALUE"""),0.0)</f>
        <v>0</v>
      </c>
      <c r="AB108" t="str">
        <f>IFERROR(__xludf.DUMMYFUNCTION("SUBSTITUTE(REGEXREPLACE(REGEXREPLACE(REGEXREPLACE(REGEXREPLACE(REGEXREPLACE(REGEXREPLACE(F108,"","",),IF(Projections!$T$11="""",""PG"",),),IF(Projections!$U$11="""",""SG"",),),IF(Projections!$V$11="""",""SF"",),),IF(Projections!$W$11="""",""PF"",),),IF(Pr"&amp;"ojections!$X$11="""",""C"",),),""/"","""")"),"GF")</f>
        <v>GF</v>
      </c>
    </row>
    <row r="109">
      <c r="A109" t="str">
        <f>IF(Projections!$AB$11,Draft!L11,"")</f>
        <v/>
      </c>
      <c r="B109">
        <f>IFERROR(__xludf.DUMMYFUNCTION("""COMPUTED_VALUE"""),104.0)</f>
        <v>104</v>
      </c>
      <c r="D109" t="str">
        <f>IFERROR(__xludf.DUMMYFUNCTION("""COMPUTED_VALUE"""),"Tobias Harris")</f>
        <v>Tobias Harris</v>
      </c>
      <c r="E109">
        <f>IFERROR(__xludf.DUMMYFUNCTION("""COMPUTED_VALUE"""),73.0)</f>
        <v>73</v>
      </c>
      <c r="F109" t="str">
        <f>IFERROR(__xludf.DUMMYFUNCTION("""COMPUTED_VALUE"""),"F")</f>
        <v>F</v>
      </c>
      <c r="G109" s="18">
        <f>IFERROR(__xludf.DUMMYFUNCTION("""COMPUTED_VALUE"""),-0.13900757417179233)</f>
        <v>-0.1390075742</v>
      </c>
      <c r="H109" s="18">
        <f>IFERROR(__xludf.DUMMYFUNCTION("""COMPUTED_VALUE"""),-0.29765728599145713)</f>
        <v>-0.297657286</v>
      </c>
      <c r="I109" s="18">
        <f>IFERROR(__xludf.DUMMYFUNCTION("""COMPUTED_VALUE"""),-0.1586497118196648)</f>
        <v>-0.1586497118</v>
      </c>
      <c r="J109" s="18">
        <f>IFERROR(__xludf.DUMMYFUNCTION("""COMPUTED_VALUE"""),13.54205)</f>
        <v>13.54205</v>
      </c>
      <c r="K109" s="18">
        <f>IFERROR(__xludf.DUMMYFUNCTION("""COMPUTED_VALUE"""),1.189726)</f>
        <v>1.189726</v>
      </c>
      <c r="L109" s="18">
        <f>IFERROR(__xludf.DUMMYFUNCTION("""COMPUTED_VALUE"""),5.544521)</f>
        <v>5.544521</v>
      </c>
      <c r="M109" s="18">
        <f>IFERROR(__xludf.DUMMYFUNCTION("""COMPUTED_VALUE"""),2.021918)</f>
        <v>2.021918</v>
      </c>
      <c r="N109" s="18">
        <f>IFERROR(__xludf.DUMMYFUNCTION("""COMPUTED_VALUE"""),1.108904)</f>
        <v>1.108904</v>
      </c>
      <c r="O109" s="18">
        <f>IFERROR(__xludf.DUMMYFUNCTION("""COMPUTED_VALUE"""),0.717534)</f>
        <v>0.717534</v>
      </c>
      <c r="P109" s="25">
        <f>IFERROR(__xludf.DUMMYFUNCTION("""COMPUTED_VALUE"""),0.502441)</f>
        <v>0.502441</v>
      </c>
      <c r="Q109" s="25">
        <f>IFERROR(__xludf.DUMMYFUNCTION("""COMPUTED_VALUE"""),0.850981)</f>
        <v>0.850981</v>
      </c>
      <c r="R109" s="18">
        <f>IFERROR(__xludf.DUMMYFUNCTION("""COMPUTED_VALUE"""),1.108904)</f>
        <v>1.108904</v>
      </c>
      <c r="S109" s="18">
        <f>IFERROR(__xludf.DUMMYFUNCTION("""COMPUTED_VALUE"""),-0.6373055135133091)</f>
        <v>-0.6373055135</v>
      </c>
      <c r="T109" s="18">
        <f>IFERROR(__xludf.DUMMYFUNCTION("""COMPUTED_VALUE"""),-0.5600169455196482)</f>
        <v>-0.5600169455</v>
      </c>
      <c r="U109" s="18">
        <f>IFERROR(__xludf.DUMMYFUNCTION("""COMPUTED_VALUE"""),-0.2359055119887972)</f>
        <v>-0.235905512</v>
      </c>
      <c r="V109" s="18">
        <f>IFERROR(__xludf.DUMMYFUNCTION("""COMPUTED_VALUE"""),-0.8866442101460678)</f>
        <v>-0.8866442101</v>
      </c>
      <c r="W109" s="18">
        <f>IFERROR(__xludf.DUMMYFUNCTION("""COMPUTED_VALUE"""),0.19415817687118686)</f>
        <v>0.1941581769</v>
      </c>
      <c r="X109" s="18">
        <f>IFERROR(__xludf.DUMMYFUNCTION("""COMPUTED_VALUE"""),-0.023067142858407403)</f>
        <v>-0.02306714286</v>
      </c>
      <c r="Y109" s="18">
        <f>IFERROR(__xludf.DUMMYFUNCTION("""COMPUTED_VALUE"""),0.10955255414612264)</f>
        <v>0.1095525541</v>
      </c>
      <c r="Z109" s="18">
        <f>IFERROR(__xludf.DUMMYFUNCTION("""COMPUTED_VALUE"""),0.8549270968713953)</f>
        <v>0.8549270969</v>
      </c>
      <c r="AA109" s="18">
        <f>IFERROR(__xludf.DUMMYFUNCTION("""COMPUTED_VALUE"""),0.0)</f>
        <v>0</v>
      </c>
      <c r="AB109" t="str">
        <f>IFERROR(__xludf.DUMMYFUNCTION("SUBSTITUTE(REGEXREPLACE(REGEXREPLACE(REGEXREPLACE(REGEXREPLACE(REGEXREPLACE(REGEXREPLACE(F109,"","",),IF(Projections!$T$11="""",""PG"",),),IF(Projections!$U$11="""",""SG"",),),IF(Projections!$V$11="""",""SF"",),),IF(Projections!$W$11="""",""PF"",),),IF(Pr"&amp;"ojections!$X$11="""",""C"",),),""/"","""")"),"F")</f>
        <v>F</v>
      </c>
    </row>
    <row r="110">
      <c r="A110" t="str">
        <f>IF(Projections!$AB$11,Draft!L12,"")</f>
        <v/>
      </c>
      <c r="B110">
        <f>IFERROR(__xludf.DUMMYFUNCTION("""COMPUTED_VALUE"""),105.0)</f>
        <v>105</v>
      </c>
      <c r="D110" t="str">
        <f>IFERROR(__xludf.DUMMYFUNCTION("""COMPUTED_VALUE"""),"Donte DiVincenzo")</f>
        <v>Donte DiVincenzo</v>
      </c>
      <c r="E110">
        <f>IFERROR(__xludf.DUMMYFUNCTION("""COMPUTED_VALUE"""),68.0)</f>
        <v>68</v>
      </c>
      <c r="F110" t="str">
        <f>IFERROR(__xludf.DUMMYFUNCTION("""COMPUTED_VALUE"""),"G")</f>
        <v>G</v>
      </c>
      <c r="G110" s="18">
        <f>IFERROR(__xludf.DUMMYFUNCTION("""COMPUTED_VALUE"""),-0.16118876790046865)</f>
        <v>-0.1611887679</v>
      </c>
      <c r="H110" s="18">
        <f>IFERROR(__xludf.DUMMYFUNCTION("""COMPUTED_VALUE"""),-0.15086593291610795)</f>
        <v>-0.1508659329</v>
      </c>
      <c r="I110" s="18">
        <f>IFERROR(__xludf.DUMMYFUNCTION("""COMPUTED_VALUE"""),0.010322834984360707)</f>
        <v>0.01032283498</v>
      </c>
      <c r="J110" s="18">
        <f>IFERROR(__xludf.DUMMYFUNCTION("""COMPUTED_VALUE"""),13.41471)</f>
        <v>13.41471</v>
      </c>
      <c r="K110" s="18">
        <f>IFERROR(__xludf.DUMMYFUNCTION("""COMPUTED_VALUE"""),3.161471)</f>
        <v>3.161471</v>
      </c>
      <c r="L110" s="18">
        <f>IFERROR(__xludf.DUMMYFUNCTION("""COMPUTED_VALUE"""),4.0425)</f>
        <v>4.0425</v>
      </c>
      <c r="M110" s="18">
        <f>IFERROR(__xludf.DUMMYFUNCTION("""COMPUTED_VALUE"""),4.215735)</f>
        <v>4.215735</v>
      </c>
      <c r="N110" s="18">
        <f>IFERROR(__xludf.DUMMYFUNCTION("""COMPUTED_VALUE"""),1.226029)</f>
        <v>1.226029</v>
      </c>
      <c r="O110" s="18">
        <f>IFERROR(__xludf.DUMMYFUNCTION("""COMPUTED_VALUE"""),0.344118)</f>
        <v>0.344118</v>
      </c>
      <c r="P110" s="25">
        <f>IFERROR(__xludf.DUMMYFUNCTION("""COMPUTED_VALUE"""),0.426993)</f>
        <v>0.426993</v>
      </c>
      <c r="Q110" s="25">
        <f>IFERROR(__xludf.DUMMYFUNCTION("""COMPUTED_VALUE"""),0.78603)</f>
        <v>0.78603</v>
      </c>
      <c r="R110" s="18">
        <f>IFERROR(__xludf.DUMMYFUNCTION("""COMPUTED_VALUE"""),1.790294)</f>
        <v>1.790294</v>
      </c>
      <c r="S110" s="18">
        <f>IFERROR(__xludf.DUMMYFUNCTION("""COMPUTED_VALUE"""),-0.6596463757180743)</f>
        <v>-0.6596463757</v>
      </c>
      <c r="T110" s="18">
        <f>IFERROR(__xludf.DUMMYFUNCTION("""COMPUTED_VALUE"""),1.344360310224992)</f>
        <v>1.34436031</v>
      </c>
      <c r="U110" s="18">
        <f>IFERROR(__xludf.DUMMYFUNCTION("""COMPUTED_VALUE"""),-0.8447551410168141)</f>
        <v>-0.844755141</v>
      </c>
      <c r="V110" s="18">
        <f>IFERROR(__xludf.DUMMYFUNCTION("""COMPUTED_VALUE"""),0.18506719830131668)</f>
        <v>0.1850671983</v>
      </c>
      <c r="W110" s="18">
        <f>IFERROR(__xludf.DUMMYFUNCTION("""COMPUTED_VALUE"""),0.5510649951008527)</f>
        <v>0.5510649951</v>
      </c>
      <c r="X110" s="18">
        <f>IFERROR(__xludf.DUMMYFUNCTION("""COMPUTED_VALUE"""),-0.7019345275381254)</f>
        <v>-0.7019345275</v>
      </c>
      <c r="Y110" s="18">
        <f>IFERROR(__xludf.DUMMYFUNCTION("""COMPUTED_VALUE"""),-0.874653523856185)</f>
        <v>-0.8746535239</v>
      </c>
      <c r="Z110" s="18">
        <f>IFERROR(__xludf.DUMMYFUNCTION("""COMPUTED_VALUE"""),-0.025022392270255493)</f>
        <v>-0.02502239227</v>
      </c>
      <c r="AA110" s="18">
        <f>IFERROR(__xludf.DUMMYFUNCTION("""COMPUTED_VALUE"""),0.0)</f>
        <v>0</v>
      </c>
      <c r="AB110" t="str">
        <f>IFERROR(__xludf.DUMMYFUNCTION("SUBSTITUTE(REGEXREPLACE(REGEXREPLACE(REGEXREPLACE(REGEXREPLACE(REGEXREPLACE(REGEXREPLACE(F110,"","",),IF(Projections!$T$11="""",""PG"",),),IF(Projections!$U$11="""",""SG"",),),IF(Projections!$V$11="""",""SF"",),),IF(Projections!$W$11="""",""PF"",),),IF(Pr"&amp;"ojections!$X$11="""",""C"",),),""/"","""")"),"G")</f>
        <v>G</v>
      </c>
    </row>
    <row r="111">
      <c r="A111" t="str">
        <f>IF(Projections!$AB$11,Draft!L13,"")</f>
        <v/>
      </c>
      <c r="B111">
        <f>IFERROR(__xludf.DUMMYFUNCTION("""COMPUTED_VALUE"""),106.0)</f>
        <v>106</v>
      </c>
      <c r="D111" t="str">
        <f>IFERROR(__xludf.DUMMYFUNCTION("""COMPUTED_VALUE"""),"Zach LaVine")</f>
        <v>Zach LaVine</v>
      </c>
      <c r="E111">
        <f>IFERROR(__xludf.DUMMYFUNCTION("""COMPUTED_VALUE"""),73.0)</f>
        <v>73</v>
      </c>
      <c r="F111" t="str">
        <f>IFERROR(__xludf.DUMMYFUNCTION("""COMPUTED_VALUE"""),"G,F")</f>
        <v>G,F</v>
      </c>
      <c r="G111" s="18">
        <f>IFERROR(__xludf.DUMMYFUNCTION("""COMPUTED_VALUE"""),-0.18684175519804813)</f>
        <v>-0.1868417552</v>
      </c>
      <c r="H111" s="18">
        <f>IFERROR(__xludf.DUMMYFUNCTION("""COMPUTED_VALUE"""),-0.05922485836507918)</f>
        <v>-0.05922485837</v>
      </c>
      <c r="I111" s="18">
        <f>IFERROR(__xludf.DUMMYFUNCTION("""COMPUTED_VALUE"""),0.12761689683296895)</f>
        <v>0.1276168968</v>
      </c>
      <c r="J111" s="18">
        <f>IFERROR(__xludf.DUMMYFUNCTION("""COMPUTED_VALUE"""),21.21288)</f>
        <v>21.21288</v>
      </c>
      <c r="K111" s="18">
        <f>IFERROR(__xludf.DUMMYFUNCTION("""COMPUTED_VALUE"""),2.791096)</f>
        <v>2.791096</v>
      </c>
      <c r="L111" s="18">
        <f>IFERROR(__xludf.DUMMYFUNCTION("""COMPUTED_VALUE"""),3.324247)</f>
        <v>3.324247</v>
      </c>
      <c r="M111" s="18">
        <f>IFERROR(__xludf.DUMMYFUNCTION("""COMPUTED_VALUE"""),3.395068)</f>
        <v>3.395068</v>
      </c>
      <c r="N111" s="18">
        <f>IFERROR(__xludf.DUMMYFUNCTION("""COMPUTED_VALUE"""),0.631644)</f>
        <v>0.631644</v>
      </c>
      <c r="O111" s="18">
        <f>IFERROR(__xludf.DUMMYFUNCTION("""COMPUTED_VALUE"""),0.071096)</f>
        <v>0.071096</v>
      </c>
      <c r="P111" s="25">
        <f>IFERROR(__xludf.DUMMYFUNCTION("""COMPUTED_VALUE"""),0.494131)</f>
        <v>0.494131</v>
      </c>
      <c r="Q111" s="25">
        <f>IFERROR(__xludf.DUMMYFUNCTION("""COMPUTED_VALUE"""),0.847979)</f>
        <v>0.847979</v>
      </c>
      <c r="R111" s="18">
        <f>IFERROR(__xludf.DUMMYFUNCTION("""COMPUTED_VALUE"""),2.263288)</f>
        <v>2.263288</v>
      </c>
      <c r="S111" s="18">
        <f>IFERROR(__xludf.DUMMYFUNCTION("""COMPUTED_VALUE"""),0.7084849374540134)</f>
        <v>0.7084849375</v>
      </c>
      <c r="T111" s="18">
        <f>IFERROR(__xludf.DUMMYFUNCTION("""COMPUTED_VALUE"""),0.9866397499616611)</f>
        <v>0.98663975</v>
      </c>
      <c r="U111" s="18">
        <f>IFERROR(__xludf.DUMMYFUNCTION("""COMPUTED_VALUE"""),-1.1359015847737661)</f>
        <v>-1.135901585</v>
      </c>
      <c r="V111" s="18">
        <f>IFERROR(__xludf.DUMMYFUNCTION("""COMPUTED_VALUE"""),-0.21584052847639046)</f>
        <v>-0.2158405285</v>
      </c>
      <c r="W111" s="18">
        <f>IFERROR(__xludf.DUMMYFUNCTION("""COMPUTED_VALUE"""),-1.260162831182517)</f>
        <v>-1.260162831</v>
      </c>
      <c r="X111" s="18">
        <f>IFERROR(__xludf.DUMMYFUNCTION("""COMPUTED_VALUE"""),-1.1982864007841187)</f>
        <v>-1.198286401</v>
      </c>
      <c r="Y111" s="18">
        <f>IFERROR(__xludf.DUMMYFUNCTION("""COMPUTED_VALUE"""),-0.015609665624068843)</f>
        <v>-0.01560966562</v>
      </c>
      <c r="Z111" s="18">
        <f>IFERROR(__xludf.DUMMYFUNCTION("""COMPUTED_VALUE"""),0.8112886338775905)</f>
        <v>0.8112886339</v>
      </c>
      <c r="AA111" s="18">
        <f>IFERROR(__xludf.DUMMYFUNCTION("""COMPUTED_VALUE"""),0.0)</f>
        <v>0</v>
      </c>
      <c r="AB111" t="str">
        <f>IFERROR(__xludf.DUMMYFUNCTION("SUBSTITUTE(REGEXREPLACE(REGEXREPLACE(REGEXREPLACE(REGEXREPLACE(REGEXREPLACE(REGEXREPLACE(F111,"","",),IF(Projections!$T$11="""",""PG"",),),IF(Projections!$U$11="""",""SG"",),),IF(Projections!$V$11="""",""SF"",),),IF(Projections!$W$11="""",""PF"",),),IF(Pr"&amp;"ojections!$X$11="""",""C"",),),""/"","""")"),"GF")</f>
        <v>GF</v>
      </c>
    </row>
    <row r="112">
      <c r="A112" t="str">
        <f>IF(Projections!$AB$11,Draft!L14,"")</f>
        <v/>
      </c>
      <c r="B112">
        <f>IFERROR(__xludf.DUMMYFUNCTION("""COMPUTED_VALUE"""),107.0)</f>
        <v>107</v>
      </c>
      <c r="D112" t="str">
        <f>IFERROR(__xludf.DUMMYFUNCTION("""COMPUTED_VALUE"""),"Neemias Queta")</f>
        <v>Neemias Queta</v>
      </c>
      <c r="E112">
        <f>IFERROR(__xludf.DUMMYFUNCTION("""COMPUTED_VALUE"""),68.0)</f>
        <v>68</v>
      </c>
      <c r="F112" t="str">
        <f>IFERROR(__xludf.DUMMYFUNCTION("""COMPUTED_VALUE"""),"C")</f>
        <v>C</v>
      </c>
      <c r="G112" s="18">
        <f>IFERROR(__xludf.DUMMYFUNCTION("""COMPUTED_VALUE"""),-0.19428674975757376)</f>
        <v>-0.1942867498</v>
      </c>
      <c r="H112" s="18">
        <f>IFERROR(__xludf.DUMMYFUNCTION("""COMPUTED_VALUE"""),-0.33526947035054144)</f>
        <v>-0.3352694704</v>
      </c>
      <c r="I112" s="18">
        <f>IFERROR(__xludf.DUMMYFUNCTION("""COMPUTED_VALUE"""),-0.14098272059296768)</f>
        <v>-0.1409827206</v>
      </c>
      <c r="J112" s="18">
        <f>IFERROR(__xludf.DUMMYFUNCTION("""COMPUTED_VALUE"""),9.651471)</f>
        <v>9.651471</v>
      </c>
      <c r="K112" s="18">
        <f>IFERROR(__xludf.DUMMYFUNCTION("""COMPUTED_VALUE"""),0.079265)</f>
        <v>0.079265</v>
      </c>
      <c r="L112" s="18">
        <f>IFERROR(__xludf.DUMMYFUNCTION("""COMPUTED_VALUE"""),7.553382)</f>
        <v>7.553382</v>
      </c>
      <c r="M112" s="18">
        <f>IFERROR(__xludf.DUMMYFUNCTION("""COMPUTED_VALUE"""),1.510735)</f>
        <v>1.510735</v>
      </c>
      <c r="N112" s="18">
        <f>IFERROR(__xludf.DUMMYFUNCTION("""COMPUTED_VALUE"""),0.594559)</f>
        <v>0.594559</v>
      </c>
      <c r="O112" s="18">
        <f>IFERROR(__xludf.DUMMYFUNCTION("""COMPUTED_VALUE"""),1.239265)</f>
        <v>1.239265</v>
      </c>
      <c r="P112" s="25">
        <f>IFERROR(__xludf.DUMMYFUNCTION("""COMPUTED_VALUE"""),0.620251)</f>
        <v>0.620251</v>
      </c>
      <c r="Q112" s="25">
        <f>IFERROR(__xludf.DUMMYFUNCTION("""COMPUTED_VALUE"""),0.759991)</f>
        <v>0.759991</v>
      </c>
      <c r="R112" s="18">
        <f>IFERROR(__xludf.DUMMYFUNCTION("""COMPUTED_VALUE"""),1.180147)</f>
        <v>1.180147</v>
      </c>
      <c r="S112" s="18">
        <f>IFERROR(__xludf.DUMMYFUNCTION("""COMPUTED_VALUE"""),-1.3198788552421694)</f>
        <v>-1.319878855</v>
      </c>
      <c r="T112" s="18">
        <f>IFERROR(__xludf.DUMMYFUNCTION("""COMPUTED_VALUE"""),-1.632537312905618)</f>
        <v>-1.632537313</v>
      </c>
      <c r="U112" s="18">
        <f>IFERROR(__xludf.DUMMYFUNCTION("""COMPUTED_VALUE"""),0.5783935388359597)</f>
        <v>0.5783935388</v>
      </c>
      <c r="V112" s="18">
        <f>IFERROR(__xludf.DUMMYFUNCTION("""COMPUTED_VALUE"""),-1.136364516308505)</f>
        <v>-1.136364516</v>
      </c>
      <c r="W112" s="18">
        <f>IFERROR(__xludf.DUMMYFUNCTION("""COMPUTED_VALUE"""),-1.3731693571509025)</f>
        <v>-1.373169357</v>
      </c>
      <c r="X112" s="18">
        <f>IFERROR(__xludf.DUMMYFUNCTION("""COMPUTED_VALUE"""),0.9254357586678634)</f>
        <v>0.9254357587</v>
      </c>
      <c r="Y112" s="18">
        <f>IFERROR(__xludf.DUMMYFUNCTION("""COMPUTED_VALUE"""),2.3303015699974314)</f>
        <v>2.33030157</v>
      </c>
      <c r="Z112" s="18">
        <f>IFERROR(__xludf.DUMMYFUNCTION("""COMPUTED_VALUE"""),-0.33998760915021853)</f>
        <v>-0.3399876092</v>
      </c>
      <c r="AA112" s="18">
        <f>IFERROR(__xludf.DUMMYFUNCTION("""COMPUTED_VALUE"""),0.0)</f>
        <v>0</v>
      </c>
      <c r="AB112" t="str">
        <f>IFERROR(__xludf.DUMMYFUNCTION("SUBSTITUTE(REGEXREPLACE(REGEXREPLACE(REGEXREPLACE(REGEXREPLACE(REGEXREPLACE(REGEXREPLACE(F112,"","",),IF(Projections!$T$11="""",""PG"",),),IF(Projections!$U$11="""",""SG"",),),IF(Projections!$V$11="""",""SF"",),),IF(Projections!$W$11="""",""PF"",),),IF(Pr"&amp;"ojections!$X$11="""",""C"",),),""/"","""")"),"C")</f>
        <v>C</v>
      </c>
    </row>
    <row r="113">
      <c r="A113" t="str">
        <f>IF(Projections!$AB$11,Draft!M3,"")</f>
        <v/>
      </c>
      <c r="B113">
        <f>IFERROR(__xludf.DUMMYFUNCTION("""COMPUTED_VALUE"""),108.0)</f>
        <v>108</v>
      </c>
      <c r="D113" t="str">
        <f>IFERROR(__xludf.DUMMYFUNCTION("""COMPUTED_VALUE"""),"Nicolas Claxton")</f>
        <v>Nicolas Claxton</v>
      </c>
      <c r="E113">
        <f>IFERROR(__xludf.DUMMYFUNCTION("""COMPUTED_VALUE"""),60.0)</f>
        <v>60</v>
      </c>
      <c r="F113" t="str">
        <f>IFERROR(__xludf.DUMMYFUNCTION("""COMPUTED_VALUE"""),"C")</f>
        <v>C</v>
      </c>
      <c r="G113" s="18">
        <f>IFERROR(__xludf.DUMMYFUNCTION("""COMPUTED_VALUE"""),-0.30004534849900955)</f>
        <v>-0.3000453485</v>
      </c>
      <c r="H113" s="18">
        <f>IFERROR(__xludf.DUMMYFUNCTION("""COMPUTED_VALUE"""),-0.44077512731452195)</f>
        <v>-0.4407751273</v>
      </c>
      <c r="I113" s="18">
        <f>IFERROR(__xludf.DUMMYFUNCTION("""COMPUTED_VALUE"""),-0.1407297788155124)</f>
        <v>-0.1407297788</v>
      </c>
      <c r="J113" s="18">
        <f>IFERROR(__xludf.DUMMYFUNCTION("""COMPUTED_VALUE"""),11.80933)</f>
        <v>11.80933</v>
      </c>
      <c r="K113" s="18">
        <f>IFERROR(__xludf.DUMMYFUNCTION("""COMPUTED_VALUE"""),0.069333)</f>
        <v>0.069333</v>
      </c>
      <c r="L113" s="18">
        <f>IFERROR(__xludf.DUMMYFUNCTION("""COMPUTED_VALUE"""),7.593833)</f>
        <v>7.593833</v>
      </c>
      <c r="M113" s="18">
        <f>IFERROR(__xludf.DUMMYFUNCTION("""COMPUTED_VALUE"""),2.081333)</f>
        <v>2.081333</v>
      </c>
      <c r="N113" s="18">
        <f>IFERROR(__xludf.DUMMYFUNCTION("""COMPUTED_VALUE"""),0.7875)</f>
        <v>0.7875</v>
      </c>
      <c r="O113" s="18">
        <f>IFERROR(__xludf.DUMMYFUNCTION("""COMPUTED_VALUE"""),1.577833)</f>
        <v>1.577833</v>
      </c>
      <c r="P113" s="25">
        <f>IFERROR(__xludf.DUMMYFUNCTION("""COMPUTED_VALUE"""),0.588503)</f>
        <v>0.588503</v>
      </c>
      <c r="Q113" s="25">
        <f>IFERROR(__xludf.DUMMYFUNCTION("""COMPUTED_VALUE"""),0.536003)</f>
        <v>0.536003</v>
      </c>
      <c r="R113" s="18">
        <f>IFERROR(__xludf.DUMMYFUNCTION("""COMPUTED_VALUE"""),1.181167)</f>
        <v>1.181167</v>
      </c>
      <c r="S113" s="18">
        <f>IFERROR(__xludf.DUMMYFUNCTION("""COMPUTED_VALUE"""),-0.9412984360784161)</f>
        <v>-0.9412984361</v>
      </c>
      <c r="T113" s="18">
        <f>IFERROR(__xludf.DUMMYFUNCTION("""COMPUTED_VALUE"""),-1.642129970629642)</f>
        <v>-1.642129971</v>
      </c>
      <c r="U113" s="18">
        <f>IFERROR(__xludf.DUMMYFUNCTION("""COMPUTED_VALUE"""),0.5947904975627766)</f>
        <v>0.5947904976</v>
      </c>
      <c r="V113" s="18">
        <f>IFERROR(__xludf.DUMMYFUNCTION("""COMPUTED_VALUE"""),-0.8576191213018747)</f>
        <v>-0.8576191213</v>
      </c>
      <c r="W113" s="18">
        <f>IFERROR(__xludf.DUMMYFUNCTION("""COMPUTED_VALUE"""),-0.7852337463415119)</f>
        <v>-0.7852337463</v>
      </c>
      <c r="X113" s="18">
        <f>IFERROR(__xludf.DUMMYFUNCTION("""COMPUTED_VALUE"""),1.5409497502917968)</f>
        <v>1.54094975</v>
      </c>
      <c r="Y113" s="18">
        <f>IFERROR(__xludf.DUMMYFUNCTION("""COMPUTED_VALUE"""),1.6497658991823496)</f>
        <v>1.649765899</v>
      </c>
      <c r="Z113" s="18">
        <f>IFERROR(__xludf.DUMMYFUNCTION("""COMPUTED_VALUE"""),-2.1556427878998283)</f>
        <v>-2.155642788</v>
      </c>
      <c r="AA113" s="18">
        <f>IFERROR(__xludf.DUMMYFUNCTION("""COMPUTED_VALUE"""),0.0)</f>
        <v>0</v>
      </c>
      <c r="AB113" t="str">
        <f>IFERROR(__xludf.DUMMYFUNCTION("SUBSTITUTE(REGEXREPLACE(REGEXREPLACE(REGEXREPLACE(REGEXREPLACE(REGEXREPLACE(REGEXREPLACE(F113,"","",),IF(Projections!$T$11="""",""PG"",),),IF(Projections!$U$11="""",""SG"",),),IF(Projections!$V$11="""",""SF"",),),IF(Projections!$W$11="""",""PF"",),),IF(Pr"&amp;"ojections!$X$11="""",""C"",),),""/"","""")"),"C")</f>
        <v>C</v>
      </c>
    </row>
    <row r="114">
      <c r="A114" t="str">
        <f>IF(Projections!$AB$11,Draft!M4,"")</f>
        <v/>
      </c>
      <c r="B114">
        <f>IFERROR(__xludf.DUMMYFUNCTION("""COMPUTED_VALUE"""),109.0)</f>
        <v>109</v>
      </c>
      <c r="D114" t="str">
        <f>IFERROR(__xludf.DUMMYFUNCTION("""COMPUTED_VALUE"""),"Devin Vassell")</f>
        <v>Devin Vassell</v>
      </c>
      <c r="E114">
        <f>IFERROR(__xludf.DUMMYFUNCTION("""COMPUTED_VALUE"""),68.0)</f>
        <v>68</v>
      </c>
      <c r="F114" t="str">
        <f>IFERROR(__xludf.DUMMYFUNCTION("""COMPUTED_VALUE"""),"G,F")</f>
        <v>G,F</v>
      </c>
      <c r="G114" s="18">
        <f>IFERROR(__xludf.DUMMYFUNCTION("""COMPUTED_VALUE"""),-0.3302400081580321)</f>
        <v>-0.3302400082</v>
      </c>
      <c r="H114" s="18">
        <f>IFERROR(__xludf.DUMMYFUNCTION("""COMPUTED_VALUE"""),-0.47042050654505174)</f>
        <v>-0.4704205065</v>
      </c>
      <c r="I114" s="18">
        <f>IFERROR(__xludf.DUMMYFUNCTION("""COMPUTED_VALUE"""),-0.14018049838701963)</f>
        <v>-0.1401804984</v>
      </c>
      <c r="J114" s="18">
        <f>IFERROR(__xludf.DUMMYFUNCTION("""COMPUTED_VALUE"""),14.57382)</f>
        <v>14.57382</v>
      </c>
      <c r="K114" s="18">
        <f>IFERROR(__xludf.DUMMYFUNCTION("""COMPUTED_VALUE"""),2.610735)</f>
        <v>2.610735</v>
      </c>
      <c r="L114" s="18">
        <f>IFERROR(__xludf.DUMMYFUNCTION("""COMPUTED_VALUE"""),4.005588)</f>
        <v>4.005588</v>
      </c>
      <c r="M114" s="18">
        <f>IFERROR(__xludf.DUMMYFUNCTION("""COMPUTED_VALUE"""),2.280147)</f>
        <v>2.280147</v>
      </c>
      <c r="N114" s="18">
        <f>IFERROR(__xludf.DUMMYFUNCTION("""COMPUTED_VALUE"""),1.270147)</f>
        <v>1.270147</v>
      </c>
      <c r="O114" s="18">
        <f>IFERROR(__xludf.DUMMYFUNCTION("""COMPUTED_VALUE"""),0.436912)</f>
        <v>0.436912</v>
      </c>
      <c r="P114" s="25">
        <f>IFERROR(__xludf.DUMMYFUNCTION("""COMPUTED_VALUE"""),0.454526)</f>
        <v>0.454526</v>
      </c>
      <c r="Q114" s="25">
        <f>IFERROR(__xludf.DUMMYFUNCTION("""COMPUTED_VALUE"""),0.813953)</f>
        <v>0.813953</v>
      </c>
      <c r="R114" s="18">
        <f>IFERROR(__xludf.DUMMYFUNCTION("""COMPUTED_VALUE"""),1.183382)</f>
        <v>1.183382</v>
      </c>
      <c r="S114" s="18">
        <f>IFERROR(__xludf.DUMMYFUNCTION("""COMPUTED_VALUE"""),-0.4562890897893373)</f>
        <v>-0.4562890898</v>
      </c>
      <c r="T114" s="18">
        <f>IFERROR(__xludf.DUMMYFUNCTION("""COMPUTED_VALUE"""),0.8124410649271566)</f>
        <v>0.8124410649</v>
      </c>
      <c r="U114" s="18">
        <f>IFERROR(__xludf.DUMMYFUNCTION("""COMPUTED_VALUE"""),-0.8597175533310775)</f>
        <v>-0.8597175533</v>
      </c>
      <c r="V114" s="18">
        <f>IFERROR(__xludf.DUMMYFUNCTION("""COMPUTED_VALUE"""),-0.7604956000787925)</f>
        <v>-0.7604956001</v>
      </c>
      <c r="W114" s="18">
        <f>IFERROR(__xludf.DUMMYFUNCTION("""COMPUTED_VALUE"""),0.6855026899282279)</f>
        <v>0.6855026899</v>
      </c>
      <c r="X114" s="18">
        <f>IFERROR(__xludf.DUMMYFUNCTION("""COMPUTED_VALUE"""),-0.5332357570141795)</f>
        <v>-0.533235757</v>
      </c>
      <c r="Y114" s="18">
        <f>IFERROR(__xludf.DUMMYFUNCTION("""COMPUTED_VALUE"""),-0.5551201346867928)</f>
        <v>-0.5551201347</v>
      </c>
      <c r="Z114" s="18">
        <f>IFERROR(__xludf.DUMMYFUNCTION("""COMPUTED_VALUE"""),0.3367763201686658)</f>
        <v>0.3367763202</v>
      </c>
      <c r="AA114" s="18">
        <f>IFERROR(__xludf.DUMMYFUNCTION("""COMPUTED_VALUE"""),0.0)</f>
        <v>0</v>
      </c>
      <c r="AB114" t="str">
        <f>IFERROR(__xludf.DUMMYFUNCTION("SUBSTITUTE(REGEXREPLACE(REGEXREPLACE(REGEXREPLACE(REGEXREPLACE(REGEXREPLACE(REGEXREPLACE(F114,"","",),IF(Projections!$T$11="""",""PG"",),),IF(Projections!$U$11="""",""SG"",),),IF(Projections!$V$11="""",""SF"",),),IF(Projections!$W$11="""",""PF"",),),IF(Pr"&amp;"ojections!$X$11="""",""C"",),),""/"","""")"),"GF")</f>
        <v>GF</v>
      </c>
    </row>
    <row r="115">
      <c r="A115" t="str">
        <f>IF(Projections!$AB$11,Draft!M5,"")</f>
        <v/>
      </c>
      <c r="B115">
        <f>IFERROR(__xludf.DUMMYFUNCTION("""COMPUTED_VALUE"""),110.0)</f>
        <v>110</v>
      </c>
      <c r="D115" t="str">
        <f>IFERROR(__xludf.DUMMYFUNCTION("""COMPUTED_VALUE"""),"Andrew Nembhard")</f>
        <v>Andrew Nembhard</v>
      </c>
      <c r="E115">
        <f>IFERROR(__xludf.DUMMYFUNCTION("""COMPUTED_VALUE"""),68.0)</f>
        <v>68</v>
      </c>
      <c r="F115" t="str">
        <f>IFERROR(__xludf.DUMMYFUNCTION("""COMPUTED_VALUE"""),"G")</f>
        <v>G</v>
      </c>
      <c r="G115" s="18">
        <f>IFERROR(__xludf.DUMMYFUNCTION("""COMPUTED_VALUE"""),-0.3601854650386096)</f>
        <v>-0.360185465</v>
      </c>
      <c r="H115" s="18">
        <f>IFERROR(__xludf.DUMMYFUNCTION("""COMPUTED_VALUE"""),-0.24279262363965515)</f>
        <v>-0.2427926236</v>
      </c>
      <c r="I115" s="18">
        <f>IFERROR(__xludf.DUMMYFUNCTION("""COMPUTED_VALUE"""),0.11739284139895445)</f>
        <v>0.1173928414</v>
      </c>
      <c r="J115" s="18">
        <f>IFERROR(__xludf.DUMMYFUNCTION("""COMPUTED_VALUE"""),13.39735)</f>
        <v>13.39735</v>
      </c>
      <c r="K115" s="18">
        <f>IFERROR(__xludf.DUMMYFUNCTION("""COMPUTED_VALUE"""),1.446912)</f>
        <v>1.446912</v>
      </c>
      <c r="L115" s="18">
        <f>IFERROR(__xludf.DUMMYFUNCTION("""COMPUTED_VALUE"""),3.501324)</f>
        <v>3.501324</v>
      </c>
      <c r="M115" s="18">
        <f>IFERROR(__xludf.DUMMYFUNCTION("""COMPUTED_VALUE"""),6.666029)</f>
        <v>6.666029</v>
      </c>
      <c r="N115" s="18">
        <f>IFERROR(__xludf.DUMMYFUNCTION("""COMPUTED_VALUE"""),1.212059)</f>
        <v>1.212059</v>
      </c>
      <c r="O115" s="18">
        <f>IFERROR(__xludf.DUMMYFUNCTION("""COMPUTED_VALUE"""),0.199706)</f>
        <v>0.199706</v>
      </c>
      <c r="P115" s="25">
        <f>IFERROR(__xludf.DUMMYFUNCTION("""COMPUTED_VALUE"""),0.446404)</f>
        <v>0.446404</v>
      </c>
      <c r="Q115" s="25">
        <f>IFERROR(__xludf.DUMMYFUNCTION("""COMPUTED_VALUE"""),0.823015)</f>
        <v>0.823015</v>
      </c>
      <c r="R115" s="18">
        <f>IFERROR(__xludf.DUMMYFUNCTION("""COMPUTED_VALUE"""),2.222059)</f>
        <v>2.222059</v>
      </c>
      <c r="S115" s="18">
        <f>IFERROR(__xludf.DUMMYFUNCTION("""COMPUTED_VALUE"""),-0.6626920594613971)</f>
        <v>-0.6626920595</v>
      </c>
      <c r="T115" s="18">
        <f>IFERROR(__xludf.DUMMYFUNCTION("""COMPUTED_VALUE"""),-0.31161810647304694)</f>
        <v>-0.3116181065</v>
      </c>
      <c r="U115" s="18">
        <f>IFERROR(__xludf.DUMMYFUNCTION("""COMPUTED_VALUE"""),-1.0641227842380918)</f>
        <v>-1.064122784</v>
      </c>
      <c r="V115" s="18">
        <f>IFERROR(__xludf.DUMMYFUNCTION("""COMPUTED_VALUE"""),1.3820713394170872)</f>
        <v>1.382071339</v>
      </c>
      <c r="W115" s="18">
        <f>IFERROR(__xludf.DUMMYFUNCTION("""COMPUTED_VALUE"""),0.5084951914665437)</f>
        <v>0.5084951915</v>
      </c>
      <c r="X115" s="18">
        <f>IFERROR(__xludf.DUMMYFUNCTION("""COMPUTED_VALUE"""),-0.964474420730617)</f>
        <v>-0.9644744207</v>
      </c>
      <c r="Y115" s="18">
        <f>IFERROR(__xludf.DUMMYFUNCTION("""COMPUTED_VALUE"""),-0.6541157167915155)</f>
        <v>-0.6541157168</v>
      </c>
      <c r="Z115" s="18">
        <f>IFERROR(__xludf.DUMMYFUNCTION("""COMPUTED_VALUE"""),0.4595411489332901)</f>
        <v>0.4595411489</v>
      </c>
      <c r="AA115" s="18">
        <f>IFERROR(__xludf.DUMMYFUNCTION("""COMPUTED_VALUE"""),0.0)</f>
        <v>0</v>
      </c>
      <c r="AB115" t="str">
        <f>IFERROR(__xludf.DUMMYFUNCTION("SUBSTITUTE(REGEXREPLACE(REGEXREPLACE(REGEXREPLACE(REGEXREPLACE(REGEXREPLACE(REGEXREPLACE(F115,"","",),IF(Projections!$T$11="""",""PG"",),),IF(Projections!$U$11="""",""SG"",),),IF(Projections!$V$11="""",""SF"",),),IF(Projections!$W$11="""",""PF"",),),IF(Pr"&amp;"ojections!$X$11="""",""C"",),),""/"","""")"),"G")</f>
        <v>G</v>
      </c>
    </row>
    <row r="116">
      <c r="A116" t="str">
        <f>IF(Projections!$AB$11,Draft!M6,"")</f>
        <v/>
      </c>
      <c r="B116">
        <f>IFERROR(__xludf.DUMMYFUNCTION("""COMPUTED_VALUE"""),111.0)</f>
        <v>111</v>
      </c>
      <c r="D116" t="str">
        <f>IFERROR(__xludf.DUMMYFUNCTION("""COMPUTED_VALUE"""),"John Collins")</f>
        <v>John Collins</v>
      </c>
      <c r="E116">
        <f>IFERROR(__xludf.DUMMYFUNCTION("""COMPUTED_VALUE"""),73.0)</f>
        <v>73</v>
      </c>
      <c r="F116" t="str">
        <f>IFERROR(__xludf.DUMMYFUNCTION("""COMPUTED_VALUE"""),"F")</f>
        <v>F</v>
      </c>
      <c r="G116" s="18">
        <f>IFERROR(__xludf.DUMMYFUNCTION("""COMPUTED_VALUE"""),-0.4486383451120568)</f>
        <v>-0.4486383451</v>
      </c>
      <c r="H116" s="18">
        <f>IFERROR(__xludf.DUMMYFUNCTION("""COMPUTED_VALUE"""),-0.5189657478871086)</f>
        <v>-0.5189657479</v>
      </c>
      <c r="I116" s="18">
        <f>IFERROR(__xludf.DUMMYFUNCTION("""COMPUTED_VALUE"""),-0.07032740277505178)</f>
        <v>-0.07032740278</v>
      </c>
      <c r="J116" s="18">
        <f>IFERROR(__xludf.DUMMYFUNCTION("""COMPUTED_VALUE"""),15.18315)</f>
        <v>15.18315</v>
      </c>
      <c r="K116" s="18">
        <f>IFERROR(__xludf.DUMMYFUNCTION("""COMPUTED_VALUE"""),1.094247)</f>
        <v>1.094247</v>
      </c>
      <c r="L116" s="18">
        <f>IFERROR(__xludf.DUMMYFUNCTION("""COMPUTED_VALUE"""),6.446438)</f>
        <v>6.446438</v>
      </c>
      <c r="M116" s="18">
        <f>IFERROR(__xludf.DUMMYFUNCTION("""COMPUTED_VALUE"""),1.230685)</f>
        <v>1.230685</v>
      </c>
      <c r="N116" s="18">
        <f>IFERROR(__xludf.DUMMYFUNCTION("""COMPUTED_VALUE"""),0.644658)</f>
        <v>0.644658</v>
      </c>
      <c r="O116" s="18">
        <f>IFERROR(__xludf.DUMMYFUNCTION("""COMPUTED_VALUE"""),0.761918)</f>
        <v>0.761918</v>
      </c>
      <c r="P116" s="25">
        <f>IFERROR(__xludf.DUMMYFUNCTION("""COMPUTED_VALUE"""),0.557461)</f>
        <v>0.557461</v>
      </c>
      <c r="Q116" s="25">
        <f>IFERROR(__xludf.DUMMYFUNCTION("""COMPUTED_VALUE"""),0.823992)</f>
        <v>0.823992</v>
      </c>
      <c r="R116" s="18">
        <f>IFERROR(__xludf.DUMMYFUNCTION("""COMPUTED_VALUE"""),1.465068)</f>
        <v>1.465068</v>
      </c>
      <c r="S116" s="18">
        <f>IFERROR(__xludf.DUMMYFUNCTION("""COMPUTED_VALUE"""),-0.34938664305437916)</f>
        <v>-0.3493866431</v>
      </c>
      <c r="T116" s="18">
        <f>IFERROR(__xludf.DUMMYFUNCTION("""COMPUTED_VALUE"""),-0.6522337565176437)</f>
        <v>-0.6522337565</v>
      </c>
      <c r="U116" s="18">
        <f>IFERROR(__xludf.DUMMYFUNCTION("""COMPUTED_VALUE"""),0.12968979650826265)</f>
        <v>0.1296897965</v>
      </c>
      <c r="V116" s="18">
        <f>IFERROR(__xludf.DUMMYFUNCTION("""COMPUTED_VALUE"""),-1.2731730012166307)</f>
        <v>-1.273173001</v>
      </c>
      <c r="W116" s="18">
        <f>IFERROR(__xludf.DUMMYFUNCTION("""COMPUTED_VALUE"""),-1.2205061794647722)</f>
        <v>-1.220506179</v>
      </c>
      <c r="X116" s="18">
        <f>IFERROR(__xludf.DUMMYFUNCTION("""COMPUTED_VALUE"""),0.05762262405469912)</f>
        <v>0.05762262405</v>
      </c>
      <c r="Y116" s="18">
        <f>IFERROR(__xludf.DUMMYFUNCTION("""COMPUTED_VALUE"""),1.0429151210847107)</f>
        <v>1.042915121</v>
      </c>
      <c r="Z116" s="18">
        <f>IFERROR(__xludf.DUMMYFUNCTION("""COMPUTED_VALUE"""),0.47293328950201396)</f>
        <v>0.4729332895</v>
      </c>
      <c r="AA116" s="18">
        <f>IFERROR(__xludf.DUMMYFUNCTION("""COMPUTED_VALUE"""),0.0)</f>
        <v>0</v>
      </c>
      <c r="AB116" t="str">
        <f>IFERROR(__xludf.DUMMYFUNCTION("SUBSTITUTE(REGEXREPLACE(REGEXREPLACE(REGEXREPLACE(REGEXREPLACE(REGEXREPLACE(REGEXREPLACE(F116,"","",),IF(Projections!$T$11="""",""PG"",),),IF(Projections!$U$11="""",""SG"",),),IF(Projections!$V$11="""",""SF"",),),IF(Projections!$W$11="""",""PF"",),),IF(Pr"&amp;"ojections!$X$11="""",""C"",),),""/"","""")"),"F")</f>
        <v>F</v>
      </c>
    </row>
    <row r="117">
      <c r="A117" t="str">
        <f>IF(Projections!$AB$11,Draft!M7,"")</f>
        <v/>
      </c>
      <c r="B117">
        <f>IFERROR(__xludf.DUMMYFUNCTION("""COMPUTED_VALUE"""),112.0)</f>
        <v>112</v>
      </c>
      <c r="D117" t="str">
        <f>IFERROR(__xludf.DUMMYFUNCTION("""COMPUTED_VALUE"""),"Kevin Porter Jr.")</f>
        <v>Kevin Porter Jr.</v>
      </c>
      <c r="E117">
        <f>IFERROR(__xludf.DUMMYFUNCTION("""COMPUTED_VALUE"""),73.0)</f>
        <v>73</v>
      </c>
      <c r="F117" t="str">
        <f>IFERROR(__xludf.DUMMYFUNCTION("""COMPUTED_VALUE"""),"G")</f>
        <v>G</v>
      </c>
      <c r="G117" s="18">
        <f>IFERROR(__xludf.DUMMYFUNCTION("""COMPUTED_VALUE"""),-0.45294271954256127)</f>
        <v>-0.4529427195</v>
      </c>
      <c r="H117" s="18">
        <f>IFERROR(__xludf.DUMMYFUNCTION("""COMPUTED_VALUE"""),-0.2145152537742807)</f>
        <v>-0.2145152538</v>
      </c>
      <c r="I117" s="18">
        <f>IFERROR(__xludf.DUMMYFUNCTION("""COMPUTED_VALUE"""),0.23842746576828056)</f>
        <v>0.2384274658</v>
      </c>
      <c r="J117" s="18">
        <f>IFERROR(__xludf.DUMMYFUNCTION("""COMPUTED_VALUE"""),15.31274)</f>
        <v>15.31274</v>
      </c>
      <c r="K117" s="18">
        <f>IFERROR(__xludf.DUMMYFUNCTION("""COMPUTED_VALUE"""),1.126712)</f>
        <v>1.126712</v>
      </c>
      <c r="L117" s="18">
        <f>IFERROR(__xludf.DUMMYFUNCTION("""COMPUTED_VALUE"""),5.184658)</f>
        <v>5.184658</v>
      </c>
      <c r="M117" s="18">
        <f>IFERROR(__xludf.DUMMYFUNCTION("""COMPUTED_VALUE"""),5.656027)</f>
        <v>5.656027</v>
      </c>
      <c r="N117" s="18">
        <f>IFERROR(__xludf.DUMMYFUNCTION("""COMPUTED_VALUE"""),1.178356)</f>
        <v>1.178356</v>
      </c>
      <c r="O117" s="18">
        <f>IFERROR(__xludf.DUMMYFUNCTION("""COMPUTED_VALUE"""),0.171644)</f>
        <v>0.171644</v>
      </c>
      <c r="P117" s="25">
        <f>IFERROR(__xludf.DUMMYFUNCTION("""COMPUTED_VALUE"""),0.461765)</f>
        <v>0.461765</v>
      </c>
      <c r="Q117" s="25">
        <f>IFERROR(__xludf.DUMMYFUNCTION("""COMPUTED_VALUE"""),0.809987)</f>
        <v>0.809987</v>
      </c>
      <c r="R117" s="18">
        <f>IFERROR(__xludf.DUMMYFUNCTION("""COMPUTED_VALUE"""),2.710137)</f>
        <v>2.710137</v>
      </c>
      <c r="S117" s="18">
        <f>IFERROR(__xludf.DUMMYFUNCTION("""COMPUTED_VALUE"""),-0.3266510349727432)</f>
        <v>-0.326651035</v>
      </c>
      <c r="T117" s="18">
        <f>IFERROR(__xludf.DUMMYFUNCTION("""COMPUTED_VALUE"""),-0.6208779738947642)</f>
        <v>-0.6208779739</v>
      </c>
      <c r="U117" s="18">
        <f>IFERROR(__xludf.DUMMYFUNCTION("""COMPUTED_VALUE"""),-0.3817772767982834)</f>
        <v>-0.3817772768</v>
      </c>
      <c r="V117" s="18">
        <f>IFERROR(__xludf.DUMMYFUNCTION("""COMPUTED_VALUE"""),0.8886707203341484)</f>
        <v>0.8886707203</v>
      </c>
      <c r="W117" s="18">
        <f>IFERROR(__xludf.DUMMYFUNCTION("""COMPUTED_VALUE"""),0.4057943974875091)</f>
        <v>0.4057943975</v>
      </c>
      <c r="X117" s="18">
        <f>IFERROR(__xludf.DUMMYFUNCTION("""COMPUTED_VALUE"""),-1.015490918547749)</f>
        <v>-1.015490919</v>
      </c>
      <c r="Y117" s="18">
        <f>IFERROR(__xludf.DUMMYFUNCTION("""COMPUTED_VALUE"""),-0.4635466872007562)</f>
        <v>-0.4635466872</v>
      </c>
      <c r="Z117" s="18">
        <f>IFERROR(__xludf.DUMMYFUNCTION("""COMPUTED_VALUE"""),0.2838726012706088)</f>
        <v>0.2838726013</v>
      </c>
      <c r="AA117" s="18">
        <f>IFERROR(__xludf.DUMMYFUNCTION("""COMPUTED_VALUE"""),0.0)</f>
        <v>0</v>
      </c>
      <c r="AB117" t="str">
        <f>IFERROR(__xludf.DUMMYFUNCTION("SUBSTITUTE(REGEXREPLACE(REGEXREPLACE(REGEXREPLACE(REGEXREPLACE(REGEXREPLACE(REGEXREPLACE(F117,"","",),IF(Projections!$T$11="""",""PG"",),),IF(Projections!$U$11="""",""SG"",),),IF(Projections!$V$11="""",""SF"",),),IF(Projections!$W$11="""",""PF"",),),IF(Pr"&amp;"ojections!$X$11="""",""C"",),),""/"","""")"),"G")</f>
        <v>G</v>
      </c>
    </row>
    <row r="118">
      <c r="A118" t="str">
        <f>IF(Projections!$AB$11,Draft!M8,"")</f>
        <v/>
      </c>
      <c r="B118">
        <f>IFERROR(__xludf.DUMMYFUNCTION("""COMPUTED_VALUE"""),113.0)</f>
        <v>113</v>
      </c>
      <c r="D118" t="str">
        <f>IFERROR(__xludf.DUMMYFUNCTION("""COMPUTED_VALUE"""),"Aaron Nesmith")</f>
        <v>Aaron Nesmith</v>
      </c>
      <c r="E118">
        <f>IFERROR(__xludf.DUMMYFUNCTION("""COMPUTED_VALUE"""),68.0)</f>
        <v>68</v>
      </c>
      <c r="F118" t="str">
        <f>IFERROR(__xludf.DUMMYFUNCTION("""COMPUTED_VALUE"""),"F")</f>
        <v>F</v>
      </c>
      <c r="G118" s="18">
        <f>IFERROR(__xludf.DUMMYFUNCTION("""COMPUTED_VALUE"""),-0.5495090323052391)</f>
        <v>-0.5495090323</v>
      </c>
      <c r="H118" s="18">
        <f>IFERROR(__xludf.DUMMYFUNCTION("""COMPUTED_VALUE"""),-0.6804995607601926)</f>
        <v>-0.6804995608</v>
      </c>
      <c r="I118" s="18">
        <f>IFERROR(__xludf.DUMMYFUNCTION("""COMPUTED_VALUE"""),-0.13099052845495351)</f>
        <v>-0.1309905285</v>
      </c>
      <c r="J118" s="18">
        <f>IFERROR(__xludf.DUMMYFUNCTION("""COMPUTED_VALUE"""),14.89471)</f>
        <v>14.89471</v>
      </c>
      <c r="K118" s="18">
        <f>IFERROR(__xludf.DUMMYFUNCTION("""COMPUTED_VALUE"""),2.294412)</f>
        <v>2.294412</v>
      </c>
      <c r="L118" s="18">
        <f>IFERROR(__xludf.DUMMYFUNCTION("""COMPUTED_VALUE"""),4.454559)</f>
        <v>4.454559</v>
      </c>
      <c r="M118" s="18">
        <f>IFERROR(__xludf.DUMMYFUNCTION("""COMPUTED_VALUE"""),2.013676)</f>
        <v>2.013676</v>
      </c>
      <c r="N118" s="18">
        <f>IFERROR(__xludf.DUMMYFUNCTION("""COMPUTED_VALUE"""),0.976324)</f>
        <v>0.976324</v>
      </c>
      <c r="O118" s="18">
        <f>IFERROR(__xludf.DUMMYFUNCTION("""COMPUTED_VALUE"""),0.483088)</f>
        <v>0.483088</v>
      </c>
      <c r="P118" s="25">
        <f>IFERROR(__xludf.DUMMYFUNCTION("""COMPUTED_VALUE"""),0.47477)</f>
        <v>0.47477</v>
      </c>
      <c r="Q118" s="25">
        <f>IFERROR(__xludf.DUMMYFUNCTION("""COMPUTED_VALUE"""),0.849994)</f>
        <v>0.849994</v>
      </c>
      <c r="R118" s="18">
        <f>IFERROR(__xludf.DUMMYFUNCTION("""COMPUTED_VALUE"""),1.220441)</f>
        <v>1.220441</v>
      </c>
      <c r="S118" s="18">
        <f>IFERROR(__xludf.DUMMYFUNCTION("""COMPUTED_VALUE"""),-0.3999913100430902)</f>
        <v>-0.39999131</v>
      </c>
      <c r="T118" s="18">
        <f>IFERROR(__xludf.DUMMYFUNCTION("""COMPUTED_VALUE"""),0.5069257337515167)</f>
        <v>0.5069257338</v>
      </c>
      <c r="U118" s="18">
        <f>IFERROR(__xludf.DUMMYFUNCTION("""COMPUTED_VALUE"""),-0.6777255393749894)</f>
        <v>-0.6777255394</v>
      </c>
      <c r="V118" s="18">
        <f>IFERROR(__xludf.DUMMYFUNCTION("""COMPUTED_VALUE"""),-0.8906705466310268)</f>
        <v>-0.8906705466</v>
      </c>
      <c r="W118" s="18">
        <f>IFERROR(__xludf.DUMMYFUNCTION("""COMPUTED_VALUE"""),-0.20984358159958375)</f>
        <v>-0.2098435816</v>
      </c>
      <c r="X118" s="18">
        <f>IFERROR(__xludf.DUMMYFUNCTION("""COMPUTED_VALUE"""),-0.44928814803392514)</f>
        <v>-0.449288148</v>
      </c>
      <c r="Y118" s="18">
        <f>IFERROR(__xludf.DUMMYFUNCTION("""COMPUTED_VALUE"""),-0.2911245861714244)</f>
        <v>-0.2911245862</v>
      </c>
      <c r="Z118" s="18">
        <f>IFERROR(__xludf.DUMMYFUNCTION("""COMPUTED_VALUE"""),0.8405478707113033)</f>
        <v>0.8405478707</v>
      </c>
      <c r="AA118" s="18">
        <f>IFERROR(__xludf.DUMMYFUNCTION("""COMPUTED_VALUE"""),0.0)</f>
        <v>0</v>
      </c>
      <c r="AB118" t="str">
        <f>IFERROR(__xludf.DUMMYFUNCTION("SUBSTITUTE(REGEXREPLACE(REGEXREPLACE(REGEXREPLACE(REGEXREPLACE(REGEXREPLACE(REGEXREPLACE(F118,"","",),IF(Projections!$T$11="""",""PG"",),),IF(Projections!$U$11="""",""SG"",),),IF(Projections!$V$11="""",""SF"",),),IF(Projections!$W$11="""",""PF"",),),IF(Pr"&amp;"ojections!$X$11="""",""C"",),),""/"","""")"),"F")</f>
        <v>F</v>
      </c>
    </row>
    <row r="119">
      <c r="A119" t="str">
        <f>IF(Projections!$AB$11,Draft!M9,"")</f>
        <v/>
      </c>
      <c r="B119">
        <f>IFERROR(__xludf.DUMMYFUNCTION("""COMPUTED_VALUE"""),114.0)</f>
        <v>114</v>
      </c>
      <c r="D119" t="str">
        <f>IFERROR(__xludf.DUMMYFUNCTION("""COMPUTED_VALUE"""),"Draymond Green")</f>
        <v>Draymond Green</v>
      </c>
      <c r="E119">
        <f>IFERROR(__xludf.DUMMYFUNCTION("""COMPUTED_VALUE"""),68.0)</f>
        <v>68</v>
      </c>
      <c r="F119" t="str">
        <f>IFERROR(__xludf.DUMMYFUNCTION("""COMPUTED_VALUE"""),"F,C")</f>
        <v>F,C</v>
      </c>
      <c r="G119" s="18">
        <f>IFERROR(__xludf.DUMMYFUNCTION("""COMPUTED_VALUE"""),-0.5655191502269246)</f>
        <v>-0.5655191502</v>
      </c>
      <c r="H119" s="18">
        <f>IFERROR(__xludf.DUMMYFUNCTION("""COMPUTED_VALUE"""),-0.37460704533571243)</f>
        <v>-0.3746070453</v>
      </c>
      <c r="I119" s="18">
        <f>IFERROR(__xludf.DUMMYFUNCTION("""COMPUTED_VALUE"""),0.19091210489121213)</f>
        <v>0.1909121049</v>
      </c>
      <c r="J119" s="18">
        <f>IFERROR(__xludf.DUMMYFUNCTION("""COMPUTED_VALUE"""),8.763529)</f>
        <v>8.763529</v>
      </c>
      <c r="K119" s="18">
        <f>IFERROR(__xludf.DUMMYFUNCTION("""COMPUTED_VALUE"""),1.165)</f>
        <v>1.165</v>
      </c>
      <c r="L119" s="18">
        <f>IFERROR(__xludf.DUMMYFUNCTION("""COMPUTED_VALUE"""),5.921471)</f>
        <v>5.921471</v>
      </c>
      <c r="M119" s="18">
        <f>IFERROR(__xludf.DUMMYFUNCTION("""COMPUTED_VALUE"""),5.921471)</f>
        <v>5.921471</v>
      </c>
      <c r="N119" s="18">
        <f>IFERROR(__xludf.DUMMYFUNCTION("""COMPUTED_VALUE"""),1.375735)</f>
        <v>1.375735</v>
      </c>
      <c r="O119" s="18">
        <f>IFERROR(__xludf.DUMMYFUNCTION("""COMPUTED_VALUE"""),0.837353)</f>
        <v>0.837353</v>
      </c>
      <c r="P119" s="25">
        <f>IFERROR(__xludf.DUMMYFUNCTION("""COMPUTED_VALUE"""),0.411559)</f>
        <v>0.411559</v>
      </c>
      <c r="Q119" s="25">
        <f>IFERROR(__xludf.DUMMYFUNCTION("""COMPUTED_VALUE"""),0.708998)</f>
        <v>0.708998</v>
      </c>
      <c r="R119" s="18">
        <f>IFERROR(__xludf.DUMMYFUNCTION("""COMPUTED_VALUE"""),2.518529)</f>
        <v>2.518529</v>
      </c>
      <c r="S119" s="18">
        <f>IFERROR(__xludf.DUMMYFUNCTION("""COMPUTED_VALUE"""),-1.4756617189756673)</f>
        <v>-1.475661719</v>
      </c>
      <c r="T119" s="18">
        <f>IFERROR(__xludf.DUMMYFUNCTION("""COMPUTED_VALUE"""),-0.5838981431519699)</f>
        <v>-0.5838981432</v>
      </c>
      <c r="U119" s="18">
        <f>IFERROR(__xludf.DUMMYFUNCTION("""COMPUTED_VALUE"""),-0.08310747010914865)</f>
        <v>-0.08310747011</v>
      </c>
      <c r="V119" s="18">
        <f>IFERROR(__xludf.DUMMYFUNCTION("""COMPUTED_VALUE"""),1.0183439624978787)</f>
        <v>1.018343962</v>
      </c>
      <c r="W119" s="18">
        <f>IFERROR(__xludf.DUMMYFUNCTION("""COMPUTED_VALUE"""),1.0072536152066391)</f>
        <v>1.007253615</v>
      </c>
      <c r="X119" s="18">
        <f>IFERROR(__xludf.DUMMYFUNCTION("""COMPUTED_VALUE"""),0.19476286754537583)</f>
        <v>0.1947628675</v>
      </c>
      <c r="Y119" s="18">
        <f>IFERROR(__xludf.DUMMYFUNCTION("""COMPUTED_VALUE"""),-1.033851362291221)</f>
        <v>-1.033851362</v>
      </c>
      <c r="Z119" s="18">
        <f>IFERROR(__xludf.DUMMYFUNCTION("""COMPUTED_VALUE"""),-0.894110515033267)</f>
        <v>-0.894110515</v>
      </c>
      <c r="AA119" s="18">
        <f>IFERROR(__xludf.DUMMYFUNCTION("""COMPUTED_VALUE"""),0.0)</f>
        <v>0</v>
      </c>
      <c r="AB119" t="str">
        <f>IFERROR(__xludf.DUMMYFUNCTION("SUBSTITUTE(REGEXREPLACE(REGEXREPLACE(REGEXREPLACE(REGEXREPLACE(REGEXREPLACE(REGEXREPLACE(F119,"","",),IF(Projections!$T$11="""",""PG"",),),IF(Projections!$U$11="""",""SG"",),),IF(Projections!$V$11="""",""SF"",),),IF(Projections!$W$11="""",""PF"",),),IF(Pr"&amp;"ojections!$X$11="""",""C"",),),""/"","""")"),"FC")</f>
        <v>FC</v>
      </c>
    </row>
    <row r="120">
      <c r="A120" t="str">
        <f>IF(Projections!$AB$11,Draft!M10,"")</f>
        <v/>
      </c>
      <c r="B120">
        <f>IFERROR(__xludf.DUMMYFUNCTION("""COMPUTED_VALUE"""),115.0)</f>
        <v>115</v>
      </c>
      <c r="D120" t="str">
        <f>IFERROR(__xludf.DUMMYFUNCTION("""COMPUTED_VALUE"""),"Sam Hauser")</f>
        <v>Sam Hauser</v>
      </c>
      <c r="E120">
        <f>IFERROR(__xludf.DUMMYFUNCTION("""COMPUTED_VALUE"""),62.0)</f>
        <v>62</v>
      </c>
      <c r="F120" t="str">
        <f>IFERROR(__xludf.DUMMYFUNCTION("""COMPUTED_VALUE"""),"F")</f>
        <v>F</v>
      </c>
      <c r="G120" s="18">
        <f>IFERROR(__xludf.DUMMYFUNCTION("""COMPUTED_VALUE"""),-0.57255951805916)</f>
        <v>-0.5725595181</v>
      </c>
      <c r="H120" s="18">
        <f>IFERROR(__xludf.DUMMYFUNCTION("""COMPUTED_VALUE"""),-0.8625279213587775)</f>
        <v>-0.8625279214</v>
      </c>
      <c r="I120" s="18">
        <f>IFERROR(__xludf.DUMMYFUNCTION("""COMPUTED_VALUE"""),-0.2899684032996175)</f>
        <v>-0.2899684033</v>
      </c>
      <c r="J120" s="18">
        <f>IFERROR(__xludf.DUMMYFUNCTION("""COMPUTED_VALUE"""),11.94903)</f>
        <v>11.94903</v>
      </c>
      <c r="K120" s="18">
        <f>IFERROR(__xludf.DUMMYFUNCTION("""COMPUTED_VALUE"""),3.13629)</f>
        <v>3.13629</v>
      </c>
      <c r="L120" s="18">
        <f>IFERROR(__xludf.DUMMYFUNCTION("""COMPUTED_VALUE"""),4.750806)</f>
        <v>4.750806</v>
      </c>
      <c r="M120" s="18">
        <f>IFERROR(__xludf.DUMMYFUNCTION("""COMPUTED_VALUE"""),1.680161)</f>
        <v>1.680161</v>
      </c>
      <c r="N120" s="18">
        <f>IFERROR(__xludf.DUMMYFUNCTION("""COMPUTED_VALUE"""),0.713387)</f>
        <v>0.713387</v>
      </c>
      <c r="O120" s="18">
        <f>IFERROR(__xludf.DUMMYFUNCTION("""COMPUTED_VALUE"""),0.285)</f>
        <v>0.285</v>
      </c>
      <c r="P120" s="25">
        <f>IFERROR(__xludf.DUMMYFUNCTION("""COMPUTED_VALUE"""),0.434489)</f>
        <v>0.434489</v>
      </c>
      <c r="Q120" s="25">
        <f>IFERROR(__xludf.DUMMYFUNCTION("""COMPUTED_VALUE"""),0.918029)</f>
        <v>0.918029</v>
      </c>
      <c r="R120" s="18">
        <f>IFERROR(__xludf.DUMMYFUNCTION("""COMPUTED_VALUE"""),0.579355)</f>
        <v>0.579355</v>
      </c>
      <c r="S120" s="18">
        <f>IFERROR(__xludf.DUMMYFUNCTION("""COMPUTED_VALUE"""),-0.9167891031900407)</f>
        <v>-0.9167891032</v>
      </c>
      <c r="T120" s="18">
        <f>IFERROR(__xludf.DUMMYFUNCTION("""COMPUTED_VALUE"""),1.3200396583775642)</f>
        <v>1.320039658</v>
      </c>
      <c r="U120" s="18">
        <f>IFERROR(__xludf.DUMMYFUNCTION("""COMPUTED_VALUE"""),-0.5576407495813293)</f>
        <v>-0.5576407496</v>
      </c>
      <c r="V120" s="18">
        <f>IFERROR(__xludf.DUMMYFUNCTION("""COMPUTED_VALUE"""),-1.0535974591257014)</f>
        <v>-1.053597459</v>
      </c>
      <c r="W120" s="18">
        <f>IFERROR(__xludf.DUMMYFUNCTION("""COMPUTED_VALUE"""),-1.0110731061661025)</f>
        <v>-1.011073106</v>
      </c>
      <c r="X120" s="18">
        <f>IFERROR(__xludf.DUMMYFUNCTION("""COMPUTED_VALUE"""),-0.8094105918939525)</f>
        <v>-0.8094105919</v>
      </c>
      <c r="Y120" s="18">
        <f>IFERROR(__xludf.DUMMYFUNCTION("""COMPUTED_VALUE"""),-0.7921708241813314)</f>
        <v>-0.7921708242</v>
      </c>
      <c r="Z120" s="18">
        <f>IFERROR(__xludf.DUMMYFUNCTION("""COMPUTED_VALUE"""),1.9045167952764144)</f>
        <v>1.904516795</v>
      </c>
      <c r="AA120" s="18">
        <f>IFERROR(__xludf.DUMMYFUNCTION("""COMPUTED_VALUE"""),0.0)</f>
        <v>0</v>
      </c>
      <c r="AB120" t="str">
        <f>IFERROR(__xludf.DUMMYFUNCTION("SUBSTITUTE(REGEXREPLACE(REGEXREPLACE(REGEXREPLACE(REGEXREPLACE(REGEXREPLACE(REGEXREPLACE(F120,"","",),IF(Projections!$T$11="""",""PG"",),),IF(Projections!$U$11="""",""SG"",),),IF(Projections!$V$11="""",""SF"",),),IF(Projections!$W$11="""",""PF"",),),IF(Pr"&amp;"ojections!$X$11="""",""C"",),),""/"","""")"),"F")</f>
        <v>F</v>
      </c>
    </row>
    <row r="121">
      <c r="A121" t="str">
        <f>IF(Projections!$AB$11,Draft!M11,"")</f>
        <v/>
      </c>
      <c r="B121">
        <f>IFERROR(__xludf.DUMMYFUNCTION("""COMPUTED_VALUE"""),116.0)</f>
        <v>116</v>
      </c>
      <c r="D121" t="str">
        <f>IFERROR(__xludf.DUMMYFUNCTION("""COMPUTED_VALUE"""),"Josh Hart")</f>
        <v>Josh Hart</v>
      </c>
      <c r="E121">
        <f>IFERROR(__xludf.DUMMYFUNCTION("""COMPUTED_VALUE"""),73.0)</f>
        <v>73</v>
      </c>
      <c r="F121" t="str">
        <f>IFERROR(__xludf.DUMMYFUNCTION("""COMPUTED_VALUE"""),"G,F")</f>
        <v>G,F</v>
      </c>
      <c r="G121" s="18">
        <f>IFERROR(__xludf.DUMMYFUNCTION("""COMPUTED_VALUE"""),-0.6256307036339623)</f>
        <v>-0.6256307036</v>
      </c>
      <c r="H121" s="18">
        <f>IFERROR(__xludf.DUMMYFUNCTION("""COMPUTED_VALUE"""),-0.6710579722756411)</f>
        <v>-0.6710579723</v>
      </c>
      <c r="I121" s="18">
        <f>IFERROR(__xludf.DUMMYFUNCTION("""COMPUTED_VALUE"""),-0.045427268641678786)</f>
        <v>-0.04542726864</v>
      </c>
      <c r="J121" s="18">
        <f>IFERROR(__xludf.DUMMYFUNCTION("""COMPUTED_VALUE"""),11.72712)</f>
        <v>11.72712</v>
      </c>
      <c r="K121" s="18">
        <f>IFERROR(__xludf.DUMMYFUNCTION("""COMPUTED_VALUE"""),0.923288)</f>
        <v>0.923288</v>
      </c>
      <c r="L121" s="18">
        <f>IFERROR(__xludf.DUMMYFUNCTION("""COMPUTED_VALUE"""),7.486849)</f>
        <v>7.486849</v>
      </c>
      <c r="M121" s="18">
        <f>IFERROR(__xludf.DUMMYFUNCTION("""COMPUTED_VALUE"""),4.696301)</f>
        <v>4.696301</v>
      </c>
      <c r="N121" s="18">
        <f>IFERROR(__xludf.DUMMYFUNCTION("""COMPUTED_VALUE"""),1.225068)</f>
        <v>1.225068</v>
      </c>
      <c r="O121" s="18">
        <f>IFERROR(__xludf.DUMMYFUNCTION("""COMPUTED_VALUE"""),0.276027)</f>
        <v>0.276027</v>
      </c>
      <c r="P121" s="25">
        <f>IFERROR(__xludf.DUMMYFUNCTION("""COMPUTED_VALUE"""),0.49429)</f>
        <v>0.49429</v>
      </c>
      <c r="Q121" s="25">
        <f>IFERROR(__xludf.DUMMYFUNCTION("""COMPUTED_VALUE"""),0.742975)</f>
        <v>0.742975</v>
      </c>
      <c r="R121" s="18">
        <f>IFERROR(__xludf.DUMMYFUNCTION("""COMPUTED_VALUE"""),1.565479)</f>
        <v>1.565479</v>
      </c>
      <c r="S121" s="18">
        <f>IFERROR(__xludf.DUMMYFUNCTION("""COMPUTED_VALUE"""),-0.9557215732062136)</f>
        <v>-0.9557215732</v>
      </c>
      <c r="T121" s="18">
        <f>IFERROR(__xludf.DUMMYFUNCTION("""COMPUTED_VALUE"""),-0.8173516755512145)</f>
        <v>-0.8173516756</v>
      </c>
      <c r="U121" s="18">
        <f>IFERROR(__xludf.DUMMYFUNCTION("""COMPUTED_VALUE"""),0.5514241473506736)</f>
        <v>0.5514241474</v>
      </c>
      <c r="V121" s="18">
        <f>IFERROR(__xludf.DUMMYFUNCTION("""COMPUTED_VALUE"""),0.4198306561065604)</f>
        <v>0.4198306561</v>
      </c>
      <c r="W121" s="18">
        <f>IFERROR(__xludf.DUMMYFUNCTION("""COMPUTED_VALUE"""),0.5481366070340975)</f>
        <v>0.548136607</v>
      </c>
      <c r="X121" s="18">
        <f>IFERROR(__xludf.DUMMYFUNCTION("""COMPUTED_VALUE"""),-0.825723436128616)</f>
        <v>-0.8257234361</v>
      </c>
      <c r="Y121" s="18">
        <f>IFERROR(__xludf.DUMMYFUNCTION("""COMPUTED_VALUE"""),-0.013253796885365352)</f>
        <v>-0.01325379689</v>
      </c>
      <c r="Z121" s="18">
        <f>IFERROR(__xludf.DUMMYFUNCTION("""COMPUTED_VALUE"""),-0.5341204742017766)</f>
        <v>-0.5341204742</v>
      </c>
      <c r="AA121" s="18">
        <f>IFERROR(__xludf.DUMMYFUNCTION("""COMPUTED_VALUE"""),0.0)</f>
        <v>0</v>
      </c>
      <c r="AB121" t="str">
        <f>IFERROR(__xludf.DUMMYFUNCTION("SUBSTITUTE(REGEXREPLACE(REGEXREPLACE(REGEXREPLACE(REGEXREPLACE(REGEXREPLACE(REGEXREPLACE(F121,"","",),IF(Projections!$T$11="""",""PG"",),),IF(Projections!$U$11="""",""SG"",),),IF(Projections!$V$11="""",""SF"",),),IF(Projections!$W$11="""",""PF"",),),IF(Pr"&amp;"ojections!$X$11="""",""C"",),),""/"","""")"),"GF")</f>
        <v>GF</v>
      </c>
    </row>
    <row r="122">
      <c r="A122" t="str">
        <f>IF(Projections!$AB$11,Draft!M12,"")</f>
        <v/>
      </c>
      <c r="B122">
        <f>IFERROR(__xludf.DUMMYFUNCTION("""COMPUTED_VALUE"""),117.0)</f>
        <v>117</v>
      </c>
      <c r="D122" t="str">
        <f>IFERROR(__xludf.DUMMYFUNCTION("""COMPUTED_VALUE"""),"Aaron Gordon")</f>
        <v>Aaron Gordon</v>
      </c>
      <c r="E122">
        <f>IFERROR(__xludf.DUMMYFUNCTION("""COMPUTED_VALUE"""),68.0)</f>
        <v>68</v>
      </c>
      <c r="F122" t="str">
        <f>IFERROR(__xludf.DUMMYFUNCTION("""COMPUTED_VALUE"""),"F")</f>
        <v>F</v>
      </c>
      <c r="G122" s="18">
        <f>IFERROR(__xludf.DUMMYFUNCTION("""COMPUTED_VALUE"""),-0.6673581306520562)</f>
        <v>-0.6673581307</v>
      </c>
      <c r="H122" s="18">
        <f>IFERROR(__xludf.DUMMYFUNCTION("""COMPUTED_VALUE"""),-0.7037871195518386)</f>
        <v>-0.7037871196</v>
      </c>
      <c r="I122" s="18">
        <f>IFERROR(__xludf.DUMMYFUNCTION("""COMPUTED_VALUE"""),-0.03642898889978241)</f>
        <v>-0.0364289889</v>
      </c>
      <c r="J122" s="18">
        <f>IFERROR(__xludf.DUMMYFUNCTION("""COMPUTED_VALUE"""),15.89221)</f>
        <v>15.89221</v>
      </c>
      <c r="K122" s="18">
        <f>IFERROR(__xludf.DUMMYFUNCTION("""COMPUTED_VALUE"""),1.287059)</f>
        <v>1.287059</v>
      </c>
      <c r="L122" s="18">
        <f>IFERROR(__xludf.DUMMYFUNCTION("""COMPUTED_VALUE"""),6.06)</f>
        <v>6.06</v>
      </c>
      <c r="M122" s="18">
        <f>IFERROR(__xludf.DUMMYFUNCTION("""COMPUTED_VALUE"""),3.913382)</f>
        <v>3.913382</v>
      </c>
      <c r="N122" s="18">
        <f>IFERROR(__xludf.DUMMYFUNCTION("""COMPUTED_VALUE"""),0.547059)</f>
        <v>0.547059</v>
      </c>
      <c r="O122" s="18">
        <f>IFERROR(__xludf.DUMMYFUNCTION("""COMPUTED_VALUE"""),0.333235)</f>
        <v>0.333235</v>
      </c>
      <c r="P122" s="25">
        <f>IFERROR(__xludf.DUMMYFUNCTION("""COMPUTED_VALUE"""),0.530243)</f>
        <v>0.530243</v>
      </c>
      <c r="Q122" s="25">
        <f>IFERROR(__xludf.DUMMYFUNCTION("""COMPUTED_VALUE"""),0.79901)</f>
        <v>0.79901</v>
      </c>
      <c r="R122" s="18">
        <f>IFERROR(__xludf.DUMMYFUNCTION("""COMPUTED_VALUE"""),1.601765)</f>
        <v>1.601765</v>
      </c>
      <c r="S122" s="18">
        <f>IFERROR(__xludf.DUMMYFUNCTION("""COMPUTED_VALUE"""),-0.2249873046303897)</f>
        <v>-0.2249873046</v>
      </c>
      <c r="T122" s="18">
        <f>IFERROR(__xludf.DUMMYFUNCTION("""COMPUTED_VALUE"""),-0.4660094793242767)</f>
        <v>-0.4660094793</v>
      </c>
      <c r="U122" s="18">
        <f>IFERROR(__xludf.DUMMYFUNCTION("""COMPUTED_VALUE"""),-0.026954240387579015)</f>
        <v>-0.02695424039</v>
      </c>
      <c r="V122" s="18">
        <f>IFERROR(__xludf.DUMMYFUNCTION("""COMPUTED_VALUE"""),0.037363374564746255)</f>
        <v>0.03736337456</v>
      </c>
      <c r="W122" s="18">
        <f>IFERROR(__xludf.DUMMYFUNCTION("""COMPUTED_VALUE"""),-1.5179127839676292)</f>
        <v>-1.517912784</v>
      </c>
      <c r="X122" s="18">
        <f>IFERROR(__xludf.DUMMYFUNCTION("""COMPUTED_VALUE"""),-0.7217197369224831)</f>
        <v>-0.7217197369</v>
      </c>
      <c r="Y122" s="18">
        <f>IFERROR(__xludf.DUMMYFUNCTION("""COMPUTED_VALUE"""),0.5584557777984566)</f>
        <v>0.5584557778</v>
      </c>
      <c r="Z122" s="18">
        <f>IFERROR(__xludf.DUMMYFUNCTION("""COMPUTED_VALUE"""),0.14006448934968732)</f>
        <v>0.1400644893</v>
      </c>
      <c r="AA122" s="18">
        <f>IFERROR(__xludf.DUMMYFUNCTION("""COMPUTED_VALUE"""),0.0)</f>
        <v>0</v>
      </c>
      <c r="AB122" t="str">
        <f>IFERROR(__xludf.DUMMYFUNCTION("SUBSTITUTE(REGEXREPLACE(REGEXREPLACE(REGEXREPLACE(REGEXREPLACE(REGEXREPLACE(REGEXREPLACE(F122,"","",),IF(Projections!$T$11="""",""PG"",),),IF(Projections!$U$11="""",""SG"",),),IF(Projections!$V$11="""",""SF"",),),IF(Projections!$W$11="""",""PF"",),),IF(Pr"&amp;"ojections!$X$11="""",""C"",),),""/"","""")"),"F")</f>
        <v>F</v>
      </c>
    </row>
    <row r="123">
      <c r="A123" t="str">
        <f>IF(Projections!$AB$11,Draft!M13,"")</f>
        <v/>
      </c>
      <c r="B123">
        <f>IFERROR(__xludf.DUMMYFUNCTION("""COMPUTED_VALUE"""),118.0)</f>
        <v>118</v>
      </c>
      <c r="D123" t="str">
        <f>IFERROR(__xludf.DUMMYFUNCTION("""COMPUTED_VALUE"""),"Scoot Henderson")</f>
        <v>Scoot Henderson</v>
      </c>
      <c r="E123">
        <f>IFERROR(__xludf.DUMMYFUNCTION("""COMPUTED_VALUE"""),51.0)</f>
        <v>51</v>
      </c>
      <c r="F123" t="str">
        <f>IFERROR(__xludf.DUMMYFUNCTION("""COMPUTED_VALUE"""),"G")</f>
        <v>G</v>
      </c>
      <c r="G123" s="18">
        <f>IFERROR(__xludf.DUMMYFUNCTION("""COMPUTED_VALUE"""),-0.6834697754528432)</f>
        <v>-0.6834697755</v>
      </c>
      <c r="H123" s="18">
        <f>IFERROR(__xludf.DUMMYFUNCTION("""COMPUTED_VALUE"""),-0.29828053076243943)</f>
        <v>-0.2982805308</v>
      </c>
      <c r="I123" s="18">
        <f>IFERROR(__xludf.DUMMYFUNCTION("""COMPUTED_VALUE"""),0.3851892446904037)</f>
        <v>0.3851892447</v>
      </c>
      <c r="J123" s="18">
        <f>IFERROR(__xludf.DUMMYFUNCTION("""COMPUTED_VALUE"""),16.64647)</f>
        <v>16.64647</v>
      </c>
      <c r="K123" s="18">
        <f>IFERROR(__xludf.DUMMYFUNCTION("""COMPUTED_VALUE"""),2.28902)</f>
        <v>2.28902</v>
      </c>
      <c r="L123" s="18">
        <f>IFERROR(__xludf.DUMMYFUNCTION("""COMPUTED_VALUE"""),3.491373)</f>
        <v>3.491373</v>
      </c>
      <c r="M123" s="18">
        <f>IFERROR(__xludf.DUMMYFUNCTION("""COMPUTED_VALUE"""),6.531176)</f>
        <v>6.531176</v>
      </c>
      <c r="N123" s="18">
        <f>IFERROR(__xludf.DUMMYFUNCTION("""COMPUTED_VALUE"""),0.988039)</f>
        <v>0.988039</v>
      </c>
      <c r="O123" s="18">
        <f>IFERROR(__xludf.DUMMYFUNCTION("""COMPUTED_VALUE"""),0.193529)</f>
        <v>0.193529</v>
      </c>
      <c r="P123" s="25">
        <f>IFERROR(__xludf.DUMMYFUNCTION("""COMPUTED_VALUE"""),0.433899)</f>
        <v>0.433899</v>
      </c>
      <c r="Q123" s="25">
        <f>IFERROR(__xludf.DUMMYFUNCTION("""COMPUTED_VALUE"""),0.782023)</f>
        <v>0.782023</v>
      </c>
      <c r="R123" s="18">
        <f>IFERROR(__xludf.DUMMYFUNCTION("""COMPUTED_VALUE"""),3.301961)</f>
        <v>3.301961</v>
      </c>
      <c r="S123" s="18">
        <f>IFERROR(__xludf.DUMMYFUNCTION("""COMPUTED_VALUE"""),-0.09265796014659679)</f>
        <v>-0.09265796015</v>
      </c>
      <c r="T123" s="18">
        <f>IFERROR(__xludf.DUMMYFUNCTION("""COMPUTED_VALUE"""),0.5017179598441529)</f>
        <v>0.5017179598</v>
      </c>
      <c r="U123" s="18">
        <f>IFERROR(__xludf.DUMMYFUNCTION("""COMPUTED_VALUE"""),-1.0681564579739835)</f>
        <v>-1.068156458</v>
      </c>
      <c r="V123" s="18">
        <f>IFERROR(__xludf.DUMMYFUNCTION("""COMPUTED_VALUE"""),1.3161936939419383)</f>
        <v>1.316193694</v>
      </c>
      <c r="W123" s="18">
        <f>IFERROR(__xludf.DUMMYFUNCTION("""COMPUTED_VALUE"""),-0.1741452817015215)</f>
        <v>-0.1741452817</v>
      </c>
      <c r="X123" s="18">
        <f>IFERROR(__xludf.DUMMYFUNCTION("""COMPUTED_VALUE"""),-0.9757041587042617)</f>
        <v>-0.9757041587</v>
      </c>
      <c r="Y123" s="18">
        <f>IFERROR(__xludf.DUMMYFUNCTION("""COMPUTED_VALUE"""),-0.798785324059024)</f>
        <v>-0.7987853241</v>
      </c>
      <c r="Z123" s="18">
        <f>IFERROR(__xludf.DUMMYFUNCTION("""COMPUTED_VALUE"""),-0.07489945993712661)</f>
        <v>-0.07489945994</v>
      </c>
      <c r="AA123" s="18">
        <f>IFERROR(__xludf.DUMMYFUNCTION("""COMPUTED_VALUE"""),0.0)</f>
        <v>0</v>
      </c>
      <c r="AB123" t="str">
        <f>IFERROR(__xludf.DUMMYFUNCTION("SUBSTITUTE(REGEXREPLACE(REGEXREPLACE(REGEXREPLACE(REGEXREPLACE(REGEXREPLACE(REGEXREPLACE(F123,"","",),IF(Projections!$T$11="""",""PG"",),),IF(Projections!$U$11="""",""SG"",),),IF(Projections!$V$11="""",""SF"",),),IF(Projections!$W$11="""",""PF"",),),IF(Pr"&amp;"ojections!$X$11="""",""C"",),),""/"","""")"),"G")</f>
        <v>G</v>
      </c>
    </row>
    <row r="124">
      <c r="A124" t="str">
        <f>IF(Projections!$AB$11,Draft!M14,"")</f>
        <v/>
      </c>
      <c r="B124">
        <f>IFERROR(__xludf.DUMMYFUNCTION("""COMPUTED_VALUE"""),119.0)</f>
        <v>119</v>
      </c>
      <c r="D124" t="str">
        <f>IFERROR(__xludf.DUMMYFUNCTION("""COMPUTED_VALUE"""),"Brandin Podziemski")</f>
        <v>Brandin Podziemski</v>
      </c>
      <c r="E124">
        <f>IFERROR(__xludf.DUMMYFUNCTION("""COMPUTED_VALUE"""),68.0)</f>
        <v>68</v>
      </c>
      <c r="F124" t="str">
        <f>IFERROR(__xludf.DUMMYFUNCTION("""COMPUTED_VALUE"""),"G,F")</f>
        <v>G,F</v>
      </c>
      <c r="G124" s="18">
        <f>IFERROR(__xludf.DUMMYFUNCTION("""COMPUTED_VALUE"""),-0.7085231882513672)</f>
        <v>-0.7085231883</v>
      </c>
      <c r="H124" s="18">
        <f>IFERROR(__xludf.DUMMYFUNCTION("""COMPUTED_VALUE"""),-0.8317094709432931)</f>
        <v>-0.8317094709</v>
      </c>
      <c r="I124" s="18">
        <f>IFERROR(__xludf.DUMMYFUNCTION("""COMPUTED_VALUE"""),-0.12318628269192589)</f>
        <v>-0.1231862827</v>
      </c>
      <c r="J124" s="18">
        <f>IFERROR(__xludf.DUMMYFUNCTION("""COMPUTED_VALUE"""),14.70971)</f>
        <v>14.70971</v>
      </c>
      <c r="K124" s="18">
        <f>IFERROR(__xludf.DUMMYFUNCTION("""COMPUTED_VALUE"""),2.332647)</f>
        <v>2.332647</v>
      </c>
      <c r="L124" s="18">
        <f>IFERROR(__xludf.DUMMYFUNCTION("""COMPUTED_VALUE"""),5.502794)</f>
        <v>5.502794</v>
      </c>
      <c r="M124" s="18">
        <f>IFERROR(__xludf.DUMMYFUNCTION("""COMPUTED_VALUE"""),3.469118)</f>
        <v>3.469118</v>
      </c>
      <c r="N124" s="18">
        <f>IFERROR(__xludf.DUMMYFUNCTION("""COMPUTED_VALUE"""),1.143235)</f>
        <v>1.143235</v>
      </c>
      <c r="O124" s="18">
        <f>IFERROR(__xludf.DUMMYFUNCTION("""COMPUTED_VALUE"""),0.178676)</f>
        <v>0.178676</v>
      </c>
      <c r="P124" s="25">
        <f>IFERROR(__xludf.DUMMYFUNCTION("""COMPUTED_VALUE"""),0.451894)</f>
        <v>0.451894</v>
      </c>
      <c r="Q124" s="25">
        <f>IFERROR(__xludf.DUMMYFUNCTION("""COMPUTED_VALUE"""),0.769976)</f>
        <v>0.769976</v>
      </c>
      <c r="R124" s="18">
        <f>IFERROR(__xludf.DUMMYFUNCTION("""COMPUTED_VALUE"""),1.251912)</f>
        <v>1.251912</v>
      </c>
      <c r="S124" s="18">
        <f>IFERROR(__xludf.DUMMYFUNCTION("""COMPUTED_VALUE"""),-0.4324481932524633)</f>
        <v>-0.4324481933</v>
      </c>
      <c r="T124" s="18">
        <f>IFERROR(__xludf.DUMMYFUNCTION("""COMPUTED_VALUE"""),0.5438543753220022)</f>
        <v>0.5438543753</v>
      </c>
      <c r="U124" s="18">
        <f>IFERROR(__xludf.DUMMYFUNCTION("""COMPUTED_VALUE"""),-0.25281970191720166)</f>
        <v>-0.2528197019</v>
      </c>
      <c r="V124" s="18">
        <f>IFERROR(__xludf.DUMMYFUNCTION("""COMPUTED_VALUE"""),-0.17966602996738604)</f>
        <v>-0.17966603</v>
      </c>
      <c r="W124" s="18">
        <f>IFERROR(__xludf.DUMMYFUNCTION("""COMPUTED_VALUE"""),0.2987726313142407)</f>
        <v>0.2987726313</v>
      </c>
      <c r="X124" s="18">
        <f>IFERROR(__xludf.DUMMYFUNCTION("""COMPUTED_VALUE"""),-1.0027067972217538)</f>
        <v>-1.002706797</v>
      </c>
      <c r="Y124" s="18">
        <f>IFERROR(__xludf.DUMMYFUNCTION("""COMPUTED_VALUE"""),-0.5876345218479537)</f>
        <v>-0.5876345218</v>
      </c>
      <c r="Z124" s="18">
        <f>IFERROR(__xludf.DUMMYFUNCTION("""COMPUTED_VALUE"""),-0.22176803059453118)</f>
        <v>-0.2217680306</v>
      </c>
      <c r="AA124" s="18">
        <f>IFERROR(__xludf.DUMMYFUNCTION("""COMPUTED_VALUE"""),0.0)</f>
        <v>0</v>
      </c>
      <c r="AB124" t="str">
        <f>IFERROR(__xludf.DUMMYFUNCTION("SUBSTITUTE(REGEXREPLACE(REGEXREPLACE(REGEXREPLACE(REGEXREPLACE(REGEXREPLACE(REGEXREPLACE(F124,"","",),IF(Projections!$T$11="""",""PG"",),),IF(Projections!$U$11="""",""SG"",),),IF(Projections!$V$11="""",""SF"",),),IF(Projections!$W$11="""",""PF"",),),IF(Pr"&amp;"ojections!$X$11="""",""C"",),),""/"","""")"),"GF")</f>
        <v>GF</v>
      </c>
    </row>
    <row r="125">
      <c r="A125" t="str">
        <f>IF(Projections!$AB$11,Draft!N3,"")</f>
        <v/>
      </c>
      <c r="B125">
        <f>IFERROR(__xludf.DUMMYFUNCTION("""COMPUTED_VALUE"""),120.0)</f>
        <v>120</v>
      </c>
      <c r="D125" t="str">
        <f>IFERROR(__xludf.DUMMYFUNCTION("""COMPUTED_VALUE"""),"Cam Thomas")</f>
        <v>Cam Thomas</v>
      </c>
      <c r="E125">
        <f>IFERROR(__xludf.DUMMYFUNCTION("""COMPUTED_VALUE"""),59.0)</f>
        <v>59</v>
      </c>
      <c r="F125" t="str">
        <f>IFERROR(__xludf.DUMMYFUNCTION("""COMPUTED_VALUE"""),"G,F")</f>
        <v>G,F</v>
      </c>
      <c r="G125" s="18">
        <f>IFERROR(__xludf.DUMMYFUNCTION("""COMPUTED_VALUE"""),-0.7176325748252386)</f>
        <v>-0.7176325748</v>
      </c>
      <c r="H125" s="18">
        <f>IFERROR(__xludf.DUMMYFUNCTION("""COMPUTED_VALUE"""),-0.6447567423119711)</f>
        <v>-0.6447567423</v>
      </c>
      <c r="I125" s="18">
        <f>IFERROR(__xludf.DUMMYFUNCTION("""COMPUTED_VALUE"""),0.07287583251326746)</f>
        <v>0.07287583251</v>
      </c>
      <c r="J125" s="18">
        <f>IFERROR(__xludf.DUMMYFUNCTION("""COMPUTED_VALUE"""),22.24847)</f>
        <v>22.24847</v>
      </c>
      <c r="K125" s="18">
        <f>IFERROR(__xludf.DUMMYFUNCTION("""COMPUTED_VALUE"""),2.430339)</f>
        <v>2.430339</v>
      </c>
      <c r="L125" s="18">
        <f>IFERROR(__xludf.DUMMYFUNCTION("""COMPUTED_VALUE"""),2.974915)</f>
        <v>2.974915</v>
      </c>
      <c r="M125" s="18">
        <f>IFERROR(__xludf.DUMMYFUNCTION("""COMPUTED_VALUE"""),3.61661)</f>
        <v>3.61661</v>
      </c>
      <c r="N125" s="18">
        <f>IFERROR(__xludf.DUMMYFUNCTION("""COMPUTED_VALUE"""),0.582881)</f>
        <v>0.582881</v>
      </c>
      <c r="O125" s="18">
        <f>IFERROR(__xludf.DUMMYFUNCTION("""COMPUTED_VALUE"""),0.11678)</f>
        <v>0.11678</v>
      </c>
      <c r="P125" s="25">
        <f>IFERROR(__xludf.DUMMYFUNCTION("""COMPUTED_VALUE"""),0.425829)</f>
        <v>0.425829</v>
      </c>
      <c r="Q125" s="25">
        <f>IFERROR(__xludf.DUMMYFUNCTION("""COMPUTED_VALUE"""),0.874996)</f>
        <v>0.874996</v>
      </c>
      <c r="R125" s="18">
        <f>IFERROR(__xludf.DUMMYFUNCTION("""COMPUTED_VALUE"""),2.042542)</f>
        <v>2.042542</v>
      </c>
      <c r="S125" s="18">
        <f>IFERROR(__xludf.DUMMYFUNCTION("""COMPUTED_VALUE"""),0.8901715519556063)</f>
        <v>0.890171552</v>
      </c>
      <c r="T125" s="18">
        <f>IFERROR(__xludf.DUMMYFUNCTION("""COMPUTED_VALUE"""),0.6382085757222594)</f>
        <v>0.6382085757</v>
      </c>
      <c r="U125" s="18">
        <f>IFERROR(__xludf.DUMMYFUNCTION("""COMPUTED_VALUE"""),-1.2775045707557298)</f>
        <v>-1.277504571</v>
      </c>
      <c r="V125" s="18">
        <f>IFERROR(__xludf.DUMMYFUNCTION("""COMPUTED_VALUE"""),-0.10761404976360339)</f>
        <v>-0.1076140498</v>
      </c>
      <c r="W125" s="18">
        <f>IFERROR(__xludf.DUMMYFUNCTION("""COMPUTED_VALUE"""),-1.4087549095375493)</f>
        <v>-1.40875491</v>
      </c>
      <c r="X125" s="18">
        <f>IFERROR(__xludf.DUMMYFUNCTION("""COMPUTED_VALUE"""),-1.1152332439785502)</f>
        <v>-1.115233244</v>
      </c>
      <c r="Y125" s="18">
        <f>IFERROR(__xludf.DUMMYFUNCTION("""COMPUTED_VALUE"""),-0.8871588614243292)</f>
        <v>-0.8871588614</v>
      </c>
      <c r="Z125" s="18">
        <f>IFERROR(__xludf.DUMMYFUNCTION("""COMPUTED_VALUE"""),1.2143738559323751)</f>
        <v>1.214373856</v>
      </c>
      <c r="AA125" s="18">
        <f>IFERROR(__xludf.DUMMYFUNCTION("""COMPUTED_VALUE"""),0.0)</f>
        <v>0</v>
      </c>
      <c r="AB125" t="str">
        <f>IFERROR(__xludf.DUMMYFUNCTION("SUBSTITUTE(REGEXREPLACE(REGEXREPLACE(REGEXREPLACE(REGEXREPLACE(REGEXREPLACE(REGEXREPLACE(F125,"","",),IF(Projections!$T$11="""",""PG"",),),IF(Projections!$U$11="""",""SG"",),),IF(Projections!$V$11="""",""SF"",),),IF(Projections!$W$11="""",""PF"",),),IF(Pr"&amp;"ojections!$X$11="""",""C"",),),""/"","""")"),"GF")</f>
        <v>GF</v>
      </c>
    </row>
    <row r="126">
      <c r="A126" t="str">
        <f>IF(Projections!$AB$11,Draft!N4,"")</f>
        <v/>
      </c>
      <c r="B126">
        <f>IFERROR(__xludf.DUMMYFUNCTION("""COMPUTED_VALUE"""),121.0)</f>
        <v>121</v>
      </c>
      <c r="D126" t="str">
        <f>IFERROR(__xludf.DUMMYFUNCTION("""COMPUTED_VALUE"""),"Christian Braun")</f>
        <v>Christian Braun</v>
      </c>
      <c r="E126">
        <f>IFERROR(__xludf.DUMMYFUNCTION("""COMPUTED_VALUE"""),73.0)</f>
        <v>73</v>
      </c>
      <c r="F126" t="str">
        <f>IFERROR(__xludf.DUMMYFUNCTION("""COMPUTED_VALUE"""),"G,F")</f>
        <v>G,F</v>
      </c>
      <c r="G126" s="18">
        <f>IFERROR(__xludf.DUMMYFUNCTION("""COMPUTED_VALUE"""),-0.7527649282496073)</f>
        <v>-0.7527649282</v>
      </c>
      <c r="H126" s="18">
        <f>IFERROR(__xludf.DUMMYFUNCTION("""COMPUTED_VALUE"""),-0.9502424428192983)</f>
        <v>-0.9502424428</v>
      </c>
      <c r="I126" s="18">
        <f>IFERROR(__xludf.DUMMYFUNCTION("""COMPUTED_VALUE"""),-0.19747751456969098)</f>
        <v>-0.1974775146</v>
      </c>
      <c r="J126" s="18">
        <f>IFERROR(__xludf.DUMMYFUNCTION("""COMPUTED_VALUE"""),14.0874)</f>
        <v>14.0874</v>
      </c>
      <c r="K126" s="18">
        <f>IFERROR(__xludf.DUMMYFUNCTION("""COMPUTED_VALUE"""),1.074247)</f>
        <v>1.074247</v>
      </c>
      <c r="L126" s="18">
        <f>IFERROR(__xludf.DUMMYFUNCTION("""COMPUTED_VALUE"""),5.05)</f>
        <v>5.05</v>
      </c>
      <c r="M126" s="18">
        <f>IFERROR(__xludf.DUMMYFUNCTION("""COMPUTED_VALUE"""),3.164658)</f>
        <v>3.164658</v>
      </c>
      <c r="N126" s="18">
        <f>IFERROR(__xludf.DUMMYFUNCTION("""COMPUTED_VALUE"""),0.875342)</f>
        <v>0.875342</v>
      </c>
      <c r="O126" s="18">
        <f>IFERROR(__xludf.DUMMYFUNCTION("""COMPUTED_VALUE"""),0.340685)</f>
        <v>0.340685</v>
      </c>
      <c r="P126" s="25">
        <f>IFERROR(__xludf.DUMMYFUNCTION("""COMPUTED_VALUE"""),0.551526)</f>
        <v>0.551526</v>
      </c>
      <c r="Q126" s="25">
        <f>IFERROR(__xludf.DUMMYFUNCTION("""COMPUTED_VALUE"""),0.833993)</f>
        <v>0.833993</v>
      </c>
      <c r="R126" s="18">
        <f>IFERROR(__xludf.DUMMYFUNCTION("""COMPUTED_VALUE"""),0.952329)</f>
        <v>0.952329</v>
      </c>
      <c r="S126" s="18">
        <f>IFERROR(__xludf.DUMMYFUNCTION("""COMPUTED_VALUE"""),-0.5416278850904356)</f>
        <v>-0.5416278851</v>
      </c>
      <c r="T126" s="18">
        <f>IFERROR(__xludf.DUMMYFUNCTION("""COMPUTED_VALUE"""),-0.6715504253135037)</f>
        <v>-0.6715504253</v>
      </c>
      <c r="U126" s="18">
        <f>IFERROR(__xludf.DUMMYFUNCTION("""COMPUTED_VALUE"""),-0.43636138271002145)</f>
        <v>-0.4363613827</v>
      </c>
      <c r="V126" s="18">
        <f>IFERROR(__xludf.DUMMYFUNCTION("""COMPUTED_VALUE"""),-0.3283991537493106)</f>
        <v>-0.3283991537</v>
      </c>
      <c r="W126" s="18">
        <f>IFERROR(__xludf.DUMMYFUNCTION("""COMPUTED_VALUE"""),-0.5175589653218299)</f>
        <v>-0.5175589653</v>
      </c>
      <c r="X126" s="18">
        <f>IFERROR(__xludf.DUMMYFUNCTION("""COMPUTED_VALUE"""),-0.7081756948464503)</f>
        <v>-0.7081756948</v>
      </c>
      <c r="Y126" s="18">
        <f>IFERROR(__xludf.DUMMYFUNCTION("""COMPUTED_VALUE"""),0.9334822466296846)</f>
        <v>0.9334822466</v>
      </c>
      <c r="Z126" s="18">
        <f>IFERROR(__xludf.DUMMYFUNCTION("""COMPUTED_VALUE"""),0.6117731227361183)</f>
        <v>0.6117731227</v>
      </c>
      <c r="AA126" s="18">
        <f>IFERROR(__xludf.DUMMYFUNCTION("""COMPUTED_VALUE"""),0.0)</f>
        <v>0</v>
      </c>
      <c r="AB126" t="str">
        <f>IFERROR(__xludf.DUMMYFUNCTION("SUBSTITUTE(REGEXREPLACE(REGEXREPLACE(REGEXREPLACE(REGEXREPLACE(REGEXREPLACE(REGEXREPLACE(F126,"","",),IF(Projections!$T$11="""",""PG"",),),IF(Projections!$U$11="""",""SG"",),),IF(Projections!$V$11="""",""SF"",),),IF(Projections!$W$11="""",""PF"",),),IF(Pr"&amp;"ojections!$X$11="""",""C"",),),""/"","""")"),"GF")</f>
        <v>GF</v>
      </c>
    </row>
    <row r="127">
      <c r="A127" t="str">
        <f>IF(Projections!$AB$11,Draft!N5,"")</f>
        <v/>
      </c>
      <c r="B127">
        <f>IFERROR(__xludf.DUMMYFUNCTION("""COMPUTED_VALUE"""),122.0)</f>
        <v>122</v>
      </c>
      <c r="D127" t="str">
        <f>IFERROR(__xludf.DUMMYFUNCTION("""COMPUTED_VALUE"""),"C.J. McCollum")</f>
        <v>C.J. McCollum</v>
      </c>
      <c r="E127">
        <f>IFERROR(__xludf.DUMMYFUNCTION("""COMPUTED_VALUE"""),57.0)</f>
        <v>57</v>
      </c>
      <c r="F127" t="str">
        <f>IFERROR(__xludf.DUMMYFUNCTION("""COMPUTED_VALUE"""),"G")</f>
        <v>G</v>
      </c>
      <c r="G127" s="18">
        <f>IFERROR(__xludf.DUMMYFUNCTION("""COMPUTED_VALUE"""),-0.7772649150466553)</f>
        <v>-0.777264915</v>
      </c>
      <c r="H127" s="18">
        <f>IFERROR(__xludf.DUMMYFUNCTION("""COMPUTED_VALUE"""),-0.6202269217815062)</f>
        <v>-0.6202269218</v>
      </c>
      <c r="I127" s="18">
        <f>IFERROR(__xludf.DUMMYFUNCTION("""COMPUTED_VALUE"""),0.1570379932651491)</f>
        <v>0.1570379933</v>
      </c>
      <c r="J127" s="18">
        <f>IFERROR(__xludf.DUMMYFUNCTION("""COMPUTED_VALUE"""),19.45105)</f>
        <v>19.45105</v>
      </c>
      <c r="K127" s="18">
        <f>IFERROR(__xludf.DUMMYFUNCTION("""COMPUTED_VALUE"""),2.874386)</f>
        <v>2.874386</v>
      </c>
      <c r="L127" s="18">
        <f>IFERROR(__xludf.DUMMYFUNCTION("""COMPUTED_VALUE"""),3.862456)</f>
        <v>3.862456</v>
      </c>
      <c r="M127" s="18">
        <f>IFERROR(__xludf.DUMMYFUNCTION("""COMPUTED_VALUE"""),4.699298)</f>
        <v>4.699298</v>
      </c>
      <c r="N127" s="18">
        <f>IFERROR(__xludf.DUMMYFUNCTION("""COMPUTED_VALUE"""),0.694737)</f>
        <v>0.694737</v>
      </c>
      <c r="O127" s="18">
        <f>IFERROR(__xludf.DUMMYFUNCTION("""COMPUTED_VALUE"""),0.391228)</f>
        <v>0.391228</v>
      </c>
      <c r="P127" s="25">
        <f>IFERROR(__xludf.DUMMYFUNCTION("""COMPUTED_VALUE"""),0.438001)</f>
        <v>0.438001</v>
      </c>
      <c r="Q127" s="25">
        <f>IFERROR(__xludf.DUMMYFUNCTION("""COMPUTED_VALUE"""),0.76999)</f>
        <v>0.76999</v>
      </c>
      <c r="R127" s="18">
        <f>IFERROR(__xludf.DUMMYFUNCTION("""COMPUTED_VALUE"""),2.38193)</f>
        <v>2.38193</v>
      </c>
      <c r="S127" s="18">
        <f>IFERROR(__xludf.DUMMYFUNCTION("""COMPUTED_VALUE"""),0.3993848804552587)</f>
        <v>0.3993848805</v>
      </c>
      <c r="T127" s="18">
        <f>IFERROR(__xludf.DUMMYFUNCTION("""COMPUTED_VALUE"""),1.0670840171620195)</f>
        <v>1.067084017</v>
      </c>
      <c r="U127" s="18">
        <f>IFERROR(__xludf.DUMMYFUNCTION("""COMPUTED_VALUE"""),-0.9177366257022617)</f>
        <v>-0.9177366257</v>
      </c>
      <c r="V127" s="18">
        <f>IFERROR(__xludf.DUMMYFUNCTION("""COMPUTED_VALUE"""),0.42129473405431833)</f>
        <v>0.4212947341</v>
      </c>
      <c r="W127" s="18">
        <f>IFERROR(__xludf.DUMMYFUNCTION("""COMPUTED_VALUE"""),-1.0679039463794067)</f>
        <v>-1.067903946</v>
      </c>
      <c r="X127" s="18">
        <f>IFERROR(__xludf.DUMMYFUNCTION("""COMPUTED_VALUE"""),-0.6162889138197482)</f>
        <v>-0.6162889138</v>
      </c>
      <c r="Y127" s="18">
        <f>IFERROR(__xludf.DUMMYFUNCTION("""COMPUTED_VALUE"""),-0.7523649732404392)</f>
        <v>-0.7523649732</v>
      </c>
      <c r="Z127" s="18">
        <f>IFERROR(__xludf.DUMMYFUNCTION("""COMPUTED_VALUE"""),-0.22160004069065375)</f>
        <v>-0.2216000407</v>
      </c>
      <c r="AA127" s="18">
        <f>IFERROR(__xludf.DUMMYFUNCTION("""COMPUTED_VALUE"""),0.0)</f>
        <v>0</v>
      </c>
      <c r="AB127" t="str">
        <f>IFERROR(__xludf.DUMMYFUNCTION("SUBSTITUTE(REGEXREPLACE(REGEXREPLACE(REGEXREPLACE(REGEXREPLACE(REGEXREPLACE(REGEXREPLACE(F127,"","",),IF(Projections!$T$11="""",""PG"",),),IF(Projections!$U$11="""",""SG"",),),IF(Projections!$V$11="""",""SF"",),),IF(Projections!$W$11="""",""PF"",),),IF(Pr"&amp;"ojections!$X$11="""",""C"",),),""/"","""")"),"G")</f>
        <v>G</v>
      </c>
    </row>
    <row r="128">
      <c r="A128" t="str">
        <f>IF(Projections!$AB$11,Draft!N6,"")</f>
        <v/>
      </c>
      <c r="B128">
        <f>IFERROR(__xludf.DUMMYFUNCTION("""COMPUTED_VALUE"""),123.0)</f>
        <v>123</v>
      </c>
      <c r="D128" t="str">
        <f>IFERROR(__xludf.DUMMYFUNCTION("""COMPUTED_VALUE"""),"Dejounte Murray")</f>
        <v>Dejounte Murray</v>
      </c>
      <c r="E128">
        <f>IFERROR(__xludf.DUMMYFUNCTION("""COMPUTED_VALUE"""),25.0)</f>
        <v>25</v>
      </c>
      <c r="F128" t="str">
        <f>IFERROR(__xludf.DUMMYFUNCTION("""COMPUTED_VALUE"""),"G")</f>
        <v>G</v>
      </c>
      <c r="G128" s="18">
        <f>IFERROR(__xludf.DUMMYFUNCTION("""COMPUTED_VALUE"""),-0.8260959255600255)</f>
        <v>-0.8260959256</v>
      </c>
      <c r="H128" s="18">
        <f>IFERROR(__xludf.DUMMYFUNCTION("""COMPUTED_VALUE"""),-0.7170499148349534)</f>
        <v>-0.7170499148</v>
      </c>
      <c r="I128" s="18">
        <f>IFERROR(__xludf.DUMMYFUNCTION("""COMPUTED_VALUE"""),0.10904601072507214)</f>
        <v>0.1090460107</v>
      </c>
      <c r="J128" s="18">
        <f>IFERROR(__xludf.DUMMYFUNCTION("""COMPUTED_VALUE"""),13.6072)</f>
        <v>13.6072</v>
      </c>
      <c r="K128" s="18">
        <f>IFERROR(__xludf.DUMMYFUNCTION("""COMPUTED_VALUE"""),1.6608)</f>
        <v>1.6608</v>
      </c>
      <c r="L128" s="18">
        <f>IFERROR(__xludf.DUMMYFUNCTION("""COMPUTED_VALUE"""),5.088)</f>
        <v>5.088</v>
      </c>
      <c r="M128" s="18">
        <f>IFERROR(__xludf.DUMMYFUNCTION("""COMPUTED_VALUE"""),5.0956)</f>
        <v>5.0956</v>
      </c>
      <c r="N128" s="18">
        <f>IFERROR(__xludf.DUMMYFUNCTION("""COMPUTED_VALUE"""),1.2036)</f>
        <v>1.2036</v>
      </c>
      <c r="O128" s="18">
        <f>IFERROR(__xludf.DUMMYFUNCTION("""COMPUTED_VALUE"""),0.282)</f>
        <v>0.282</v>
      </c>
      <c r="P128" s="25">
        <f>IFERROR(__xludf.DUMMYFUNCTION("""COMPUTED_VALUE"""),0.410889)</f>
        <v>0.410889</v>
      </c>
      <c r="Q128" s="25">
        <f>IFERROR(__xludf.DUMMYFUNCTION("""COMPUTED_VALUE"""),0.799938)</f>
        <v>0.799938</v>
      </c>
      <c r="R128" s="18">
        <f>IFERROR(__xludf.DUMMYFUNCTION("""COMPUTED_VALUE"""),2.1884)</f>
        <v>2.1884</v>
      </c>
      <c r="S128" s="18">
        <f>IFERROR(__xludf.DUMMYFUNCTION("""COMPUTED_VALUE"""),-0.6258754273452514)</f>
        <v>-0.6258754273</v>
      </c>
      <c r="T128" s="18">
        <f>IFERROR(__xludf.DUMMYFUNCTION("""COMPUTED_VALUE"""),-0.10503792370260263)</f>
        <v>-0.1050379237</v>
      </c>
      <c r="U128" s="18">
        <f>IFERROR(__xludf.DUMMYFUNCTION("""COMPUTED_VALUE"""),-0.4209579456721473)</f>
        <v>-0.4209579457</v>
      </c>
      <c r="V128" s="18">
        <f>IFERROR(__xludf.DUMMYFUNCTION("""COMPUTED_VALUE"""),0.6148940062773506)</f>
        <v>0.6148940063</v>
      </c>
      <c r="W128" s="18">
        <f>IFERROR(__xludf.DUMMYFUNCTION("""COMPUTED_VALUE"""),0.4827186725730134)</f>
        <v>0.4827186726</v>
      </c>
      <c r="X128" s="18">
        <f>IFERROR(__xludf.DUMMYFUNCTION("""COMPUTED_VALUE"""),-0.8148645685688651)</f>
        <v>-0.8148645686</v>
      </c>
      <c r="Y128" s="18">
        <f>IFERROR(__xludf.DUMMYFUNCTION("""COMPUTED_VALUE"""),-1.0404381243530096)</f>
        <v>-1.040438124</v>
      </c>
      <c r="Z128" s="18">
        <f>IFERROR(__xludf.DUMMYFUNCTION("""COMPUTED_VALUE"""),0.15207327160354903)</f>
        <v>0.1520732716</v>
      </c>
      <c r="AA128" s="18">
        <f>IFERROR(__xludf.DUMMYFUNCTION("""COMPUTED_VALUE"""),0.0)</f>
        <v>0</v>
      </c>
      <c r="AB128" t="str">
        <f>IFERROR(__xludf.DUMMYFUNCTION("SUBSTITUTE(REGEXREPLACE(REGEXREPLACE(REGEXREPLACE(REGEXREPLACE(REGEXREPLACE(REGEXREPLACE(F128,"","",),IF(Projections!$T$11="""",""PG"",),),IF(Projections!$U$11="""",""SG"",),),IF(Projections!$V$11="""",""SF"",),),IF(Projections!$W$11="""",""PF"",),),IF(Pr"&amp;"ojections!$X$11="""",""C"",),),""/"","""")"),"G")</f>
        <v>G</v>
      </c>
    </row>
    <row r="129">
      <c r="A129" t="str">
        <f>IF(Projections!$AB$11,Draft!N7,"")</f>
        <v/>
      </c>
      <c r="B129">
        <f>IFERROR(__xludf.DUMMYFUNCTION("""COMPUTED_VALUE"""),124.0)</f>
        <v>124</v>
      </c>
      <c r="D129" t="str">
        <f>IFERROR(__xludf.DUMMYFUNCTION("""COMPUTED_VALUE"""),"Kel'el Ware")</f>
        <v>Kel'el Ware</v>
      </c>
      <c r="E129">
        <f>IFERROR(__xludf.DUMMYFUNCTION("""COMPUTED_VALUE"""),68.0)</f>
        <v>68</v>
      </c>
      <c r="F129" t="str">
        <f>IFERROR(__xludf.DUMMYFUNCTION("""COMPUTED_VALUE"""),"C")</f>
        <v>C</v>
      </c>
      <c r="G129" s="18">
        <f>IFERROR(__xludf.DUMMYFUNCTION("""COMPUTED_VALUE"""),-0.829869377761991)</f>
        <v>-0.8298693778</v>
      </c>
      <c r="H129" s="18">
        <f>IFERROR(__xludf.DUMMYFUNCTION("""COMPUTED_VALUE"""),-1.001740505078513)</f>
        <v>-1.001740505</v>
      </c>
      <c r="I129" s="18">
        <f>IFERROR(__xludf.DUMMYFUNCTION("""COMPUTED_VALUE"""),-0.1718711273165221)</f>
        <v>-0.1718711273</v>
      </c>
      <c r="J129" s="18">
        <f>IFERROR(__xludf.DUMMYFUNCTION("""COMPUTED_VALUE"""),11.08691)</f>
        <v>11.08691</v>
      </c>
      <c r="K129" s="18">
        <f>IFERROR(__xludf.DUMMYFUNCTION("""COMPUTED_VALUE"""),0.616765)</f>
        <v>0.616765</v>
      </c>
      <c r="L129" s="18">
        <f>IFERROR(__xludf.DUMMYFUNCTION("""COMPUTED_VALUE"""),9.555)</f>
        <v>9.555</v>
      </c>
      <c r="M129" s="18">
        <f>IFERROR(__xludf.DUMMYFUNCTION("""COMPUTED_VALUE"""),1.327059)</f>
        <v>1.327059</v>
      </c>
      <c r="N129" s="18">
        <f>IFERROR(__xludf.DUMMYFUNCTION("""COMPUTED_VALUE"""),0.6975)</f>
        <v>0.6975</v>
      </c>
      <c r="O129" s="18">
        <f>IFERROR(__xludf.DUMMYFUNCTION("""COMPUTED_VALUE"""),1.212647)</f>
        <v>1.212647</v>
      </c>
      <c r="P129" s="25">
        <f>IFERROR(__xludf.DUMMYFUNCTION("""COMPUTED_VALUE"""),0.562368)</f>
        <v>0.562368</v>
      </c>
      <c r="Q129" s="25">
        <f>IFERROR(__xludf.DUMMYFUNCTION("""COMPUTED_VALUE"""),0.68105)</f>
        <v>0.68105</v>
      </c>
      <c r="R129" s="18">
        <f>IFERROR(__xludf.DUMMYFUNCTION("""COMPUTED_VALUE"""),1.055588)</f>
        <v>1.055588</v>
      </c>
      <c r="S129" s="18">
        <f>IFERROR(__xludf.DUMMYFUNCTION("""COMPUTED_VALUE"""),-1.068041687797958)</f>
        <v>-1.068041688</v>
      </c>
      <c r="T129" s="18">
        <f>IFERROR(__xludf.DUMMYFUNCTION("""COMPUTED_VALUE"""),-1.113401839016883)</f>
        <v>-1.113401839</v>
      </c>
      <c r="U129" s="18">
        <f>IFERROR(__xludf.DUMMYFUNCTION("""COMPUTED_VALUE"""),1.389756613490576)</f>
        <v>1.389756613</v>
      </c>
      <c r="V129" s="18">
        <f>IFERROR(__xludf.DUMMYFUNCTION("""COMPUTED_VALUE"""),-1.2260929050747427)</f>
        <v>-1.226092905</v>
      </c>
      <c r="W129" s="18">
        <f>IFERROR(__xludf.DUMMYFUNCTION("""COMPUTED_VALUE"""),-1.0594844497837306)</f>
        <v>-1.05948445</v>
      </c>
      <c r="X129" s="18">
        <f>IFERROR(__xludf.DUMMYFUNCTION("""COMPUTED_VALUE"""),0.8770444416235891)</f>
        <v>0.8770444416</v>
      </c>
      <c r="Y129" s="18">
        <f>IFERROR(__xludf.DUMMYFUNCTION("""COMPUTED_VALUE"""),1.1349913207009161)</f>
        <v>1.134991321</v>
      </c>
      <c r="Z129" s="18">
        <f>IFERROR(__xludf.DUMMYFUNCTION("""COMPUTED_VALUE"""),-1.1626049042950228)</f>
        <v>-1.162604904</v>
      </c>
      <c r="AA129" s="18">
        <f>IFERROR(__xludf.DUMMYFUNCTION("""COMPUTED_VALUE"""),0.0)</f>
        <v>0</v>
      </c>
      <c r="AB129" t="str">
        <f>IFERROR(__xludf.DUMMYFUNCTION("SUBSTITUTE(REGEXREPLACE(REGEXREPLACE(REGEXREPLACE(REGEXREPLACE(REGEXREPLACE(REGEXREPLACE(F129,"","",),IF(Projections!$T$11="""",""PG"",),),IF(Projections!$U$11="""",""SG"",),),IF(Projections!$V$11="""",""SF"",),),IF(Projections!$W$11="""",""PF"",),),IF(Pr"&amp;"ojections!$X$11="""",""C"",),),""/"","""")"),"C")</f>
        <v>C</v>
      </c>
    </row>
    <row r="130">
      <c r="A130" t="str">
        <f>IF(Projections!$AB$11,Draft!N8,"")</f>
        <v/>
      </c>
      <c r="B130">
        <f>IFERROR(__xludf.DUMMYFUNCTION("""COMPUTED_VALUE"""),125.0)</f>
        <v>125</v>
      </c>
      <c r="D130" t="str">
        <f>IFERROR(__xludf.DUMMYFUNCTION("""COMPUTED_VALUE"""),"DeMar DeRozan")</f>
        <v>DeMar DeRozan</v>
      </c>
      <c r="E130">
        <f>IFERROR(__xludf.DUMMYFUNCTION("""COMPUTED_VALUE"""),73.0)</f>
        <v>73</v>
      </c>
      <c r="F130" t="str">
        <f>IFERROR(__xludf.DUMMYFUNCTION("""COMPUTED_VALUE"""),"F")</f>
        <v>F</v>
      </c>
      <c r="G130" s="18">
        <f>IFERROR(__xludf.DUMMYFUNCTION("""COMPUTED_VALUE"""),-0.8616651186866691)</f>
        <v>-0.8616651187</v>
      </c>
      <c r="H130" s="18">
        <f>IFERROR(__xludf.DUMMYFUNCTION("""COMPUTED_VALUE"""),-0.9959582732123546)</f>
        <v>-0.9959582732</v>
      </c>
      <c r="I130" s="18">
        <f>IFERROR(__xludf.DUMMYFUNCTION("""COMPUTED_VALUE"""),-0.13429315452568558)</f>
        <v>-0.1342931545</v>
      </c>
      <c r="J130" s="18">
        <f>IFERROR(__xludf.DUMMYFUNCTION("""COMPUTED_VALUE"""),21.72589)</f>
        <v>21.72589</v>
      </c>
      <c r="K130" s="18">
        <f>IFERROR(__xludf.DUMMYFUNCTION("""COMPUTED_VALUE"""),1.232329)</f>
        <v>1.232329</v>
      </c>
      <c r="L130" s="18">
        <f>IFERROR(__xludf.DUMMYFUNCTION("""COMPUTED_VALUE"""),3.74863)</f>
        <v>3.74863</v>
      </c>
      <c r="M130" s="18">
        <f>IFERROR(__xludf.DUMMYFUNCTION("""COMPUTED_VALUE"""),4.102329)</f>
        <v>4.102329</v>
      </c>
      <c r="N130" s="18">
        <f>IFERROR(__xludf.DUMMYFUNCTION("""COMPUTED_VALUE"""),0.491918)</f>
        <v>0.491918</v>
      </c>
      <c r="O130" s="18">
        <f>IFERROR(__xludf.DUMMYFUNCTION("""COMPUTED_VALUE"""),0.355342)</f>
        <v>0.355342</v>
      </c>
      <c r="P130" s="25">
        <f>IFERROR(__xludf.DUMMYFUNCTION("""COMPUTED_VALUE"""),0.462299)</f>
        <v>0.462299</v>
      </c>
      <c r="Q130" s="25">
        <f>IFERROR(__xludf.DUMMYFUNCTION("""COMPUTED_VALUE"""),0.840009)</f>
        <v>0.840009</v>
      </c>
      <c r="R130" s="18">
        <f>IFERROR(__xludf.DUMMYFUNCTION("""COMPUTED_VALUE"""),1.207123)</f>
        <v>1.207123</v>
      </c>
      <c r="S130" s="18">
        <f>IFERROR(__xludf.DUMMYFUNCTION("""COMPUTED_VALUE"""),0.7984887518066648)</f>
        <v>0.7984887518</v>
      </c>
      <c r="T130" s="18">
        <f>IFERROR(__xludf.DUMMYFUNCTION("""COMPUTED_VALUE"""),-0.5188695434841473)</f>
        <v>-0.5188695435</v>
      </c>
      <c r="U130" s="18">
        <f>IFERROR(__xludf.DUMMYFUNCTION("""COMPUTED_VALUE"""),-0.9638764052883947)</f>
        <v>-0.9638764053</v>
      </c>
      <c r="V130" s="18">
        <f>IFERROR(__xludf.DUMMYFUNCTION("""COMPUTED_VALUE"""),0.1296667232451094)</f>
        <v>0.1296667232</v>
      </c>
      <c r="W130" s="18">
        <f>IFERROR(__xludf.DUMMYFUNCTION("""COMPUTED_VALUE"""),-1.6859400955065997)</f>
        <v>-1.685940096</v>
      </c>
      <c r="X130" s="18">
        <f>IFERROR(__xludf.DUMMYFUNCTION("""COMPUTED_VALUE"""),-0.6815293828050524)</f>
        <v>-0.6815293828</v>
      </c>
      <c r="Y130" s="18">
        <f>IFERROR(__xludf.DUMMYFUNCTION("""COMPUTED_VALUE"""),-0.45666689133229427)</f>
        <v>-0.4566668913</v>
      </c>
      <c r="Z130" s="18">
        <f>IFERROR(__xludf.DUMMYFUNCTION("""COMPUTED_VALUE"""),0.6968284746457601)</f>
        <v>0.6968284746</v>
      </c>
      <c r="AA130" s="18">
        <f>IFERROR(__xludf.DUMMYFUNCTION("""COMPUTED_VALUE"""),0.0)</f>
        <v>0</v>
      </c>
      <c r="AB130" t="str">
        <f>IFERROR(__xludf.DUMMYFUNCTION("SUBSTITUTE(REGEXREPLACE(REGEXREPLACE(REGEXREPLACE(REGEXREPLACE(REGEXREPLACE(REGEXREPLACE(F130,"","",),IF(Projections!$T$11="""",""PG"",),),IF(Projections!$U$11="""",""SG"",),),IF(Projections!$V$11="""",""SF"",),),IF(Projections!$W$11="""",""PF"",),),IF(Pr"&amp;"ojections!$X$11="""",""C"",),),""/"","""")"),"F")</f>
        <v>F</v>
      </c>
    </row>
    <row r="131">
      <c r="A131" t="str">
        <f>IF(Projections!$AB$11,Draft!N9,"")</f>
        <v/>
      </c>
      <c r="B131">
        <f>IFERROR(__xludf.DUMMYFUNCTION("""COMPUTED_VALUE"""),126.0)</f>
        <v>126</v>
      </c>
      <c r="D131" t="str">
        <f>IFERROR(__xludf.DUMMYFUNCTION("""COMPUTED_VALUE"""),"Lonzo Ball")</f>
        <v>Lonzo Ball</v>
      </c>
      <c r="E131">
        <f>IFERROR(__xludf.DUMMYFUNCTION("""COMPUTED_VALUE"""),54.0)</f>
        <v>54</v>
      </c>
      <c r="F131" t="str">
        <f>IFERROR(__xludf.DUMMYFUNCTION("""COMPUTED_VALUE"""),"G")</f>
        <v>G</v>
      </c>
      <c r="G131" s="18">
        <f>IFERROR(__xludf.DUMMYFUNCTION("""COMPUTED_VALUE"""),-0.8949480202038795)</f>
        <v>-0.8949480202</v>
      </c>
      <c r="H131" s="18">
        <f>IFERROR(__xludf.DUMMYFUNCTION("""COMPUTED_VALUE"""),-1.0405595753242751)</f>
        <v>-1.040559575</v>
      </c>
      <c r="I131" s="18">
        <f>IFERROR(__xludf.DUMMYFUNCTION("""COMPUTED_VALUE"""),-0.14561155512039559)</f>
        <v>-0.1456115551</v>
      </c>
      <c r="J131" s="18">
        <f>IFERROR(__xludf.DUMMYFUNCTION("""COMPUTED_VALUE"""),8.639815)</f>
        <v>8.639815</v>
      </c>
      <c r="K131" s="18">
        <f>IFERROR(__xludf.DUMMYFUNCTION("""COMPUTED_VALUE"""),2.183148)</f>
        <v>2.183148</v>
      </c>
      <c r="L131" s="18">
        <f>IFERROR(__xludf.DUMMYFUNCTION("""COMPUTED_VALUE"""),3.737037)</f>
        <v>3.737037</v>
      </c>
      <c r="M131" s="18">
        <f>IFERROR(__xludf.DUMMYFUNCTION("""COMPUTED_VALUE"""),3.428148)</f>
        <v>3.428148</v>
      </c>
      <c r="N131" s="18">
        <f>IFERROR(__xludf.DUMMYFUNCTION("""COMPUTED_VALUE"""),1.389259)</f>
        <v>1.389259</v>
      </c>
      <c r="O131" s="18">
        <f>IFERROR(__xludf.DUMMYFUNCTION("""COMPUTED_VALUE"""),0.510556)</f>
        <v>0.510556</v>
      </c>
      <c r="P131" s="25">
        <f>IFERROR(__xludf.DUMMYFUNCTION("""COMPUTED_VALUE"""),0.383897)</f>
        <v>0.383897</v>
      </c>
      <c r="Q131" s="25">
        <f>IFERROR(__xludf.DUMMYFUNCTION("""COMPUTED_VALUE"""),0.815867)</f>
        <v>0.815867</v>
      </c>
      <c r="R131" s="18">
        <f>IFERROR(__xludf.DUMMYFUNCTION("""COMPUTED_VALUE"""),1.161481)</f>
        <v>1.161481</v>
      </c>
      <c r="S131" s="18">
        <f>IFERROR(__xludf.DUMMYFUNCTION("""COMPUTED_VALUE"""),-1.4973664262695288)</f>
        <v>-1.497366426</v>
      </c>
      <c r="T131" s="18">
        <f>IFERROR(__xludf.DUMMYFUNCTION("""COMPUTED_VALUE"""),0.39946324190638904)</f>
        <v>0.3994632419</v>
      </c>
      <c r="U131" s="18">
        <f>IFERROR(__xludf.DUMMYFUNCTION("""COMPUTED_VALUE"""),-0.968575669645765)</f>
        <v>-0.9685756696</v>
      </c>
      <c r="V131" s="18">
        <f>IFERROR(__xludf.DUMMYFUNCTION("""COMPUTED_VALUE"""),-0.19968046891288108)</f>
        <v>-0.1996804689</v>
      </c>
      <c r="W131" s="18">
        <f>IFERROR(__xludf.DUMMYFUNCTION("""COMPUTED_VALUE"""),1.0484643542438903)</f>
        <v>1.048464354</v>
      </c>
      <c r="X131" s="18">
        <f>IFERROR(__xludf.DUMMYFUNCTION("""COMPUTED_VALUE"""),-0.3993515375984256)</f>
        <v>-0.3993515376</v>
      </c>
      <c r="Y131" s="18">
        <f>IFERROR(__xludf.DUMMYFUNCTION("""COMPUTED_VALUE"""),-1.283366855760265)</f>
        <v>-1.283366856</v>
      </c>
      <c r="Z131" s="18">
        <f>IFERROR(__xludf.DUMMYFUNCTION("""COMPUTED_VALUE"""),0.3624873604427822)</f>
        <v>0.3624873604</v>
      </c>
      <c r="AA131" s="18">
        <f>IFERROR(__xludf.DUMMYFUNCTION("""COMPUTED_VALUE"""),0.0)</f>
        <v>0</v>
      </c>
      <c r="AB131" t="str">
        <f>IFERROR(__xludf.DUMMYFUNCTION("SUBSTITUTE(REGEXREPLACE(REGEXREPLACE(REGEXREPLACE(REGEXREPLACE(REGEXREPLACE(REGEXREPLACE(F131,"","",),IF(Projections!$T$11="""",""PG"",),),IF(Projections!$U$11="""",""SG"",),),IF(Projections!$V$11="""",""SF"",),),IF(Projections!$W$11="""",""PF"",),),IF(Pr"&amp;"ojections!$X$11="""",""C"",),),""/"","""")"),"G")</f>
        <v>G</v>
      </c>
    </row>
    <row r="132">
      <c r="A132" t="str">
        <f>IF(Projections!$AB$11,Draft!N10,"")</f>
        <v/>
      </c>
      <c r="B132">
        <f>IFERROR(__xludf.DUMMYFUNCTION("""COMPUTED_VALUE"""),127.0)</f>
        <v>127</v>
      </c>
      <c r="D132" t="str">
        <f>IFERROR(__xludf.DUMMYFUNCTION("""COMPUTED_VALUE"""),"D'Angelo Russell")</f>
        <v>D'Angelo Russell</v>
      </c>
      <c r="E132">
        <f>IFERROR(__xludf.DUMMYFUNCTION("""COMPUTED_VALUE"""),73.0)</f>
        <v>73</v>
      </c>
      <c r="F132" t="str">
        <f>IFERROR(__xludf.DUMMYFUNCTION("""COMPUTED_VALUE"""),"G")</f>
        <v>G</v>
      </c>
      <c r="G132" s="18">
        <f>IFERROR(__xludf.DUMMYFUNCTION("""COMPUTED_VALUE"""),-0.9404382325756389)</f>
        <v>-0.9404382326</v>
      </c>
      <c r="H132" s="18">
        <f>IFERROR(__xludf.DUMMYFUNCTION("""COMPUTED_VALUE"""),-0.8693478714326426)</f>
        <v>-0.8693478714</v>
      </c>
      <c r="I132" s="18">
        <f>IFERROR(__xludf.DUMMYFUNCTION("""COMPUTED_VALUE"""),0.07109036114299627)</f>
        <v>0.07109036114</v>
      </c>
      <c r="J132" s="18">
        <f>IFERROR(__xludf.DUMMYFUNCTION("""COMPUTED_VALUE"""),12.91973)</f>
        <v>12.91973</v>
      </c>
      <c r="K132" s="18">
        <f>IFERROR(__xludf.DUMMYFUNCTION("""COMPUTED_VALUE"""),2.306986)</f>
        <v>2.306986</v>
      </c>
      <c r="L132" s="18">
        <f>IFERROR(__xludf.DUMMYFUNCTION("""COMPUTED_VALUE"""),2.499726)</f>
        <v>2.499726</v>
      </c>
      <c r="M132" s="18">
        <f>IFERROR(__xludf.DUMMYFUNCTION("""COMPUTED_VALUE"""),5.635205)</f>
        <v>5.635205</v>
      </c>
      <c r="N132" s="18">
        <f>IFERROR(__xludf.DUMMYFUNCTION("""COMPUTED_VALUE"""),0.852192)</f>
        <v>0.852192</v>
      </c>
      <c r="O132" s="18">
        <f>IFERROR(__xludf.DUMMYFUNCTION("""COMPUTED_VALUE"""),0.451918)</f>
        <v>0.451918</v>
      </c>
      <c r="P132" s="25">
        <f>IFERROR(__xludf.DUMMYFUNCTION("""COMPUTED_VALUE"""),0.418053)</f>
        <v>0.418053</v>
      </c>
      <c r="Q132" s="25">
        <f>IFERROR(__xludf.DUMMYFUNCTION("""COMPUTED_VALUE"""),0.829013)</f>
        <v>0.829013</v>
      </c>
      <c r="R132" s="18">
        <f>IFERROR(__xludf.DUMMYFUNCTION("""COMPUTED_VALUE"""),2.035342)</f>
        <v>2.035342</v>
      </c>
      <c r="S132" s="18">
        <f>IFERROR(__xludf.DUMMYFUNCTION("""COMPUTED_VALUE"""),-0.746486959777401)</f>
        <v>-0.7464869598</v>
      </c>
      <c r="T132" s="18">
        <f>IFERROR(__xludf.DUMMYFUNCTION("""COMPUTED_VALUE"""),0.5190701234234741)</f>
        <v>0.5190701234</v>
      </c>
      <c r="U132" s="18">
        <f>IFERROR(__xludf.DUMMYFUNCTION("""COMPUTED_VALUE"""),-1.470124145560739)</f>
        <v>-1.470124146</v>
      </c>
      <c r="V132" s="18">
        <f>IFERROR(__xludf.DUMMYFUNCTION("""COMPUTED_VALUE"""),0.8784988714758839)</f>
        <v>0.8784988715</v>
      </c>
      <c r="W132" s="18">
        <f>IFERROR(__xludf.DUMMYFUNCTION("""COMPUTED_VALUE"""),-0.5881023407072451)</f>
        <v>-0.5881023407</v>
      </c>
      <c r="X132" s="18">
        <f>IFERROR(__xludf.DUMMYFUNCTION("""COMPUTED_VALUE"""),-0.5059549656862669)</f>
        <v>-0.5059549657</v>
      </c>
      <c r="Y132" s="18">
        <f>IFERROR(__xludf.DUMMYFUNCTION("""COMPUTED_VALUE"""),-0.9686113829564107)</f>
        <v>-0.968611383</v>
      </c>
      <c r="Z132" s="18">
        <f>IFERROR(__xludf.DUMMYFUNCTION("""COMPUTED_VALUE"""),0.5422387827953232)</f>
        <v>0.5422387828</v>
      </c>
      <c r="AA132" s="18">
        <f>IFERROR(__xludf.DUMMYFUNCTION("""COMPUTED_VALUE"""),0.0)</f>
        <v>0</v>
      </c>
      <c r="AB132" t="str">
        <f>IFERROR(__xludf.DUMMYFUNCTION("SUBSTITUTE(REGEXREPLACE(REGEXREPLACE(REGEXREPLACE(REGEXREPLACE(REGEXREPLACE(REGEXREPLACE(F132,"","",),IF(Projections!$T$11="""",""PG"",),),IF(Projections!$U$11="""",""SG"",),),IF(Projections!$V$11="""",""SF"",),),IF(Projections!$W$11="""",""PF"",),),IF(Pr"&amp;"ojections!$X$11="""",""C"",),),""/"","""")"),"G")</f>
        <v>G</v>
      </c>
    </row>
    <row r="133">
      <c r="A133" t="str">
        <f>IF(Projections!$AB$11,Draft!N11,"")</f>
        <v/>
      </c>
      <c r="B133">
        <f>IFERROR(__xludf.DUMMYFUNCTION("""COMPUTED_VALUE"""),128.0)</f>
        <v>128</v>
      </c>
      <c r="D133" t="str">
        <f>IFERROR(__xludf.DUMMYFUNCTION("""COMPUTED_VALUE"""),"Jaden McDaniels")</f>
        <v>Jaden McDaniels</v>
      </c>
      <c r="E133">
        <f>IFERROR(__xludf.DUMMYFUNCTION("""COMPUTED_VALUE"""),73.0)</f>
        <v>73</v>
      </c>
      <c r="F133" t="str">
        <f>IFERROR(__xludf.DUMMYFUNCTION("""COMPUTED_VALUE"""),"F")</f>
        <v>F</v>
      </c>
      <c r="G133" s="18">
        <f>IFERROR(__xludf.DUMMYFUNCTION("""COMPUTED_VALUE"""),-0.9506747381704359)</f>
        <v>-0.9506747382</v>
      </c>
      <c r="H133" s="18">
        <f>IFERROR(__xludf.DUMMYFUNCTION("""COMPUTED_VALUE"""),-1.0978766027210463)</f>
        <v>-1.097876603</v>
      </c>
      <c r="I133" s="18">
        <f>IFERROR(__xludf.DUMMYFUNCTION("""COMPUTED_VALUE"""),-0.14720186455061035)</f>
        <v>-0.1472018646</v>
      </c>
      <c r="J133" s="18">
        <f>IFERROR(__xludf.DUMMYFUNCTION("""COMPUTED_VALUE"""),12.43301)</f>
        <v>12.43301</v>
      </c>
      <c r="K133" s="18">
        <f>IFERROR(__xludf.DUMMYFUNCTION("""COMPUTED_VALUE"""),1.046301)</f>
        <v>1.046301</v>
      </c>
      <c r="L133" s="18">
        <f>IFERROR(__xludf.DUMMYFUNCTION("""COMPUTED_VALUE"""),5.306849)</f>
        <v>5.306849</v>
      </c>
      <c r="M133" s="18">
        <f>IFERROR(__xludf.DUMMYFUNCTION("""COMPUTED_VALUE"""),1.854247)</f>
        <v>1.854247</v>
      </c>
      <c r="N133" s="18">
        <f>IFERROR(__xludf.DUMMYFUNCTION("""COMPUTED_VALUE"""),1.086986)</f>
        <v>1.086986</v>
      </c>
      <c r="O133" s="18">
        <f>IFERROR(__xludf.DUMMYFUNCTION("""COMPUTED_VALUE"""),0.898904)</f>
        <v>0.898904</v>
      </c>
      <c r="P133" s="25">
        <f>IFERROR(__xludf.DUMMYFUNCTION("""COMPUTED_VALUE"""),0.495621)</f>
        <v>0.495621</v>
      </c>
      <c r="Q133" s="25">
        <f>IFERROR(__xludf.DUMMYFUNCTION("""COMPUTED_VALUE"""),0.813016)</f>
        <v>0.813016</v>
      </c>
      <c r="R133" s="18">
        <f>IFERROR(__xludf.DUMMYFUNCTION("""COMPUTED_VALUE"""),1.155068)</f>
        <v>1.155068</v>
      </c>
      <c r="S133" s="18">
        <f>IFERROR(__xludf.DUMMYFUNCTION("""COMPUTED_VALUE"""),-0.8318783878620822)</f>
        <v>-0.8318783879</v>
      </c>
      <c r="T133" s="18">
        <f>IFERROR(__xludf.DUMMYFUNCTION("""COMPUTED_VALUE"""),-0.6985416066219587)</f>
        <v>-0.6985416066</v>
      </c>
      <c r="U133" s="18">
        <f>IFERROR(__xludf.DUMMYFUNCTION("""COMPUTED_VALUE"""),-0.3322467142957868)</f>
        <v>-0.3322467143</v>
      </c>
      <c r="V133" s="18">
        <f>IFERROR(__xludf.DUMMYFUNCTION("""COMPUTED_VALUE"""),-0.9685539243864905)</f>
        <v>-0.9685539244</v>
      </c>
      <c r="W133" s="18">
        <f>IFERROR(__xludf.DUMMYFUNCTION("""COMPUTED_VALUE"""),0.12736898889289217)</f>
        <v>0.1273689889</v>
      </c>
      <c r="X133" s="18">
        <f>IFERROR(__xludf.DUMMYFUNCTION("""COMPUTED_VALUE"""),0.30666210698455715)</f>
        <v>0.306662107</v>
      </c>
      <c r="Y133" s="18">
        <f>IFERROR(__xludf.DUMMYFUNCTION("""COMPUTED_VALUE"""),0.006526917949591362)</f>
        <v>0.00652691795</v>
      </c>
      <c r="Z133" s="18">
        <f>IFERROR(__xludf.DUMMYFUNCTION("""COMPUTED_VALUE"""),0.324232092231741)</f>
        <v>0.3242320922</v>
      </c>
      <c r="AA133" s="18">
        <f>IFERROR(__xludf.DUMMYFUNCTION("""COMPUTED_VALUE"""),0.0)</f>
        <v>0</v>
      </c>
      <c r="AB133" t="str">
        <f>IFERROR(__xludf.DUMMYFUNCTION("SUBSTITUTE(REGEXREPLACE(REGEXREPLACE(REGEXREPLACE(REGEXREPLACE(REGEXREPLACE(REGEXREPLACE(F133,"","",),IF(Projections!$T$11="""",""PG"",),),IF(Projections!$U$11="""",""SG"",),),IF(Projections!$V$11="""",""SF"",),),IF(Projections!$W$11="""",""PF"",),),IF(Pr"&amp;"ojections!$X$11="""",""C"",),),""/"","""")"),"F")</f>
        <v>F</v>
      </c>
    </row>
    <row r="134">
      <c r="A134" t="str">
        <f>IF(Projections!$AB$11,Draft!N12,"")</f>
        <v/>
      </c>
      <c r="B134">
        <f>IFERROR(__xludf.DUMMYFUNCTION("""COMPUTED_VALUE"""),129.0)</f>
        <v>129</v>
      </c>
      <c r="D134" t="str">
        <f>IFERROR(__xludf.DUMMYFUNCTION("""COMPUTED_VALUE"""),"De'Andre Hunter")</f>
        <v>De'Andre Hunter</v>
      </c>
      <c r="E134">
        <f>IFERROR(__xludf.DUMMYFUNCTION("""COMPUTED_VALUE"""),68.0)</f>
        <v>68</v>
      </c>
      <c r="F134" t="str">
        <f>IFERROR(__xludf.DUMMYFUNCTION("""COMPUTED_VALUE"""),"F")</f>
        <v>F</v>
      </c>
      <c r="G134" s="18">
        <f>IFERROR(__xludf.DUMMYFUNCTION("""COMPUTED_VALUE"""),-1.1289911872011917)</f>
        <v>-1.128991187</v>
      </c>
      <c r="H134" s="18">
        <f>IFERROR(__xludf.DUMMYFUNCTION("""COMPUTED_VALUE"""),-1.211114604162501)</f>
        <v>-1.211114604</v>
      </c>
      <c r="I134" s="18">
        <f>IFERROR(__xludf.DUMMYFUNCTION("""COMPUTED_VALUE"""),-0.0821234169613092)</f>
        <v>-0.08212341696</v>
      </c>
      <c r="J134" s="18">
        <f>IFERROR(__xludf.DUMMYFUNCTION("""COMPUTED_VALUE"""),16.43294)</f>
        <v>16.43294</v>
      </c>
      <c r="K134" s="18">
        <f>IFERROR(__xludf.DUMMYFUNCTION("""COMPUTED_VALUE"""),2.471912)</f>
        <v>2.471912</v>
      </c>
      <c r="L134" s="18">
        <f>IFERROR(__xludf.DUMMYFUNCTION("""COMPUTED_VALUE"""),5.218382)</f>
        <v>5.218382</v>
      </c>
      <c r="M134" s="18">
        <f>IFERROR(__xludf.DUMMYFUNCTION("""COMPUTED_VALUE"""),1.790294)</f>
        <v>1.790294</v>
      </c>
      <c r="N134" s="18">
        <f>IFERROR(__xludf.DUMMYFUNCTION("""COMPUTED_VALUE"""),0.800147)</f>
        <v>0.800147</v>
      </c>
      <c r="O134" s="18">
        <f>IFERROR(__xludf.DUMMYFUNCTION("""COMPUTED_VALUE"""),0.391324)</f>
        <v>0.391324</v>
      </c>
      <c r="P134" s="25">
        <f>IFERROR(__xludf.DUMMYFUNCTION("""COMPUTED_VALUE"""),0.463077)</f>
        <v>0.463077</v>
      </c>
      <c r="Q134" s="25">
        <f>IFERROR(__xludf.DUMMYFUNCTION("""COMPUTED_VALUE"""),0.819983)</f>
        <v>0.819983</v>
      </c>
      <c r="R134" s="18">
        <f>IFERROR(__xludf.DUMMYFUNCTION("""COMPUTED_VALUE"""),1.4175)</f>
        <v>1.4175</v>
      </c>
      <c r="S134" s="18">
        <f>IFERROR(__xludf.DUMMYFUNCTION("""COMPUTED_VALUE"""),-0.13012022107469132)</f>
        <v>-0.1301202211</v>
      </c>
      <c r="T134" s="18">
        <f>IFERROR(__xludf.DUMMYFUNCTION("""COMPUTED_VALUE"""),0.6783611693147736)</f>
        <v>0.6783611693</v>
      </c>
      <c r="U134" s="18">
        <f>IFERROR(__xludf.DUMMYFUNCTION("""COMPUTED_VALUE"""),-0.3681071317807763)</f>
        <v>-0.3681071318</v>
      </c>
      <c r="V134" s="18">
        <f>IFERROR(__xludf.DUMMYFUNCTION("""COMPUTED_VALUE"""),-0.9997958920184467)</f>
        <v>-0.999795892</v>
      </c>
      <c r="W134" s="18">
        <f>IFERROR(__xludf.DUMMYFUNCTION("""COMPUTED_VALUE"""),-0.7466954280478034)</f>
        <v>-0.746695428</v>
      </c>
      <c r="X134" s="18">
        <f>IFERROR(__xludf.DUMMYFUNCTION("""COMPUTED_VALUE"""),-0.6161143865661509)</f>
        <v>-0.6161143866</v>
      </c>
      <c r="Y134" s="18">
        <f>IFERROR(__xludf.DUMMYFUNCTION("""COMPUTED_VALUE"""),-0.4466128556161884)</f>
        <v>-0.4466128556</v>
      </c>
      <c r="Z134" s="18">
        <f>IFERROR(__xludf.DUMMYFUNCTION("""COMPUTED_VALUE"""),0.4181742496083358)</f>
        <v>0.4181742496</v>
      </c>
      <c r="AA134" s="18">
        <f>IFERROR(__xludf.DUMMYFUNCTION("""COMPUTED_VALUE"""),0.0)</f>
        <v>0</v>
      </c>
      <c r="AB134" t="str">
        <f>IFERROR(__xludf.DUMMYFUNCTION("SUBSTITUTE(REGEXREPLACE(REGEXREPLACE(REGEXREPLACE(REGEXREPLACE(REGEXREPLACE(REGEXREPLACE(F134,"","",),IF(Projections!$T$11="""",""PG"",),),IF(Projections!$U$11="""",""SG"",),),IF(Projections!$V$11="""",""SF"",),),IF(Projections!$W$11="""",""PF"",),),IF(Pr"&amp;"ojections!$X$11="""",""C"",),),""/"","""")"),"F")</f>
        <v>F</v>
      </c>
    </row>
    <row r="135">
      <c r="A135" t="str">
        <f>IF(Projections!$AB$11,Draft!N13,"")</f>
        <v/>
      </c>
      <c r="B135">
        <f>IFERROR(__xludf.DUMMYFUNCTION("""COMPUTED_VALUE"""),130.0)</f>
        <v>130</v>
      </c>
      <c r="D135" t="str">
        <f>IFERROR(__xludf.DUMMYFUNCTION("""COMPUTED_VALUE"""),"Ty Jerome")</f>
        <v>Ty Jerome</v>
      </c>
      <c r="E135">
        <f>IFERROR(__xludf.DUMMYFUNCTION("""COMPUTED_VALUE"""),73.0)</f>
        <v>73</v>
      </c>
      <c r="F135" t="str">
        <f>IFERROR(__xludf.DUMMYFUNCTION("""COMPUTED_VALUE"""),"G,F")</f>
        <v>G,F</v>
      </c>
      <c r="G135" s="18">
        <f>IFERROR(__xludf.DUMMYFUNCTION("""COMPUTED_VALUE"""),-1.1417148477037211)</f>
        <v>-1.141714848</v>
      </c>
      <c r="H135" s="18">
        <f>IFERROR(__xludf.DUMMYFUNCTION("""COMPUTED_VALUE"""),-1.1734520146138465)</f>
        <v>-1.173452015</v>
      </c>
      <c r="I135" s="18">
        <f>IFERROR(__xludf.DUMMYFUNCTION("""COMPUTED_VALUE"""),-0.0317371669101254)</f>
        <v>-0.03173716691</v>
      </c>
      <c r="J135" s="18">
        <f>IFERROR(__xludf.DUMMYFUNCTION("""COMPUTED_VALUE"""),12.75562)</f>
        <v>12.75562</v>
      </c>
      <c r="K135" s="18">
        <f>IFERROR(__xludf.DUMMYFUNCTION("""COMPUTED_VALUE"""),1.496438)</f>
        <v>1.496438</v>
      </c>
      <c r="L135" s="18">
        <f>IFERROR(__xludf.DUMMYFUNCTION("""COMPUTED_VALUE"""),2.716986)</f>
        <v>2.716986</v>
      </c>
      <c r="M135" s="18">
        <f>IFERROR(__xludf.DUMMYFUNCTION("""COMPUTED_VALUE"""),4.051644)</f>
        <v>4.051644</v>
      </c>
      <c r="N135" s="18">
        <f>IFERROR(__xludf.DUMMYFUNCTION("""COMPUTED_VALUE"""),1.091233)</f>
        <v>1.091233</v>
      </c>
      <c r="O135" s="18">
        <f>IFERROR(__xludf.DUMMYFUNCTION("""COMPUTED_VALUE"""),0.047808)</f>
        <v>0.047808</v>
      </c>
      <c r="P135" s="25">
        <f>IFERROR(__xludf.DUMMYFUNCTION("""COMPUTED_VALUE"""),0.476933)</f>
        <v>0.476933</v>
      </c>
      <c r="Q135" s="25">
        <f>IFERROR(__xludf.DUMMYFUNCTION("""COMPUTED_VALUE"""),0.868972)</f>
        <v>0.868972</v>
      </c>
      <c r="R135" s="18">
        <f>IFERROR(__xludf.DUMMYFUNCTION("""COMPUTED_VALUE"""),1.620685)</f>
        <v>1.620685</v>
      </c>
      <c r="S135" s="18">
        <f>IFERROR(__xludf.DUMMYFUNCTION("""COMPUTED_VALUE"""),-0.7752788468232938)</f>
        <v>-0.7752788468</v>
      </c>
      <c r="T135" s="18">
        <f>IFERROR(__xludf.DUMMYFUNCTION("""COMPUTED_VALUE"""),-0.2637842395338591)</f>
        <v>-0.2637842395</v>
      </c>
      <c r="U135" s="18">
        <f>IFERROR(__xludf.DUMMYFUNCTION("""COMPUTED_VALUE"""),-1.3820570210647254)</f>
        <v>-1.382057021</v>
      </c>
      <c r="V135" s="18">
        <f>IFERROR(__xludf.DUMMYFUNCTION("""COMPUTED_VALUE"""),0.10490636596045151)</f>
        <v>0.104906366</v>
      </c>
      <c r="W135" s="18">
        <f>IFERROR(__xludf.DUMMYFUNCTION("""COMPUTED_VALUE"""),0.14031057486532633)</f>
        <v>0.1403105749</v>
      </c>
      <c r="X135" s="18">
        <f>IFERROR(__xludf.DUMMYFUNCTION("""COMPUTED_VALUE"""),-1.2406238037192403)</f>
        <v>-1.240623804</v>
      </c>
      <c r="Y135" s="18">
        <f>IFERROR(__xludf.DUMMYFUNCTION("""COMPUTED_VALUE"""),-0.26146167353910477)</f>
        <v>-0.2614616735</v>
      </c>
      <c r="Z135" s="18">
        <f>IFERROR(__xludf.DUMMYFUNCTION("""COMPUTED_VALUE"""),1.122479608175874)</f>
        <v>1.122479608</v>
      </c>
      <c r="AA135" s="18">
        <f>IFERROR(__xludf.DUMMYFUNCTION("""COMPUTED_VALUE"""),0.0)</f>
        <v>0</v>
      </c>
      <c r="AB135" t="str">
        <f>IFERROR(__xludf.DUMMYFUNCTION("SUBSTITUTE(REGEXREPLACE(REGEXREPLACE(REGEXREPLACE(REGEXREPLACE(REGEXREPLACE(REGEXREPLACE(F135,"","",),IF(Projections!$T$11="""",""PG"",),),IF(Projections!$U$11="""",""SG"",),),IF(Projections!$V$11="""",""SF"",),),IF(Projections!$W$11="""",""PF"",),),IF(Pr"&amp;"ojections!$X$11="""",""C"",),),""/"","""")"),"GF")</f>
        <v>GF</v>
      </c>
    </row>
    <row r="136">
      <c r="A136" t="str">
        <f>IF(Projections!$AB$11,Draft!O3,"")</f>
        <v/>
      </c>
      <c r="B136">
        <f>IFERROR(__xludf.DUMMYFUNCTION("""COMPUTED_VALUE"""),131.0)</f>
        <v>131</v>
      </c>
      <c r="D136" t="str">
        <f>IFERROR(__xludf.DUMMYFUNCTION("""COMPUTED_VALUE"""),"Khris Middleton")</f>
        <v>Khris Middleton</v>
      </c>
      <c r="E136">
        <f>IFERROR(__xludf.DUMMYFUNCTION("""COMPUTED_VALUE"""),49.0)</f>
        <v>49</v>
      </c>
      <c r="F136" t="str">
        <f>IFERROR(__xludf.DUMMYFUNCTION("""COMPUTED_VALUE"""),"F")</f>
        <v>F</v>
      </c>
      <c r="G136" s="18">
        <f>IFERROR(__xludf.DUMMYFUNCTION("""COMPUTED_VALUE"""),-1.1521923588533327)</f>
        <v>-1.152192359</v>
      </c>
      <c r="H136" s="18">
        <f>IFERROR(__xludf.DUMMYFUNCTION("""COMPUTED_VALUE"""),-1.10798400506471)</f>
        <v>-1.107984005</v>
      </c>
      <c r="I136" s="18">
        <f>IFERROR(__xludf.DUMMYFUNCTION("""COMPUTED_VALUE"""),0.044208353788622645)</f>
        <v>0.04420835379</v>
      </c>
      <c r="J136" s="18">
        <f>IFERROR(__xludf.DUMMYFUNCTION("""COMPUTED_VALUE"""),13.24163)</f>
        <v>13.24163</v>
      </c>
      <c r="K136" s="18">
        <f>IFERROR(__xludf.DUMMYFUNCTION("""COMPUTED_VALUE"""),1.436939)</f>
        <v>1.436939</v>
      </c>
      <c r="L136" s="18">
        <f>IFERROR(__xludf.DUMMYFUNCTION("""COMPUTED_VALUE"""),4.291633)</f>
        <v>4.291633</v>
      </c>
      <c r="M136" s="18">
        <f>IFERROR(__xludf.DUMMYFUNCTION("""COMPUTED_VALUE"""),4.770408)</f>
        <v>4.770408</v>
      </c>
      <c r="N136" s="18">
        <f>IFERROR(__xludf.DUMMYFUNCTION("""COMPUTED_VALUE"""),0.858367)</f>
        <v>0.858367</v>
      </c>
      <c r="O136" s="18">
        <f>IFERROR(__xludf.DUMMYFUNCTION("""COMPUTED_VALUE"""),0.214082)</f>
        <v>0.214082</v>
      </c>
      <c r="P136" s="25">
        <f>IFERROR(__xludf.DUMMYFUNCTION("""COMPUTED_VALUE"""),0.484611)</f>
        <v>0.484611</v>
      </c>
      <c r="Q136" s="25">
        <f>IFERROR(__xludf.DUMMYFUNCTION("""COMPUTED_VALUE"""),0.855027)</f>
        <v>0.855027</v>
      </c>
      <c r="R136" s="18">
        <f>IFERROR(__xludf.DUMMYFUNCTION("""COMPUTED_VALUE"""),1.926939)</f>
        <v>1.926939</v>
      </c>
      <c r="S136" s="18">
        <f>IFERROR(__xludf.DUMMYFUNCTION("""COMPUTED_VALUE"""),-0.6900119829930919)</f>
        <v>-0.690011983</v>
      </c>
      <c r="T136" s="18">
        <f>IFERROR(__xludf.DUMMYFUNCTION("""COMPUTED_VALUE"""),-0.32125036336810253)</f>
        <v>-0.3212503634</v>
      </c>
      <c r="U136" s="18">
        <f>IFERROR(__xludf.DUMMYFUNCTION("""COMPUTED_VALUE"""),-0.7437681810284805)</f>
        <v>-0.743768181</v>
      </c>
      <c r="V136" s="18">
        <f>IFERROR(__xludf.DUMMYFUNCTION("""COMPUTED_VALUE"""),0.45603299994189855)</f>
        <v>0.4560329999</v>
      </c>
      <c r="W136" s="18">
        <f>IFERROR(__xludf.DUMMYFUNCTION("""COMPUTED_VALUE"""),-0.5692856952210704)</f>
        <v>-0.5692856952</v>
      </c>
      <c r="X136" s="18">
        <f>IFERROR(__xludf.DUMMYFUNCTION("""COMPUTED_VALUE"""),-0.9383389645044358)</f>
        <v>-0.9383389645</v>
      </c>
      <c r="Y136" s="18">
        <f>IFERROR(__xludf.DUMMYFUNCTION("""COMPUTED_VALUE"""),-0.1538974641645937)</f>
        <v>-0.1538974642</v>
      </c>
      <c r="Z136" s="18">
        <f>IFERROR(__xludf.DUMMYFUNCTION("""COMPUTED_VALUE"""),0.9141966817687301)</f>
        <v>0.9141966818</v>
      </c>
      <c r="AA136" s="18">
        <f>IFERROR(__xludf.DUMMYFUNCTION("""COMPUTED_VALUE"""),0.0)</f>
        <v>0</v>
      </c>
      <c r="AB136" t="str">
        <f>IFERROR(__xludf.DUMMYFUNCTION("SUBSTITUTE(REGEXREPLACE(REGEXREPLACE(REGEXREPLACE(REGEXREPLACE(REGEXREPLACE(REGEXREPLACE(F136,"","",),IF(Projections!$T$11="""",""PG"",),),IF(Projections!$U$11="""",""SG"",),),IF(Projections!$V$11="""",""SF"",),),IF(Projections!$W$11="""",""PF"",),),IF(Pr"&amp;"ojections!$X$11="""",""C"",),),""/"","""")"),"F")</f>
        <v>F</v>
      </c>
    </row>
    <row r="137">
      <c r="A137" t="str">
        <f>IF(Projections!$AB$11,Draft!O4,"")</f>
        <v/>
      </c>
      <c r="B137">
        <f>IFERROR(__xludf.DUMMYFUNCTION("""COMPUTED_VALUE"""),132.0)</f>
        <v>132</v>
      </c>
      <c r="D137" t="str">
        <f>IFERROR(__xludf.DUMMYFUNCTION("""COMPUTED_VALUE"""),"Malik Monk")</f>
        <v>Malik Monk</v>
      </c>
      <c r="E137">
        <f>IFERROR(__xludf.DUMMYFUNCTION("""COMPUTED_VALUE"""),68.0)</f>
        <v>68</v>
      </c>
      <c r="F137" t="str">
        <f>IFERROR(__xludf.DUMMYFUNCTION("""COMPUTED_VALUE"""),"G")</f>
        <v>G</v>
      </c>
      <c r="G137" s="18">
        <f>IFERROR(__xludf.DUMMYFUNCTION("""COMPUTED_VALUE"""),-1.1637898042036696)</f>
        <v>-1.163789804</v>
      </c>
      <c r="H137" s="18">
        <f>IFERROR(__xludf.DUMMYFUNCTION("""COMPUTED_VALUE"""),-1.0832662026544078)</f>
        <v>-1.083266203</v>
      </c>
      <c r="I137" s="18">
        <f>IFERROR(__xludf.DUMMYFUNCTION("""COMPUTED_VALUE"""),0.08052360154926186)</f>
        <v>0.08052360155</v>
      </c>
      <c r="J137" s="18">
        <f>IFERROR(__xludf.DUMMYFUNCTION("""COMPUTED_VALUE"""),14.88412)</f>
        <v>14.88412</v>
      </c>
      <c r="K137" s="18">
        <f>IFERROR(__xludf.DUMMYFUNCTION("""COMPUTED_VALUE"""),1.971618)</f>
        <v>1.971618</v>
      </c>
      <c r="L137" s="18">
        <f>IFERROR(__xludf.DUMMYFUNCTION("""COMPUTED_VALUE"""),3.11)</f>
        <v>3.11</v>
      </c>
      <c r="M137" s="18">
        <f>IFERROR(__xludf.DUMMYFUNCTION("""COMPUTED_VALUE"""),4.365)</f>
        <v>4.365</v>
      </c>
      <c r="N137" s="18">
        <f>IFERROR(__xludf.DUMMYFUNCTION("""COMPUTED_VALUE"""),0.737206)</f>
        <v>0.737206</v>
      </c>
      <c r="O137" s="18">
        <f>IFERROR(__xludf.DUMMYFUNCTION("""COMPUTED_VALUE"""),0.502794)</f>
        <v>0.502794</v>
      </c>
      <c r="P137" s="25">
        <f>IFERROR(__xludf.DUMMYFUNCTION("""COMPUTED_VALUE"""),0.462743)</f>
        <v>0.462743</v>
      </c>
      <c r="Q137" s="25">
        <f>IFERROR(__xludf.DUMMYFUNCTION("""COMPUTED_VALUE"""),0.838002)</f>
        <v>0.838002</v>
      </c>
      <c r="R137" s="18">
        <f>IFERROR(__xludf.DUMMYFUNCTION("""COMPUTED_VALUE"""),2.073382)</f>
        <v>2.073382</v>
      </c>
      <c r="S137" s="18">
        <f>IFERROR(__xludf.DUMMYFUNCTION("""COMPUTED_VALUE"""),-0.401849247303562)</f>
        <v>-0.4018492473</v>
      </c>
      <c r="T137" s="18">
        <f>IFERROR(__xludf.DUMMYFUNCTION("""COMPUTED_VALUE"""),0.19516049438697672)</f>
        <v>0.1951604944</v>
      </c>
      <c r="U137" s="18">
        <f>IFERROR(__xludf.DUMMYFUNCTION("""COMPUTED_VALUE"""),-1.222747378854119)</f>
        <v>-1.222747379</v>
      </c>
      <c r="V137" s="18">
        <f>IFERROR(__xludf.DUMMYFUNCTION("""COMPUTED_VALUE"""),0.2579853147084279)</f>
        <v>0.2579853147</v>
      </c>
      <c r="W137" s="18">
        <f>IFERROR(__xludf.DUMMYFUNCTION("""COMPUTED_VALUE"""),-0.9384911338851001)</f>
        <v>-0.9384911339</v>
      </c>
      <c r="X137" s="18">
        <f>IFERROR(__xludf.DUMMYFUNCTION("""COMPUTED_VALUE"""),-0.4134627932486495)</f>
        <v>-0.4134627932</v>
      </c>
      <c r="Y137" s="18">
        <f>IFERROR(__xludf.DUMMYFUNCTION("""COMPUTED_VALUE"""),-0.45093356737732315)</f>
        <v>-0.4509335674</v>
      </c>
      <c r="Z137" s="18">
        <f>IFERROR(__xludf.DUMMYFUNCTION("""COMPUTED_VALUE"""),0.6683247300648218)</f>
        <v>0.6683247301</v>
      </c>
      <c r="AA137" s="18">
        <f>IFERROR(__xludf.DUMMYFUNCTION("""COMPUTED_VALUE"""),0.0)</f>
        <v>0</v>
      </c>
      <c r="AB137" t="str">
        <f>IFERROR(__xludf.DUMMYFUNCTION("SUBSTITUTE(REGEXREPLACE(REGEXREPLACE(REGEXREPLACE(REGEXREPLACE(REGEXREPLACE(REGEXREPLACE(F137,"","",),IF(Projections!$T$11="""",""PG"",),),IF(Projections!$U$11="""",""SG"",),),IF(Projections!$V$11="""",""SF"",),),IF(Projections!$W$11="""",""PF"",),),IF(Pr"&amp;"ojections!$X$11="""",""C"",),),""/"","""")"),"G")</f>
        <v>G</v>
      </c>
    </row>
    <row r="138">
      <c r="A138" t="str">
        <f>IF(Projections!$AB$11,Draft!O5,"")</f>
        <v/>
      </c>
      <c r="B138">
        <f>IFERROR(__xludf.DUMMYFUNCTION("""COMPUTED_VALUE"""),133.0)</f>
        <v>133</v>
      </c>
      <c r="D138" t="str">
        <f>IFERROR(__xludf.DUMMYFUNCTION("""COMPUTED_VALUE"""),"T.J. McConnell")</f>
        <v>T.J. McConnell</v>
      </c>
      <c r="E138">
        <f>IFERROR(__xludf.DUMMYFUNCTION("""COMPUTED_VALUE"""),73.0)</f>
        <v>73</v>
      </c>
      <c r="F138" t="str">
        <f>IFERROR(__xludf.DUMMYFUNCTION("""COMPUTED_VALUE"""),"G")</f>
        <v>G</v>
      </c>
      <c r="G138" s="18">
        <f>IFERROR(__xludf.DUMMYFUNCTION("""COMPUTED_VALUE"""),-1.1836060973275402)</f>
        <v>-1.183606097</v>
      </c>
      <c r="H138" s="18">
        <f>IFERROR(__xludf.DUMMYFUNCTION("""COMPUTED_VALUE"""),-1.103785277148188)</f>
        <v>-1.103785277</v>
      </c>
      <c r="I138" s="18">
        <f>IFERROR(__xludf.DUMMYFUNCTION("""COMPUTED_VALUE"""),0.07982082017935221)</f>
        <v>0.07982082018</v>
      </c>
      <c r="J138" s="18">
        <f>IFERROR(__xludf.DUMMYFUNCTION("""COMPUTED_VALUE"""),11.28986)</f>
        <v>11.28986</v>
      </c>
      <c r="K138" s="18">
        <f>IFERROR(__xludf.DUMMYFUNCTION("""COMPUTED_VALUE"""),0.317671)</f>
        <v>0.317671</v>
      </c>
      <c r="L138" s="18">
        <f>IFERROR(__xludf.DUMMYFUNCTION("""COMPUTED_VALUE"""),3.232055)</f>
        <v>3.232055</v>
      </c>
      <c r="M138" s="18">
        <f>IFERROR(__xludf.DUMMYFUNCTION("""COMPUTED_VALUE"""),6.982466)</f>
        <v>6.982466</v>
      </c>
      <c r="N138" s="18">
        <f>IFERROR(__xludf.DUMMYFUNCTION("""COMPUTED_VALUE"""),1.262466)</f>
        <v>1.262466</v>
      </c>
      <c r="O138" s="18">
        <f>IFERROR(__xludf.DUMMYFUNCTION("""COMPUTED_VALUE"""),0.295479)</f>
        <v>0.295479</v>
      </c>
      <c r="P138" s="25">
        <f>IFERROR(__xludf.DUMMYFUNCTION("""COMPUTED_VALUE"""),0.518861)</f>
        <v>0.518861</v>
      </c>
      <c r="Q138" s="25">
        <f>IFERROR(__xludf.DUMMYFUNCTION("""COMPUTED_VALUE"""),0.730038)</f>
        <v>0.730038</v>
      </c>
      <c r="R138" s="18">
        <f>IFERROR(__xludf.DUMMYFUNCTION("""COMPUTED_VALUE"""),2.070548)</f>
        <v>2.070548</v>
      </c>
      <c r="S138" s="18">
        <f>IFERROR(__xludf.DUMMYFUNCTION("""COMPUTED_VALUE"""),-1.0324356097042162)</f>
        <v>-1.03243561</v>
      </c>
      <c r="T138" s="18">
        <f>IFERROR(__xludf.DUMMYFUNCTION("""COMPUTED_VALUE"""),-1.4022768258583291)</f>
        <v>-1.402276826</v>
      </c>
      <c r="U138" s="18">
        <f>IFERROR(__xludf.DUMMYFUNCTION("""COMPUTED_VALUE"""),-1.1732719444420736)</f>
        <v>-1.173271944</v>
      </c>
      <c r="V138" s="18">
        <f>IFERROR(__xludf.DUMMYFUNCTION("""COMPUTED_VALUE"""),1.5366554013305762)</f>
        <v>1.536655401</v>
      </c>
      <c r="W138" s="18">
        <f>IFERROR(__xludf.DUMMYFUNCTION("""COMPUTED_VALUE"""),0.6620969160044543)</f>
        <v>0.662096916</v>
      </c>
      <c r="X138" s="18">
        <f>IFERROR(__xludf.DUMMYFUNCTION("""COMPUTED_VALUE"""),-0.7903598513684829)</f>
        <v>-0.7903598514</v>
      </c>
      <c r="Y138" s="18">
        <f>IFERROR(__xludf.DUMMYFUNCTION("""COMPUTED_VALUE"""),0.3690628269176004)</f>
        <v>0.3690628269</v>
      </c>
      <c r="Z138" s="18">
        <f>IFERROR(__xludf.DUMMYFUNCTION("""COMPUTED_VALUE"""),-0.6755330158860465)</f>
        <v>-0.6755330159</v>
      </c>
      <c r="AA138" s="18">
        <f>IFERROR(__xludf.DUMMYFUNCTION("""COMPUTED_VALUE"""),0.0)</f>
        <v>0</v>
      </c>
      <c r="AB138" t="str">
        <f>IFERROR(__xludf.DUMMYFUNCTION("SUBSTITUTE(REGEXREPLACE(REGEXREPLACE(REGEXREPLACE(REGEXREPLACE(REGEXREPLACE(REGEXREPLACE(F138,"","",),IF(Projections!$T$11="""",""PG"",),),IF(Projections!$U$11="""",""SG"",),),IF(Projections!$V$11="""",""SF"",),),IF(Projections!$W$11="""",""PF"",),),IF(Pr"&amp;"ojections!$X$11="""",""C"",),),""/"","""")"),"G")</f>
        <v>G</v>
      </c>
    </row>
    <row r="139">
      <c r="A139" t="str">
        <f>IF(Projections!$AB$11,Draft!O6,"")</f>
        <v/>
      </c>
      <c r="B139">
        <f>IFERROR(__xludf.DUMMYFUNCTION("""COMPUTED_VALUE"""),134.0)</f>
        <v>134</v>
      </c>
      <c r="D139" t="str">
        <f>IFERROR(__xludf.DUMMYFUNCTION("""COMPUTED_VALUE"""),"Naz Reid")</f>
        <v>Naz Reid</v>
      </c>
      <c r="E139">
        <f>IFERROR(__xludf.DUMMYFUNCTION("""COMPUTED_VALUE"""),73.0)</f>
        <v>73</v>
      </c>
      <c r="F139" t="str">
        <f>IFERROR(__xludf.DUMMYFUNCTION("""COMPUTED_VALUE"""),"F,C")</f>
        <v>F,C</v>
      </c>
      <c r="G139" s="18">
        <f>IFERROR(__xludf.DUMMYFUNCTION("""COMPUTED_VALUE"""),-1.238159290187061)</f>
        <v>-1.23815929</v>
      </c>
      <c r="H139" s="18">
        <f>IFERROR(__xludf.DUMMYFUNCTION("""COMPUTED_VALUE"""),-1.3383462218085485)</f>
        <v>-1.338346222</v>
      </c>
      <c r="I139" s="18">
        <f>IFERROR(__xludf.DUMMYFUNCTION("""COMPUTED_VALUE"""),-0.1001869316214874)</f>
        <v>-0.1001869316</v>
      </c>
      <c r="J139" s="18">
        <f>IFERROR(__xludf.DUMMYFUNCTION("""COMPUTED_VALUE"""),13.8537)</f>
        <v>13.8537</v>
      </c>
      <c r="K139" s="18">
        <f>IFERROR(__xludf.DUMMYFUNCTION("""COMPUTED_VALUE"""),2.13726)</f>
        <v>2.13726</v>
      </c>
      <c r="L139" s="18">
        <f>IFERROR(__xludf.DUMMYFUNCTION("""COMPUTED_VALUE"""),6.07)</f>
        <v>6.07</v>
      </c>
      <c r="M139" s="18">
        <f>IFERROR(__xludf.DUMMYFUNCTION("""COMPUTED_VALUE"""),2.61726)</f>
        <v>2.61726</v>
      </c>
      <c r="N139" s="18">
        <f>IFERROR(__xludf.DUMMYFUNCTION("""COMPUTED_VALUE"""),0.660959)</f>
        <v>0.660959</v>
      </c>
      <c r="O139" s="18">
        <f>IFERROR(__xludf.DUMMYFUNCTION("""COMPUTED_VALUE"""),0.897397)</f>
        <v>0.897397</v>
      </c>
      <c r="P139" s="25">
        <f>IFERROR(__xludf.DUMMYFUNCTION("""COMPUTED_VALUE"""),0.465002)</f>
        <v>0.465002</v>
      </c>
      <c r="Q139" s="25">
        <f>IFERROR(__xludf.DUMMYFUNCTION("""COMPUTED_VALUE"""),0.757025)</f>
        <v>0.757025</v>
      </c>
      <c r="R139" s="18">
        <f>IFERROR(__xludf.DUMMYFUNCTION("""COMPUTED_VALUE"""),1.344658)</f>
        <v>1.344658</v>
      </c>
      <c r="S139" s="18">
        <f>IFERROR(__xludf.DUMMYFUNCTION("""COMPUTED_VALUE"""),-0.5826288235014112)</f>
        <v>-0.5826288235</v>
      </c>
      <c r="T139" s="18">
        <f>IFERROR(__xludf.DUMMYFUNCTION("""COMPUTED_VALUE"""),0.35514307702116793)</f>
        <v>0.355143077</v>
      </c>
      <c r="U139" s="18">
        <f>IFERROR(__xludf.DUMMYFUNCTION("""COMPUTED_VALUE"""),-0.0229007043249803)</f>
        <v>-0.02290070432</v>
      </c>
      <c r="V139" s="18">
        <f>IFERROR(__xludf.DUMMYFUNCTION("""COMPUTED_VALUE"""),-0.5958110124236129)</f>
        <v>-0.5958110124</v>
      </c>
      <c r="W139" s="18">
        <f>IFERROR(__xludf.DUMMYFUNCTION("""COMPUTED_VALUE"""),-1.17083328261131)</f>
        <v>-1.170833283</v>
      </c>
      <c r="X139" s="18">
        <f>IFERROR(__xludf.DUMMYFUNCTION("""COMPUTED_VALUE"""),0.303922392701526)</f>
        <v>0.3039223927</v>
      </c>
      <c r="Y139" s="18">
        <f>IFERROR(__xludf.DUMMYFUNCTION("""COMPUTED_VALUE"""),-0.42157991946712536)</f>
        <v>-0.4215799195</v>
      </c>
      <c r="Z139" s="18">
        <f>IFERROR(__xludf.DUMMYFUNCTION("""COMPUTED_VALUE"""),-0.37449123181411276)</f>
        <v>-0.3744912318</v>
      </c>
      <c r="AA139" s="18">
        <f>IFERROR(__xludf.DUMMYFUNCTION("""COMPUTED_VALUE"""),0.0)</f>
        <v>0</v>
      </c>
      <c r="AB139" t="str">
        <f>IFERROR(__xludf.DUMMYFUNCTION("SUBSTITUTE(REGEXREPLACE(REGEXREPLACE(REGEXREPLACE(REGEXREPLACE(REGEXREPLACE(REGEXREPLACE(F139,"","",),IF(Projections!$T$11="""",""PG"",),),IF(Projections!$U$11="""",""SG"",),),IF(Projections!$V$11="""",""SF"",),),IF(Projections!$W$11="""",""PF"",),),IF(Pr"&amp;"ojections!$X$11="""",""C"",),),""/"","""")"),"FC")</f>
        <v>FC</v>
      </c>
    </row>
    <row r="140">
      <c r="A140" t="str">
        <f>IF(Projections!$AB$11,Draft!O7,"")</f>
        <v/>
      </c>
      <c r="B140">
        <f>IFERROR(__xludf.DUMMYFUNCTION("""COMPUTED_VALUE"""),135.0)</f>
        <v>135</v>
      </c>
      <c r="D140" t="str">
        <f>IFERROR(__xludf.DUMMYFUNCTION("""COMPUTED_VALUE"""),"Al Horford")</f>
        <v>Al Horford</v>
      </c>
      <c r="E140">
        <f>IFERROR(__xludf.DUMMYFUNCTION("""COMPUTED_VALUE"""),53.0)</f>
        <v>53</v>
      </c>
      <c r="F140" t="str">
        <f>IFERROR(__xludf.DUMMYFUNCTION("""COMPUTED_VALUE"""),"F,C")</f>
        <v>F,C</v>
      </c>
      <c r="G140" s="18">
        <f>IFERROR(__xludf.DUMMYFUNCTION("""COMPUTED_VALUE"""),-1.254582529704188)</f>
        <v>-1.25458253</v>
      </c>
      <c r="H140" s="18">
        <f>IFERROR(__xludf.DUMMYFUNCTION("""COMPUTED_VALUE"""),-1.4734120500231078)</f>
        <v>-1.47341205</v>
      </c>
      <c r="I140" s="18">
        <f>IFERROR(__xludf.DUMMYFUNCTION("""COMPUTED_VALUE"""),-0.2188295203189199)</f>
        <v>-0.2188295203</v>
      </c>
      <c r="J140" s="18">
        <f>IFERROR(__xludf.DUMMYFUNCTION("""COMPUTED_VALUE"""),8.823962)</f>
        <v>8.823962</v>
      </c>
      <c r="K140" s="18">
        <f>IFERROR(__xludf.DUMMYFUNCTION("""COMPUTED_VALUE"""),1.85434)</f>
        <v>1.85434</v>
      </c>
      <c r="L140" s="18">
        <f>IFERROR(__xludf.DUMMYFUNCTION("""COMPUTED_VALUE"""),6.52566)</f>
        <v>6.52566</v>
      </c>
      <c r="M140" s="18">
        <f>IFERROR(__xludf.DUMMYFUNCTION("""COMPUTED_VALUE"""),2.540943)</f>
        <v>2.540943</v>
      </c>
      <c r="N140" s="18">
        <f>IFERROR(__xludf.DUMMYFUNCTION("""COMPUTED_VALUE"""),0.575849)</f>
        <v>0.575849</v>
      </c>
      <c r="O140" s="18">
        <f>IFERROR(__xludf.DUMMYFUNCTION("""COMPUTED_VALUE"""),0.867925)</f>
        <v>0.867925</v>
      </c>
      <c r="P140" s="25">
        <f>IFERROR(__xludf.DUMMYFUNCTION("""COMPUTED_VALUE"""),0.438634)</f>
        <v>0.438634</v>
      </c>
      <c r="Q140" s="25">
        <f>IFERROR(__xludf.DUMMYFUNCTION("""COMPUTED_VALUE"""),0.850021)</f>
        <v>0.850021</v>
      </c>
      <c r="R140" s="18">
        <f>IFERROR(__xludf.DUMMYFUNCTION("""COMPUTED_VALUE"""),0.866226)</f>
        <v>0.866226</v>
      </c>
      <c r="S140" s="18">
        <f>IFERROR(__xludf.DUMMYFUNCTION("""COMPUTED_VALUE"""),-1.465059195608143)</f>
        <v>-1.465059196</v>
      </c>
      <c r="T140" s="18">
        <f>IFERROR(__xludf.DUMMYFUNCTION("""COMPUTED_VALUE"""),0.08188948023493378)</f>
        <v>0.08188948023</v>
      </c>
      <c r="U140" s="18">
        <f>IFERROR(__xludf.DUMMYFUNCTION("""COMPUTED_VALUE"""),0.16180271990338024)</f>
        <v>0.1618027199</v>
      </c>
      <c r="V140" s="18">
        <f>IFERROR(__xludf.DUMMYFUNCTION("""COMPUTED_VALUE"""),-0.6330929732975048)</f>
        <v>-0.6330929733</v>
      </c>
      <c r="W140" s="18">
        <f>IFERROR(__xludf.DUMMYFUNCTION("""COMPUTED_VALUE"""),-1.4301830311665011)</f>
        <v>-1.430183031</v>
      </c>
      <c r="X140" s="18">
        <f>IFERROR(__xludf.DUMMYFUNCTION("""COMPUTED_VALUE"""),0.2503425258471848)</f>
        <v>0.2503425258</v>
      </c>
      <c r="Y140" s="18">
        <f>IFERROR(__xludf.DUMMYFUNCTION("""COMPUTED_VALUE"""),-0.7451115813226583)</f>
        <v>-0.7451115813</v>
      </c>
      <c r="Z140" s="18">
        <f>IFERROR(__xludf.DUMMYFUNCTION("""COMPUTED_VALUE"""),0.8409408097780583)</f>
        <v>0.8409408098</v>
      </c>
      <c r="AA140" s="18">
        <f>IFERROR(__xludf.DUMMYFUNCTION("""COMPUTED_VALUE"""),0.0)</f>
        <v>0</v>
      </c>
      <c r="AB140" t="str">
        <f>IFERROR(__xludf.DUMMYFUNCTION("SUBSTITUTE(REGEXREPLACE(REGEXREPLACE(REGEXREPLACE(REGEXREPLACE(REGEXREPLACE(REGEXREPLACE(F140,"","",),IF(Projections!$T$11="""",""PG"",),),IF(Projections!$U$11="""",""SG"",),),IF(Projections!$V$11="""",""SF"",),),IF(Projections!$W$11="""",""PF"",),),IF(Pr"&amp;"ojections!$X$11="""",""C"",),),""/"","""")"),"FC")</f>
        <v>FC</v>
      </c>
    </row>
    <row r="141">
      <c r="A141" t="str">
        <f>IF(Projections!$AB$11,Draft!O8,"")</f>
        <v/>
      </c>
      <c r="B141">
        <f>IFERROR(__xludf.DUMMYFUNCTION("""COMPUTED_VALUE"""),136.0)</f>
        <v>136</v>
      </c>
      <c r="D141" t="str">
        <f>IFERROR(__xludf.DUMMYFUNCTION("""COMPUTED_VALUE"""),"Bobby Portis")</f>
        <v>Bobby Portis</v>
      </c>
      <c r="E141">
        <f>IFERROR(__xludf.DUMMYFUNCTION("""COMPUTED_VALUE"""),73.0)</f>
        <v>73</v>
      </c>
      <c r="F141" t="str">
        <f>IFERROR(__xludf.DUMMYFUNCTION("""COMPUTED_VALUE"""),"F,C")</f>
        <v>F,C</v>
      </c>
      <c r="G141" s="18">
        <f>IFERROR(__xludf.DUMMYFUNCTION("""COMPUTED_VALUE"""),-1.2555299577408343)</f>
        <v>-1.255529958</v>
      </c>
      <c r="H141" s="18">
        <f>IFERROR(__xludf.DUMMYFUNCTION("""COMPUTED_VALUE"""),-1.4143835108752718)</f>
        <v>-1.414383511</v>
      </c>
      <c r="I141" s="18">
        <f>IFERROR(__xludf.DUMMYFUNCTION("""COMPUTED_VALUE"""),-0.1588535531344375)</f>
        <v>-0.1588535531</v>
      </c>
      <c r="J141" s="18">
        <f>IFERROR(__xludf.DUMMYFUNCTION("""COMPUTED_VALUE"""),13.78288)</f>
        <v>13.78288</v>
      </c>
      <c r="K141" s="18">
        <f>IFERROR(__xludf.DUMMYFUNCTION("""COMPUTED_VALUE"""),1.353288)</f>
        <v>1.353288</v>
      </c>
      <c r="L141" s="18">
        <f>IFERROR(__xludf.DUMMYFUNCTION("""COMPUTED_VALUE"""),7.890685)</f>
        <v>7.890685</v>
      </c>
      <c r="M141" s="18">
        <f>IFERROR(__xludf.DUMMYFUNCTION("""COMPUTED_VALUE"""),2.209315)</f>
        <v>2.209315</v>
      </c>
      <c r="N141" s="18">
        <f>IFERROR(__xludf.DUMMYFUNCTION("""COMPUTED_VALUE"""),0.784658)</f>
        <v>0.784658</v>
      </c>
      <c r="O141" s="18">
        <f>IFERROR(__xludf.DUMMYFUNCTION("""COMPUTED_VALUE"""),0.475068)</f>
        <v>0.475068</v>
      </c>
      <c r="P141" s="25">
        <f>IFERROR(__xludf.DUMMYFUNCTION("""COMPUTED_VALUE"""),0.474593)</f>
        <v>0.474593</v>
      </c>
      <c r="Q141" s="25">
        <f>IFERROR(__xludf.DUMMYFUNCTION("""COMPUTED_VALUE"""),0.820036)</f>
        <v>0.820036</v>
      </c>
      <c r="R141" s="18">
        <f>IFERROR(__xludf.DUMMYFUNCTION("""COMPUTED_VALUE"""),1.108082)</f>
        <v>1.108082</v>
      </c>
      <c r="S141" s="18">
        <f>IFERROR(__xludf.DUMMYFUNCTION("""COMPUTED_VALUE"""),-0.595053669279183)</f>
        <v>-0.5950536693</v>
      </c>
      <c r="T141" s="18">
        <f>IFERROR(__xludf.DUMMYFUNCTION("""COMPUTED_VALUE"""),-0.4020432964402263)</f>
        <v>-0.4020432964</v>
      </c>
      <c r="U141" s="18">
        <f>IFERROR(__xludf.DUMMYFUNCTION("""COMPUTED_VALUE"""),0.715120526288224)</f>
        <v>0.7151205263</v>
      </c>
      <c r="V141" s="18">
        <f>IFERROR(__xludf.DUMMYFUNCTION("""COMPUTED_VALUE"""),-0.7950980589361835)</f>
        <v>-0.7950980589</v>
      </c>
      <c r="W141" s="18">
        <f>IFERROR(__xludf.DUMMYFUNCTION("""COMPUTED_VALUE"""),-0.7938939741102096)</f>
        <v>-0.7938939741</v>
      </c>
      <c r="X141" s="18">
        <f>IFERROR(__xludf.DUMMYFUNCTION("""COMPUTED_VALUE"""),-0.46386844567819147)</f>
        <v>-0.4638684457</v>
      </c>
      <c r="Y141" s="18">
        <f>IFERROR(__xludf.DUMMYFUNCTION("""COMPUTED_VALUE"""),-0.29353948387672846)</f>
        <v>-0.2935394839</v>
      </c>
      <c r="Z141" s="18">
        <f>IFERROR(__xludf.DUMMYFUNCTION("""COMPUTED_VALUE"""),0.418894832221043)</f>
        <v>0.4188948322</v>
      </c>
      <c r="AA141" s="18">
        <f>IFERROR(__xludf.DUMMYFUNCTION("""COMPUTED_VALUE"""),0.0)</f>
        <v>0</v>
      </c>
      <c r="AB141" t="str">
        <f>IFERROR(__xludf.DUMMYFUNCTION("SUBSTITUTE(REGEXREPLACE(REGEXREPLACE(REGEXREPLACE(REGEXREPLACE(REGEXREPLACE(REGEXREPLACE(F141,"","",),IF(Projections!$T$11="""",""PG"",),),IF(Projections!$U$11="""",""SG"",),),IF(Projections!$V$11="""",""SF"",),),IF(Projections!$W$11="""",""PF"",),),IF(Pr"&amp;"ojections!$X$11="""",""C"",),),""/"","""")"),"FC")</f>
        <v>FC</v>
      </c>
    </row>
    <row r="142">
      <c r="A142" t="str">
        <f>IF(Projections!$AB$11,Draft!O9,"")</f>
        <v/>
      </c>
      <c r="B142">
        <f>IFERROR(__xludf.DUMMYFUNCTION("""COMPUTED_VALUE"""),137.0)</f>
        <v>137</v>
      </c>
      <c r="D142" t="str">
        <f>IFERROR(__xludf.DUMMYFUNCTION("""COMPUTED_VALUE"""),"Scotty Pippen Jr.")</f>
        <v>Scotty Pippen Jr.</v>
      </c>
      <c r="E142">
        <f>IFERROR(__xludf.DUMMYFUNCTION("""COMPUTED_VALUE"""),73.0)</f>
        <v>73</v>
      </c>
      <c r="F142" t="str">
        <f>IFERROR(__xludf.DUMMYFUNCTION("""COMPUTED_VALUE"""),"G")</f>
        <v>G</v>
      </c>
      <c r="G142" s="18">
        <f>IFERROR(__xludf.DUMMYFUNCTION("""COMPUTED_VALUE"""),-1.2923693197247534)</f>
        <v>-1.29236932</v>
      </c>
      <c r="H142" s="18">
        <f>IFERROR(__xludf.DUMMYFUNCTION("""COMPUTED_VALUE"""),-1.2238944261570694)</f>
        <v>-1.223894426</v>
      </c>
      <c r="I142" s="18">
        <f>IFERROR(__xludf.DUMMYFUNCTION("""COMPUTED_VALUE"""),0.06847489356768399)</f>
        <v>0.06847489357</v>
      </c>
      <c r="J142" s="18">
        <f>IFERROR(__xludf.DUMMYFUNCTION("""COMPUTED_VALUE"""),12.13548)</f>
        <v>12.13548</v>
      </c>
      <c r="K142" s="18">
        <f>IFERROR(__xludf.DUMMYFUNCTION("""COMPUTED_VALUE"""),1.403151)</f>
        <v>1.403151</v>
      </c>
      <c r="L142" s="18">
        <f>IFERROR(__xludf.DUMMYFUNCTION("""COMPUTED_VALUE"""),3.520822)</f>
        <v>3.520822</v>
      </c>
      <c r="M142" s="18">
        <f>IFERROR(__xludf.DUMMYFUNCTION("""COMPUTED_VALUE"""),4.875068)</f>
        <v>4.875068</v>
      </c>
      <c r="N142" s="18">
        <f>IFERROR(__xludf.DUMMYFUNCTION("""COMPUTED_VALUE"""),1.408356)</f>
        <v>1.408356</v>
      </c>
      <c r="O142" s="18">
        <f>IFERROR(__xludf.DUMMYFUNCTION("""COMPUTED_VALUE"""),0.478219)</f>
        <v>0.478219</v>
      </c>
      <c r="P142" s="25">
        <f>IFERROR(__xludf.DUMMYFUNCTION("""COMPUTED_VALUE"""),0.468865)</f>
        <v>0.468865</v>
      </c>
      <c r="Q142" s="25">
        <f>IFERROR(__xludf.DUMMYFUNCTION("""COMPUTED_VALUE"""),0.721021)</f>
        <v>0.721021</v>
      </c>
      <c r="R142" s="18">
        <f>IFERROR(__xludf.DUMMYFUNCTION("""COMPUTED_VALUE"""),2.024795)</f>
        <v>2.024795</v>
      </c>
      <c r="S142" s="18">
        <f>IFERROR(__xludf.DUMMYFUNCTION("""COMPUTED_VALUE"""),-0.8840778281933512)</f>
        <v>-0.8840778282</v>
      </c>
      <c r="T142" s="18">
        <f>IFERROR(__xludf.DUMMYFUNCTION("""COMPUTED_VALUE"""),-0.3538839436318282)</f>
        <v>-0.3538839436</v>
      </c>
      <c r="U142" s="18">
        <f>IFERROR(__xludf.DUMMYFUNCTION("""COMPUTED_VALUE"""),-1.0562191996232373)</f>
        <v>-1.0562192</v>
      </c>
      <c r="V142" s="18">
        <f>IFERROR(__xludf.DUMMYFUNCTION("""COMPUTED_VALUE"""),0.5071609272066172)</f>
        <v>0.5071609272</v>
      </c>
      <c r="W142" s="18">
        <f>IFERROR(__xludf.DUMMYFUNCTION("""COMPUTED_VALUE"""),1.1066573062842906)</f>
        <v>1.106657306</v>
      </c>
      <c r="X142" s="18">
        <f>IFERROR(__xludf.DUMMYFUNCTION("""COMPUTED_VALUE"""),-0.4581399521773083)</f>
        <v>-0.4581399522</v>
      </c>
      <c r="Y142" s="18">
        <f>IFERROR(__xludf.DUMMYFUNCTION("""COMPUTED_VALUE"""),-0.3706733322776785)</f>
        <v>-0.3706733323</v>
      </c>
      <c r="Z142" s="18">
        <f>IFERROR(__xludf.DUMMYFUNCTION("""COMPUTED_VALUE"""),-0.7709376033678113)</f>
        <v>-0.7709376034</v>
      </c>
      <c r="AA142" s="18">
        <f>IFERROR(__xludf.DUMMYFUNCTION("""COMPUTED_VALUE"""),0.0)</f>
        <v>0</v>
      </c>
      <c r="AB142" t="str">
        <f>IFERROR(__xludf.DUMMYFUNCTION("SUBSTITUTE(REGEXREPLACE(REGEXREPLACE(REGEXREPLACE(REGEXREPLACE(REGEXREPLACE(REGEXREPLACE(F142,"","",),IF(Projections!$T$11="""",""PG"",),),IF(Projections!$U$11="""",""SG"",),),IF(Projections!$V$11="""",""SF"",),),IF(Projections!$W$11="""",""PF"",),),IF(Pr"&amp;"ojections!$X$11="""",""C"",),),""/"","""")"),"G")</f>
        <v>G</v>
      </c>
    </row>
    <row r="143">
      <c r="A143" t="str">
        <f>IF(Projections!$AB$11,Draft!O10,"")</f>
        <v/>
      </c>
      <c r="B143">
        <f>IFERROR(__xludf.DUMMYFUNCTION("""COMPUTED_VALUE"""),138.0)</f>
        <v>138</v>
      </c>
      <c r="D143" t="str">
        <f>IFERROR(__xludf.DUMMYFUNCTION("""COMPUTED_VALUE"""),"Cam Whitmore")</f>
        <v>Cam Whitmore</v>
      </c>
      <c r="E143">
        <f>IFERROR(__xludf.DUMMYFUNCTION("""COMPUTED_VALUE"""),68.0)</f>
        <v>68</v>
      </c>
      <c r="F143" t="str">
        <f>IFERROR(__xludf.DUMMYFUNCTION("""COMPUTED_VALUE"""),"F")</f>
        <v>F</v>
      </c>
      <c r="G143" s="18">
        <f>IFERROR(__xludf.DUMMYFUNCTION("""COMPUTED_VALUE"""),-1.327229411176217)</f>
        <v>-1.327229411</v>
      </c>
      <c r="H143" s="18">
        <f>IFERROR(__xludf.DUMMYFUNCTION("""COMPUTED_VALUE"""),-1.4270032045611942)</f>
        <v>-1.427003205</v>
      </c>
      <c r="I143" s="18">
        <f>IFERROR(__xludf.DUMMYFUNCTION("""COMPUTED_VALUE"""),-0.09977379338497716)</f>
        <v>-0.09977379338</v>
      </c>
      <c r="J143" s="18">
        <f>IFERROR(__xludf.DUMMYFUNCTION("""COMPUTED_VALUE"""),16.47103)</f>
        <v>16.47103</v>
      </c>
      <c r="K143" s="18">
        <f>IFERROR(__xludf.DUMMYFUNCTION("""COMPUTED_VALUE"""),2.183971)</f>
        <v>2.183971</v>
      </c>
      <c r="L143" s="18">
        <f>IFERROR(__xludf.DUMMYFUNCTION("""COMPUTED_VALUE"""),5.300147)</f>
        <v>5.300147</v>
      </c>
      <c r="M143" s="18">
        <f>IFERROR(__xludf.DUMMYFUNCTION("""COMPUTED_VALUE"""),1.952647)</f>
        <v>1.952647</v>
      </c>
      <c r="N143" s="18">
        <f>IFERROR(__xludf.DUMMYFUNCTION("""COMPUTED_VALUE"""),1.014265)</f>
        <v>1.014265</v>
      </c>
      <c r="O143" s="18">
        <f>IFERROR(__xludf.DUMMYFUNCTION("""COMPUTED_VALUE"""),0.481618)</f>
        <v>0.481618</v>
      </c>
      <c r="P143" s="25">
        <f>IFERROR(__xludf.DUMMYFUNCTION("""COMPUTED_VALUE"""),0.4575)</f>
        <v>0.4575</v>
      </c>
      <c r="Q143" s="25">
        <f>IFERROR(__xludf.DUMMYFUNCTION("""COMPUTED_VALUE"""),0.762992)</f>
        <v>0.762992</v>
      </c>
      <c r="R143" s="18">
        <f>IFERROR(__xludf.DUMMYFUNCTION("""COMPUTED_VALUE"""),1.346324)</f>
        <v>1.346324</v>
      </c>
      <c r="S143" s="18">
        <f>IFERROR(__xludf.DUMMYFUNCTION("""COMPUTED_VALUE"""),-0.12343761198579926)</f>
        <v>-0.123437612</v>
      </c>
      <c r="T143" s="18">
        <f>IFERROR(__xludf.DUMMYFUNCTION("""COMPUTED_VALUE"""),0.40025812282733875)</f>
        <v>0.4002581228</v>
      </c>
      <c r="U143" s="18">
        <f>IFERROR(__xludf.DUMMYFUNCTION("""COMPUTED_VALUE"""),-0.3349633941649402)</f>
        <v>-0.3349633942</v>
      </c>
      <c r="V143" s="18">
        <f>IFERROR(__xludf.DUMMYFUNCTION("""COMPUTED_VALUE"""),-0.920484097873512)</f>
        <v>-0.9204840979</v>
      </c>
      <c r="W143" s="18">
        <f>IFERROR(__xludf.DUMMYFUNCTION("""COMPUTED_VALUE"""),-0.09422862671845901)</f>
        <v>-0.09422862672</v>
      </c>
      <c r="X143" s="18">
        <f>IFERROR(__xludf.DUMMYFUNCTION("""COMPUTED_VALUE"""),-0.45196059660463234)</f>
        <v>-0.4519605966</v>
      </c>
      <c r="Y143" s="18">
        <f>IFERROR(__xludf.DUMMYFUNCTION("""COMPUTED_VALUE"""),-0.5178800228132863)</f>
        <v>-0.5178800228</v>
      </c>
      <c r="Z143" s="18">
        <f>IFERROR(__xludf.DUMMYFUNCTION("""COMPUTED_VALUE"""),-0.304791075101416)</f>
        <v>-0.3047910751</v>
      </c>
      <c r="AA143" s="18">
        <f>IFERROR(__xludf.DUMMYFUNCTION("""COMPUTED_VALUE"""),0.0)</f>
        <v>0</v>
      </c>
      <c r="AB143" t="str">
        <f>IFERROR(__xludf.DUMMYFUNCTION("SUBSTITUTE(REGEXREPLACE(REGEXREPLACE(REGEXREPLACE(REGEXREPLACE(REGEXREPLACE(REGEXREPLACE(F143,"","",),IF(Projections!$T$11="""",""PG"",),),IF(Projections!$U$11="""",""SG"",),),IF(Projections!$V$11="""",""SF"",),),IF(Projections!$W$11="""",""PF"",),),IF(Pr"&amp;"ojections!$X$11="""",""C"",),),""/"","""")"),"F")</f>
        <v>F</v>
      </c>
    </row>
    <row r="144">
      <c r="A144" t="str">
        <f>IF(Projections!$AB$11,Draft!O11,"")</f>
        <v/>
      </c>
      <c r="B144">
        <f>IFERROR(__xludf.DUMMYFUNCTION("""COMPUTED_VALUE"""),139.0)</f>
        <v>139</v>
      </c>
      <c r="D144" t="str">
        <f>IFERROR(__xludf.DUMMYFUNCTION("""COMPUTED_VALUE"""),"Alex Caruso")</f>
        <v>Alex Caruso</v>
      </c>
      <c r="E144">
        <f>IFERROR(__xludf.DUMMYFUNCTION("""COMPUTED_VALUE"""),55.0)</f>
        <v>55</v>
      </c>
      <c r="F144" t="str">
        <f>IFERROR(__xludf.DUMMYFUNCTION("""COMPUTED_VALUE"""),"G,F")</f>
        <v>G,F</v>
      </c>
      <c r="G144" s="18">
        <f>IFERROR(__xludf.DUMMYFUNCTION("""COMPUTED_VALUE"""),-1.3941012723366228)</f>
        <v>-1.394101272</v>
      </c>
      <c r="H144" s="18">
        <f>IFERROR(__xludf.DUMMYFUNCTION("""COMPUTED_VALUE"""),-1.667542906265169)</f>
        <v>-1.667542906</v>
      </c>
      <c r="I144" s="18">
        <f>IFERROR(__xludf.DUMMYFUNCTION("""COMPUTED_VALUE"""),-0.27344163392854615)</f>
        <v>-0.2734416339</v>
      </c>
      <c r="J144" s="18">
        <f>IFERROR(__xludf.DUMMYFUNCTION("""COMPUTED_VALUE"""),7.695091)</f>
        <v>7.695091</v>
      </c>
      <c r="K144" s="18">
        <f>IFERROR(__xludf.DUMMYFUNCTION("""COMPUTED_VALUE"""),1.157455)</f>
        <v>1.157455</v>
      </c>
      <c r="L144" s="18">
        <f>IFERROR(__xludf.DUMMYFUNCTION("""COMPUTED_VALUE"""),2.826182)</f>
        <v>2.826182</v>
      </c>
      <c r="M144" s="18">
        <f>IFERROR(__xludf.DUMMYFUNCTION("""COMPUTED_VALUE"""),2.498)</f>
        <v>2.498</v>
      </c>
      <c r="N144" s="18">
        <f>IFERROR(__xludf.DUMMYFUNCTION("""COMPUTED_VALUE"""),1.453455)</f>
        <v>1.453455</v>
      </c>
      <c r="O144" s="18">
        <f>IFERROR(__xludf.DUMMYFUNCTION("""COMPUTED_VALUE"""),0.569636)</f>
        <v>0.569636</v>
      </c>
      <c r="P144" s="25">
        <f>IFERROR(__xludf.DUMMYFUNCTION("""COMPUTED_VALUE"""),0.461297)</f>
        <v>0.461297</v>
      </c>
      <c r="Q144" s="25">
        <f>IFERROR(__xludf.DUMMYFUNCTION("""COMPUTED_VALUE"""),0.821067)</f>
        <v>0.821067</v>
      </c>
      <c r="R144" s="18">
        <f>IFERROR(__xludf.DUMMYFUNCTION("""COMPUTED_VALUE"""),0.646)</f>
        <v>0.646</v>
      </c>
      <c r="S144" s="18">
        <f>IFERROR(__xludf.DUMMYFUNCTION("""COMPUTED_VALUE"""),-1.6631112723943489)</f>
        <v>-1.663111272</v>
      </c>
      <c r="T144" s="18">
        <f>IFERROR(__xludf.DUMMYFUNCTION("""COMPUTED_VALUE"""),-0.5911853564552082)</f>
        <v>-0.5911853565</v>
      </c>
      <c r="U144" s="18">
        <f>IFERROR(__xludf.DUMMYFUNCTION("""COMPUTED_VALUE"""),-1.3377940286755752)</f>
        <v>-1.337794029</v>
      </c>
      <c r="V144" s="18">
        <f>IFERROR(__xludf.DUMMYFUNCTION("""COMPUTED_VALUE"""),-0.6540712513457448)</f>
        <v>-0.6540712513</v>
      </c>
      <c r="W144" s="18">
        <f>IFERROR(__xludf.DUMMYFUNCTION("""COMPUTED_VALUE"""),1.2440843337791865)</f>
        <v>1.244084334</v>
      </c>
      <c r="X144" s="18">
        <f>IFERROR(__xludf.DUMMYFUNCTION("""COMPUTED_VALUE"""),-0.2919445569471473)</f>
        <v>-0.2919445569</v>
      </c>
      <c r="Y144" s="18">
        <f>IFERROR(__xludf.DUMMYFUNCTION("""COMPUTED_VALUE"""),-0.46956208447483744)</f>
        <v>-0.4695620845</v>
      </c>
      <c r="Z144" s="18">
        <f>IFERROR(__xludf.DUMMYFUNCTION("""COMPUTED_VALUE"""),0.4329300378541579)</f>
        <v>0.4329300379</v>
      </c>
      <c r="AA144" s="18">
        <f>IFERROR(__xludf.DUMMYFUNCTION("""COMPUTED_VALUE"""),0.0)</f>
        <v>0</v>
      </c>
      <c r="AB144" t="str">
        <f>IFERROR(__xludf.DUMMYFUNCTION("SUBSTITUTE(REGEXREPLACE(REGEXREPLACE(REGEXREPLACE(REGEXREPLACE(REGEXREPLACE(REGEXREPLACE(F144,"","",),IF(Projections!$T$11="""",""PG"",),),IF(Projections!$U$11="""",""SG"",),),IF(Projections!$V$11="""",""SF"",),),IF(Projections!$W$11="""",""PF"",),),IF(Pr"&amp;"ojections!$X$11="""",""C"",),),""/"","""")"),"GF")</f>
        <v>GF</v>
      </c>
    </row>
    <row r="145">
      <c r="A145" t="str">
        <f>IF(Projections!$AB$11,Draft!O12,"")</f>
        <v/>
      </c>
      <c r="B145">
        <f>IFERROR(__xludf.DUMMYFUNCTION("""COMPUTED_VALUE"""),140.0)</f>
        <v>140</v>
      </c>
      <c r="D145" t="str">
        <f>IFERROR(__xludf.DUMMYFUNCTION("""COMPUTED_VALUE"""),"Keyonte George")</f>
        <v>Keyonte George</v>
      </c>
      <c r="E145">
        <f>IFERROR(__xludf.DUMMYFUNCTION("""COMPUTED_VALUE"""),68.0)</f>
        <v>68</v>
      </c>
      <c r="F145" t="str">
        <f>IFERROR(__xludf.DUMMYFUNCTION("""COMPUTED_VALUE"""),"G")</f>
        <v>G</v>
      </c>
      <c r="G145" s="18">
        <f>IFERROR(__xludf.DUMMYFUNCTION("""COMPUTED_VALUE"""),-1.4962705494028719)</f>
        <v>-1.496270549</v>
      </c>
      <c r="H145" s="18">
        <f>IFERROR(__xludf.DUMMYFUNCTION("""COMPUTED_VALUE"""),-1.4190654447809667)</f>
        <v>-1.419065445</v>
      </c>
      <c r="I145" s="18">
        <f>IFERROR(__xludf.DUMMYFUNCTION("""COMPUTED_VALUE"""),0.07720510462190511)</f>
        <v>0.07720510462</v>
      </c>
      <c r="J145" s="18">
        <f>IFERROR(__xludf.DUMMYFUNCTION("""COMPUTED_VALUE"""),17.63132)</f>
        <v>17.63132</v>
      </c>
      <c r="K145" s="18">
        <f>IFERROR(__xludf.DUMMYFUNCTION("""COMPUTED_VALUE"""),2.700588)</f>
        <v>2.700588</v>
      </c>
      <c r="L145" s="18">
        <f>IFERROR(__xludf.DUMMYFUNCTION("""COMPUTED_VALUE"""),3.3475)</f>
        <v>3.3475</v>
      </c>
      <c r="M145" s="18">
        <f>IFERROR(__xludf.DUMMYFUNCTION("""COMPUTED_VALUE"""),4.506176)</f>
        <v>4.506176</v>
      </c>
      <c r="N145" s="18">
        <f>IFERROR(__xludf.DUMMYFUNCTION("""COMPUTED_VALUE"""),0.574559)</f>
        <v>0.574559</v>
      </c>
      <c r="O145" s="18">
        <f>IFERROR(__xludf.DUMMYFUNCTION("""COMPUTED_VALUE"""),0.129412)</f>
        <v>0.129412</v>
      </c>
      <c r="P145" s="25">
        <f>IFERROR(__xludf.DUMMYFUNCTION("""COMPUTED_VALUE"""),0.410038)</f>
        <v>0.410038</v>
      </c>
      <c r="Q145" s="25">
        <f>IFERROR(__xludf.DUMMYFUNCTION("""COMPUTED_VALUE"""),0.829006)</f>
        <v>0.829006</v>
      </c>
      <c r="R145" s="18">
        <f>IFERROR(__xludf.DUMMYFUNCTION("""COMPUTED_VALUE"""),2.06)</f>
        <v>2.06</v>
      </c>
      <c r="S145" s="18">
        <f>IFERROR(__xludf.DUMMYFUNCTION("""COMPUTED_VALUE"""),0.0801266962250299)</f>
        <v>0.08012669623</v>
      </c>
      <c r="T145" s="18">
        <f>IFERROR(__xludf.DUMMYFUNCTION("""COMPUTED_VALUE"""),0.8992240969928769)</f>
        <v>0.899224097</v>
      </c>
      <c r="U145" s="18">
        <f>IFERROR(__xludf.DUMMYFUNCTION("""COMPUTED_VALUE"""),-1.1264758973674058)</f>
        <v>-1.126475897</v>
      </c>
      <c r="V145" s="18">
        <f>IFERROR(__xludf.DUMMYFUNCTION("""COMPUTED_VALUE"""),0.3269518373486334)</f>
        <v>0.3269518373</v>
      </c>
      <c r="W145" s="18">
        <f>IFERROR(__xludf.DUMMYFUNCTION("""COMPUTED_VALUE"""),-1.4341139579158397)</f>
        <v>-1.434113958</v>
      </c>
      <c r="X145" s="18">
        <f>IFERROR(__xludf.DUMMYFUNCTION("""COMPUTED_VALUE"""),-1.0922683661927184)</f>
        <v>-1.092268366</v>
      </c>
      <c r="Y145" s="18">
        <f>IFERROR(__xludf.DUMMYFUNCTION("""COMPUTED_VALUE"""),-1.0487654126193169)</f>
        <v>-1.048765413</v>
      </c>
      <c r="Z145" s="18">
        <f>IFERROR(__xludf.DUMMYFUNCTION("""COMPUTED_VALUE"""),0.5421416008319346)</f>
        <v>0.5421416008</v>
      </c>
      <c r="AA145" s="18">
        <f>IFERROR(__xludf.DUMMYFUNCTION("""COMPUTED_VALUE"""),0.0)</f>
        <v>0</v>
      </c>
      <c r="AB145" t="str">
        <f>IFERROR(__xludf.DUMMYFUNCTION("SUBSTITUTE(REGEXREPLACE(REGEXREPLACE(REGEXREPLACE(REGEXREPLACE(REGEXREPLACE(REGEXREPLACE(F145,"","",),IF(Projections!$T$11="""",""PG"",),),IF(Projections!$U$11="""",""SG"",),),IF(Projections!$V$11="""",""SF"",),),IF(Projections!$W$11="""",""PF"",),),IF(Pr"&amp;"ojections!$X$11="""",""C"",),),""/"","""")"),"G")</f>
        <v>G</v>
      </c>
    </row>
    <row r="146">
      <c r="A146" t="str">
        <f>IF(Projections!$AB$11,Draft!O13,"")</f>
        <v/>
      </c>
      <c r="B146">
        <f>IFERROR(__xludf.DUMMYFUNCTION("""COMPUTED_VALUE"""),141.0)</f>
        <v>141</v>
      </c>
      <c r="D146" t="str">
        <f>IFERROR(__xludf.DUMMYFUNCTION("""COMPUTED_VALUE"""),"Jaden Ivey")</f>
        <v>Jaden Ivey</v>
      </c>
      <c r="E146">
        <f>IFERROR(__xludf.DUMMYFUNCTION("""COMPUTED_VALUE"""),68.0)</f>
        <v>68</v>
      </c>
      <c r="F146" t="str">
        <f>IFERROR(__xludf.DUMMYFUNCTION("""COMPUTED_VALUE"""),"G")</f>
        <v>G</v>
      </c>
      <c r="G146" s="18">
        <f>IFERROR(__xludf.DUMMYFUNCTION("""COMPUTED_VALUE"""),-1.5303043527121973)</f>
        <v>-1.530304353</v>
      </c>
      <c r="H146" s="18">
        <f>IFERROR(__xludf.DUMMYFUNCTION("""COMPUTED_VALUE"""),-1.279329486889337)</f>
        <v>-1.279329487</v>
      </c>
      <c r="I146" s="18">
        <f>IFERROR(__xludf.DUMMYFUNCTION("""COMPUTED_VALUE"""),0.2509748658228603)</f>
        <v>0.2509748658</v>
      </c>
      <c r="J146" s="18">
        <f>IFERROR(__xludf.DUMMYFUNCTION("""COMPUTED_VALUE"""),18.80382)</f>
        <v>18.80382</v>
      </c>
      <c r="K146" s="18">
        <f>IFERROR(__xludf.DUMMYFUNCTION("""COMPUTED_VALUE"""),2.082794)</f>
        <v>2.082794</v>
      </c>
      <c r="L146" s="18">
        <f>IFERROR(__xludf.DUMMYFUNCTION("""COMPUTED_VALUE"""),4.04)</f>
        <v>4.04</v>
      </c>
      <c r="M146" s="18">
        <f>IFERROR(__xludf.DUMMYFUNCTION("""COMPUTED_VALUE"""),4.309265)</f>
        <v>4.309265</v>
      </c>
      <c r="N146" s="18">
        <f>IFERROR(__xludf.DUMMYFUNCTION("""COMPUTED_VALUE"""),0.955735)</f>
        <v>0.955735</v>
      </c>
      <c r="O146" s="18">
        <f>IFERROR(__xludf.DUMMYFUNCTION("""COMPUTED_VALUE"""),0.400294)</f>
        <v>0.400294</v>
      </c>
      <c r="P146" s="25">
        <f>IFERROR(__xludf.DUMMYFUNCTION("""COMPUTED_VALUE"""),0.446003)</f>
        <v>0.446003</v>
      </c>
      <c r="Q146" s="25">
        <f>IFERROR(__xludf.DUMMYFUNCTION("""COMPUTED_VALUE"""),0.739995)</f>
        <v>0.739995</v>
      </c>
      <c r="R146" s="18">
        <f>IFERROR(__xludf.DUMMYFUNCTION("""COMPUTED_VALUE"""),2.760735)</f>
        <v>2.760735</v>
      </c>
      <c r="S146" s="18">
        <f>IFERROR(__xludf.DUMMYFUNCTION("""COMPUTED_VALUE"""),0.2858331587276782)</f>
        <v>0.2858331587</v>
      </c>
      <c r="T146" s="18">
        <f>IFERROR(__xludf.DUMMYFUNCTION("""COMPUTED_VALUE"""),0.30253799288940253)</f>
        <v>0.3025379929</v>
      </c>
      <c r="U146" s="18">
        <f>IFERROR(__xludf.DUMMYFUNCTION("""COMPUTED_VALUE"""),-0.8457685250324639)</f>
        <v>-0.845768525</v>
      </c>
      <c r="V146" s="18">
        <f>IFERROR(__xludf.DUMMYFUNCTION("""COMPUTED_VALUE"""),0.23075795921350042)</f>
        <v>0.2307579592</v>
      </c>
      <c r="W146" s="18">
        <f>IFERROR(__xludf.DUMMYFUNCTION("""COMPUTED_VALUE"""),-0.27258300085704856)</f>
        <v>-0.2725830009</v>
      </c>
      <c r="X146" s="18">
        <f>IFERROR(__xludf.DUMMYFUNCTION("""COMPUTED_VALUE"""),-0.5998069963081624)</f>
        <v>-0.5998069963</v>
      </c>
      <c r="Y146" s="18">
        <f>IFERROR(__xludf.DUMMYFUNCTION("""COMPUTED_VALUE"""),-0.6589006664507383)</f>
        <v>-0.6589006665</v>
      </c>
      <c r="Z146" s="18">
        <f>IFERROR(__xludf.DUMMYFUNCTION("""COMPUTED_VALUE"""),-0.5671679341039688)</f>
        <v>-0.5671679341</v>
      </c>
      <c r="AA146" s="18">
        <f>IFERROR(__xludf.DUMMYFUNCTION("""COMPUTED_VALUE"""),0.0)</f>
        <v>0</v>
      </c>
      <c r="AB146" t="str">
        <f>IFERROR(__xludf.DUMMYFUNCTION("SUBSTITUTE(REGEXREPLACE(REGEXREPLACE(REGEXREPLACE(REGEXREPLACE(REGEXREPLACE(REGEXREPLACE(F146,"","",),IF(Projections!$T$11="""",""PG"",),),IF(Projections!$U$11="""",""SG"",),),IF(Projections!$V$11="""",""SF"",),),IF(Projections!$W$11="""",""PF"",),),IF(Pr"&amp;"ojections!$X$11="""",""C"",),),""/"","""")"),"G")</f>
        <v>G</v>
      </c>
    </row>
    <row r="147">
      <c r="A147" t="str">
        <f>IF(Projections!$AB$11,Draft!O14,"")</f>
        <v/>
      </c>
      <c r="B147">
        <f>IFERROR(__xludf.DUMMYFUNCTION("""COMPUTED_VALUE"""),142.0)</f>
        <v>142</v>
      </c>
      <c r="D147" t="str">
        <f>IFERROR(__xludf.DUMMYFUNCTION("""COMPUTED_VALUE"""),"Jerami Grant")</f>
        <v>Jerami Grant</v>
      </c>
      <c r="E147">
        <f>IFERROR(__xludf.DUMMYFUNCTION("""COMPUTED_VALUE"""),57.0)</f>
        <v>57</v>
      </c>
      <c r="F147" t="str">
        <f>IFERROR(__xludf.DUMMYFUNCTION("""COMPUTED_VALUE"""),"F")</f>
        <v>F</v>
      </c>
      <c r="G147" s="18">
        <f>IFERROR(__xludf.DUMMYFUNCTION("""COMPUTED_VALUE"""),-1.5329879024182984)</f>
        <v>-1.532987902</v>
      </c>
      <c r="H147" s="18">
        <f>IFERROR(__xludf.DUMMYFUNCTION("""COMPUTED_VALUE"""),-1.6183633570948486)</f>
        <v>-1.618363357</v>
      </c>
      <c r="I147" s="18">
        <f>IFERROR(__xludf.DUMMYFUNCTION("""COMPUTED_VALUE"""),-0.08537545467655017)</f>
        <v>-0.08537545468</v>
      </c>
      <c r="J147" s="18">
        <f>IFERROR(__xludf.DUMMYFUNCTION("""COMPUTED_VALUE"""),14.33965)</f>
        <v>14.33965</v>
      </c>
      <c r="K147" s="18">
        <f>IFERROR(__xludf.DUMMYFUNCTION("""COMPUTED_VALUE"""),2.362456)</f>
        <v>2.362456</v>
      </c>
      <c r="L147" s="18">
        <f>IFERROR(__xludf.DUMMYFUNCTION("""COMPUTED_VALUE"""),3.251228)</f>
        <v>3.251228</v>
      </c>
      <c r="M147" s="18">
        <f>IFERROR(__xludf.DUMMYFUNCTION("""COMPUTED_VALUE"""),1.784912)</f>
        <v>1.784912</v>
      </c>
      <c r="N147" s="18">
        <f>IFERROR(__xludf.DUMMYFUNCTION("""COMPUTED_VALUE"""),0.826842)</f>
        <v>0.826842</v>
      </c>
      <c r="O147" s="18">
        <f>IFERROR(__xludf.DUMMYFUNCTION("""COMPUTED_VALUE"""),0.83)</f>
        <v>0.83</v>
      </c>
      <c r="P147" s="25">
        <f>IFERROR(__xludf.DUMMYFUNCTION("""COMPUTED_VALUE"""),0.388123)</f>
        <v>0.388123</v>
      </c>
      <c r="Q147" s="25">
        <f>IFERROR(__xludf.DUMMYFUNCTION("""COMPUTED_VALUE"""),0.858011)</f>
        <v>0.858011</v>
      </c>
      <c r="R147" s="18">
        <f>IFERROR(__xludf.DUMMYFUNCTION("""COMPUTED_VALUE"""),1.404386)</f>
        <v>1.404386</v>
      </c>
      <c r="S147" s="18">
        <f>IFERROR(__xludf.DUMMYFUNCTION("""COMPUTED_VALUE"""),-0.4973724862279256)</f>
        <v>-0.4973724862</v>
      </c>
      <c r="T147" s="18">
        <f>IFERROR(__xludf.DUMMYFUNCTION("""COMPUTED_VALUE"""),0.5726449043287913)</f>
        <v>0.5726449043</v>
      </c>
      <c r="U147" s="18">
        <f>IFERROR(__xludf.DUMMYFUNCTION("""COMPUTED_VALUE"""),-1.1655000997492537)</f>
        <v>-1.1655001</v>
      </c>
      <c r="V147" s="18">
        <f>IFERROR(__xludf.DUMMYFUNCTION("""COMPUTED_VALUE"""),-1.002425077041748)</f>
        <v>-1.002425077</v>
      </c>
      <c r="W147" s="18">
        <f>IFERROR(__xludf.DUMMYFUNCTION("""COMPUTED_VALUE"""),-0.6653496221768033)</f>
        <v>-0.6653496222</v>
      </c>
      <c r="X147" s="18">
        <f>IFERROR(__xludf.DUMMYFUNCTION("""COMPUTED_VALUE"""),0.18139517071516503)</f>
        <v>0.1813951707</v>
      </c>
      <c r="Y147" s="18">
        <f>IFERROR(__xludf.DUMMYFUNCTION("""COMPUTED_VALUE"""),-1.2482228442229955)</f>
        <v>-1.248222844</v>
      </c>
      <c r="Z147" s="18">
        <f>IFERROR(__xludf.DUMMYFUNCTION("""COMPUTED_VALUE"""),0.958243853056926)</f>
        <v>0.9582438531</v>
      </c>
      <c r="AA147" s="18">
        <f>IFERROR(__xludf.DUMMYFUNCTION("""COMPUTED_VALUE"""),0.0)</f>
        <v>0</v>
      </c>
      <c r="AB147" t="str">
        <f>IFERROR(__xludf.DUMMYFUNCTION("SUBSTITUTE(REGEXREPLACE(REGEXREPLACE(REGEXREPLACE(REGEXREPLACE(REGEXREPLACE(REGEXREPLACE(F147,"","",),IF(Projections!$T$11="""",""PG"",),),IF(Projections!$U$11="""",""SG"",),),IF(Projections!$V$11="""",""SF"",),),IF(Projections!$W$11="""",""PF"",),),IF(Pr"&amp;"ojections!$X$11="""",""C"",),),""/"","""")"),"F")</f>
        <v>F</v>
      </c>
    </row>
    <row r="148">
      <c r="A148" t="str">
        <f>IF(Projections!$AB$11,Draft!P14,"")</f>
        <v/>
      </c>
      <c r="B148">
        <f>IFERROR(__xludf.DUMMYFUNCTION("""COMPUTED_VALUE"""),143.0)</f>
        <v>143</v>
      </c>
      <c r="D148" t="str">
        <f>IFERROR(__xludf.DUMMYFUNCTION("""COMPUTED_VALUE"""),"Kyle Filipowski")</f>
        <v>Kyle Filipowski</v>
      </c>
      <c r="E148">
        <f>IFERROR(__xludf.DUMMYFUNCTION("""COMPUTED_VALUE"""),73.0)</f>
        <v>73</v>
      </c>
      <c r="F148" t="str">
        <f>IFERROR(__xludf.DUMMYFUNCTION("""COMPUTED_VALUE"""),"F,C")</f>
        <v>F,C</v>
      </c>
      <c r="G148" s="18">
        <f>IFERROR(__xludf.DUMMYFUNCTION("""COMPUTED_VALUE"""),-1.5374905678962711)</f>
        <v>-1.537490568</v>
      </c>
      <c r="H148" s="18">
        <f>IFERROR(__xludf.DUMMYFUNCTION("""COMPUTED_VALUE"""),-1.611418671268036)</f>
        <v>-1.611418671</v>
      </c>
      <c r="I148" s="18">
        <f>IFERROR(__xludf.DUMMYFUNCTION("""COMPUTED_VALUE"""),-0.07392810337176492)</f>
        <v>-0.07392810337</v>
      </c>
      <c r="J148" s="18">
        <f>IFERROR(__xludf.DUMMYFUNCTION("""COMPUTED_VALUE"""),13.78123)</f>
        <v>13.78123</v>
      </c>
      <c r="K148" s="18">
        <f>IFERROR(__xludf.DUMMYFUNCTION("""COMPUTED_VALUE"""),1.469452)</f>
        <v>1.469452</v>
      </c>
      <c r="L148" s="18">
        <f>IFERROR(__xludf.DUMMYFUNCTION("""COMPUTED_VALUE"""),7.922466)</f>
        <v>7.922466</v>
      </c>
      <c r="M148" s="18">
        <f>IFERROR(__xludf.DUMMYFUNCTION("""COMPUTED_VALUE"""),2.008493)</f>
        <v>2.008493</v>
      </c>
      <c r="N148" s="18">
        <f>IFERROR(__xludf.DUMMYFUNCTION("""COMPUTED_VALUE"""),0.829863)</f>
        <v>0.829863</v>
      </c>
      <c r="O148" s="18">
        <f>IFERROR(__xludf.DUMMYFUNCTION("""COMPUTED_VALUE"""),0.613699)</f>
        <v>0.613699</v>
      </c>
      <c r="P148" s="25">
        <f>IFERROR(__xludf.DUMMYFUNCTION("""COMPUTED_VALUE"""),0.515023)</f>
        <v>0.515023</v>
      </c>
      <c r="Q148" s="25">
        <f>IFERROR(__xludf.DUMMYFUNCTION("""COMPUTED_VALUE"""),0.680021)</f>
        <v>0.680021</v>
      </c>
      <c r="R148" s="18">
        <f>IFERROR(__xludf.DUMMYFUNCTION("""COMPUTED_VALUE"""),1.450548)</f>
        <v>1.450548</v>
      </c>
      <c r="S148" s="18">
        <f>IFERROR(__xludf.DUMMYFUNCTION("""COMPUTED_VALUE"""),-0.5953431495888881)</f>
        <v>-0.5953431496</v>
      </c>
      <c r="T148" s="18">
        <f>IFERROR(__xludf.DUMMYFUNCTION("""COMPUTED_VALUE"""),-0.28984822074011285)</f>
        <v>-0.2898482207</v>
      </c>
      <c r="U148" s="18">
        <f>IFERROR(__xludf.DUMMYFUNCTION("""COMPUTED_VALUE"""),0.7280030692487679)</f>
        <v>0.7280030692</v>
      </c>
      <c r="V148" s="18">
        <f>IFERROR(__xludf.DUMMYFUNCTION("""COMPUTED_VALUE"""),-0.8932025172694085)</f>
        <v>-0.8932025173</v>
      </c>
      <c r="W148" s="18">
        <f>IFERROR(__xludf.DUMMYFUNCTION("""COMPUTED_VALUE"""),-0.6561439402312593)</f>
        <v>-0.6561439402</v>
      </c>
      <c r="X148" s="18">
        <f>IFERROR(__xludf.DUMMYFUNCTION("""COMPUTED_VALUE"""),-0.21183836553825647)</f>
        <v>-0.2118383655</v>
      </c>
      <c r="Y148" s="18">
        <f>IFERROR(__xludf.DUMMYFUNCTION("""COMPUTED_VALUE"""),0.30695445285112116)</f>
        <v>0.3069544529</v>
      </c>
      <c r="Z148" s="18">
        <f>IFERROR(__xludf.DUMMYFUNCTION("""COMPUTED_VALUE"""),-1.1720146147661297)</f>
        <v>-1.172014615</v>
      </c>
      <c r="AA148" s="18">
        <f>IFERROR(__xludf.DUMMYFUNCTION("""COMPUTED_VALUE"""),0.0)</f>
        <v>0</v>
      </c>
      <c r="AB148" t="str">
        <f>IFERROR(__xludf.DUMMYFUNCTION("SUBSTITUTE(REGEXREPLACE(REGEXREPLACE(REGEXREPLACE(REGEXREPLACE(REGEXREPLACE(REGEXREPLACE(F148,"","",),IF(Projections!$T$11="""",""PG"",),),IF(Projections!$U$11="""",""SG"",),),IF(Projections!$V$11="""",""SF"",),),IF(Projections!$W$11="""",""PF"",),),IF(Pr"&amp;"ojections!$X$11="""",""C"",),),""/"","""")"),"FC")</f>
        <v>FC</v>
      </c>
    </row>
    <row r="149">
      <c r="A149" t="str">
        <f>IF(Projections!$AB$11,Draft!P13,"")</f>
        <v/>
      </c>
      <c r="B149">
        <f>IFERROR(__xludf.DUMMYFUNCTION("""COMPUTED_VALUE"""),144.0)</f>
        <v>144</v>
      </c>
      <c r="D149" t="str">
        <f>IFERROR(__xludf.DUMMYFUNCTION("""COMPUTED_VALUE"""),"Goga Bitadze")</f>
        <v>Goga Bitadze</v>
      </c>
      <c r="E149">
        <f>IFERROR(__xludf.DUMMYFUNCTION("""COMPUTED_VALUE"""),68.0)</f>
        <v>68</v>
      </c>
      <c r="F149" t="str">
        <f>IFERROR(__xludf.DUMMYFUNCTION("""COMPUTED_VALUE"""),"C")</f>
        <v>C</v>
      </c>
      <c r="G149" s="18">
        <f>IFERROR(__xludf.DUMMYFUNCTION("""COMPUTED_VALUE"""),-1.5673829149619514)</f>
        <v>-1.567382915</v>
      </c>
      <c r="H149" s="18">
        <f>IFERROR(__xludf.DUMMYFUNCTION("""COMPUTED_VALUE"""),-1.7777277265400624)</f>
        <v>-1.777727727</v>
      </c>
      <c r="I149" s="18">
        <f>IFERROR(__xludf.DUMMYFUNCTION("""COMPUTED_VALUE"""),-0.21034481157811102)</f>
        <v>-0.2103448116</v>
      </c>
      <c r="J149" s="18">
        <f>IFERROR(__xludf.DUMMYFUNCTION("""COMPUTED_VALUE"""),7.173088)</f>
        <v>7.173088</v>
      </c>
      <c r="K149" s="18">
        <f>IFERROR(__xludf.DUMMYFUNCTION("""COMPUTED_VALUE"""),0.102794)</f>
        <v>0.102794</v>
      </c>
      <c r="L149" s="18">
        <f>IFERROR(__xludf.DUMMYFUNCTION("""COMPUTED_VALUE"""),6.431176)</f>
        <v>6.431176</v>
      </c>
      <c r="M149" s="18">
        <f>IFERROR(__xludf.DUMMYFUNCTION("""COMPUTED_VALUE"""),1.715)</f>
        <v>1.715</v>
      </c>
      <c r="N149" s="18">
        <f>IFERROR(__xludf.DUMMYFUNCTION("""COMPUTED_VALUE"""),0.723676)</f>
        <v>0.723676</v>
      </c>
      <c r="O149" s="18">
        <f>IFERROR(__xludf.DUMMYFUNCTION("""COMPUTED_VALUE"""),1.329118)</f>
        <v>1.329118</v>
      </c>
      <c r="P149" s="25">
        <f>IFERROR(__xludf.DUMMYFUNCTION("""COMPUTED_VALUE"""),0.600416)</f>
        <v>0.600416</v>
      </c>
      <c r="Q149" s="25">
        <f>IFERROR(__xludf.DUMMYFUNCTION("""COMPUTED_VALUE"""),0.669994)</f>
        <v>0.669994</v>
      </c>
      <c r="R149" s="18">
        <f>IFERROR(__xludf.DUMMYFUNCTION("""COMPUTED_VALUE"""),0.900441)</f>
        <v>0.900441</v>
      </c>
      <c r="S149" s="18">
        <f>IFERROR(__xludf.DUMMYFUNCTION("""COMPUTED_VALUE"""),-1.7546928421561994)</f>
        <v>-1.754692842</v>
      </c>
      <c r="T149" s="18">
        <f>IFERROR(__xludf.DUMMYFUNCTION("""COMPUTED_VALUE"""),-1.6098122179007286)</f>
        <v>-1.609812218</v>
      </c>
      <c r="U149" s="18">
        <f>IFERROR(__xludf.DUMMYFUNCTION("""COMPUTED_VALUE"""),0.12350328976952495)</f>
        <v>0.1235032898</v>
      </c>
      <c r="V149" s="18">
        <f>IFERROR(__xludf.DUMMYFUNCTION("""COMPUTED_VALUE"""),-1.0365781025618228)</f>
        <v>-1.036578103</v>
      </c>
      <c r="W149" s="18">
        <f>IFERROR(__xludf.DUMMYFUNCTION("""COMPUTED_VALUE"""),-0.9797201563025805)</f>
        <v>-0.9797201563</v>
      </c>
      <c r="X149" s="18">
        <f>IFERROR(__xludf.DUMMYFUNCTION("""COMPUTED_VALUE"""),1.0887878140581697)</f>
        <v>1.088787814</v>
      </c>
      <c r="Y149" s="18">
        <f>IFERROR(__xludf.DUMMYFUNCTION("""COMPUTED_VALUE"""),1.8980293062421956)</f>
        <v>1.898029306</v>
      </c>
      <c r="Z149" s="18">
        <f>IFERROR(__xludf.DUMMYFUNCTION("""COMPUTED_VALUE"""),-1.2619376598448204)</f>
        <v>-1.26193766</v>
      </c>
      <c r="AA149" s="18">
        <f>IFERROR(__xludf.DUMMYFUNCTION("""COMPUTED_VALUE"""),0.0)</f>
        <v>0</v>
      </c>
      <c r="AB149" t="str">
        <f>IFERROR(__xludf.DUMMYFUNCTION("SUBSTITUTE(REGEXREPLACE(REGEXREPLACE(REGEXREPLACE(REGEXREPLACE(REGEXREPLACE(REGEXREPLACE(F149,"","",),IF(Projections!$T$11="""",""PG"",),),IF(Projections!$U$11="""",""SG"",),),IF(Projections!$V$11="""",""SF"",),),IF(Projections!$W$11="""",""PF"",),),IF(Pr"&amp;"ojections!$X$11="""",""C"",),),""/"","""")"),"C")</f>
        <v>C</v>
      </c>
    </row>
    <row r="150">
      <c r="A150" t="str">
        <f>IF(Projections!$AB$11,Draft!P12,"")</f>
        <v/>
      </c>
      <c r="B150">
        <f>IFERROR(__xludf.DUMMYFUNCTION("""COMPUTED_VALUE"""),145.0)</f>
        <v>145</v>
      </c>
      <c r="D150" t="str">
        <f>IFERROR(__xludf.DUMMYFUNCTION("""COMPUTED_VALUE"""),"Bennedict Mathurin")</f>
        <v>Bennedict Mathurin</v>
      </c>
      <c r="E150">
        <f>IFERROR(__xludf.DUMMYFUNCTION("""COMPUTED_VALUE"""),68.0)</f>
        <v>68</v>
      </c>
      <c r="F150" t="str">
        <f>IFERROR(__xludf.DUMMYFUNCTION("""COMPUTED_VALUE"""),"G,F")</f>
        <v>G,F</v>
      </c>
      <c r="G150" s="18">
        <f>IFERROR(__xludf.DUMMYFUNCTION("""COMPUTED_VALUE"""),-1.6127677853783167)</f>
        <v>-1.612767785</v>
      </c>
      <c r="H150" s="18">
        <f>IFERROR(__xludf.DUMMYFUNCTION("""COMPUTED_VALUE"""),-1.5120772847018433)</f>
        <v>-1.512077285</v>
      </c>
      <c r="I150" s="18">
        <f>IFERROR(__xludf.DUMMYFUNCTION("""COMPUTED_VALUE"""),0.10069050067647334)</f>
        <v>0.1006905007</v>
      </c>
      <c r="J150" s="18">
        <f>IFERROR(__xludf.DUMMYFUNCTION("""COMPUTED_VALUE"""),19.48147)</f>
        <v>19.48147</v>
      </c>
      <c r="K150" s="18">
        <f>IFERROR(__xludf.DUMMYFUNCTION("""COMPUTED_VALUE"""),1.623382)</f>
        <v>1.623382</v>
      </c>
      <c r="L150" s="18">
        <f>IFERROR(__xludf.DUMMYFUNCTION("""COMPUTED_VALUE"""),5.453971)</f>
        <v>5.453971</v>
      </c>
      <c r="M150" s="18">
        <f>IFERROR(__xludf.DUMMYFUNCTION("""COMPUTED_VALUE"""),2.558676)</f>
        <v>2.558676</v>
      </c>
      <c r="N150" s="18">
        <f>IFERROR(__xludf.DUMMYFUNCTION("""COMPUTED_VALUE"""),0.758971)</f>
        <v>0.758971</v>
      </c>
      <c r="O150" s="18">
        <f>IFERROR(__xludf.DUMMYFUNCTION("""COMPUTED_VALUE"""),0.331176)</f>
        <v>0.331176</v>
      </c>
      <c r="P150" s="25">
        <f>IFERROR(__xludf.DUMMYFUNCTION("""COMPUTED_VALUE"""),0.450974)</f>
        <v>0.450974</v>
      </c>
      <c r="Q150" s="25">
        <f>IFERROR(__xludf.DUMMYFUNCTION("""COMPUTED_VALUE"""),0.822009)</f>
        <v>0.822009</v>
      </c>
      <c r="R150" s="18">
        <f>IFERROR(__xludf.DUMMYFUNCTION("""COMPUTED_VALUE"""),2.154706)</f>
        <v>2.154706</v>
      </c>
      <c r="S150" s="18">
        <f>IFERROR(__xludf.DUMMYFUNCTION("""COMPUTED_VALUE"""),0.40472184471055184)</f>
        <v>0.4047218447</v>
      </c>
      <c r="T150" s="18">
        <f>IFERROR(__xludf.DUMMYFUNCTION("""COMPUTED_VALUE"""),-0.14117747935277689)</f>
        <v>-0.1411774794</v>
      </c>
      <c r="U150" s="18">
        <f>IFERROR(__xludf.DUMMYFUNCTION("""COMPUTED_VALUE"""),-0.27261028103562585)</f>
        <v>-0.272610281</v>
      </c>
      <c r="V150" s="18">
        <f>IFERROR(__xludf.DUMMYFUNCTION("""COMPUTED_VALUE"""),-0.6244301457207299)</f>
        <v>-0.6244301457</v>
      </c>
      <c r="W150" s="18">
        <f>IFERROR(__xludf.DUMMYFUNCTION("""COMPUTED_VALUE"""),-0.8721681721026571)</f>
        <v>-0.8721681721</v>
      </c>
      <c r="X150" s="18">
        <f>IFERROR(__xludf.DUMMYFUNCTION("""COMPUTED_VALUE"""),-0.725462982913698)</f>
        <v>-0.7254629829</v>
      </c>
      <c r="Y150" s="18">
        <f>IFERROR(__xludf.DUMMYFUNCTION("""COMPUTED_VALUE"""),-0.5989015678929966)</f>
        <v>-0.5989015679</v>
      </c>
      <c r="Z150" s="18">
        <f>IFERROR(__xludf.DUMMYFUNCTION("""COMPUTED_VALUE"""),0.4457833275034319)</f>
        <v>0.4457833275</v>
      </c>
      <c r="AA150" s="18">
        <f>IFERROR(__xludf.DUMMYFUNCTION("""COMPUTED_VALUE"""),0.0)</f>
        <v>0</v>
      </c>
      <c r="AB150" t="str">
        <f>IFERROR(__xludf.DUMMYFUNCTION("SUBSTITUTE(REGEXREPLACE(REGEXREPLACE(REGEXREPLACE(REGEXREPLACE(REGEXREPLACE(REGEXREPLACE(F150,"","",),IF(Projections!$T$11="""",""PG"",),),IF(Projections!$U$11="""",""SG"",),),IF(Projections!$V$11="""",""SF"",),),IF(Projections!$W$11="""",""PF"",),),IF(Pr"&amp;"ojections!$X$11="""",""C"",),),""/"","""")"),"GF")</f>
        <v>GF</v>
      </c>
    </row>
    <row r="151">
      <c r="A151" t="str">
        <f>IF(Projections!$AB$11,Draft!P11,"")</f>
        <v/>
      </c>
      <c r="B151">
        <f>IFERROR(__xludf.DUMMYFUNCTION("""COMPUTED_VALUE"""),146.0)</f>
        <v>146</v>
      </c>
      <c r="D151" t="str">
        <f>IFERROR(__xludf.DUMMYFUNCTION("""COMPUTED_VALUE"""),"Chris Paul")</f>
        <v>Chris Paul</v>
      </c>
      <c r="E151">
        <f>IFERROR(__xludf.DUMMYFUNCTION("""COMPUTED_VALUE"""),58.0)</f>
        <v>58</v>
      </c>
      <c r="F151" t="str">
        <f>IFERROR(__xludf.DUMMYFUNCTION("""COMPUTED_VALUE"""),"G")</f>
        <v>G</v>
      </c>
      <c r="G151" s="18">
        <f>IFERROR(__xludf.DUMMYFUNCTION("""COMPUTED_VALUE"""),-1.6291975673444885)</f>
        <v>-1.629197567</v>
      </c>
      <c r="H151" s="18">
        <f>IFERROR(__xludf.DUMMYFUNCTION("""COMPUTED_VALUE"""),-1.7369955666460257)</f>
        <v>-1.736995567</v>
      </c>
      <c r="I151" s="18">
        <f>IFERROR(__xludf.DUMMYFUNCTION("""COMPUTED_VALUE"""),-0.10779799930153722)</f>
        <v>-0.1077979993</v>
      </c>
      <c r="J151" s="18">
        <f>IFERROR(__xludf.DUMMYFUNCTION("""COMPUTED_VALUE"""),7.233966)</f>
        <v>7.233966</v>
      </c>
      <c r="K151" s="18">
        <f>IFERROR(__xludf.DUMMYFUNCTION("""COMPUTED_VALUE"""),1.517414)</f>
        <v>1.517414</v>
      </c>
      <c r="L151" s="18">
        <f>IFERROR(__xludf.DUMMYFUNCTION("""COMPUTED_VALUE"""),3.055517)</f>
        <v>3.055517</v>
      </c>
      <c r="M151" s="18">
        <f>IFERROR(__xludf.DUMMYFUNCTION("""COMPUTED_VALUE"""),5.043966)</f>
        <v>5.043966</v>
      </c>
      <c r="N151" s="18">
        <f>IFERROR(__xludf.DUMMYFUNCTION("""COMPUTED_VALUE"""),1.012241)</f>
        <v>1.012241</v>
      </c>
      <c r="O151" s="18">
        <f>IFERROR(__xludf.DUMMYFUNCTION("""COMPUTED_VALUE"""),0.243448)</f>
        <v>0.243448</v>
      </c>
      <c r="P151" s="25">
        <f>IFERROR(__xludf.DUMMYFUNCTION("""COMPUTED_VALUE"""),0.424589)</f>
        <v>0.424589</v>
      </c>
      <c r="Q151" s="25">
        <f>IFERROR(__xludf.DUMMYFUNCTION("""COMPUTED_VALUE"""),0.863995)</f>
        <v>0.863995</v>
      </c>
      <c r="R151" s="18">
        <f>IFERROR(__xludf.DUMMYFUNCTION("""COMPUTED_VALUE"""),1.313966)</f>
        <v>1.313966</v>
      </c>
      <c r="S151" s="18">
        <f>IFERROR(__xludf.DUMMYFUNCTION("""COMPUTED_VALUE"""),-1.7440122468263606)</f>
        <v>-1.744012247</v>
      </c>
      <c r="T151" s="18">
        <f>IFERROR(__xludf.DUMMYFUNCTION("""COMPUTED_VALUE"""),-0.24352491730076112)</f>
        <v>-0.2435249173</v>
      </c>
      <c r="U151" s="18">
        <f>IFERROR(__xludf.DUMMYFUNCTION("""COMPUTED_VALUE"""),-1.244832259383974)</f>
        <v>-1.244832259</v>
      </c>
      <c r="V151" s="18">
        <f>IFERROR(__xludf.DUMMYFUNCTION("""COMPUTED_VALUE"""),0.5896700487349611)</f>
        <v>0.5896700487</v>
      </c>
      <c r="W151" s="18">
        <f>IFERROR(__xludf.DUMMYFUNCTION("""COMPUTED_VALUE"""),-0.10039622031587077)</f>
        <v>-0.1003962203</v>
      </c>
      <c r="X151" s="18">
        <f>IFERROR(__xludf.DUMMYFUNCTION("""COMPUTED_VALUE"""),-0.8849518048259416)</f>
        <v>-0.8849518048</v>
      </c>
      <c r="Y151" s="18">
        <f>IFERROR(__xludf.DUMMYFUNCTION("""COMPUTED_VALUE"""),-0.9003911512424825)</f>
        <v>-0.9003911512</v>
      </c>
      <c r="Z151" s="18">
        <f>IFERROR(__xludf.DUMMYFUNCTION("""COMPUTED_VALUE"""),1.0474307376880434)</f>
        <v>1.047430738</v>
      </c>
      <c r="AA151" s="18">
        <f>IFERROR(__xludf.DUMMYFUNCTION("""COMPUTED_VALUE"""),0.0)</f>
        <v>0</v>
      </c>
      <c r="AB151" t="str">
        <f>IFERROR(__xludf.DUMMYFUNCTION("SUBSTITUTE(REGEXREPLACE(REGEXREPLACE(REGEXREPLACE(REGEXREPLACE(REGEXREPLACE(REGEXREPLACE(F151,"","",),IF(Projections!$T$11="""",""PG"",),),IF(Projections!$U$11="""",""SG"",),),IF(Projections!$V$11="""",""SF"",),),IF(Projections!$W$11="""",""PF"",),),IF(Pr"&amp;"ojections!$X$11="""",""C"",),),""/"","""")"),"G")</f>
        <v>G</v>
      </c>
    </row>
    <row r="152">
      <c r="A152" t="str">
        <f>IF(Projections!$AB$11,Draft!P10,"")</f>
        <v/>
      </c>
      <c r="B152">
        <f>IFERROR(__xludf.DUMMYFUNCTION("""COMPUTED_VALUE"""),147.0)</f>
        <v>147</v>
      </c>
      <c r="D152" t="str">
        <f>IFERROR(__xludf.DUMMYFUNCTION("""COMPUTED_VALUE"""),"Sam Merrill")</f>
        <v>Sam Merrill</v>
      </c>
      <c r="E152">
        <f>IFERROR(__xludf.DUMMYFUNCTION("""COMPUTED_VALUE"""),73.0)</f>
        <v>73</v>
      </c>
      <c r="F152" t="str">
        <f>IFERROR(__xludf.DUMMYFUNCTION("""COMPUTED_VALUE"""),"G")</f>
        <v>G</v>
      </c>
      <c r="G152" s="18">
        <f>IFERROR(__xludf.DUMMYFUNCTION("""COMPUTED_VALUE"""),-1.6549212008688228)</f>
        <v>-1.654921201</v>
      </c>
      <c r="H152" s="18">
        <f>IFERROR(__xludf.DUMMYFUNCTION("""COMPUTED_VALUE"""),-1.9577063128213692)</f>
        <v>-1.957706313</v>
      </c>
      <c r="I152" s="18">
        <f>IFERROR(__xludf.DUMMYFUNCTION("""COMPUTED_VALUE"""),-0.3027851119525464)</f>
        <v>-0.302785112</v>
      </c>
      <c r="J152" s="18">
        <f>IFERROR(__xludf.DUMMYFUNCTION("""COMPUTED_VALUE"""),9.584795)</f>
        <v>9.584795</v>
      </c>
      <c r="K152" s="18">
        <f>IFERROR(__xludf.DUMMYFUNCTION("""COMPUTED_VALUE"""),2.766575)</f>
        <v>2.766575</v>
      </c>
      <c r="L152" s="18">
        <f>IFERROR(__xludf.DUMMYFUNCTION("""COMPUTED_VALUE"""),2.661781)</f>
        <v>2.661781</v>
      </c>
      <c r="M152" s="18">
        <f>IFERROR(__xludf.DUMMYFUNCTION("""COMPUTED_VALUE"""),1.973014)</f>
        <v>1.973014</v>
      </c>
      <c r="N152" s="18">
        <f>IFERROR(__xludf.DUMMYFUNCTION("""COMPUTED_VALUE"""),0.836849)</f>
        <v>0.836849</v>
      </c>
      <c r="O152" s="18">
        <f>IFERROR(__xludf.DUMMYFUNCTION("""COMPUTED_VALUE"""),0.191644)</f>
        <v>0.191644</v>
      </c>
      <c r="P152" s="25">
        <f>IFERROR(__xludf.DUMMYFUNCTION("""COMPUTED_VALUE"""),0.421071)</f>
        <v>0.421071</v>
      </c>
      <c r="Q152" s="25">
        <f>IFERROR(__xludf.DUMMYFUNCTION("""COMPUTED_VALUE"""),0.916133)</f>
        <v>0.916133</v>
      </c>
      <c r="R152" s="18">
        <f>IFERROR(__xludf.DUMMYFUNCTION("""COMPUTED_VALUE"""),0.527671)</f>
        <v>0.527671</v>
      </c>
      <c r="S152" s="18">
        <f>IFERROR(__xludf.DUMMYFUNCTION("""COMPUTED_VALUE"""),-1.3315766668360516)</f>
        <v>-1.331576667</v>
      </c>
      <c r="T152" s="18">
        <f>IFERROR(__xludf.DUMMYFUNCTION("""COMPUTED_VALUE"""),0.962956548184497)</f>
        <v>0.9629565482</v>
      </c>
      <c r="U152" s="18">
        <f>IFERROR(__xludf.DUMMYFUNCTION("""COMPUTED_VALUE"""),-1.4044345668983)</f>
        <v>-1.404434567</v>
      </c>
      <c r="V152" s="18">
        <f>IFERROR(__xludf.DUMMYFUNCTION("""COMPUTED_VALUE"""),-0.9105345231114204)</f>
        <v>-0.9105345231</v>
      </c>
      <c r="W152" s="18">
        <f>IFERROR(__xludf.DUMMYFUNCTION("""COMPUTED_VALUE"""),-0.6348559911840669)</f>
        <v>-0.6348559912</v>
      </c>
      <c r="X152" s="18">
        <f>IFERROR(__xludf.DUMMYFUNCTION("""COMPUTED_VALUE"""),-0.9791310740483318)</f>
        <v>-0.979131074</v>
      </c>
      <c r="Y152" s="18">
        <f>IFERROR(__xludf.DUMMYFUNCTION("""COMPUTED_VALUE"""),-0.9374296124178974)</f>
        <v>-0.9374296124</v>
      </c>
      <c r="Z152" s="18">
        <f>IFERROR(__xludf.DUMMYFUNCTION("""COMPUTED_VALUE"""),1.8728650065919017)</f>
        <v>1.872865007</v>
      </c>
      <c r="AA152" s="18">
        <f>IFERROR(__xludf.DUMMYFUNCTION("""COMPUTED_VALUE"""),0.0)</f>
        <v>0</v>
      </c>
      <c r="AB152" t="str">
        <f>IFERROR(__xludf.DUMMYFUNCTION("SUBSTITUTE(REGEXREPLACE(REGEXREPLACE(REGEXREPLACE(REGEXREPLACE(REGEXREPLACE(REGEXREPLACE(F152,"","",),IF(Projections!$T$11="""",""PG"",),),IF(Projections!$U$11="""",""SG"",),),IF(Projections!$V$11="""",""SF"",),),IF(Projections!$W$11="""",""PF"",),),IF(Pr"&amp;"ojections!$X$11="""",""C"",),),""/"","""")"),"G")</f>
        <v>G</v>
      </c>
    </row>
    <row r="153">
      <c r="A153" t="str">
        <f>IF(Projections!$AB$11,Draft!P9,"")</f>
        <v/>
      </c>
      <c r="B153">
        <f>IFERROR(__xludf.DUMMYFUNCTION("""COMPUTED_VALUE"""),148.0)</f>
        <v>148</v>
      </c>
      <c r="D153" t="str">
        <f>IFERROR(__xludf.DUMMYFUNCTION("""COMPUTED_VALUE"""),"Grayson Allen")</f>
        <v>Grayson Allen</v>
      </c>
      <c r="E153">
        <f>IFERROR(__xludf.DUMMYFUNCTION("""COMPUTED_VALUE"""),73.0)</f>
        <v>73</v>
      </c>
      <c r="F153" t="str">
        <f>IFERROR(__xludf.DUMMYFUNCTION("""COMPUTED_VALUE"""),"G")</f>
        <v>G</v>
      </c>
      <c r="G153" s="18">
        <f>IFERROR(__xludf.DUMMYFUNCTION("""COMPUTED_VALUE"""),-1.7259396569812948)</f>
        <v>-1.725939657</v>
      </c>
      <c r="H153" s="18">
        <f>IFERROR(__xludf.DUMMYFUNCTION("""COMPUTED_VALUE"""),-1.8143390058091067)</f>
        <v>-1.814339006</v>
      </c>
      <c r="I153" s="18">
        <f>IFERROR(__xludf.DUMMYFUNCTION("""COMPUTED_VALUE"""),-0.08839934882781186)</f>
        <v>-0.08839934883</v>
      </c>
      <c r="J153" s="18">
        <f>IFERROR(__xludf.DUMMYFUNCTION("""COMPUTED_VALUE"""),11.65137)</f>
        <v>11.65137</v>
      </c>
      <c r="K153" s="18">
        <f>IFERROR(__xludf.DUMMYFUNCTION("""COMPUTED_VALUE"""),2.337671)</f>
        <v>2.337671</v>
      </c>
      <c r="L153" s="18">
        <f>IFERROR(__xludf.DUMMYFUNCTION("""COMPUTED_VALUE"""),3.062877)</f>
        <v>3.062877</v>
      </c>
      <c r="M153" s="18">
        <f>IFERROR(__xludf.DUMMYFUNCTION("""COMPUTED_VALUE"""),3.174247)</f>
        <v>3.174247</v>
      </c>
      <c r="N153" s="18">
        <f>IFERROR(__xludf.DUMMYFUNCTION("""COMPUTED_VALUE"""),0.956301)</f>
        <v>0.956301</v>
      </c>
      <c r="O153" s="18">
        <f>IFERROR(__xludf.DUMMYFUNCTION("""COMPUTED_VALUE"""),0.331918)</f>
        <v>0.331918</v>
      </c>
      <c r="P153" s="25">
        <f>IFERROR(__xludf.DUMMYFUNCTION("""COMPUTED_VALUE"""),0.455071)</f>
        <v>0.455071</v>
      </c>
      <c r="Q153" s="25">
        <f>IFERROR(__xludf.DUMMYFUNCTION("""COMPUTED_VALUE"""),0.823996)</f>
        <v>0.823996</v>
      </c>
      <c r="R153" s="18">
        <f>IFERROR(__xludf.DUMMYFUNCTION("""COMPUTED_VALUE"""),1.392192)</f>
        <v>1.392192</v>
      </c>
      <c r="S153" s="18">
        <f>IFERROR(__xludf.DUMMYFUNCTION("""COMPUTED_VALUE"""),-0.9690113510608622)</f>
        <v>-0.9690113511</v>
      </c>
      <c r="T153" s="18">
        <f>IFERROR(__xludf.DUMMYFUNCTION("""COMPUTED_VALUE"""),0.5487067225235219)</f>
        <v>0.5487067225</v>
      </c>
      <c r="U153" s="18">
        <f>IFERROR(__xludf.DUMMYFUNCTION("""COMPUTED_VALUE"""),-1.2418488568419017)</f>
        <v>-1.241848857</v>
      </c>
      <c r="V153" s="18">
        <f>IFERROR(__xludf.DUMMYFUNCTION("""COMPUTED_VALUE"""),-0.32371478823678085)</f>
        <v>-0.3237147882</v>
      </c>
      <c r="W153" s="18">
        <f>IFERROR(__xludf.DUMMYFUNCTION("""COMPUTED_VALUE"""),-0.27085826865540097)</f>
        <v>-0.2708582687</v>
      </c>
      <c r="X153" s="18">
        <f>IFERROR(__xludf.DUMMYFUNCTION("""COMPUTED_VALUE"""),-0.7241140326827697)</f>
        <v>-0.7241140327</v>
      </c>
      <c r="Y153" s="18">
        <f>IFERROR(__xludf.DUMMYFUNCTION("""COMPUTED_VALUE"""),-0.54833546946108)</f>
        <v>-0.5483354695</v>
      </c>
      <c r="Z153" s="18">
        <f>IFERROR(__xludf.DUMMYFUNCTION("""COMPUTED_VALUE"""),0.47298818176426477)</f>
        <v>0.4729881818</v>
      </c>
      <c r="AA153" s="18">
        <f>IFERROR(__xludf.DUMMYFUNCTION("""COMPUTED_VALUE"""),0.0)</f>
        <v>0</v>
      </c>
      <c r="AB153" t="str">
        <f>IFERROR(__xludf.DUMMYFUNCTION("SUBSTITUTE(REGEXREPLACE(REGEXREPLACE(REGEXREPLACE(REGEXREPLACE(REGEXREPLACE(REGEXREPLACE(F153,"","",),IF(Projections!$T$11="""",""PG"",),),IF(Projections!$U$11="""",""SG"",),),IF(Projections!$V$11="""",""SF"",),),IF(Projections!$W$11="""",""PF"",),),IF(Pr"&amp;"ojections!$X$11="""",""C"",),),""/"","""")"),"G")</f>
        <v>G</v>
      </c>
    </row>
    <row r="154">
      <c r="A154" t="str">
        <f>IF(Projections!$AB$11,Draft!P8,"")</f>
        <v/>
      </c>
      <c r="B154">
        <f>IFERROR(__xludf.DUMMYFUNCTION("""COMPUTED_VALUE"""),149.0)</f>
        <v>149</v>
      </c>
      <c r="D154" t="str">
        <f>IFERROR(__xludf.DUMMYFUNCTION("""COMPUTED_VALUE"""),"Isaiah Stewart")</f>
        <v>Isaiah Stewart</v>
      </c>
      <c r="E154">
        <f>IFERROR(__xludf.DUMMYFUNCTION("""COMPUTED_VALUE"""),73.0)</f>
        <v>73</v>
      </c>
      <c r="F154" t="str">
        <f>IFERROR(__xludf.DUMMYFUNCTION("""COMPUTED_VALUE"""),"C")</f>
        <v>C</v>
      </c>
      <c r="G154" s="18">
        <f>IFERROR(__xludf.DUMMYFUNCTION("""COMPUTED_VALUE"""),-1.8416861258409094)</f>
        <v>-1.841686126</v>
      </c>
      <c r="H154" s="18">
        <f>IFERROR(__xludf.DUMMYFUNCTION("""COMPUTED_VALUE"""),-2.035868701786046)</f>
        <v>-2.035868702</v>
      </c>
      <c r="I154" s="18">
        <f>IFERROR(__xludf.DUMMYFUNCTION("""COMPUTED_VALUE"""),-0.19418257594513655)</f>
        <v>-0.1941825759</v>
      </c>
      <c r="J154" s="18">
        <f>IFERROR(__xludf.DUMMYFUNCTION("""COMPUTED_VALUE"""),6.928356)</f>
        <v>6.928356</v>
      </c>
      <c r="K154" s="18">
        <f>IFERROR(__xludf.DUMMYFUNCTION("""COMPUTED_VALUE"""),0.30411)</f>
        <v>0.30411</v>
      </c>
      <c r="L154" s="18">
        <f>IFERROR(__xludf.DUMMYFUNCTION("""COMPUTED_VALUE"""),5.647534)</f>
        <v>5.647534</v>
      </c>
      <c r="M154" s="18">
        <f>IFERROR(__xludf.DUMMYFUNCTION("""COMPUTED_VALUE"""),1.527671)</f>
        <v>1.527671</v>
      </c>
      <c r="N154" s="18">
        <f>IFERROR(__xludf.DUMMYFUNCTION("""COMPUTED_VALUE"""),0.375068)</f>
        <v>0.375068</v>
      </c>
      <c r="O154" s="18">
        <f>IFERROR(__xludf.DUMMYFUNCTION("""COMPUTED_VALUE"""),1.573973)</f>
        <v>1.573973</v>
      </c>
      <c r="P154" s="25">
        <f>IFERROR(__xludf.DUMMYFUNCTION("""COMPUTED_VALUE"""),0.583253)</f>
        <v>0.583253</v>
      </c>
      <c r="Q154" s="25">
        <f>IFERROR(__xludf.DUMMYFUNCTION("""COMPUTED_VALUE"""),0.739047)</f>
        <v>0.739047</v>
      </c>
      <c r="R154" s="18">
        <f>IFERROR(__xludf.DUMMYFUNCTION("""COMPUTED_VALUE"""),0.965616)</f>
        <v>0.965616</v>
      </c>
      <c r="S154" s="18">
        <f>IFERROR(__xludf.DUMMYFUNCTION("""COMPUTED_VALUE"""),-1.797629263462125)</f>
        <v>-1.797629263</v>
      </c>
      <c r="T154" s="18">
        <f>IFERROR(__xludf.DUMMYFUNCTION("""COMPUTED_VALUE"""),-1.415374493135362)</f>
        <v>-1.415374493</v>
      </c>
      <c r="U154" s="18">
        <f>IFERROR(__xludf.DUMMYFUNCTION("""COMPUTED_VALUE"""),-0.1941488209471516)</f>
        <v>-0.1941488209</v>
      </c>
      <c r="V154" s="18">
        <f>IFERROR(__xludf.DUMMYFUNCTION("""COMPUTED_VALUE"""),-1.1280910347859054)</f>
        <v>-1.128091035</v>
      </c>
      <c r="W154" s="18">
        <f>IFERROR(__xludf.DUMMYFUNCTION("""COMPUTED_VALUE"""),-2.0420089254757476)</f>
        <v>-2.042008925</v>
      </c>
      <c r="X154" s="18">
        <f>IFERROR(__xludf.DUMMYFUNCTION("""COMPUTED_VALUE"""),1.5339323003034093)</f>
        <v>1.5339323</v>
      </c>
      <c r="Y154" s="18">
        <f>IFERROR(__xludf.DUMMYFUNCTION("""COMPUTED_VALUE"""),1.543064206375483)</f>
        <v>1.543064206</v>
      </c>
      <c r="Z154" s="18">
        <f>IFERROR(__xludf.DUMMYFUNCTION("""COMPUTED_VALUE"""),-0.5776215961343942)</f>
        <v>-0.5776215961</v>
      </c>
      <c r="AA154" s="18">
        <f>IFERROR(__xludf.DUMMYFUNCTION("""COMPUTED_VALUE"""),0.0)</f>
        <v>0</v>
      </c>
      <c r="AB154" t="str">
        <f>IFERROR(__xludf.DUMMYFUNCTION("SUBSTITUTE(REGEXREPLACE(REGEXREPLACE(REGEXREPLACE(REGEXREPLACE(REGEXREPLACE(REGEXREPLACE(F154,"","",),IF(Projections!$T$11="""",""PG"",),),IF(Projections!$U$11="""",""SG"",),),IF(Projections!$V$11="""",""SF"",),),IF(Projections!$W$11="""",""PF"",),),IF(Pr"&amp;"ojections!$X$11="""",""C"",),),""/"","""")"),"C")</f>
        <v>C</v>
      </c>
    </row>
    <row r="155">
      <c r="A155" t="str">
        <f>IF(Projections!$AB$11,Draft!P7,"")</f>
        <v/>
      </c>
      <c r="B155">
        <f>IFERROR(__xludf.DUMMYFUNCTION("""COMPUTED_VALUE"""),150.0)</f>
        <v>150</v>
      </c>
      <c r="D155" t="str">
        <f>IFERROR(__xludf.DUMMYFUNCTION("""COMPUTED_VALUE"""),"Jabari Smith Jr.")</f>
        <v>Jabari Smith Jr.</v>
      </c>
      <c r="E155">
        <f>IFERROR(__xludf.DUMMYFUNCTION("""COMPUTED_VALUE"""),70.0)</f>
        <v>70</v>
      </c>
      <c r="F155" t="str">
        <f>IFERROR(__xludf.DUMMYFUNCTION("""COMPUTED_VALUE"""),"F")</f>
        <v>F</v>
      </c>
      <c r="G155" s="18">
        <f>IFERROR(__xludf.DUMMYFUNCTION("""COMPUTED_VALUE"""),-1.8616851591531387)</f>
        <v>-1.861685159</v>
      </c>
      <c r="H155" s="18">
        <f>IFERROR(__xludf.DUMMYFUNCTION("""COMPUTED_VALUE"""),-2.01691023769177)</f>
        <v>-2.016910238</v>
      </c>
      <c r="I155" s="18">
        <f>IFERROR(__xludf.DUMMYFUNCTION("""COMPUTED_VALUE"""),-0.15522507853863132)</f>
        <v>-0.1552250785</v>
      </c>
      <c r="J155" s="18">
        <f>IFERROR(__xludf.DUMMYFUNCTION("""COMPUTED_VALUE"""),13.27057)</f>
        <v>13.27057</v>
      </c>
      <c r="K155" s="18">
        <f>IFERROR(__xludf.DUMMYFUNCTION("""COMPUTED_VALUE"""),1.990571)</f>
        <v>1.990571</v>
      </c>
      <c r="L155" s="18">
        <f>IFERROR(__xludf.DUMMYFUNCTION("""COMPUTED_VALUE"""),7.07)</f>
        <v>7.07</v>
      </c>
      <c r="M155" s="18">
        <f>IFERROR(__xludf.DUMMYFUNCTION("""COMPUTED_VALUE"""),1.105143)</f>
        <v>1.105143</v>
      </c>
      <c r="N155" s="18">
        <f>IFERROR(__xludf.DUMMYFUNCTION("""COMPUTED_VALUE"""),0.468857)</f>
        <v>0.468857</v>
      </c>
      <c r="O155" s="18">
        <f>IFERROR(__xludf.DUMMYFUNCTION("""COMPUTED_VALUE"""),0.530286)</f>
        <v>0.530286</v>
      </c>
      <c r="P155" s="25">
        <f>IFERROR(__xludf.DUMMYFUNCTION("""COMPUTED_VALUE"""),0.446872)</f>
        <v>0.446872</v>
      </c>
      <c r="Q155" s="25">
        <f>IFERROR(__xludf.DUMMYFUNCTION("""COMPUTED_VALUE"""),0.820015)</f>
        <v>0.820015</v>
      </c>
      <c r="R155" s="18">
        <f>IFERROR(__xludf.DUMMYFUNCTION("""COMPUTED_VALUE"""),1.122714)</f>
        <v>1.122714</v>
      </c>
      <c r="S155" s="18">
        <f>IFERROR(__xludf.DUMMYFUNCTION("""COMPUTED_VALUE"""),-0.6849346738034745)</f>
        <v>-0.6849346738</v>
      </c>
      <c r="T155" s="18">
        <f>IFERROR(__xludf.DUMMYFUNCTION("""COMPUTED_VALUE"""),0.21346593557137336)</f>
        <v>0.2134659356</v>
      </c>
      <c r="U155" s="18">
        <f>IFERROR(__xludf.DUMMYFUNCTION("""COMPUTED_VALUE"""),0.3824529019348638)</f>
        <v>0.3824529019</v>
      </c>
      <c r="V155" s="18">
        <f>IFERROR(__xludf.DUMMYFUNCTION("""COMPUTED_VALUE"""),-1.3345020882094392)</f>
        <v>-1.334502088</v>
      </c>
      <c r="W155" s="18">
        <f>IFERROR(__xludf.DUMMYFUNCTION("""COMPUTED_VALUE"""),-1.756212267418611)</f>
        <v>-1.756212267</v>
      </c>
      <c r="X155" s="18">
        <f>IFERROR(__xludf.DUMMYFUNCTION("""COMPUTED_VALUE"""),-0.3634825509997506)</f>
        <v>-0.363482551</v>
      </c>
      <c r="Y155" s="18">
        <f>IFERROR(__xludf.DUMMYFUNCTION("""COMPUTED_VALUE"""),-0.6485190698173745)</f>
        <v>-0.6485190698</v>
      </c>
      <c r="Z155" s="18">
        <f>IFERROR(__xludf.DUMMYFUNCTION("""COMPUTED_VALUE"""),0.4186093076320318)</f>
        <v>0.4186093076</v>
      </c>
      <c r="AA155" s="18">
        <f>IFERROR(__xludf.DUMMYFUNCTION("""COMPUTED_VALUE"""),0.0)</f>
        <v>0</v>
      </c>
      <c r="AB155" t="str">
        <f>IFERROR(__xludf.DUMMYFUNCTION("SUBSTITUTE(REGEXREPLACE(REGEXREPLACE(REGEXREPLACE(REGEXREPLACE(REGEXREPLACE(REGEXREPLACE(F155,"","",),IF(Projections!$T$11="""",""PG"",),),IF(Projections!$U$11="""",""SG"",),),IF(Projections!$V$11="""",""SF"",),),IF(Projections!$W$11="""",""PF"",),),IF(Pr"&amp;"ojections!$X$11="""",""C"",),),""/"","""")"),"F")</f>
        <v>F</v>
      </c>
    </row>
    <row r="156">
      <c r="A156" t="str">
        <f>IF(Projections!$AB$11,Draft!P6,"")</f>
        <v/>
      </c>
      <c r="B156">
        <f>IFERROR(__xludf.DUMMYFUNCTION("""COMPUTED_VALUE"""),151.0)</f>
        <v>151</v>
      </c>
      <c r="D156" t="str">
        <f>IFERROR(__xludf.DUMMYFUNCTION("""COMPUTED_VALUE"""),"Moussa Diabate")</f>
        <v>Moussa Diabate</v>
      </c>
      <c r="E156">
        <f>IFERROR(__xludf.DUMMYFUNCTION("""COMPUTED_VALUE"""),73.0)</f>
        <v>73</v>
      </c>
      <c r="F156" t="str">
        <f>IFERROR(__xludf.DUMMYFUNCTION("""COMPUTED_VALUE"""),"C")</f>
        <v>C</v>
      </c>
      <c r="G156" s="18">
        <f>IFERROR(__xludf.DUMMYFUNCTION("""COMPUTED_VALUE"""),-1.8672796282403075)</f>
        <v>-1.867279628</v>
      </c>
      <c r="H156" s="18">
        <f>IFERROR(__xludf.DUMMYFUNCTION("""COMPUTED_VALUE"""),-2.0323156239764435)</f>
        <v>-2.032315624</v>
      </c>
      <c r="I156" s="18">
        <f>IFERROR(__xludf.DUMMYFUNCTION("""COMPUTED_VALUE"""),-0.16503599573613603)</f>
        <v>-0.1650359957</v>
      </c>
      <c r="J156" s="18">
        <f>IFERROR(__xludf.DUMMYFUNCTION("""COMPUTED_VALUE"""),9.221233)</f>
        <v>9.221233</v>
      </c>
      <c r="K156" s="18">
        <f>IFERROR(__xludf.DUMMYFUNCTION("""COMPUTED_VALUE"""),0.032466)</f>
        <v>0.032466</v>
      </c>
      <c r="L156" s="18">
        <f>IFERROR(__xludf.DUMMYFUNCTION("""COMPUTED_VALUE"""),7.562466)</f>
        <v>7.562466</v>
      </c>
      <c r="M156" s="18">
        <f>IFERROR(__xludf.DUMMYFUNCTION("""COMPUTED_VALUE"""),0.916712)</f>
        <v>0.916712</v>
      </c>
      <c r="N156" s="18">
        <f>IFERROR(__xludf.DUMMYFUNCTION("""COMPUTED_VALUE"""),0.897808)</f>
        <v>0.897808</v>
      </c>
      <c r="O156" s="18">
        <f>IFERROR(__xludf.DUMMYFUNCTION("""COMPUTED_VALUE"""),0.641644)</f>
        <v>0.641644</v>
      </c>
      <c r="P156" s="25">
        <f>IFERROR(__xludf.DUMMYFUNCTION("""COMPUTED_VALUE"""),0.620212)</f>
        <v>0.620212</v>
      </c>
      <c r="Q156" s="25">
        <f>IFERROR(__xludf.DUMMYFUNCTION("""COMPUTED_VALUE"""),0.64)</f>
        <v>0.64</v>
      </c>
      <c r="R156" s="18">
        <f>IFERROR(__xludf.DUMMYFUNCTION("""COMPUTED_VALUE"""),1.083151)</f>
        <v>1.083151</v>
      </c>
      <c r="S156" s="18">
        <f>IFERROR(__xludf.DUMMYFUNCTION("""COMPUTED_VALUE"""),-1.3953609337191113)</f>
        <v>-1.395360934</v>
      </c>
      <c r="T156" s="18">
        <f>IFERROR(__xludf.DUMMYFUNCTION("""COMPUTED_VALUE"""),-1.6777373520544903)</f>
        <v>-1.677737352</v>
      </c>
      <c r="U156" s="18">
        <f>IFERROR(__xludf.DUMMYFUNCTION("""COMPUTED_VALUE"""),0.5820757709952239)</f>
        <v>0.582075771</v>
      </c>
      <c r="V156" s="18">
        <f>IFERROR(__xludf.DUMMYFUNCTION("""COMPUTED_VALUE"""),-1.4265533634093073)</f>
        <v>-1.426553363</v>
      </c>
      <c r="W156" s="18">
        <f>IFERROR(__xludf.DUMMYFUNCTION("""COMPUTED_VALUE"""),-0.4490998952825752)</f>
        <v>-0.4490998953</v>
      </c>
      <c r="X156" s="18">
        <f>IFERROR(__xludf.DUMMYFUNCTION("""COMPUTED_VALUE"""),-0.16103457281144584)</f>
        <v>-0.1610345728</v>
      </c>
      <c r="Y156" s="18">
        <f>IFERROR(__xludf.DUMMYFUNCTION("""COMPUTED_VALUE"""),2.329428435003482)</f>
        <v>2.329428435</v>
      </c>
      <c r="Z156" s="18">
        <f>IFERROR(__xludf.DUMMYFUNCTION("""COMPUTED_VALUE"""),-1.5117710647527092)</f>
        <v>-1.511771065</v>
      </c>
      <c r="AA156" s="18">
        <f>IFERROR(__xludf.DUMMYFUNCTION("""COMPUTED_VALUE"""),0.0)</f>
        <v>0</v>
      </c>
      <c r="AB156" t="str">
        <f>IFERROR(__xludf.DUMMYFUNCTION("SUBSTITUTE(REGEXREPLACE(REGEXREPLACE(REGEXREPLACE(REGEXREPLACE(REGEXREPLACE(REGEXREPLACE(F156,"","",),IF(Projections!$T$11="""",""PG"",),),IF(Projections!$U$11="""",""SG"",),),IF(Projections!$V$11="""",""SF"",),),IF(Projections!$W$11="""",""PF"",),),IF(Pr"&amp;"ojections!$X$11="""",""C"",),),""/"","""")"),"C")</f>
        <v>C</v>
      </c>
    </row>
    <row r="157">
      <c r="A157" t="str">
        <f>IF(Projections!$AB$11,Draft!P5,"")</f>
        <v/>
      </c>
      <c r="B157">
        <f>IFERROR(__xludf.DUMMYFUNCTION("""COMPUTED_VALUE"""),152.0)</f>
        <v>152</v>
      </c>
      <c r="D157" t="str">
        <f>IFERROR(__xludf.DUMMYFUNCTION("""COMPUTED_VALUE"""),"Kelly Oubre")</f>
        <v>Kelly Oubre</v>
      </c>
      <c r="E157">
        <f>IFERROR(__xludf.DUMMYFUNCTION("""COMPUTED_VALUE"""),73.0)</f>
        <v>73</v>
      </c>
      <c r="F157" t="str">
        <f>IFERROR(__xludf.DUMMYFUNCTION("""COMPUTED_VALUE"""),"F")</f>
        <v>F</v>
      </c>
      <c r="G157" s="18">
        <f>IFERROR(__xludf.DUMMYFUNCTION("""COMPUTED_VALUE"""),-1.9044413645146314)</f>
        <v>-1.904441365</v>
      </c>
      <c r="H157" s="18">
        <f>IFERROR(__xludf.DUMMYFUNCTION("""COMPUTED_VALUE"""),-2.013800411354482)</f>
        <v>-2.013800411</v>
      </c>
      <c r="I157" s="18">
        <f>IFERROR(__xludf.DUMMYFUNCTION("""COMPUTED_VALUE"""),-0.10935904683985043)</f>
        <v>-0.1093590468</v>
      </c>
      <c r="J157" s="18">
        <f>IFERROR(__xludf.DUMMYFUNCTION("""COMPUTED_VALUE"""),13.16712)</f>
        <v>13.16712</v>
      </c>
      <c r="K157" s="18">
        <f>IFERROR(__xludf.DUMMYFUNCTION("""COMPUTED_VALUE"""),1.124795)</f>
        <v>1.124795</v>
      </c>
      <c r="L157" s="18">
        <f>IFERROR(__xludf.DUMMYFUNCTION("""COMPUTED_VALUE"""),4.764384)</f>
        <v>4.764384</v>
      </c>
      <c r="M157" s="18">
        <f>IFERROR(__xludf.DUMMYFUNCTION("""COMPUTED_VALUE"""),1.497397)</f>
        <v>1.497397</v>
      </c>
      <c r="N157" s="18">
        <f>IFERROR(__xludf.DUMMYFUNCTION("""COMPUTED_VALUE"""),1.361233)</f>
        <v>1.361233</v>
      </c>
      <c r="O157" s="18">
        <f>IFERROR(__xludf.DUMMYFUNCTION("""COMPUTED_VALUE"""),0.48274)</f>
        <v>0.48274</v>
      </c>
      <c r="P157" s="25">
        <f>IFERROR(__xludf.DUMMYFUNCTION("""COMPUTED_VALUE"""),0.470829)</f>
        <v>0.470829</v>
      </c>
      <c r="Q157" s="25">
        <f>IFERROR(__xludf.DUMMYFUNCTION("""COMPUTED_VALUE"""),0.763013)</f>
        <v>0.763013</v>
      </c>
      <c r="R157" s="18">
        <f>IFERROR(__xludf.DUMMYFUNCTION("""COMPUTED_VALUE"""),1.307671)</f>
        <v>1.307671</v>
      </c>
      <c r="S157" s="18">
        <f>IFERROR(__xludf.DUMMYFUNCTION("""COMPUTED_VALUE"""),-0.7030842120089317)</f>
        <v>-0.703084212</v>
      </c>
      <c r="T157" s="18">
        <f>IFERROR(__xludf.DUMMYFUNCTION("""COMPUTED_VALUE"""),-0.6227294765988473)</f>
        <v>-0.6227294766</v>
      </c>
      <c r="U157" s="18">
        <f>IFERROR(__xludf.DUMMYFUNCTION("""COMPUTED_VALUE"""),-0.5521368583155332)</f>
        <v>-0.5521368583</v>
      </c>
      <c r="V157" s="18">
        <f>IFERROR(__xludf.DUMMYFUNCTION("""COMPUTED_VALUE"""),-1.1428803226705992)</f>
        <v>-1.142880323</v>
      </c>
      <c r="W157" s="18">
        <f>IFERROR(__xludf.DUMMYFUNCTION("""COMPUTED_VALUE"""),0.9630626851919829)</f>
        <v>0.9630626852</v>
      </c>
      <c r="X157" s="18">
        <f>IFERROR(__xludf.DUMMYFUNCTION("""COMPUTED_VALUE"""),-0.44992080932821504)</f>
        <v>-0.4499208093</v>
      </c>
      <c r="Y157" s="18">
        <f>IFERROR(__xludf.DUMMYFUNCTION("""COMPUTED_VALUE"""),-0.34444797154391704)</f>
        <v>-0.3444479715</v>
      </c>
      <c r="Z157" s="18">
        <f>IFERROR(__xludf.DUMMYFUNCTION("""COMPUTED_VALUE"""),-0.3045437687510202)</f>
        <v>-0.3045437688</v>
      </c>
      <c r="AA157" s="18">
        <f>IFERROR(__xludf.DUMMYFUNCTION("""COMPUTED_VALUE"""),0.0)</f>
        <v>0</v>
      </c>
      <c r="AB157" t="str">
        <f>IFERROR(__xludf.DUMMYFUNCTION("SUBSTITUTE(REGEXREPLACE(REGEXREPLACE(REGEXREPLACE(REGEXREPLACE(REGEXREPLACE(REGEXREPLACE(F157,"","",),IF(Projections!$T$11="""",""PG"",),),IF(Projections!$U$11="""",""SG"",),),IF(Projections!$V$11="""",""SF"",),),IF(Projections!$W$11="""",""PF"",),),IF(Pr"&amp;"ojections!$X$11="""",""C"",),),""/"","""")"),"F")</f>
        <v>F</v>
      </c>
    </row>
    <row r="158">
      <c r="A158" t="str">
        <f>IF(Projections!$AB$11,Draft!P4,"")</f>
        <v/>
      </c>
      <c r="B158">
        <f>IFERROR(__xludf.DUMMYFUNCTION("""COMPUTED_VALUE"""),153.0)</f>
        <v>153</v>
      </c>
      <c r="D158" t="str">
        <f>IFERROR(__xludf.DUMMYFUNCTION("""COMPUTED_VALUE"""),"Kyshawn George")</f>
        <v>Kyshawn George</v>
      </c>
      <c r="E158">
        <f>IFERROR(__xludf.DUMMYFUNCTION("""COMPUTED_VALUE"""),68.0)</f>
        <v>68</v>
      </c>
      <c r="F158" t="str">
        <f>IFERROR(__xludf.DUMMYFUNCTION("""COMPUTED_VALUE"""),"F")</f>
        <v>F</v>
      </c>
      <c r="G158" s="18">
        <f>IFERROR(__xludf.DUMMYFUNCTION("""COMPUTED_VALUE"""),-1.9267157746727253)</f>
        <v>-1.926715775</v>
      </c>
      <c r="H158" s="18">
        <f>IFERROR(__xludf.DUMMYFUNCTION("""COMPUTED_VALUE"""),-1.972699515224805)</f>
        <v>-1.972699515</v>
      </c>
      <c r="I158" s="18">
        <f>IFERROR(__xludf.DUMMYFUNCTION("""COMPUTED_VALUE"""),-0.045983740552079766)</f>
        <v>-0.04598374055</v>
      </c>
      <c r="J158" s="18">
        <f>IFERROR(__xludf.DUMMYFUNCTION("""COMPUTED_VALUE"""),10.13235)</f>
        <v>10.13235</v>
      </c>
      <c r="K158" s="18">
        <f>IFERROR(__xludf.DUMMYFUNCTION("""COMPUTED_VALUE"""),1.693676)</f>
        <v>1.693676</v>
      </c>
      <c r="L158" s="18">
        <f>IFERROR(__xludf.DUMMYFUNCTION("""COMPUTED_VALUE"""),5.167206)</f>
        <v>5.167206</v>
      </c>
      <c r="M158" s="18">
        <f>IFERROR(__xludf.DUMMYFUNCTION("""COMPUTED_VALUE"""),3.004118)</f>
        <v>3.004118</v>
      </c>
      <c r="N158" s="18">
        <f>IFERROR(__xludf.DUMMYFUNCTION("""COMPUTED_VALUE"""),1.140147)</f>
        <v>1.140147</v>
      </c>
      <c r="O158" s="18">
        <f>IFERROR(__xludf.DUMMYFUNCTION("""COMPUTED_VALUE"""),0.660882)</f>
        <v>0.660882</v>
      </c>
      <c r="P158" s="25">
        <f>IFERROR(__xludf.DUMMYFUNCTION("""COMPUTED_VALUE"""),0.422027)</f>
        <v>0.422027</v>
      </c>
      <c r="Q158" s="25">
        <f>IFERROR(__xludf.DUMMYFUNCTION("""COMPUTED_VALUE"""),0.760024)</f>
        <v>0.760024</v>
      </c>
      <c r="R158" s="18">
        <f>IFERROR(__xludf.DUMMYFUNCTION("""COMPUTED_VALUE"""),1.563235)</f>
        <v>1.563235</v>
      </c>
      <c r="S158" s="18">
        <f>IFERROR(__xludf.DUMMYFUNCTION("""COMPUTED_VALUE"""),-1.2355121874538448)</f>
        <v>-1.235512187</v>
      </c>
      <c r="T158" s="18">
        <f>IFERROR(__xludf.DUMMYFUNCTION("""COMPUTED_VALUE"""),-0.0732851835359682)</f>
        <v>-0.07328518354</v>
      </c>
      <c r="U158" s="18">
        <f>IFERROR(__xludf.DUMMYFUNCTION("""COMPUTED_VALUE"""),-0.38885150793473)</f>
        <v>-0.3888515079</v>
      </c>
      <c r="V158" s="18">
        <f>IFERROR(__xludf.DUMMYFUNCTION("""COMPUTED_VALUE"""),-0.4068252711110337)</f>
        <v>-0.4068252711</v>
      </c>
      <c r="W158" s="18">
        <f>IFERROR(__xludf.DUMMYFUNCTION("""COMPUTED_VALUE"""),0.2893627849561344)</f>
        <v>0.289362785</v>
      </c>
      <c r="X158" s="18">
        <f>IFERROR(__xludf.DUMMYFUNCTION("""COMPUTED_VALUE"""),-0.12606003838745652)</f>
        <v>-0.1260600384</v>
      </c>
      <c r="Y158" s="18">
        <f>IFERROR(__xludf.DUMMYFUNCTION("""COMPUTED_VALUE"""),-0.9274381599604793)</f>
        <v>-0.92743816</v>
      </c>
      <c r="Z158" s="18">
        <f>IFERROR(__xludf.DUMMYFUNCTION("""COMPUTED_VALUE"""),-0.3396021392512718)</f>
        <v>-0.3396021393</v>
      </c>
      <c r="AA158" s="18">
        <f>IFERROR(__xludf.DUMMYFUNCTION("""COMPUTED_VALUE"""),0.0)</f>
        <v>0</v>
      </c>
      <c r="AB158" t="str">
        <f>IFERROR(__xludf.DUMMYFUNCTION("SUBSTITUTE(REGEXREPLACE(REGEXREPLACE(REGEXREPLACE(REGEXREPLACE(REGEXREPLACE(REGEXREPLACE(F158,"","",),IF(Projections!$T$11="""",""PG"",),),IF(Projections!$U$11="""",""SG"",),),IF(Projections!$V$11="""",""SF"",),),IF(Projections!$W$11="""",""PF"",),),IF(Pr"&amp;"ojections!$X$11="""",""C"",),),""/"","""")"),"F")</f>
        <v>F</v>
      </c>
    </row>
    <row r="159">
      <c r="A159" t="str">
        <f>IF(Projections!$AB$11,Draft!P3,"")</f>
        <v/>
      </c>
      <c r="B159">
        <f>IFERROR(__xludf.DUMMYFUNCTION("""COMPUTED_VALUE"""),154.0)</f>
        <v>154</v>
      </c>
      <c r="D159" t="str">
        <f>IFERROR(__xludf.DUMMYFUNCTION("""COMPUTED_VALUE"""),"Keon Ellis")</f>
        <v>Keon Ellis</v>
      </c>
      <c r="E159">
        <f>IFERROR(__xludf.DUMMYFUNCTION("""COMPUTED_VALUE"""),73.0)</f>
        <v>73</v>
      </c>
      <c r="F159" t="str">
        <f>IFERROR(__xludf.DUMMYFUNCTION("""COMPUTED_VALUE"""),"G")</f>
        <v>G</v>
      </c>
      <c r="G159" s="18">
        <f>IFERROR(__xludf.DUMMYFUNCTION("""COMPUTED_VALUE"""),-2.005858088887117)</f>
        <v>-2.005858089</v>
      </c>
      <c r="H159" s="18">
        <f>IFERROR(__xludf.DUMMYFUNCTION("""COMPUTED_VALUE"""),-2.2550721162317595)</f>
        <v>-2.255072116</v>
      </c>
      <c r="I159" s="18">
        <f>IFERROR(__xludf.DUMMYFUNCTION("""COMPUTED_VALUE"""),-0.24921402734464237)</f>
        <v>-0.2492140273</v>
      </c>
      <c r="J159" s="18">
        <f>IFERROR(__xludf.DUMMYFUNCTION("""COMPUTED_VALUE"""),6.315068)</f>
        <v>6.315068</v>
      </c>
      <c r="K159" s="18">
        <f>IFERROR(__xludf.DUMMYFUNCTION("""COMPUTED_VALUE"""),1.41863)</f>
        <v>1.41863</v>
      </c>
      <c r="L159" s="18">
        <f>IFERROR(__xludf.DUMMYFUNCTION("""COMPUTED_VALUE"""),2.509863)</f>
        <v>2.509863</v>
      </c>
      <c r="M159" s="18">
        <f>IFERROR(__xludf.DUMMYFUNCTION("""COMPUTED_VALUE"""),1.400548)</f>
        <v>1.400548</v>
      </c>
      <c r="N159" s="18">
        <f>IFERROR(__xludf.DUMMYFUNCTION("""COMPUTED_VALUE"""),1.394384)</f>
        <v>1.394384</v>
      </c>
      <c r="O159" s="18">
        <f>IFERROR(__xludf.DUMMYFUNCTION("""COMPUTED_VALUE"""),0.707808)</f>
        <v>0.707808</v>
      </c>
      <c r="P159" s="25">
        <f>IFERROR(__xludf.DUMMYFUNCTION("""COMPUTED_VALUE"""),0.44344)</f>
        <v>0.44344</v>
      </c>
      <c r="Q159" s="25">
        <f>IFERROR(__xludf.DUMMYFUNCTION("""COMPUTED_VALUE"""),0.819086)</f>
        <v>0.819086</v>
      </c>
      <c r="R159" s="18">
        <f>IFERROR(__xludf.DUMMYFUNCTION("""COMPUTED_VALUE"""),0.743699)</f>
        <v>0.743699</v>
      </c>
      <c r="S159" s="18">
        <f>IFERROR(__xludf.DUMMYFUNCTION("""COMPUTED_VALUE"""),-1.905226112055152)</f>
        <v>-1.905226112</v>
      </c>
      <c r="T159" s="18">
        <f>IFERROR(__xludf.DUMMYFUNCTION("""COMPUTED_VALUE"""),-0.3389338078172724)</f>
        <v>-0.3389338078</v>
      </c>
      <c r="U159" s="18">
        <f>IFERROR(__xludf.DUMMYFUNCTION("""COMPUTED_VALUE"""),-1.4660150760540829)</f>
        <v>-1.466015076</v>
      </c>
      <c r="V159" s="18">
        <f>IFERROR(__xludf.DUMMYFUNCTION("""COMPUTED_VALUE"""),-1.190192463198602)</f>
        <v>-1.190192463</v>
      </c>
      <c r="W159" s="18">
        <f>IFERROR(__xludf.DUMMYFUNCTION("""COMPUTED_VALUE"""),1.0640814081899057)</f>
        <v>1.064081408</v>
      </c>
      <c r="X159" s="18">
        <f>IFERROR(__xludf.DUMMYFUNCTION("""COMPUTED_VALUE"""),-0.04074893523847399)</f>
        <v>-0.04074893524</v>
      </c>
      <c r="Y159" s="18">
        <f>IFERROR(__xludf.DUMMYFUNCTION("""COMPUTED_VALUE"""),-0.689255569284915)</f>
        <v>-0.6892555693</v>
      </c>
      <c r="Z159" s="18">
        <f>IFERROR(__xludf.DUMMYFUNCTION("""COMPUTED_VALUE"""),0.40599232717168143)</f>
        <v>0.4059923272</v>
      </c>
      <c r="AA159" s="18">
        <f>IFERROR(__xludf.DUMMYFUNCTION("""COMPUTED_VALUE"""),0.0)</f>
        <v>0</v>
      </c>
      <c r="AB159" t="str">
        <f>IFERROR(__xludf.DUMMYFUNCTION("SUBSTITUTE(REGEXREPLACE(REGEXREPLACE(REGEXREPLACE(REGEXREPLACE(REGEXREPLACE(REGEXREPLACE(F159,"","",),IF(Projections!$T$11="""",""PG"",),),IF(Projections!$U$11="""",""SG"",),),IF(Projections!$V$11="""",""SF"",),),IF(Projections!$W$11="""",""PF"",),),IF(Pr"&amp;"ojections!$X$11="""",""C"",),),""/"","""")"),"G")</f>
        <v>G</v>
      </c>
    </row>
    <row r="160">
      <c r="A160" t="str">
        <f>IF(Projections!$AB$11,Draft!P15,"")</f>
        <v/>
      </c>
      <c r="B160">
        <f>IFERROR(__xludf.DUMMYFUNCTION("""COMPUTED_VALUE"""),155.0)</f>
        <v>155</v>
      </c>
      <c r="D160" t="str">
        <f>IFERROR(__xludf.DUMMYFUNCTION("""COMPUTED_VALUE"""),"Kentavious Caldwell-Pope")</f>
        <v>Kentavious Caldwell-Pope</v>
      </c>
      <c r="E160">
        <f>IFERROR(__xludf.DUMMYFUNCTION("""COMPUTED_VALUE"""),77.0)</f>
        <v>77</v>
      </c>
      <c r="F160" t="str">
        <f>IFERROR(__xludf.DUMMYFUNCTION("""COMPUTED_VALUE"""),"G,F")</f>
        <v>G,F</v>
      </c>
      <c r="G160" s="18">
        <f>IFERROR(__xludf.DUMMYFUNCTION("""COMPUTED_VALUE"""),-2.0146581788407447)</f>
        <v>-2.014658179</v>
      </c>
      <c r="H160" s="18">
        <f>IFERROR(__xludf.DUMMYFUNCTION("""COMPUTED_VALUE"""),-2.2523259100088326)</f>
        <v>-2.25232591</v>
      </c>
      <c r="I160" s="18">
        <f>IFERROR(__xludf.DUMMYFUNCTION("""COMPUTED_VALUE"""),-0.23766773116808793)</f>
        <v>-0.2376677312</v>
      </c>
      <c r="J160" s="18">
        <f>IFERROR(__xludf.DUMMYFUNCTION("""COMPUTED_VALUE"""),9.322078)</f>
        <v>9.322078</v>
      </c>
      <c r="K160" s="18">
        <f>IFERROR(__xludf.DUMMYFUNCTION("""COMPUTED_VALUE"""),1.835714)</f>
        <v>1.835714</v>
      </c>
      <c r="L160" s="18">
        <f>IFERROR(__xludf.DUMMYFUNCTION("""COMPUTED_VALUE"""),2.669351)</f>
        <v>2.669351</v>
      </c>
      <c r="M160" s="18">
        <f>IFERROR(__xludf.DUMMYFUNCTION("""COMPUTED_VALUE"""),1.880649)</f>
        <v>1.880649</v>
      </c>
      <c r="N160" s="18">
        <f>IFERROR(__xludf.DUMMYFUNCTION("""COMPUTED_VALUE"""),1.148442)</f>
        <v>1.148442</v>
      </c>
      <c r="O160" s="18">
        <f>IFERROR(__xludf.DUMMYFUNCTION("""COMPUTED_VALUE"""),0.364935)</f>
        <v>0.364935</v>
      </c>
      <c r="P160" s="25">
        <f>IFERROR(__xludf.DUMMYFUNCTION("""COMPUTED_VALUE"""),0.436349)</f>
        <v>0.436349</v>
      </c>
      <c r="Q160" s="25">
        <f>IFERROR(__xludf.DUMMYFUNCTION("""COMPUTED_VALUE"""),0.869977)</f>
        <v>0.869977</v>
      </c>
      <c r="R160" s="18">
        <f>IFERROR(__xludf.DUMMYFUNCTION("""COMPUTED_VALUE"""),0.79026)</f>
        <v>0.79026</v>
      </c>
      <c r="S160" s="18">
        <f>IFERROR(__xludf.DUMMYFUNCTION("""COMPUTED_VALUE"""),-1.3776684235177643)</f>
        <v>-1.377668424</v>
      </c>
      <c r="T160" s="18">
        <f>IFERROR(__xludf.DUMMYFUNCTION("""COMPUTED_VALUE"""),0.06389986658534942)</f>
        <v>0.06389986659</v>
      </c>
      <c r="U160" s="18">
        <f>IFERROR(__xludf.DUMMYFUNCTION("""COMPUTED_VALUE"""),-1.401366040098913)</f>
        <v>-1.40136604</v>
      </c>
      <c r="V160" s="18">
        <f>IFERROR(__xludf.DUMMYFUNCTION("""COMPUTED_VALUE"""),-0.9556561646345021)</f>
        <v>-0.9556561646</v>
      </c>
      <c r="W160" s="18">
        <f>IFERROR(__xludf.DUMMYFUNCTION("""COMPUTED_VALUE"""),0.31463955812339206)</f>
        <v>0.3146395581</v>
      </c>
      <c r="X160" s="18">
        <f>IFERROR(__xludf.DUMMYFUNCTION("""COMPUTED_VALUE"""),-0.664089383390907)</f>
        <v>-0.6640893834</v>
      </c>
      <c r="Y160" s="18">
        <f>IFERROR(__xludf.DUMMYFUNCTION("""COMPUTED_VALUE"""),-0.771181441655239)</f>
        <v>-0.7711814417</v>
      </c>
      <c r="Z160" s="18">
        <f>IFERROR(__xludf.DUMMYFUNCTION("""COMPUTED_VALUE"""),1.1377300784808384)</f>
        <v>1.137730078</v>
      </c>
      <c r="AA160" s="18">
        <f>IFERROR(__xludf.DUMMYFUNCTION("""COMPUTED_VALUE"""),0.0)</f>
        <v>0</v>
      </c>
      <c r="AB160" t="str">
        <f>IFERROR(__xludf.DUMMYFUNCTION("SUBSTITUTE(REGEXREPLACE(REGEXREPLACE(REGEXREPLACE(REGEXREPLACE(REGEXREPLACE(REGEXREPLACE(F160,"","",),IF(Projections!$T$11="""",""PG"",),),IF(Projections!$U$11="""",""SG"",),),IF(Projections!$V$11="""",""SF"",),),IF(Projections!$W$11="""",""PF"",),),IF(Pr"&amp;"ojections!$X$11="""",""C"",),),""/"","""")"),"GF")</f>
        <v>GF</v>
      </c>
    </row>
    <row r="161">
      <c r="B161">
        <f>IFERROR(__xludf.DUMMYFUNCTION("""COMPUTED_VALUE"""),156.0)</f>
        <v>156</v>
      </c>
      <c r="D161" t="str">
        <f>IFERROR(__xludf.DUMMYFUNCTION("""COMPUTED_VALUE"""),"Santi Aldama")</f>
        <v>Santi Aldama</v>
      </c>
      <c r="E161">
        <f>IFERROR(__xludf.DUMMYFUNCTION("""COMPUTED_VALUE"""),73.0)</f>
        <v>73</v>
      </c>
      <c r="F161" t="str">
        <f>IFERROR(__xludf.DUMMYFUNCTION("""COMPUTED_VALUE"""),"F,C")</f>
        <v>F,C</v>
      </c>
      <c r="G161" s="18">
        <f>IFERROR(__xludf.DUMMYFUNCTION("""COMPUTED_VALUE"""),-2.035167924460678)</f>
        <v>-2.035167924</v>
      </c>
      <c r="H161" s="18">
        <f>IFERROR(__xludf.DUMMYFUNCTION("""COMPUTED_VALUE"""),-2.152883473277667)</f>
        <v>-2.152883473</v>
      </c>
      <c r="I161" s="18">
        <f>IFERROR(__xludf.DUMMYFUNCTION("""COMPUTED_VALUE"""),-0.11771554881698876)</f>
        <v>-0.1177155488</v>
      </c>
      <c r="J161" s="18">
        <f>IFERROR(__xludf.DUMMYFUNCTION("""COMPUTED_VALUE"""),12.74507)</f>
        <v>12.74507</v>
      </c>
      <c r="K161" s="18">
        <f>IFERROR(__xludf.DUMMYFUNCTION("""COMPUTED_VALUE"""),2.103973)</f>
        <v>2.103973</v>
      </c>
      <c r="L161" s="18">
        <f>IFERROR(__xludf.DUMMYFUNCTION("""COMPUTED_VALUE"""),6.127397)</f>
        <v>6.127397</v>
      </c>
      <c r="M161" s="18">
        <f>IFERROR(__xludf.DUMMYFUNCTION("""COMPUTED_VALUE"""),3.336712)</f>
        <v>3.336712</v>
      </c>
      <c r="N161" s="18">
        <f>IFERROR(__xludf.DUMMYFUNCTION("""COMPUTED_VALUE"""),0.849726)</f>
        <v>0.849726</v>
      </c>
      <c r="O161" s="18">
        <f>IFERROR(__xludf.DUMMYFUNCTION("""COMPUTED_VALUE"""),0.606438)</f>
        <v>0.606438</v>
      </c>
      <c r="P161" s="25">
        <f>IFERROR(__xludf.DUMMYFUNCTION("""COMPUTED_VALUE"""),0.448072)</f>
        <v>0.448072</v>
      </c>
      <c r="Q161" s="25">
        <f>IFERROR(__xludf.DUMMYFUNCTION("""COMPUTED_VALUE"""),0.663014)</f>
        <v>0.663014</v>
      </c>
      <c r="R161" s="18">
        <f>IFERROR(__xludf.DUMMYFUNCTION("""COMPUTED_VALUE"""),1.273973)</f>
        <v>1.273973</v>
      </c>
      <c r="S161" s="18">
        <f>IFERROR(__xludf.DUMMYFUNCTION("""COMPUTED_VALUE"""),-0.7771297663792879)</f>
        <v>-0.7771297664</v>
      </c>
      <c r="T161" s="18">
        <f>IFERROR(__xludf.DUMMYFUNCTION("""COMPUTED_VALUE"""),0.32299337931077843)</f>
        <v>0.3229933793</v>
      </c>
      <c r="U161" s="18">
        <f>IFERROR(__xludf.DUMMYFUNCTION("""COMPUTED_VALUE"""),3.653766135159385E-4)</f>
        <v>0.0003653766135</v>
      </c>
      <c r="V161" s="18">
        <f>IFERROR(__xludf.DUMMYFUNCTION("""COMPUTED_VALUE"""),-0.24434828046817278)</f>
        <v>-0.2443482805</v>
      </c>
      <c r="W161" s="18">
        <f>IFERROR(__xludf.DUMMYFUNCTION("""COMPUTED_VALUE"""),-0.5956168099815617)</f>
        <v>-0.59561681</v>
      </c>
      <c r="X161" s="18">
        <f>IFERROR(__xludf.DUMMYFUNCTION("""COMPUTED_VALUE"""),-0.22503880708376978)</f>
        <v>-0.2250388071</v>
      </c>
      <c r="Y161" s="18">
        <f>IFERROR(__xludf.DUMMYFUNCTION("""COMPUTED_VALUE"""),-0.6341085652891691)</f>
        <v>-0.6341085653</v>
      </c>
      <c r="Z161" s="18">
        <f>IFERROR(__xludf.DUMMYFUNCTION("""COMPUTED_VALUE"""),-1.3226406078528774)</f>
        <v>-1.322640608</v>
      </c>
      <c r="AA161" s="18">
        <f>IFERROR(__xludf.DUMMYFUNCTION("""COMPUTED_VALUE"""),0.0)</f>
        <v>0</v>
      </c>
      <c r="AB161" t="str">
        <f>IFERROR(__xludf.DUMMYFUNCTION("SUBSTITUTE(REGEXREPLACE(REGEXREPLACE(REGEXREPLACE(REGEXREPLACE(REGEXREPLACE(REGEXREPLACE(F161,"","",),IF(Projections!$T$11="""",""PG"",),),IF(Projections!$U$11="""",""SG"",),),IF(Projections!$V$11="""",""SF"",),),IF(Projections!$W$11="""",""PF"",),),IF(Pr"&amp;"ojections!$X$11="""",""C"",),),""/"","""")"),"FC")</f>
        <v>FC</v>
      </c>
    </row>
    <row r="162">
      <c r="B162">
        <f>IFERROR(__xludf.DUMMYFUNCTION("""COMPUTED_VALUE"""),157.0)</f>
        <v>157</v>
      </c>
      <c r="D162" t="str">
        <f>IFERROR(__xludf.DUMMYFUNCTION("""COMPUTED_VALUE"""),"Dennis Schroder")</f>
        <v>Dennis Schroder</v>
      </c>
      <c r="E162">
        <f>IFERROR(__xludf.DUMMYFUNCTION("""COMPUTED_VALUE"""),73.0)</f>
        <v>73</v>
      </c>
      <c r="F162" t="str">
        <f>IFERROR(__xludf.DUMMYFUNCTION("""COMPUTED_VALUE"""),"G")</f>
        <v>G</v>
      </c>
      <c r="G162" s="18">
        <f>IFERROR(__xludf.DUMMYFUNCTION("""COMPUTED_VALUE"""),-2.074678352914334)</f>
        <v>-2.074678353</v>
      </c>
      <c r="H162" s="18">
        <f>IFERROR(__xludf.DUMMYFUNCTION("""COMPUTED_VALUE"""),-2.049345655277228)</f>
        <v>-2.049345655</v>
      </c>
      <c r="I162" s="18">
        <f>IFERROR(__xludf.DUMMYFUNCTION("""COMPUTED_VALUE"""),0.025332697637105994)</f>
        <v>0.02533269764</v>
      </c>
      <c r="J162" s="18">
        <f>IFERROR(__xludf.DUMMYFUNCTION("""COMPUTED_VALUE"""),13.20507)</f>
        <v>13.20507</v>
      </c>
      <c r="K162" s="18">
        <f>IFERROR(__xludf.DUMMYFUNCTION("""COMPUTED_VALUE"""),1.514795)</f>
        <v>1.514795</v>
      </c>
      <c r="L162" s="18">
        <f>IFERROR(__xludf.DUMMYFUNCTION("""COMPUTED_VALUE"""),3.006986)</f>
        <v>3.006986</v>
      </c>
      <c r="M162" s="18">
        <f>IFERROR(__xludf.DUMMYFUNCTION("""COMPUTED_VALUE"""),6.230137)</f>
        <v>6.230137</v>
      </c>
      <c r="N162" s="18">
        <f>IFERROR(__xludf.DUMMYFUNCTION("""COMPUTED_VALUE"""),0.814384)</f>
        <v>0.814384</v>
      </c>
      <c r="O162" s="18">
        <f>IFERROR(__xludf.DUMMYFUNCTION("""COMPUTED_VALUE"""),0.184521)</f>
        <v>0.184521</v>
      </c>
      <c r="P162" s="25">
        <f>IFERROR(__xludf.DUMMYFUNCTION("""COMPUTED_VALUE"""),0.409561)</f>
        <v>0.409561</v>
      </c>
      <c r="Q162" s="25">
        <f>IFERROR(__xludf.DUMMYFUNCTION("""COMPUTED_VALUE"""),0.823983)</f>
        <v>0.823983</v>
      </c>
      <c r="R162" s="18">
        <f>IFERROR(__xludf.DUMMYFUNCTION("""COMPUTED_VALUE"""),1.850822)</f>
        <v>1.850822</v>
      </c>
      <c r="S162" s="18">
        <f>IFERROR(__xludf.DUMMYFUNCTION("""COMPUTED_VALUE"""),-0.696426164885712)</f>
        <v>-0.6964261649</v>
      </c>
      <c r="T162" s="18">
        <f>IFERROR(__xludf.DUMMYFUNCTION("""COMPUTED_VALUE"""),-0.2460544350795791)</f>
        <v>-0.2460544351</v>
      </c>
      <c r="U162" s="18">
        <f>IFERROR(__xludf.DUMMYFUNCTION("""COMPUTED_VALUE"""),-1.2645044752493706)</f>
        <v>-1.264504475</v>
      </c>
      <c r="V162" s="18">
        <f>IFERROR(__xludf.DUMMYFUNCTION("""COMPUTED_VALUE"""),1.1691317782545347)</f>
        <v>1.169131778</v>
      </c>
      <c r="W162" s="18">
        <f>IFERROR(__xludf.DUMMYFUNCTION("""COMPUTED_VALUE"""),-0.7033120139932828)</f>
        <v>-0.703312014</v>
      </c>
      <c r="X162" s="18">
        <f>IFERROR(__xludf.DUMMYFUNCTION("""COMPUTED_VALUE"""),-0.9920806326667995)</f>
        <v>-0.9920806327</v>
      </c>
      <c r="Y162" s="18">
        <f>IFERROR(__xludf.DUMMYFUNCTION("""COMPUTED_VALUE"""),-1.0534139706853953)</f>
        <v>-1.053413971</v>
      </c>
      <c r="Z162" s="18">
        <f>IFERROR(__xludf.DUMMYFUNCTION("""COMPUTED_VALUE"""),0.4728097837790063)</f>
        <v>0.4728097838</v>
      </c>
      <c r="AA162" s="18">
        <f>IFERROR(__xludf.DUMMYFUNCTION("""COMPUTED_VALUE"""),0.0)</f>
        <v>0</v>
      </c>
      <c r="AB162" t="str">
        <f>IFERROR(__xludf.DUMMYFUNCTION("SUBSTITUTE(REGEXREPLACE(REGEXREPLACE(REGEXREPLACE(REGEXREPLACE(REGEXREPLACE(REGEXREPLACE(F162,"","",),IF(Projections!$T$11="""",""PG"",),),IF(Projections!$U$11="""",""SG"",),),IF(Projections!$V$11="""",""SF"",),),IF(Projections!$W$11="""",""PF"",),),IF(Pr"&amp;"ojections!$X$11="""",""C"",),),""/"","""")"),"G")</f>
        <v>G</v>
      </c>
    </row>
    <row r="163">
      <c r="B163">
        <f>IFERROR(__xludf.DUMMYFUNCTION("""COMPUTED_VALUE"""),158.0)</f>
        <v>158</v>
      </c>
      <c r="D163" t="str">
        <f>IFERROR(__xludf.DUMMYFUNCTION("""COMPUTED_VALUE"""),"Chris Boucher")</f>
        <v>Chris Boucher</v>
      </c>
      <c r="E163">
        <f>IFERROR(__xludf.DUMMYFUNCTION("""COMPUTED_VALUE"""),77.0)</f>
        <v>77</v>
      </c>
      <c r="F163" t="str">
        <f>IFERROR(__xludf.DUMMYFUNCTION("""COMPUTED_VALUE"""),"F")</f>
        <v>F</v>
      </c>
      <c r="G163" s="18">
        <f>IFERROR(__xludf.DUMMYFUNCTION("""COMPUTED_VALUE"""),-2.107942797742622)</f>
        <v>-2.107942798</v>
      </c>
      <c r="H163" s="18">
        <f>IFERROR(__xludf.DUMMYFUNCTION("""COMPUTED_VALUE"""),-2.328477195238016)</f>
        <v>-2.328477195</v>
      </c>
      <c r="I163" s="18">
        <f>IFERROR(__xludf.DUMMYFUNCTION("""COMPUTED_VALUE"""),-0.22053439749539372)</f>
        <v>-0.2205343975</v>
      </c>
      <c r="J163" s="18">
        <f>IFERROR(__xludf.DUMMYFUNCTION("""COMPUTED_VALUE"""),12.08701)</f>
        <v>12.08701</v>
      </c>
      <c r="K163" s="18">
        <f>IFERROR(__xludf.DUMMYFUNCTION("""COMPUTED_VALUE"""),1.692468)</f>
        <v>1.692468</v>
      </c>
      <c r="L163" s="18">
        <f>IFERROR(__xludf.DUMMYFUNCTION("""COMPUTED_VALUE"""),6.746494)</f>
        <v>6.746494</v>
      </c>
      <c r="M163" s="18">
        <f>IFERROR(__xludf.DUMMYFUNCTION("""COMPUTED_VALUE"""),0.909091)</f>
        <v>0.909091</v>
      </c>
      <c r="N163" s="18">
        <f>IFERROR(__xludf.DUMMYFUNCTION("""COMPUTED_VALUE"""),0.641039)</f>
        <v>0.641039</v>
      </c>
      <c r="O163" s="18">
        <f>IFERROR(__xludf.DUMMYFUNCTION("""COMPUTED_VALUE"""),0.669481)</f>
        <v>0.669481</v>
      </c>
      <c r="P163" s="25">
        <f>IFERROR(__xludf.DUMMYFUNCTION("""COMPUTED_VALUE"""),0.481692)</f>
        <v>0.481692</v>
      </c>
      <c r="Q163" s="25">
        <f>IFERROR(__xludf.DUMMYFUNCTION("""COMPUTED_VALUE"""),0.781967)</f>
        <v>0.781967</v>
      </c>
      <c r="R163" s="18">
        <f>IFERROR(__xludf.DUMMYFUNCTION("""COMPUTED_VALUE"""),0.859351)</f>
        <v>0.859351</v>
      </c>
      <c r="S163" s="18">
        <f>IFERROR(__xludf.DUMMYFUNCTION("""COMPUTED_VALUE"""),-0.892581531594207)</f>
        <v>-0.8925815316</v>
      </c>
      <c r="T163" s="18">
        <f>IFERROR(__xludf.DUMMYFUNCTION("""COMPUTED_VALUE"""),-0.07445191033123802)</f>
        <v>-0.07445191033</v>
      </c>
      <c r="U163" s="18">
        <f>IFERROR(__xludf.DUMMYFUNCTION("""COMPUTED_VALUE"""),0.25131857818816666)</f>
        <v>0.2513185782</v>
      </c>
      <c r="V163" s="18">
        <f>IFERROR(__xludf.DUMMYFUNCTION("""COMPUTED_VALUE"""),-1.4302763323915775)</f>
        <v>-1.430276332</v>
      </c>
      <c r="W163" s="18">
        <f>IFERROR(__xludf.DUMMYFUNCTION("""COMPUTED_VALUE"""),-1.2315341049731874)</f>
        <v>-1.231534105</v>
      </c>
      <c r="X163" s="18">
        <f>IFERROR(__xludf.DUMMYFUNCTION("""COMPUTED_VALUE"""),-0.11042712324493206)</f>
        <v>-0.1104271232</v>
      </c>
      <c r="Y163" s="18">
        <f>IFERROR(__xludf.DUMMYFUNCTION("""COMPUTED_VALUE"""),-0.1952082150836539)</f>
        <v>-0.1952082151</v>
      </c>
      <c r="Z163" s="18">
        <f>IFERROR(__xludf.DUMMYFUNCTION("""COMPUTED_VALUE"""),-0.07559288819896386)</f>
        <v>-0.0755928882</v>
      </c>
      <c r="AA163" s="18">
        <f>IFERROR(__xludf.DUMMYFUNCTION("""COMPUTED_VALUE"""),0.0)</f>
        <v>0</v>
      </c>
      <c r="AB163" t="str">
        <f>IFERROR(__xludf.DUMMYFUNCTION("SUBSTITUTE(REGEXREPLACE(REGEXREPLACE(REGEXREPLACE(REGEXREPLACE(REGEXREPLACE(REGEXREPLACE(F163,"","",),IF(Projections!$T$11="""",""PG"",),),IF(Projections!$U$11="""",""SG"",),),IF(Projections!$V$11="""",""SF"",),),IF(Projections!$W$11="""",""PF"",),),IF(Pr"&amp;"ojections!$X$11="""",""C"",),),""/"","""")"),"F")</f>
        <v>F</v>
      </c>
    </row>
    <row r="164">
      <c r="B164">
        <f>IFERROR(__xludf.DUMMYFUNCTION("""COMPUTED_VALUE"""),159.0)</f>
        <v>159</v>
      </c>
      <c r="D164" t="str">
        <f>IFERROR(__xludf.DUMMYFUNCTION("""COMPUTED_VALUE"""),"Obi Toppin")</f>
        <v>Obi Toppin</v>
      </c>
      <c r="E164">
        <f>IFERROR(__xludf.DUMMYFUNCTION("""COMPUTED_VALUE"""),77.0)</f>
        <v>77</v>
      </c>
      <c r="F164" t="str">
        <f>IFERROR(__xludf.DUMMYFUNCTION("""COMPUTED_VALUE"""),"F")</f>
        <v>F</v>
      </c>
      <c r="G164" s="18">
        <f>IFERROR(__xludf.DUMMYFUNCTION("""COMPUTED_VALUE"""),-2.1145596769298782)</f>
        <v>-2.114559677</v>
      </c>
      <c r="H164" s="18">
        <f>IFERROR(__xludf.DUMMYFUNCTION("""COMPUTED_VALUE"""),-2.222600450741345)</f>
        <v>-2.222600451</v>
      </c>
      <c r="I164" s="18">
        <f>IFERROR(__xludf.DUMMYFUNCTION("""COMPUTED_VALUE"""),-0.10804077381146682)</f>
        <v>-0.1080407738</v>
      </c>
      <c r="J164" s="18">
        <f>IFERROR(__xludf.DUMMYFUNCTION("""COMPUTED_VALUE"""),13.43558)</f>
        <v>13.43558</v>
      </c>
      <c r="K164" s="18">
        <f>IFERROR(__xludf.DUMMYFUNCTION("""COMPUTED_VALUE"""),1.759221)</f>
        <v>1.759221</v>
      </c>
      <c r="L164" s="18">
        <f>IFERROR(__xludf.DUMMYFUNCTION("""COMPUTED_VALUE"""),5.05)</f>
        <v>5.05</v>
      </c>
      <c r="M164" s="18">
        <f>IFERROR(__xludf.DUMMYFUNCTION("""COMPUTED_VALUE"""),2.373506)</f>
        <v>2.373506</v>
      </c>
      <c r="N164" s="18">
        <f>IFERROR(__xludf.DUMMYFUNCTION("""COMPUTED_VALUE"""),0.555455)</f>
        <v>0.555455</v>
      </c>
      <c r="O164" s="18">
        <f>IFERROR(__xludf.DUMMYFUNCTION("""COMPUTED_VALUE"""),0.446883)</f>
        <v>0.446883</v>
      </c>
      <c r="P164" s="25">
        <f>IFERROR(__xludf.DUMMYFUNCTION("""COMPUTED_VALUE"""),0.522329)</f>
        <v>0.522329</v>
      </c>
      <c r="Q164" s="25">
        <f>IFERROR(__xludf.DUMMYFUNCTION("""COMPUTED_VALUE"""),0.76202)</f>
        <v>0.76202</v>
      </c>
      <c r="R164" s="18">
        <f>IFERROR(__xludf.DUMMYFUNCTION("""COMPUTED_VALUE"""),1.312987)</f>
        <v>1.312987</v>
      </c>
      <c r="S164" s="18">
        <f>IFERROR(__xludf.DUMMYFUNCTION("""COMPUTED_VALUE"""),-0.6559848884068331)</f>
        <v>-0.6559848884</v>
      </c>
      <c r="T164" s="18">
        <f>IFERROR(__xludf.DUMMYFUNCTION("""COMPUTED_VALUE"""),-0.009979630724736335)</f>
        <v>-0.009979630725</v>
      </c>
      <c r="U164" s="18">
        <f>IFERROR(__xludf.DUMMYFUNCTION("""COMPUTED_VALUE"""),-0.43636138271002145)</f>
        <v>-0.4363613827</v>
      </c>
      <c r="V164" s="18">
        <f>IFERROR(__xludf.DUMMYFUNCTION("""COMPUTED_VALUE"""),-0.7148883751456101)</f>
        <v>-0.7148883751</v>
      </c>
      <c r="W164" s="18">
        <f>IFERROR(__xludf.DUMMYFUNCTION("""COMPUTED_VALUE"""),-1.4923282405665081)</f>
        <v>-1.492328241</v>
      </c>
      <c r="X164" s="18">
        <f>IFERROR(__xludf.DUMMYFUNCTION("""COMPUTED_VALUE"""),-0.5151085565389951)</f>
        <v>-0.5151085565</v>
      </c>
      <c r="Y164" s="18">
        <f>IFERROR(__xludf.DUMMYFUNCTION("""COMPUTED_VALUE"""),0.42594480661734907)</f>
        <v>0.4259448066</v>
      </c>
      <c r="Z164" s="18">
        <f>IFERROR(__xludf.DUMMYFUNCTION("""COMPUTED_VALUE"""),-0.3162224238324988)</f>
        <v>-0.3162224238</v>
      </c>
      <c r="AA164" s="18">
        <f>IFERROR(__xludf.DUMMYFUNCTION("""COMPUTED_VALUE"""),0.0)</f>
        <v>0</v>
      </c>
      <c r="AB164" t="str">
        <f>IFERROR(__xludf.DUMMYFUNCTION("SUBSTITUTE(REGEXREPLACE(REGEXREPLACE(REGEXREPLACE(REGEXREPLACE(REGEXREPLACE(REGEXREPLACE(F164,"","",),IF(Projections!$T$11="""",""PG"",),),IF(Projections!$U$11="""",""SG"",),),IF(Projections!$V$11="""",""SF"",),),IF(Projections!$W$11="""",""PF"",),),IF(Pr"&amp;"ojections!$X$11="""",""C"",),),""/"","""")"),"F")</f>
        <v>F</v>
      </c>
    </row>
    <row r="165">
      <c r="B165">
        <f>IFERROR(__xludf.DUMMYFUNCTION("""COMPUTED_VALUE"""),160.0)</f>
        <v>160</v>
      </c>
      <c r="D165" t="str">
        <f>IFERROR(__xludf.DUMMYFUNCTION("""COMPUTED_VALUE"""),"Gary Trent")</f>
        <v>Gary Trent</v>
      </c>
      <c r="E165">
        <f>IFERROR(__xludf.DUMMYFUNCTION("""COMPUTED_VALUE"""),73.0)</f>
        <v>73</v>
      </c>
      <c r="F165" t="str">
        <f>IFERROR(__xludf.DUMMYFUNCTION("""COMPUTED_VALUE"""),"G,F")</f>
        <v>G,F</v>
      </c>
      <c r="G165" s="18">
        <f>IFERROR(__xludf.DUMMYFUNCTION("""COMPUTED_VALUE"""),-2.173753402933759)</f>
        <v>-2.173753403</v>
      </c>
      <c r="H165" s="18">
        <f>IFERROR(__xludf.DUMMYFUNCTION("""COMPUTED_VALUE"""),-2.4565980234481293)</f>
        <v>-2.456598023</v>
      </c>
      <c r="I165" s="18">
        <f>IFERROR(__xludf.DUMMYFUNCTION("""COMPUTED_VALUE"""),-0.2828446205143704)</f>
        <v>-0.2828446205</v>
      </c>
      <c r="J165" s="18">
        <f>IFERROR(__xludf.DUMMYFUNCTION("""COMPUTED_VALUE"""),12.43164)</f>
        <v>12.43164</v>
      </c>
      <c r="K165" s="18">
        <f>IFERROR(__xludf.DUMMYFUNCTION("""COMPUTED_VALUE"""),2.513562)</f>
        <v>2.513562</v>
      </c>
      <c r="L165" s="18">
        <f>IFERROR(__xludf.DUMMYFUNCTION("""COMPUTED_VALUE"""),2.623836)</f>
        <v>2.623836</v>
      </c>
      <c r="M165" s="18">
        <f>IFERROR(__xludf.DUMMYFUNCTION("""COMPUTED_VALUE"""),1.550548)</f>
        <v>1.550548</v>
      </c>
      <c r="N165" s="18">
        <f>IFERROR(__xludf.DUMMYFUNCTION("""COMPUTED_VALUE"""),1.105616)</f>
        <v>1.105616</v>
      </c>
      <c r="O165" s="18">
        <f>IFERROR(__xludf.DUMMYFUNCTION("""COMPUTED_VALUE"""),0.060822)</f>
        <v>0.060822</v>
      </c>
      <c r="P165" s="25">
        <f>IFERROR(__xludf.DUMMYFUNCTION("""COMPUTED_VALUE"""),0.430743)</f>
        <v>0.430743</v>
      </c>
      <c r="Q165" s="25">
        <f>IFERROR(__xludf.DUMMYFUNCTION("""COMPUTED_VALUE"""),0.836033)</f>
        <v>0.836033</v>
      </c>
      <c r="R165" s="18">
        <f>IFERROR(__xludf.DUMMYFUNCTION("""COMPUTED_VALUE"""),0.608082)</f>
        <v>0.608082</v>
      </c>
      <c r="S165" s="18">
        <f>IFERROR(__xludf.DUMMYFUNCTION("""COMPUTED_VALUE"""),-0.8321187442404435)</f>
        <v>-0.8321187442</v>
      </c>
      <c r="T165" s="18">
        <f>IFERROR(__xludf.DUMMYFUNCTION("""COMPUTED_VALUE"""),0.7185881320821517)</f>
        <v>0.7185881321</v>
      </c>
      <c r="U165" s="18">
        <f>IFERROR(__xludf.DUMMYFUNCTION("""COMPUTED_VALUE"""),-1.4198157094878299)</f>
        <v>-1.419815709</v>
      </c>
      <c r="V165" s="18">
        <f>IFERROR(__xludf.DUMMYFUNCTION("""COMPUTED_VALUE"""),-1.1169152886361349)</f>
        <v>-1.116915289</v>
      </c>
      <c r="W165" s="18">
        <f>IFERROR(__xludf.DUMMYFUNCTION("""COMPUTED_VALUE"""),0.18413888450543126)</f>
        <v>0.1841388845</v>
      </c>
      <c r="X165" s="18">
        <f>IFERROR(__xludf.DUMMYFUNCTION("""COMPUTED_VALUE"""),-1.2169644529034693)</f>
        <v>-1.216964453</v>
      </c>
      <c r="Y165" s="18">
        <f>IFERROR(__xludf.DUMMYFUNCTION("""COMPUTED_VALUE"""),-0.8338121510399527)</f>
        <v>-0.833812151</v>
      </c>
      <c r="Z165" s="18">
        <f>IFERROR(__xludf.DUMMYFUNCTION("""COMPUTED_VALUE"""),0.6404855967842877)</f>
        <v>0.6404855968</v>
      </c>
      <c r="AA165" s="18">
        <f>IFERROR(__xludf.DUMMYFUNCTION("""COMPUTED_VALUE"""),0.0)</f>
        <v>0</v>
      </c>
      <c r="AB165" t="str">
        <f>IFERROR(__xludf.DUMMYFUNCTION("SUBSTITUTE(REGEXREPLACE(REGEXREPLACE(REGEXREPLACE(REGEXREPLACE(REGEXREPLACE(REGEXREPLACE(F165,"","",),IF(Projections!$T$11="""",""PG"",),),IF(Projections!$U$11="""",""SG"",),),IF(Projections!$V$11="""",""SF"",),),IF(Projections!$W$11="""",""PF"",),),IF(Pr"&amp;"ojections!$X$11="""",""C"",),),""/"","""")"),"GF")</f>
        <v>GF</v>
      </c>
    </row>
    <row r="166">
      <c r="B166">
        <f>IFERROR(__xludf.DUMMYFUNCTION("""COMPUTED_VALUE"""),161.0)</f>
        <v>161</v>
      </c>
      <c r="D166" t="str">
        <f>IFERROR(__xludf.DUMMYFUNCTION("""COMPUTED_VALUE"""),"Taylor Hendricks")</f>
        <v>Taylor Hendricks</v>
      </c>
      <c r="E166">
        <f>IFERROR(__xludf.DUMMYFUNCTION("""COMPUTED_VALUE"""),61.0)</f>
        <v>61</v>
      </c>
      <c r="F166" t="str">
        <f>IFERROR(__xludf.DUMMYFUNCTION("""COMPUTED_VALUE"""),"F")</f>
        <v>F</v>
      </c>
      <c r="G166" s="18">
        <f>IFERROR(__xludf.DUMMYFUNCTION("""COMPUTED_VALUE"""),-2.1773039726059364)</f>
        <v>-2.177303973</v>
      </c>
      <c r="H166" s="18">
        <f>IFERROR(__xludf.DUMMYFUNCTION("""COMPUTED_VALUE"""),-2.4047104510197963)</f>
        <v>-2.404710451</v>
      </c>
      <c r="I166" s="18">
        <f>IFERROR(__xludf.DUMMYFUNCTION("""COMPUTED_VALUE"""),-0.22740647841385986)</f>
        <v>-0.2274064784</v>
      </c>
      <c r="J166" s="18">
        <f>IFERROR(__xludf.DUMMYFUNCTION("""COMPUTED_VALUE"""),8.184754)</f>
        <v>8.184754</v>
      </c>
      <c r="K166" s="18">
        <f>IFERROR(__xludf.DUMMYFUNCTION("""COMPUTED_VALUE"""),1.561475)</f>
        <v>1.561475</v>
      </c>
      <c r="L166" s="18">
        <f>IFERROR(__xludf.DUMMYFUNCTION("""COMPUTED_VALUE"""),5.300164)</f>
        <v>5.300164</v>
      </c>
      <c r="M166" s="18">
        <f>IFERROR(__xludf.DUMMYFUNCTION("""COMPUTED_VALUE"""),0.977377)</f>
        <v>0.977377</v>
      </c>
      <c r="N166" s="18">
        <f>IFERROR(__xludf.DUMMYFUNCTION("""COMPUTED_VALUE"""),0.959672)</f>
        <v>0.959672</v>
      </c>
      <c r="O166" s="18">
        <f>IFERROR(__xludf.DUMMYFUNCTION("""COMPUTED_VALUE"""),1.115902)</f>
        <v>1.115902</v>
      </c>
      <c r="P166" s="25">
        <f>IFERROR(__xludf.DUMMYFUNCTION("""COMPUTED_VALUE"""),0.423453)</f>
        <v>0.423453</v>
      </c>
      <c r="Q166" s="25">
        <f>IFERROR(__xludf.DUMMYFUNCTION("""COMPUTED_VALUE"""),0.788024)</f>
        <v>0.788024</v>
      </c>
      <c r="R166" s="18">
        <f>IFERROR(__xludf.DUMMYFUNCTION("""COMPUTED_VALUE"""),0.831639)</f>
        <v>0.831639</v>
      </c>
      <c r="S166" s="18">
        <f>IFERROR(__xludf.DUMMYFUNCTION("""COMPUTED_VALUE"""),-1.5772035167027207)</f>
        <v>-1.577203517</v>
      </c>
      <c r="T166" s="18">
        <f>IFERROR(__xludf.DUMMYFUNCTION("""COMPUTED_VALUE"""),-0.20096933011004203)</f>
        <v>-0.2009693301</v>
      </c>
      <c r="U166" s="18">
        <f>IFERROR(__xludf.DUMMYFUNCTION("""COMPUTED_VALUE"""),-0.3349565031536339)</f>
        <v>-0.3349565032</v>
      </c>
      <c r="V166" s="18">
        <f>IFERROR(__xludf.DUMMYFUNCTION("""COMPUTED_VALUE"""),-1.3969176314437601)</f>
        <v>-1.396917631</v>
      </c>
      <c r="W166" s="18">
        <f>IFERROR(__xludf.DUMMYFUNCTION("""COMPUTED_VALUE"""),-0.26058605619647074)</f>
        <v>-0.2605860562</v>
      </c>
      <c r="X166" s="18">
        <f>IFERROR(__xludf.DUMMYFUNCTION("""COMPUTED_VALUE"""),0.7011627838187833)</f>
        <v>0.7011627838</v>
      </c>
      <c r="Y166" s="18">
        <f>IFERROR(__xludf.DUMMYFUNCTION("""COMPUTED_VALUE"""),-0.9124325545920781)</f>
        <v>-0.9124325546</v>
      </c>
      <c r="Z166" s="18">
        <f>IFERROR(__xludf.DUMMYFUNCTION("""COMPUTED_VALUE"""),-1.11593425947664E-5)</f>
        <v>-0.00001115934259</v>
      </c>
      <c r="AA166" s="18">
        <f>IFERROR(__xludf.DUMMYFUNCTION("""COMPUTED_VALUE"""),0.0)</f>
        <v>0</v>
      </c>
      <c r="AB166" t="str">
        <f>IFERROR(__xludf.DUMMYFUNCTION("SUBSTITUTE(REGEXREPLACE(REGEXREPLACE(REGEXREPLACE(REGEXREPLACE(REGEXREPLACE(REGEXREPLACE(F166,"","",),IF(Projections!$T$11="""",""PG"",),),IF(Projections!$U$11="""",""SG"",),),IF(Projections!$V$11="""",""SF"",),),IF(Projections!$W$11="""",""PF"",),),IF(Pr"&amp;"ojections!$X$11="""",""C"",),),""/"","""")"),"F")</f>
        <v>F</v>
      </c>
    </row>
    <row r="167">
      <c r="B167">
        <f>IFERROR(__xludf.DUMMYFUNCTION("""COMPUTED_VALUE"""),162.0)</f>
        <v>162</v>
      </c>
      <c r="D167" t="str">
        <f>IFERROR(__xludf.DUMMYFUNCTION("""COMPUTED_VALUE"""),"Jay Huff")</f>
        <v>Jay Huff</v>
      </c>
      <c r="E167">
        <f>IFERROR(__xludf.DUMMYFUNCTION("""COMPUTED_VALUE"""),68.0)</f>
        <v>68</v>
      </c>
      <c r="F167" t="str">
        <f>IFERROR(__xludf.DUMMYFUNCTION("""COMPUTED_VALUE"""),"C")</f>
        <v>C</v>
      </c>
      <c r="G167" s="18">
        <f>IFERROR(__xludf.DUMMYFUNCTION("""COMPUTED_VALUE"""),-2.201372516720559)</f>
        <v>-2.201372517</v>
      </c>
      <c r="H167" s="18">
        <f>IFERROR(__xludf.DUMMYFUNCTION("""COMPUTED_VALUE"""),-2.414926465104597)</f>
        <v>-2.414926465</v>
      </c>
      <c r="I167" s="18">
        <f>IFERROR(__xludf.DUMMYFUNCTION("""COMPUTED_VALUE"""),-0.21355394838403807)</f>
        <v>-0.2135539484</v>
      </c>
      <c r="J167" s="18">
        <f>IFERROR(__xludf.DUMMYFUNCTION("""COMPUTED_VALUE"""),9.1975)</f>
        <v>9.1975</v>
      </c>
      <c r="K167" s="18">
        <f>IFERROR(__xludf.DUMMYFUNCTION("""COMPUTED_VALUE"""),1.536765)</f>
        <v>1.536765</v>
      </c>
      <c r="L167" s="18">
        <f>IFERROR(__xludf.DUMMYFUNCTION("""COMPUTED_VALUE"""),4.443971)</f>
        <v>4.443971</v>
      </c>
      <c r="M167" s="18">
        <f>IFERROR(__xludf.DUMMYFUNCTION("""COMPUTED_VALUE"""),1.018382)</f>
        <v>1.018382</v>
      </c>
      <c r="N167" s="18">
        <f>IFERROR(__xludf.DUMMYFUNCTION("""COMPUTED_VALUE"""),0.554412)</f>
        <v>0.554412</v>
      </c>
      <c r="O167" s="18">
        <f>IFERROR(__xludf.DUMMYFUNCTION("""COMPUTED_VALUE"""),1.203529)</f>
        <v>1.203529</v>
      </c>
      <c r="P167" s="25">
        <f>IFERROR(__xludf.DUMMYFUNCTION("""COMPUTED_VALUE"""),0.490804)</f>
        <v>0.490804</v>
      </c>
      <c r="Q167" s="25">
        <f>IFERROR(__xludf.DUMMYFUNCTION("""COMPUTED_VALUE"""),0.823955)</f>
        <v>0.823955</v>
      </c>
      <c r="R167" s="18">
        <f>IFERROR(__xludf.DUMMYFUNCTION("""COMPUTED_VALUE"""),0.8875)</f>
        <v>0.8875</v>
      </c>
      <c r="S167" s="18">
        <f>IFERROR(__xludf.DUMMYFUNCTION("""COMPUTED_VALUE"""),-1.3995247132283442)</f>
        <v>-1.399524713</v>
      </c>
      <c r="T167" s="18">
        <f>IFERROR(__xludf.DUMMYFUNCTION("""COMPUTED_VALUE"""),-0.22483507440732695)</f>
        <v>-0.2248350744</v>
      </c>
      <c r="U167" s="18">
        <f>IFERROR(__xludf.DUMMYFUNCTION("""COMPUTED_VALUE"""),-0.6820174233580683)</f>
        <v>-0.6820174234</v>
      </c>
      <c r="V167" s="18">
        <f>IFERROR(__xludf.DUMMYFUNCTION("""COMPUTED_VALUE"""),-1.3768860944908672)</f>
        <v>-1.376886094</v>
      </c>
      <c r="W167" s="18">
        <f>IFERROR(__xludf.DUMMYFUNCTION("""COMPUTED_VALUE"""),-1.4955065014963995)</f>
        <v>-1.495506501</v>
      </c>
      <c r="X167" s="18">
        <f>IFERROR(__xludf.DUMMYFUNCTION("""COMPUTED_VALUE"""),0.8604679885163048)</f>
        <v>0.8604679885</v>
      </c>
      <c r="Y167" s="18">
        <f>IFERROR(__xludf.DUMMYFUNCTION("""COMPUTED_VALUE"""),-0.06455670842037864)</f>
        <v>-0.06455670842</v>
      </c>
      <c r="Z167" s="18">
        <f>IFERROR(__xludf.DUMMYFUNCTION("""COMPUTED_VALUE"""),0.47242556028408356)</f>
        <v>0.4724255603</v>
      </c>
      <c r="AA167" s="18">
        <f>IFERROR(__xludf.DUMMYFUNCTION("""COMPUTED_VALUE"""),0.0)</f>
        <v>0</v>
      </c>
      <c r="AB167" t="str">
        <f>IFERROR(__xludf.DUMMYFUNCTION("SUBSTITUTE(REGEXREPLACE(REGEXREPLACE(REGEXREPLACE(REGEXREPLACE(REGEXREPLACE(REGEXREPLACE(F167,"","",),IF(Projections!$T$11="""",""PG"",),),IF(Projections!$U$11="""",""SG"",),),IF(Projections!$V$11="""",""SF"",),),IF(Projections!$W$11="""",""PF"",),),IF(Pr"&amp;"ojections!$X$11="""",""C"",),),""/"","""")"),"C")</f>
        <v>C</v>
      </c>
    </row>
    <row r="168">
      <c r="B168">
        <f>IFERROR(__xludf.DUMMYFUNCTION("""COMPUTED_VALUE"""),163.0)</f>
        <v>163</v>
      </c>
      <c r="D168" t="str">
        <f>IFERROR(__xludf.DUMMYFUNCTION("""COMPUTED_VALUE"""),"R.J. Barrett")</f>
        <v>R.J. Barrett</v>
      </c>
      <c r="E168">
        <f>IFERROR(__xludf.DUMMYFUNCTION("""COMPUTED_VALUE"""),73.0)</f>
        <v>73</v>
      </c>
      <c r="F168" t="str">
        <f>IFERROR(__xludf.DUMMYFUNCTION("""COMPUTED_VALUE"""),"G,F")</f>
        <v>G,F</v>
      </c>
      <c r="G168" s="18">
        <f>IFERROR(__xludf.DUMMYFUNCTION("""COMPUTED_VALUE"""),-2.209287545681546)</f>
        <v>-2.209287546</v>
      </c>
      <c r="H168" s="18">
        <f>IFERROR(__xludf.DUMMYFUNCTION("""COMPUTED_VALUE"""),-2.1315388642202473)</f>
        <v>-2.131538864</v>
      </c>
      <c r="I168" s="18">
        <f>IFERROR(__xludf.DUMMYFUNCTION("""COMPUTED_VALUE"""),0.07774868146129865)</f>
        <v>0.07774868146</v>
      </c>
      <c r="J168" s="18">
        <f>IFERROR(__xludf.DUMMYFUNCTION("""COMPUTED_VALUE"""),17.68466)</f>
        <v>17.68466</v>
      </c>
      <c r="K168" s="18">
        <f>IFERROR(__xludf.DUMMYFUNCTION("""COMPUTED_VALUE"""),1.590822)</f>
        <v>1.590822</v>
      </c>
      <c r="L168" s="18">
        <f>IFERROR(__xludf.DUMMYFUNCTION("""COMPUTED_VALUE"""),5.986849)</f>
        <v>5.986849</v>
      </c>
      <c r="M168" s="18">
        <f>IFERROR(__xludf.DUMMYFUNCTION("""COMPUTED_VALUE"""),3.991233)</f>
        <v>3.991233</v>
      </c>
      <c r="N168" s="18">
        <f>IFERROR(__xludf.DUMMYFUNCTION("""COMPUTED_VALUE"""),0.797671)</f>
        <v>0.797671</v>
      </c>
      <c r="O168" s="18">
        <f>IFERROR(__xludf.DUMMYFUNCTION("""COMPUTED_VALUE"""),0.266164)</f>
        <v>0.266164</v>
      </c>
      <c r="P168" s="25">
        <f>IFERROR(__xludf.DUMMYFUNCTION("""COMPUTED_VALUE"""),0.461318)</f>
        <v>0.461318</v>
      </c>
      <c r="Q168" s="25">
        <f>IFERROR(__xludf.DUMMYFUNCTION("""COMPUTED_VALUE"""),0.704995)</f>
        <v>0.704995</v>
      </c>
      <c r="R168" s="18">
        <f>IFERROR(__xludf.DUMMYFUNCTION("""COMPUTED_VALUE"""),2.062192)</f>
        <v>2.062192</v>
      </c>
      <c r="S168" s="18">
        <f>IFERROR(__xludf.DUMMYFUNCTION("""COMPUTED_VALUE"""),0.08948480514604626)</f>
        <v>0.08948480515</v>
      </c>
      <c r="T168" s="18">
        <f>IFERROR(__xludf.DUMMYFUNCTION("""COMPUTED_VALUE"""),-0.17262501615243697)</f>
        <v>-0.1726250162</v>
      </c>
      <c r="U168" s="18">
        <f>IFERROR(__xludf.DUMMYFUNCTION("""COMPUTED_VALUE"""),-0.05660626203909259)</f>
        <v>-0.05660626204</v>
      </c>
      <c r="V168" s="18">
        <f>IFERROR(__xludf.DUMMYFUNCTION("""COMPUTED_VALUE"""),0.07539471667716366)</f>
        <v>0.07539471668</v>
      </c>
      <c r="W168" s="18">
        <f>IFERROR(__xludf.DUMMYFUNCTION("""COMPUTED_VALUE"""),-0.7542403696225027)</f>
        <v>-0.7542403696</v>
      </c>
      <c r="X168" s="18">
        <f>IFERROR(__xludf.DUMMYFUNCTION("""COMPUTED_VALUE"""),-0.8436542934435035)</f>
        <v>-0.8436542934</v>
      </c>
      <c r="Y168" s="18">
        <f>IFERROR(__xludf.DUMMYFUNCTION("""COMPUTED_VALUE"""),-0.4692924447859214)</f>
        <v>-0.4692924448</v>
      </c>
      <c r="Z168" s="18">
        <f>IFERROR(__xludf.DUMMYFUNCTION("""COMPUTED_VALUE"""),-0.934096621294882)</f>
        <v>-0.9340966213</v>
      </c>
      <c r="AA168" s="18">
        <f>IFERROR(__xludf.DUMMYFUNCTION("""COMPUTED_VALUE"""),0.0)</f>
        <v>0</v>
      </c>
      <c r="AB168" t="str">
        <f>IFERROR(__xludf.DUMMYFUNCTION("SUBSTITUTE(REGEXREPLACE(REGEXREPLACE(REGEXREPLACE(REGEXREPLACE(REGEXREPLACE(REGEXREPLACE(F168,"","",),IF(Projections!$T$11="""",""PG"",),),IF(Projections!$U$11="""",""SG"",),),IF(Projections!$V$11="""",""SF"",),),IF(Projections!$W$11="""",""PF"",),),IF(Pr"&amp;"ojections!$X$11="""",""C"",),),""/"","""")"),"GF")</f>
        <v>GF</v>
      </c>
    </row>
    <row r="169">
      <c r="B169">
        <f>IFERROR(__xludf.DUMMYFUNCTION("""COMPUTED_VALUE"""),164.0)</f>
        <v>164</v>
      </c>
      <c r="D169" t="str">
        <f>IFERROR(__xludf.DUMMYFUNCTION("""COMPUTED_VALUE"""),"Quentin Grimes")</f>
        <v>Quentin Grimes</v>
      </c>
      <c r="E169">
        <f>IFERROR(__xludf.DUMMYFUNCTION("""COMPUTED_VALUE"""),68.0)</f>
        <v>68</v>
      </c>
      <c r="F169" t="str">
        <f>IFERROR(__xludf.DUMMYFUNCTION("""COMPUTED_VALUE"""),"G,F")</f>
        <v>G,F</v>
      </c>
      <c r="G169" s="18">
        <f>IFERROR(__xludf.DUMMYFUNCTION("""COMPUTED_VALUE"""),-2.2392996461725736)</f>
        <v>-2.239299646</v>
      </c>
      <c r="H169" s="18">
        <f>IFERROR(__xludf.DUMMYFUNCTION("""COMPUTED_VALUE"""),-2.3148951814184637)</f>
        <v>-2.314895181</v>
      </c>
      <c r="I169" s="18">
        <f>IFERROR(__xludf.DUMMYFUNCTION("""COMPUTED_VALUE"""),-0.07559553524589013)</f>
        <v>-0.07559553525</v>
      </c>
      <c r="J169" s="18">
        <f>IFERROR(__xludf.DUMMYFUNCTION("""COMPUTED_VALUE"""),12.8575)</f>
        <v>12.8575</v>
      </c>
      <c r="K169" s="18">
        <f>IFERROR(__xludf.DUMMYFUNCTION("""COMPUTED_VALUE"""),2.393971)</f>
        <v>2.393971</v>
      </c>
      <c r="L169" s="18">
        <f>IFERROR(__xludf.DUMMYFUNCTION("""COMPUTED_VALUE"""),4.215735)</f>
        <v>4.215735</v>
      </c>
      <c r="M169" s="18">
        <f>IFERROR(__xludf.DUMMYFUNCTION("""COMPUTED_VALUE"""),2.656471)</f>
        <v>2.656471</v>
      </c>
      <c r="N169" s="18">
        <f>IFERROR(__xludf.DUMMYFUNCTION("""COMPUTED_VALUE"""),1.055294)</f>
        <v>1.055294</v>
      </c>
      <c r="O169" s="18">
        <f>IFERROR(__xludf.DUMMYFUNCTION("""COMPUTED_VALUE"""),0.355441)</f>
        <v>0.355441</v>
      </c>
      <c r="P169" s="25">
        <f>IFERROR(__xludf.DUMMYFUNCTION("""COMPUTED_VALUE"""),0.453338)</f>
        <v>0.453338</v>
      </c>
      <c r="Q169" s="25">
        <f>IFERROR(__xludf.DUMMYFUNCTION("""COMPUTED_VALUE"""),0.757971)</f>
        <v>0.757971</v>
      </c>
      <c r="R169" s="18">
        <f>IFERROR(__xludf.DUMMYFUNCTION("""COMPUTED_VALUE"""),1.443824)</f>
        <v>1.443824</v>
      </c>
      <c r="S169" s="18">
        <f>IFERROR(__xludf.DUMMYFUNCTION("""COMPUTED_VALUE"""),-0.7574047535185863)</f>
        <v>-0.7574047535</v>
      </c>
      <c r="T169" s="18">
        <f>IFERROR(__xludf.DUMMYFUNCTION("""COMPUTED_VALUE"""),0.6030831451838677)</f>
        <v>0.6030831452</v>
      </c>
      <c r="U169" s="18">
        <f>IFERROR(__xludf.DUMMYFUNCTION("""COMPUTED_VALUE"""),-0.7745337090363904)</f>
        <v>-0.774533709</v>
      </c>
      <c r="V169" s="18">
        <f>IFERROR(__xludf.DUMMYFUNCTION("""COMPUTED_VALUE"""),-0.576655870478487)</f>
        <v>-0.5766558705</v>
      </c>
      <c r="W169" s="18">
        <f>IFERROR(__xludf.DUMMYFUNCTION("""COMPUTED_VALUE"""),0.03079617452077201)</f>
        <v>0.03079617452</v>
      </c>
      <c r="X169" s="18">
        <f>IFERROR(__xludf.DUMMYFUNCTION("""COMPUTED_VALUE"""),-0.6813494015747803)</f>
        <v>-0.6813494016</v>
      </c>
      <c r="Y169" s="18">
        <f>IFERROR(__xludf.DUMMYFUNCTION("""COMPUTED_VALUE"""),-0.5698476139177706)</f>
        <v>-0.5698476139</v>
      </c>
      <c r="Z169" s="18">
        <f>IFERROR(__xludf.DUMMYFUNCTION("""COMPUTED_VALUE"""),-0.36351686163347946)</f>
        <v>-0.3635168616</v>
      </c>
      <c r="AA169" s="18">
        <f>IFERROR(__xludf.DUMMYFUNCTION("""COMPUTED_VALUE"""),0.0)</f>
        <v>0</v>
      </c>
      <c r="AB169" t="str">
        <f>IFERROR(__xludf.DUMMYFUNCTION("SUBSTITUTE(REGEXREPLACE(REGEXREPLACE(REGEXREPLACE(REGEXREPLACE(REGEXREPLACE(REGEXREPLACE(F169,"","",),IF(Projections!$T$11="""",""PG"",),),IF(Projections!$U$11="""",""SG"",),),IF(Projections!$V$11="""",""SF"",),),IF(Projections!$W$11="""",""PF"",),),IF(Pr"&amp;"ojections!$X$11="""",""C"",),),""/"","""")"),"GF")</f>
        <v>GF</v>
      </c>
    </row>
    <row r="170">
      <c r="B170">
        <f>IFERROR(__xludf.DUMMYFUNCTION("""COMPUTED_VALUE"""),165.0)</f>
        <v>165</v>
      </c>
      <c r="D170" t="str">
        <f>IFERROR(__xludf.DUMMYFUNCTION("""COMPUTED_VALUE"""),"Bilal Coulibaly")</f>
        <v>Bilal Coulibaly</v>
      </c>
      <c r="E170">
        <f>IFERROR(__xludf.DUMMYFUNCTION("""COMPUTED_VALUE"""),63.0)</f>
        <v>63</v>
      </c>
      <c r="F170" t="str">
        <f>IFERROR(__xludf.DUMMYFUNCTION("""COMPUTED_VALUE"""),"F")</f>
        <v>F</v>
      </c>
      <c r="G170" s="18">
        <f>IFERROR(__xludf.DUMMYFUNCTION("""COMPUTED_VALUE"""),-2.240050528726429)</f>
        <v>-2.240050529</v>
      </c>
      <c r="H170" s="18">
        <f>IFERROR(__xludf.DUMMYFUNCTION("""COMPUTED_VALUE"""),-2.1781573289974063)</f>
        <v>-2.178157329</v>
      </c>
      <c r="I170" s="18">
        <f>IFERROR(__xludf.DUMMYFUNCTION("""COMPUTED_VALUE"""),0.06189319972902263)</f>
        <v>0.06189319973</v>
      </c>
      <c r="J170" s="18">
        <f>IFERROR(__xludf.DUMMYFUNCTION("""COMPUTED_VALUE"""),12.67698)</f>
        <v>12.67698</v>
      </c>
      <c r="K170" s="18">
        <f>IFERROR(__xludf.DUMMYFUNCTION("""COMPUTED_VALUE"""),1.154444)</f>
        <v>1.154444</v>
      </c>
      <c r="L170" s="18">
        <f>IFERROR(__xludf.DUMMYFUNCTION("""COMPUTED_VALUE"""),4.989048)</f>
        <v>4.989048</v>
      </c>
      <c r="M170" s="18">
        <f>IFERROR(__xludf.DUMMYFUNCTION("""COMPUTED_VALUE"""),3.592063)</f>
        <v>3.592063</v>
      </c>
      <c r="N170" s="18">
        <f>IFERROR(__xludf.DUMMYFUNCTION("""COMPUTED_VALUE"""),1.194603)</f>
        <v>1.194603</v>
      </c>
      <c r="O170" s="18">
        <f>IFERROR(__xludf.DUMMYFUNCTION("""COMPUTED_VALUE"""),0.666349)</f>
        <v>0.666349</v>
      </c>
      <c r="P170" s="25">
        <f>IFERROR(__xludf.DUMMYFUNCTION("""COMPUTED_VALUE"""),0.446249)</f>
        <v>0.446249</v>
      </c>
      <c r="Q170" s="25">
        <f>IFERROR(__xludf.DUMMYFUNCTION("""COMPUTED_VALUE"""),0.729004)</f>
        <v>0.729004</v>
      </c>
      <c r="R170" s="18">
        <f>IFERROR(__xludf.DUMMYFUNCTION("""COMPUTED_VALUE"""),1.998254)</f>
        <v>1.998254</v>
      </c>
      <c r="S170" s="18">
        <f>IFERROR(__xludf.DUMMYFUNCTION("""COMPUTED_VALUE"""),-0.7890756538264565)</f>
        <v>-0.7890756538</v>
      </c>
      <c r="T170" s="18">
        <f>IFERROR(__xludf.DUMMYFUNCTION("""COMPUTED_VALUE"""),-0.5940934809424248)</f>
        <v>-0.5940934809</v>
      </c>
      <c r="U170" s="18">
        <f>IFERROR(__xludf.DUMMYFUNCTION("""COMPUTED_VALUE"""),-0.46106849571877123)</f>
        <v>-0.4610684957</v>
      </c>
      <c r="V170" s="18">
        <f>IFERROR(__xludf.DUMMYFUNCTION("""COMPUTED_VALUE"""),-0.11960561512350262)</f>
        <v>-0.1196056151</v>
      </c>
      <c r="W170" s="18">
        <f>IFERROR(__xludf.DUMMYFUNCTION("""COMPUTED_VALUE"""),0.45530274391890646)</f>
        <v>0.4553027439</v>
      </c>
      <c r="X170" s="18">
        <f>IFERROR(__xludf.DUMMYFUNCTION("""COMPUTED_VALUE"""),-0.11612107489354083)</f>
        <v>-0.1161210749</v>
      </c>
      <c r="Y170" s="18">
        <f>IFERROR(__xludf.DUMMYFUNCTION("""COMPUTED_VALUE"""),-0.6559664063418543)</f>
        <v>-0.6559664063</v>
      </c>
      <c r="Z170" s="18">
        <f>IFERROR(__xludf.DUMMYFUNCTION("""COMPUTED_VALUE"""),-0.6866049998962191)</f>
        <v>-0.6866049999</v>
      </c>
      <c r="AA170" s="18">
        <f>IFERROR(__xludf.DUMMYFUNCTION("""COMPUTED_VALUE"""),0.0)</f>
        <v>0</v>
      </c>
      <c r="AB170" t="str">
        <f>IFERROR(__xludf.DUMMYFUNCTION("SUBSTITUTE(REGEXREPLACE(REGEXREPLACE(REGEXREPLACE(REGEXREPLACE(REGEXREPLACE(REGEXREPLACE(F170,"","",),IF(Projections!$T$11="""",""PG"",),),IF(Projections!$U$11="""",""SG"",),),IF(Projections!$V$11="""",""SF"",),),IF(Projections!$W$11="""",""PF"",),),IF(Pr"&amp;"ojections!$X$11="""",""C"",),),""/"","""")"),"F")</f>
        <v>F</v>
      </c>
    </row>
    <row r="171">
      <c r="B171">
        <f>IFERROR(__xludf.DUMMYFUNCTION("""COMPUTED_VALUE"""),166.0)</f>
        <v>166</v>
      </c>
      <c r="D171" t="str">
        <f>IFERROR(__xludf.DUMMYFUNCTION("""COMPUTED_VALUE"""),"Davion Mitchell")</f>
        <v>Davion Mitchell</v>
      </c>
      <c r="E171">
        <f>IFERROR(__xludf.DUMMYFUNCTION("""COMPUTED_VALUE"""),73.0)</f>
        <v>73</v>
      </c>
      <c r="F171" t="str">
        <f>IFERROR(__xludf.DUMMYFUNCTION("""COMPUTED_VALUE"""),"G")</f>
        <v>G</v>
      </c>
      <c r="G171" s="18">
        <f>IFERROR(__xludf.DUMMYFUNCTION("""COMPUTED_VALUE"""),-2.267709178722313)</f>
        <v>-2.267709179</v>
      </c>
      <c r="H171" s="18">
        <f>IFERROR(__xludf.DUMMYFUNCTION("""COMPUTED_VALUE"""),-2.251072966569101)</f>
        <v>-2.251072967</v>
      </c>
      <c r="I171" s="18">
        <f>IFERROR(__xludf.DUMMYFUNCTION("""COMPUTED_VALUE"""),0.016636212153211982)</f>
        <v>0.01663621215</v>
      </c>
      <c r="J171" s="18">
        <f>IFERROR(__xludf.DUMMYFUNCTION("""COMPUTED_VALUE"""),8.566027)</f>
        <v>8.566027</v>
      </c>
      <c r="K171" s="18">
        <f>IFERROR(__xludf.DUMMYFUNCTION("""COMPUTED_VALUE"""),1.06137)</f>
        <v>1.06137</v>
      </c>
      <c r="L171" s="18">
        <f>IFERROR(__xludf.DUMMYFUNCTION("""COMPUTED_VALUE"""),2.817534)</f>
        <v>2.817534</v>
      </c>
      <c r="M171" s="18">
        <f>IFERROR(__xludf.DUMMYFUNCTION("""COMPUTED_VALUE"""),5.88)</f>
        <v>5.88</v>
      </c>
      <c r="N171" s="18">
        <f>IFERROR(__xludf.DUMMYFUNCTION("""COMPUTED_VALUE"""),1.347534)</f>
        <v>1.347534</v>
      </c>
      <c r="O171" s="18">
        <f>IFERROR(__xludf.DUMMYFUNCTION("""COMPUTED_VALUE"""),0.25137)</f>
        <v>0.25137</v>
      </c>
      <c r="P171" s="25">
        <f>IFERROR(__xludf.DUMMYFUNCTION("""COMPUTED_VALUE"""),0.470345)</f>
        <v>0.470345</v>
      </c>
      <c r="Q171" s="25">
        <f>IFERROR(__xludf.DUMMYFUNCTION("""COMPUTED_VALUE"""),0.70604)</f>
        <v>0.70604</v>
      </c>
      <c r="R171" s="18">
        <f>IFERROR(__xludf.DUMMYFUNCTION("""COMPUTED_VALUE"""),1.815753)</f>
        <v>1.815753</v>
      </c>
      <c r="S171" s="18">
        <f>IFERROR(__xludf.DUMMYFUNCTION("""COMPUTED_VALUE"""),-1.5103119857195462)</f>
        <v>-1.510311986</v>
      </c>
      <c r="T171" s="18">
        <f>IFERROR(__xludf.DUMMYFUNCTION("""COMPUTED_VALUE"""),-0.6839874625177181)</f>
        <v>-0.6839874625</v>
      </c>
      <c r="U171" s="18">
        <f>IFERROR(__xludf.DUMMYFUNCTION("""COMPUTED_VALUE"""),-1.3412995266625103)</f>
        <v>-1.341299527</v>
      </c>
      <c r="V171" s="18">
        <f>IFERROR(__xludf.DUMMYFUNCTION("""COMPUTED_VALUE"""),0.9980847777893446)</f>
        <v>0.9980847778</v>
      </c>
      <c r="W171" s="18">
        <f>IFERROR(__xludf.DUMMYFUNCTION("""COMPUTED_VALUE"""),0.9213186808980393)</f>
        <v>0.9213186809</v>
      </c>
      <c r="X171" s="18">
        <f>IFERROR(__xludf.DUMMYFUNCTION("""COMPUTED_VALUE"""),-0.8705496704197224)</f>
        <v>-0.8705496704</v>
      </c>
      <c r="Y171" s="18">
        <f>IFERROR(__xludf.DUMMYFUNCTION("""COMPUTED_VALUE"""),-0.3509323585946897)</f>
        <v>-0.3509323586</v>
      </c>
      <c r="Z171" s="18">
        <f>IFERROR(__xludf.DUMMYFUNCTION("""COMPUTED_VALUE"""),-0.9237074070618441)</f>
        <v>-0.9237074071</v>
      </c>
      <c r="AA171" s="18">
        <f>IFERROR(__xludf.DUMMYFUNCTION("""COMPUTED_VALUE"""),0.0)</f>
        <v>0</v>
      </c>
      <c r="AB171" t="str">
        <f>IFERROR(__xludf.DUMMYFUNCTION("SUBSTITUTE(REGEXREPLACE(REGEXREPLACE(REGEXREPLACE(REGEXREPLACE(REGEXREPLACE(REGEXREPLACE(F171,"","",),IF(Projections!$T$11="""",""PG"",),),IF(Projections!$U$11="""",""SG"",),),IF(Projections!$V$11="""",""SF"",),),IF(Projections!$W$11="""",""PF"",),),IF(Pr"&amp;"ojections!$X$11="""",""C"",),),""/"","""")"),"G")</f>
        <v>G</v>
      </c>
    </row>
    <row r="172">
      <c r="B172">
        <f>IFERROR(__xludf.DUMMYFUNCTION("""COMPUTED_VALUE"""),167.0)</f>
        <v>167</v>
      </c>
      <c r="D172" t="str">
        <f>IFERROR(__xludf.DUMMYFUNCTION("""COMPUTED_VALUE"""),"Buddy Hield")</f>
        <v>Buddy Hield</v>
      </c>
      <c r="E172">
        <f>IFERROR(__xludf.DUMMYFUNCTION("""COMPUTED_VALUE"""),77.0)</f>
        <v>77</v>
      </c>
      <c r="F172" t="str">
        <f>IFERROR(__xludf.DUMMYFUNCTION("""COMPUTED_VALUE"""),"G,F")</f>
        <v>G,F</v>
      </c>
      <c r="G172" s="18">
        <f>IFERROR(__xludf.DUMMYFUNCTION("""COMPUTED_VALUE"""),-2.2720897995239913)</f>
        <v>-2.2720898</v>
      </c>
      <c r="H172" s="18">
        <f>IFERROR(__xludf.DUMMYFUNCTION("""COMPUTED_VALUE"""),-2.5057317887163872)</f>
        <v>-2.505731789</v>
      </c>
      <c r="I172" s="18">
        <f>IFERROR(__xludf.DUMMYFUNCTION("""COMPUTED_VALUE"""),-0.23364198919239598)</f>
        <v>-0.2336419892</v>
      </c>
      <c r="J172" s="18">
        <f>IFERROR(__xludf.DUMMYFUNCTION("""COMPUTED_VALUE"""),11.99987)</f>
        <v>11.99987</v>
      </c>
      <c r="K172" s="18">
        <f>IFERROR(__xludf.DUMMYFUNCTION("""COMPUTED_VALUE"""),2.832468)</f>
        <v>2.832468</v>
      </c>
      <c r="L172" s="18">
        <f>IFERROR(__xludf.DUMMYFUNCTION("""COMPUTED_VALUE"""),3.225714)</f>
        <v>3.225714</v>
      </c>
      <c r="M172" s="18">
        <f>IFERROR(__xludf.DUMMYFUNCTION("""COMPUTED_VALUE"""),1.423117)</f>
        <v>1.423117</v>
      </c>
      <c r="N172" s="18">
        <f>IFERROR(__xludf.DUMMYFUNCTION("""COMPUTED_VALUE"""),0.859091)</f>
        <v>0.859091</v>
      </c>
      <c r="O172" s="18">
        <f>IFERROR(__xludf.DUMMYFUNCTION("""COMPUTED_VALUE"""),0.283506)</f>
        <v>0.283506</v>
      </c>
      <c r="P172" s="25">
        <f>IFERROR(__xludf.DUMMYFUNCTION("""COMPUTED_VALUE"""),0.433015)</f>
        <v>0.433015</v>
      </c>
      <c r="Q172" s="25">
        <f>IFERROR(__xludf.DUMMYFUNCTION("""COMPUTED_VALUE"""),0.842979)</f>
        <v>0.842979</v>
      </c>
      <c r="R172" s="18">
        <f>IFERROR(__xludf.DUMMYFUNCTION("""COMPUTED_VALUE"""),0.806494)</f>
        <v>0.806494</v>
      </c>
      <c r="S172" s="18">
        <f>IFERROR(__xludf.DUMMYFUNCTION("""COMPUTED_VALUE"""),-0.9078696007988812)</f>
        <v>-0.9078696008</v>
      </c>
      <c r="T172" s="18">
        <f>IFERROR(__xludf.DUMMYFUNCTION("""COMPUTED_VALUE"""),1.026598211032777)</f>
        <v>1.026598211</v>
      </c>
      <c r="U172" s="18">
        <f>IFERROR(__xludf.DUMMYFUNCTION("""COMPUTED_VALUE"""),-1.1758422916593674)</f>
        <v>-1.175842292</v>
      </c>
      <c r="V172" s="18">
        <f>IFERROR(__xludf.DUMMYFUNCTION("""COMPUTED_VALUE"""),-1.1791671795139331)</f>
        <v>-1.17916718</v>
      </c>
      <c r="W172" s="18">
        <f>IFERROR(__xludf.DUMMYFUNCTION("""COMPUTED_VALUE"""),-0.5670795006733795)</f>
        <v>-0.5670795007</v>
      </c>
      <c r="X172" s="18">
        <f>IFERROR(__xludf.DUMMYFUNCTION("""COMPUTED_VALUE"""),-0.812126672278059)</f>
        <v>-0.8121266723</v>
      </c>
      <c r="Y172" s="18">
        <f>IFERROR(__xludf.DUMMYFUNCTION("""COMPUTED_VALUE"""),-0.8086567205137368)</f>
        <v>-0.8086567205</v>
      </c>
      <c r="Z172" s="18">
        <f>IFERROR(__xludf.DUMMYFUNCTION("""COMPUTED_VALUE"""),0.7392447861742603)</f>
        <v>0.7392447862</v>
      </c>
      <c r="AA172" s="18">
        <f>IFERROR(__xludf.DUMMYFUNCTION("""COMPUTED_VALUE"""),0.0)</f>
        <v>0</v>
      </c>
      <c r="AB172" t="str">
        <f>IFERROR(__xludf.DUMMYFUNCTION("SUBSTITUTE(REGEXREPLACE(REGEXREPLACE(REGEXREPLACE(REGEXREPLACE(REGEXREPLACE(REGEXREPLACE(F172,"","",),IF(Projections!$T$11="""",""PG"",),),IF(Projections!$U$11="""",""SG"",),),IF(Projections!$V$11="""",""SF"",),),IF(Projections!$W$11="""",""PF"",),),IF(Pr"&amp;"ojections!$X$11="""",""C"",),),""/"","""")"),"GF")</f>
        <v>GF</v>
      </c>
    </row>
    <row r="173">
      <c r="B173">
        <f>IFERROR(__xludf.DUMMYFUNCTION("""COMPUTED_VALUE"""),168.0)</f>
        <v>168</v>
      </c>
      <c r="D173" t="str">
        <f>IFERROR(__xludf.DUMMYFUNCTION("""COMPUTED_VALUE"""),"Dillon Brooks")</f>
        <v>Dillon Brooks</v>
      </c>
      <c r="E173">
        <f>IFERROR(__xludf.DUMMYFUNCTION("""COMPUTED_VALUE"""),73.0)</f>
        <v>73</v>
      </c>
      <c r="F173" t="str">
        <f>IFERROR(__xludf.DUMMYFUNCTION("""COMPUTED_VALUE"""),"G,F")</f>
        <v>G,F</v>
      </c>
      <c r="G173" s="18">
        <f>IFERROR(__xludf.DUMMYFUNCTION("""COMPUTED_VALUE"""),-2.2890681764159146)</f>
        <v>-2.289068176</v>
      </c>
      <c r="H173" s="18">
        <f>IFERROR(__xludf.DUMMYFUNCTION("""COMPUTED_VALUE"""),-2.358036637092482)</f>
        <v>-2.358036637</v>
      </c>
      <c r="I173" s="18">
        <f>IFERROR(__xludf.DUMMYFUNCTION("""COMPUTED_VALUE"""),-0.06896846067656748)</f>
        <v>-0.06896846068</v>
      </c>
      <c r="J173" s="18">
        <f>IFERROR(__xludf.DUMMYFUNCTION("""COMPUTED_VALUE"""),14.13068)</f>
        <v>14.13068</v>
      </c>
      <c r="K173" s="18">
        <f>IFERROR(__xludf.DUMMYFUNCTION("""COMPUTED_VALUE"""),2.45274)</f>
        <v>2.45274</v>
      </c>
      <c r="L173" s="18">
        <f>IFERROR(__xludf.DUMMYFUNCTION("""COMPUTED_VALUE"""),3.452603)</f>
        <v>3.452603</v>
      </c>
      <c r="M173" s="18">
        <f>IFERROR(__xludf.DUMMYFUNCTION("""COMPUTED_VALUE"""),2.685342)</f>
        <v>2.685342</v>
      </c>
      <c r="N173" s="18">
        <f>IFERROR(__xludf.DUMMYFUNCTION("""COMPUTED_VALUE"""),0.959041)</f>
        <v>0.959041</v>
      </c>
      <c r="O173" s="18">
        <f>IFERROR(__xludf.DUMMYFUNCTION("""COMPUTED_VALUE"""),0.192192)</f>
        <v>0.192192</v>
      </c>
      <c r="P173" s="25">
        <f>IFERROR(__xludf.DUMMYFUNCTION("""COMPUTED_VALUE"""),0.429553)</f>
        <v>0.429553</v>
      </c>
      <c r="Q173" s="25">
        <f>IFERROR(__xludf.DUMMYFUNCTION("""COMPUTED_VALUE"""),0.801028)</f>
        <v>0.801028</v>
      </c>
      <c r="R173" s="18">
        <f>IFERROR(__xludf.DUMMYFUNCTION("""COMPUTED_VALUE"""),1.470548)</f>
        <v>1.470548</v>
      </c>
      <c r="S173" s="18">
        <f>IFERROR(__xludf.DUMMYFUNCTION("""COMPUTED_VALUE"""),-0.5340347288455618)</f>
        <v>-0.5340347288</v>
      </c>
      <c r="T173" s="18">
        <f>IFERROR(__xludf.DUMMYFUNCTION("""COMPUTED_VALUE"""),0.6598442106070622)</f>
        <v>0.6598442106</v>
      </c>
      <c r="U173" s="18">
        <f>IFERROR(__xludf.DUMMYFUNCTION("""COMPUTED_VALUE"""),-1.0838720172886775)</f>
        <v>-1.083872017</v>
      </c>
      <c r="V173" s="18">
        <f>IFERROR(__xludf.DUMMYFUNCTION("""COMPUTED_VALUE"""),-0.5625519684332003)</f>
        <v>-0.5625519684</v>
      </c>
      <c r="W173" s="18">
        <f>IFERROR(__xludf.DUMMYFUNCTION("""COMPUTED_VALUE"""),-0.26250885835060433)</f>
        <v>-0.2625088584</v>
      </c>
      <c r="X173" s="18">
        <f>IFERROR(__xludf.DUMMYFUNCTION("""COMPUTED_VALUE"""),-0.9781348143090478)</f>
        <v>-0.9781348143</v>
      </c>
      <c r="Y173" s="18">
        <f>IFERROR(__xludf.DUMMYFUNCTION("""COMPUTED_VALUE"""),-0.8468639932721557)</f>
        <v>-0.8468639933</v>
      </c>
      <c r="Z173" s="18">
        <f>IFERROR(__xludf.DUMMYFUNCTION("""COMPUTED_VALUE"""),0.16621351551102553)</f>
        <v>0.1662135155</v>
      </c>
      <c r="AA173" s="18">
        <f>IFERROR(__xludf.DUMMYFUNCTION("""COMPUTED_VALUE"""),0.0)</f>
        <v>0</v>
      </c>
      <c r="AB173" t="str">
        <f>IFERROR(__xludf.DUMMYFUNCTION("SUBSTITUTE(REGEXREPLACE(REGEXREPLACE(REGEXREPLACE(REGEXREPLACE(REGEXREPLACE(REGEXREPLACE(F173,"","",),IF(Projections!$T$11="""",""PG"",),),IF(Projections!$U$11="""",""SG"",),),IF(Projections!$V$11="""",""SF"",),),IF(Projections!$W$11="""",""PF"",),),IF(Pr"&amp;"ojections!$X$11="""",""C"",),),""/"","""")"),"GF")</f>
        <v>GF</v>
      </c>
    </row>
    <row r="174">
      <c r="B174">
        <f>IFERROR(__xludf.DUMMYFUNCTION("""COMPUTED_VALUE"""),169.0)</f>
        <v>169</v>
      </c>
      <c r="D174" t="str">
        <f>IFERROR(__xludf.DUMMYFUNCTION("""COMPUTED_VALUE"""),"Kevin Huerter")</f>
        <v>Kevin Huerter</v>
      </c>
      <c r="E174">
        <f>IFERROR(__xludf.DUMMYFUNCTION("""COMPUTED_VALUE"""),68.0)</f>
        <v>68</v>
      </c>
      <c r="F174" t="str">
        <f>IFERROR(__xludf.DUMMYFUNCTION("""COMPUTED_VALUE"""),"G")</f>
        <v>G</v>
      </c>
      <c r="G174" s="18">
        <f>IFERROR(__xludf.DUMMYFUNCTION("""COMPUTED_VALUE"""),-2.3142966780618837)</f>
        <v>-2.314296678</v>
      </c>
      <c r="H174" s="18">
        <f>IFERROR(__xludf.DUMMYFUNCTION("""COMPUTED_VALUE"""),-2.4680065857571325)</f>
        <v>-2.468006586</v>
      </c>
      <c r="I174" s="18">
        <f>IFERROR(__xludf.DUMMYFUNCTION("""COMPUTED_VALUE"""),-0.15370990769524884)</f>
        <v>-0.1537099077</v>
      </c>
      <c r="J174" s="18">
        <f>IFERROR(__xludf.DUMMYFUNCTION("""COMPUTED_VALUE"""),12.82838)</f>
        <v>12.82838</v>
      </c>
      <c r="K174" s="18">
        <f>IFERROR(__xludf.DUMMYFUNCTION("""COMPUTED_VALUE"""),2.538824)</f>
        <v>2.538824</v>
      </c>
      <c r="L174" s="18">
        <f>IFERROR(__xludf.DUMMYFUNCTION("""COMPUTED_VALUE"""),3.2175)</f>
        <v>3.2175</v>
      </c>
      <c r="M174" s="18">
        <f>IFERROR(__xludf.DUMMYFUNCTION("""COMPUTED_VALUE"""),2.500735)</f>
        <v>2.500735</v>
      </c>
      <c r="N174" s="18">
        <f>IFERROR(__xludf.DUMMYFUNCTION("""COMPUTED_VALUE"""),1.023088)</f>
        <v>1.023088</v>
      </c>
      <c r="O174" s="18">
        <f>IFERROR(__xludf.DUMMYFUNCTION("""COMPUTED_VALUE"""),0.357353)</f>
        <v>0.357353</v>
      </c>
      <c r="P174" s="25">
        <f>IFERROR(__xludf.DUMMYFUNCTION("""COMPUTED_VALUE"""),0.466113)</f>
        <v>0.466113</v>
      </c>
      <c r="Q174" s="25">
        <f>IFERROR(__xludf.DUMMYFUNCTION("""COMPUTED_VALUE"""),0.733012)</f>
        <v>0.733012</v>
      </c>
      <c r="R174" s="18">
        <f>IFERROR(__xludf.DUMMYFUNCTION("""COMPUTED_VALUE"""),1.128824)</f>
        <v>1.128824</v>
      </c>
      <c r="S174" s="18">
        <f>IFERROR(__xludf.DUMMYFUNCTION("""COMPUTED_VALUE"""),-0.7625136423783536)</f>
        <v>-0.7625136424</v>
      </c>
      <c r="T174" s="18">
        <f>IFERROR(__xludf.DUMMYFUNCTION("""COMPUTED_VALUE"""),0.7429870164382024)</f>
        <v>0.7429870164</v>
      </c>
      <c r="U174" s="18">
        <f>IFERROR(__xludf.DUMMYFUNCTION("""COMPUTED_VALUE"""),-1.1791718661811859)</f>
        <v>-1.179171866</v>
      </c>
      <c r="V174" s="18">
        <f>IFERROR(__xludf.DUMMYFUNCTION("""COMPUTED_VALUE"""),-0.6527351641962226)</f>
        <v>-0.6527351642</v>
      </c>
      <c r="W174" s="18">
        <f>IFERROR(__xludf.DUMMYFUNCTION("""COMPUTED_VALUE"""),-0.06734291609100675)</f>
        <v>-0.06734291609</v>
      </c>
      <c r="X174" s="18">
        <f>IFERROR(__xludf.DUMMYFUNCTION("""COMPUTED_VALUE"""),-0.677873400440636)</f>
        <v>-0.6778734004</v>
      </c>
      <c r="Y174" s="18">
        <f>IFERROR(__xludf.DUMMYFUNCTION("""COMPUTED_VALUE"""),-0.40703101503707634)</f>
        <v>-0.407031015</v>
      </c>
      <c r="Z174" s="18">
        <f>IFERROR(__xludf.DUMMYFUNCTION("""COMPUTED_VALUE"""),-0.6434974640520394)</f>
        <v>-0.6434974641</v>
      </c>
      <c r="AA174" s="18">
        <f>IFERROR(__xludf.DUMMYFUNCTION("""COMPUTED_VALUE"""),0.0)</f>
        <v>0</v>
      </c>
      <c r="AB174" t="str">
        <f>IFERROR(__xludf.DUMMYFUNCTION("SUBSTITUTE(REGEXREPLACE(REGEXREPLACE(REGEXREPLACE(REGEXREPLACE(REGEXREPLACE(REGEXREPLACE(F174,"","",),IF(Projections!$T$11="""",""PG"",),),IF(Projections!$U$11="""",""SG"",),),IF(Projections!$V$11="""",""SF"",),),IF(Projections!$W$11="""",""PF"",),),IF(Pr"&amp;"ojections!$X$11="""",""C"",),),""/"","""")"),"G")</f>
        <v>G</v>
      </c>
    </row>
    <row r="175">
      <c r="B175">
        <f>IFERROR(__xludf.DUMMYFUNCTION("""COMPUTED_VALUE"""),170.0)</f>
        <v>170</v>
      </c>
      <c r="D175" t="str">
        <f>IFERROR(__xludf.DUMMYFUNCTION("""COMPUTED_VALUE"""),"Brook Lopez")</f>
        <v>Brook Lopez</v>
      </c>
      <c r="E175">
        <f>IFERROR(__xludf.DUMMYFUNCTION("""COMPUTED_VALUE"""),73.0)</f>
        <v>73</v>
      </c>
      <c r="F175" t="str">
        <f>IFERROR(__xludf.DUMMYFUNCTION("""COMPUTED_VALUE"""),"C")</f>
        <v>C</v>
      </c>
      <c r="G175" s="18">
        <f>IFERROR(__xludf.DUMMYFUNCTION("""COMPUTED_VALUE"""),-2.3266436105185644)</f>
        <v>-2.326643611</v>
      </c>
      <c r="H175" s="18">
        <f>IFERROR(__xludf.DUMMYFUNCTION("""COMPUTED_VALUE"""),-2.58560705549129)</f>
        <v>-2.585607055</v>
      </c>
      <c r="I175" s="18">
        <f>IFERROR(__xludf.DUMMYFUNCTION("""COMPUTED_VALUE"""),-0.25896344497272583)</f>
        <v>-0.258963445</v>
      </c>
      <c r="J175" s="18">
        <f>IFERROR(__xludf.DUMMYFUNCTION("""COMPUTED_VALUE"""),9.180137)</f>
        <v>9.180137</v>
      </c>
      <c r="K175" s="18">
        <f>IFERROR(__xludf.DUMMYFUNCTION("""COMPUTED_VALUE"""),1.169452)</f>
        <v>1.169452</v>
      </c>
      <c r="L175" s="18">
        <f>IFERROR(__xludf.DUMMYFUNCTION("""COMPUTED_VALUE"""),3.310137)</f>
        <v>3.310137</v>
      </c>
      <c r="M175" s="18">
        <f>IFERROR(__xludf.DUMMYFUNCTION("""COMPUTED_VALUE"""),1.004521)</f>
        <v>1.004521</v>
      </c>
      <c r="N175" s="18">
        <f>IFERROR(__xludf.DUMMYFUNCTION("""COMPUTED_VALUE"""),0.317534)</f>
        <v>0.317534</v>
      </c>
      <c r="O175" s="18">
        <f>IFERROR(__xludf.DUMMYFUNCTION("""COMPUTED_VALUE"""),1.315616)</f>
        <v>1.315616</v>
      </c>
      <c r="P175" s="25">
        <f>IFERROR(__xludf.DUMMYFUNCTION("""COMPUTED_VALUE"""),0.507592)</f>
        <v>0.507592</v>
      </c>
      <c r="Q175" s="25">
        <f>IFERROR(__xludf.DUMMYFUNCTION("""COMPUTED_VALUE"""),0.838006)</f>
        <v>0.838006</v>
      </c>
      <c r="R175" s="18">
        <f>IFERROR(__xludf.DUMMYFUNCTION("""COMPUTED_VALUE"""),0.704384)</f>
        <v>0.704384</v>
      </c>
      <c r="S175" s="18">
        <f>IFERROR(__xludf.DUMMYFUNCTION("""COMPUTED_VALUE"""),-1.4025709232995027)</f>
        <v>-1.402570923</v>
      </c>
      <c r="T175" s="18">
        <f>IFERROR(__xludf.DUMMYFUNCTION("""COMPUTED_VALUE"""),-0.5795982526780116)</f>
        <v>-0.5795982527</v>
      </c>
      <c r="U175" s="18">
        <f>IFERROR(__xludf.DUMMYFUNCTION("""COMPUTED_VALUE"""),-1.1416211241580925)</f>
        <v>-1.141621124</v>
      </c>
      <c r="V175" s="18">
        <f>IFERROR(__xludf.DUMMYFUNCTION("""COMPUTED_VALUE"""),-1.3836573939349361)</f>
        <v>-1.383657394</v>
      </c>
      <c r="W175" s="18">
        <f>IFERROR(__xludf.DUMMYFUNCTION("""COMPUTED_VALUE"""),-2.2173282584962433)</f>
        <v>-2.217328258</v>
      </c>
      <c r="X175" s="18">
        <f>IFERROR(__xludf.DUMMYFUNCTION("""COMPUTED_VALUE"""),1.064241283036613)</f>
        <v>1.064241283</v>
      </c>
      <c r="Y175" s="18">
        <f>IFERROR(__xludf.DUMMYFUNCTION("""COMPUTED_VALUE"""),0.18921794467235378)</f>
        <v>0.1892179447</v>
      </c>
      <c r="Z175" s="18">
        <f>IFERROR(__xludf.DUMMYFUNCTION("""COMPUTED_VALUE"""),0.6683814108702854)</f>
        <v>0.6683814109</v>
      </c>
      <c r="AA175" s="18">
        <f>IFERROR(__xludf.DUMMYFUNCTION("""COMPUTED_VALUE"""),0.0)</f>
        <v>0</v>
      </c>
      <c r="AB175" t="str">
        <f>IFERROR(__xludf.DUMMYFUNCTION("SUBSTITUTE(REGEXREPLACE(REGEXREPLACE(REGEXREPLACE(REGEXREPLACE(REGEXREPLACE(REGEXREPLACE(F175,"","",),IF(Projections!$T$11="""",""PG"",),),IF(Projections!$U$11="""",""SG"",),),IF(Projections!$V$11="""",""SF"",),),IF(Projections!$W$11="""",""PF"",),),IF(Pr"&amp;"ojections!$X$11="""",""C"",),),""/"","""")"),"C")</f>
        <v>C</v>
      </c>
    </row>
    <row r="176">
      <c r="B176">
        <f>IFERROR(__xludf.DUMMYFUNCTION("""COMPUTED_VALUE"""),171.0)</f>
        <v>171</v>
      </c>
      <c r="D176" t="str">
        <f>IFERROR(__xludf.DUMMYFUNCTION("""COMPUTED_VALUE"""),"Ben Sheppard")</f>
        <v>Ben Sheppard</v>
      </c>
      <c r="E176">
        <f>IFERROR(__xludf.DUMMYFUNCTION("""COMPUTED_VALUE"""),73.0)</f>
        <v>73</v>
      </c>
      <c r="F176" t="str">
        <f>IFERROR(__xludf.DUMMYFUNCTION("""COMPUTED_VALUE"""),"G")</f>
        <v>G</v>
      </c>
      <c r="G176" s="18">
        <f>IFERROR(__xludf.DUMMYFUNCTION("""COMPUTED_VALUE"""),-2.3648417505352874)</f>
        <v>-2.364841751</v>
      </c>
      <c r="H176" s="18">
        <f>IFERROR(__xludf.DUMMYFUNCTION("""COMPUTED_VALUE"""),-2.6231599459933683)</f>
        <v>-2.623159946</v>
      </c>
      <c r="I176" s="18">
        <f>IFERROR(__xludf.DUMMYFUNCTION("""COMPUTED_VALUE"""),-0.2583181954580809)</f>
        <v>-0.2583181955</v>
      </c>
      <c r="J176" s="18">
        <f>IFERROR(__xludf.DUMMYFUNCTION("""COMPUTED_VALUE"""),8.527945)</f>
        <v>8.527945</v>
      </c>
      <c r="K176" s="18">
        <f>IFERROR(__xludf.DUMMYFUNCTION("""COMPUTED_VALUE"""),1.66726)</f>
        <v>1.66726</v>
      </c>
      <c r="L176" s="18">
        <f>IFERROR(__xludf.DUMMYFUNCTION("""COMPUTED_VALUE"""),4.04)</f>
        <v>4.04</v>
      </c>
      <c r="M176" s="18">
        <f>IFERROR(__xludf.DUMMYFUNCTION("""COMPUTED_VALUE"""),2.171507)</f>
        <v>2.171507</v>
      </c>
      <c r="N176" s="18">
        <f>IFERROR(__xludf.DUMMYFUNCTION("""COMPUTED_VALUE"""),0.833562)</f>
        <v>0.833562</v>
      </c>
      <c r="O176" s="18">
        <f>IFERROR(__xludf.DUMMYFUNCTION("""COMPUTED_VALUE"""),0.247671)</f>
        <v>0.247671</v>
      </c>
      <c r="P176" s="25">
        <f>IFERROR(__xludf.DUMMYFUNCTION("""COMPUTED_VALUE"""),0.437345)</f>
        <v>0.437345</v>
      </c>
      <c r="Q176" s="25">
        <f>IFERROR(__xludf.DUMMYFUNCTION("""COMPUTED_VALUE"""),0.888018)</f>
        <v>0.888018</v>
      </c>
      <c r="R176" s="18">
        <f>IFERROR(__xludf.DUMMYFUNCTION("""COMPUTED_VALUE"""),0.706986)</f>
        <v>0.706986</v>
      </c>
      <c r="S176" s="18">
        <f>IFERROR(__xludf.DUMMYFUNCTION("""COMPUTED_VALUE"""),-1.5169931912675425)</f>
        <v>-1.516993191</v>
      </c>
      <c r="T176" s="18">
        <f>IFERROR(__xludf.DUMMYFUNCTION("""COMPUTED_VALUE"""),-0.09879863968153997)</f>
        <v>-0.09879863968</v>
      </c>
      <c r="U176" s="18">
        <f>IFERROR(__xludf.DUMMYFUNCTION("""COMPUTED_VALUE"""),-0.8457685250324639)</f>
        <v>-0.845768525</v>
      </c>
      <c r="V176" s="18">
        <f>IFERROR(__xludf.DUMMYFUNCTION("""COMPUTED_VALUE"""),-0.8135678150419019)</f>
        <v>-0.813567815</v>
      </c>
      <c r="W176" s="18">
        <f>IFERROR(__xludf.DUMMYFUNCTION("""COMPUTED_VALUE"""),-0.6448722363197841)</f>
        <v>-0.6448722363</v>
      </c>
      <c r="X176" s="18">
        <f>IFERROR(__xludf.DUMMYFUNCTION("""COMPUTED_VALUE"""),-0.8772744236598897)</f>
        <v>-0.8772744237</v>
      </c>
      <c r="Y176" s="18">
        <f>IFERROR(__xludf.DUMMYFUNCTION("""COMPUTED_VALUE"""),-0.7598565153458023)</f>
        <v>-0.7598565153</v>
      </c>
      <c r="Z176" s="18">
        <f>IFERROR(__xludf.DUMMYFUNCTION("""COMPUTED_VALUE"""),1.416978209088014)</f>
        <v>1.416978209</v>
      </c>
      <c r="AA176" s="18">
        <f>IFERROR(__xludf.DUMMYFUNCTION("""COMPUTED_VALUE"""),0.0)</f>
        <v>0</v>
      </c>
      <c r="AB176" t="str">
        <f>IFERROR(__xludf.DUMMYFUNCTION("SUBSTITUTE(REGEXREPLACE(REGEXREPLACE(REGEXREPLACE(REGEXREPLACE(REGEXREPLACE(REGEXREPLACE(F176,"","",),IF(Projections!$T$11="""",""PG"",),),IF(Projections!$U$11="""",""SG"",),),IF(Projections!$V$11="""",""SF"",),),IF(Projections!$W$11="""",""PF"",),),IF(Pr"&amp;"ojections!$X$11="""",""C"",),),""/"","""")"),"G")</f>
        <v>G</v>
      </c>
    </row>
    <row r="177">
      <c r="B177">
        <f>IFERROR(__xludf.DUMMYFUNCTION("""COMPUTED_VALUE"""),172.0)</f>
        <v>172</v>
      </c>
      <c r="D177" t="str">
        <f>IFERROR(__xludf.DUMMYFUNCTION("""COMPUTED_VALUE"""),"Josh Minott")</f>
        <v>Josh Minott</v>
      </c>
      <c r="E177">
        <f>IFERROR(__xludf.DUMMYFUNCTION("""COMPUTED_VALUE"""),73.0)</f>
        <v>73</v>
      </c>
      <c r="F177" t="str">
        <f>IFERROR(__xludf.DUMMYFUNCTION("""COMPUTED_VALUE"""),"F")</f>
        <v>F</v>
      </c>
      <c r="G177" s="18">
        <f>IFERROR(__xludf.DUMMYFUNCTION("""COMPUTED_VALUE"""),-2.4121670992571103)</f>
        <v>-2.412167099</v>
      </c>
      <c r="H177" s="18">
        <f>IFERROR(__xludf.DUMMYFUNCTION("""COMPUTED_VALUE"""),-2.6678695791577445)</f>
        <v>-2.667869579</v>
      </c>
      <c r="I177" s="18">
        <f>IFERROR(__xludf.DUMMYFUNCTION("""COMPUTED_VALUE"""),-0.2557024799006342)</f>
        <v>-0.2557024799</v>
      </c>
      <c r="J177" s="18">
        <f>IFERROR(__xludf.DUMMYFUNCTION("""COMPUTED_VALUE"""),8.201096)</f>
        <v>8.201096</v>
      </c>
      <c r="K177" s="18">
        <f>IFERROR(__xludf.DUMMYFUNCTION("""COMPUTED_VALUE"""),1.034932)</f>
        <v>1.034932</v>
      </c>
      <c r="L177" s="18">
        <f>IFERROR(__xludf.DUMMYFUNCTION("""COMPUTED_VALUE"""),3.550959)</f>
        <v>3.550959</v>
      </c>
      <c r="M177" s="18">
        <f>IFERROR(__xludf.DUMMYFUNCTION("""COMPUTED_VALUE"""),1.153425)</f>
        <v>1.153425</v>
      </c>
      <c r="N177" s="18">
        <f>IFERROR(__xludf.DUMMYFUNCTION("""COMPUTED_VALUE"""),0.948493)</f>
        <v>0.948493</v>
      </c>
      <c r="O177" s="18">
        <f>IFERROR(__xludf.DUMMYFUNCTION("""COMPUTED_VALUE"""),0.736301)</f>
        <v>0.736301</v>
      </c>
      <c r="P177" s="25">
        <f>IFERROR(__xludf.DUMMYFUNCTION("""COMPUTED_VALUE"""),0.492009)</f>
        <v>0.492009</v>
      </c>
      <c r="Q177" s="25">
        <f>IFERROR(__xludf.DUMMYFUNCTION("""COMPUTED_VALUE"""),0.842129)</f>
        <v>0.842129</v>
      </c>
      <c r="R177" s="18">
        <f>IFERROR(__xludf.DUMMYFUNCTION("""COMPUTED_VALUE"""),0.717534)</f>
        <v>0.717534</v>
      </c>
      <c r="S177" s="18">
        <f>IFERROR(__xludf.DUMMYFUNCTION("""COMPUTED_VALUE"""),-1.5743364335383554)</f>
        <v>-1.574336434</v>
      </c>
      <c r="T177" s="18">
        <f>IFERROR(__xludf.DUMMYFUNCTION("""COMPUTED_VALUE"""),-0.7095221669989653)</f>
        <v>-0.709522167</v>
      </c>
      <c r="U177" s="18">
        <f>IFERROR(__xludf.DUMMYFUNCTION("""COMPUTED_VALUE"""),-1.0440030579913842)</f>
        <v>-1.044003058</v>
      </c>
      <c r="V177" s="18">
        <f>IFERROR(__xludf.DUMMYFUNCTION("""COMPUTED_VALUE"""),-1.3109156312612722)</f>
        <v>-1.310915631</v>
      </c>
      <c r="W177" s="18">
        <f>IFERROR(__xludf.DUMMYFUNCTION("""COMPUTED_VALUE"""),-0.29465104079403237)</f>
        <v>-0.2946510408</v>
      </c>
      <c r="X177" s="18">
        <f>IFERROR(__xludf.DUMMYFUNCTION("""COMPUTED_VALUE"""),0.011051117227620649)</f>
        <v>0.01105111723</v>
      </c>
      <c r="Y177" s="18">
        <f>IFERROR(__xludf.DUMMYFUNCTION("""COMPUTED_VALUE"""),-0.046905481253848254)</f>
        <v>-0.04690548125</v>
      </c>
      <c r="Z177" s="18">
        <f>IFERROR(__xludf.DUMMYFUNCTION("""COMPUTED_VALUE"""),0.7270766819141374)</f>
        <v>0.7270766819</v>
      </c>
      <c r="AA177" s="18">
        <f>IFERROR(__xludf.DUMMYFUNCTION("""COMPUTED_VALUE"""),0.0)</f>
        <v>0</v>
      </c>
      <c r="AB177" t="str">
        <f>IFERROR(__xludf.DUMMYFUNCTION("SUBSTITUTE(REGEXREPLACE(REGEXREPLACE(REGEXREPLACE(REGEXREPLACE(REGEXREPLACE(REGEXREPLACE(F177,"","",),IF(Projections!$T$11="""",""PG"",),),IF(Projections!$U$11="""",""SG"",),),IF(Projections!$V$11="""",""SF"",),),IF(Projections!$W$11="""",""PF"",),),IF(Pr"&amp;"ojections!$X$11="""",""C"",),),""/"","""")"),"F")</f>
        <v>F</v>
      </c>
    </row>
    <row r="178">
      <c r="B178">
        <f>IFERROR(__xludf.DUMMYFUNCTION("""COMPUTED_VALUE"""),173.0)</f>
        <v>173</v>
      </c>
      <c r="D178" t="str">
        <f>IFERROR(__xludf.DUMMYFUNCTION("""COMPUTED_VALUE"""),"Nikola Jovic")</f>
        <v>Nikola Jovic</v>
      </c>
      <c r="E178">
        <f>IFERROR(__xludf.DUMMYFUNCTION("""COMPUTED_VALUE"""),68.0)</f>
        <v>68</v>
      </c>
      <c r="F178" t="str">
        <f>IFERROR(__xludf.DUMMYFUNCTION("""COMPUTED_VALUE"""),"F")</f>
        <v>F</v>
      </c>
      <c r="G178" s="18">
        <f>IFERROR(__xludf.DUMMYFUNCTION("""COMPUTED_VALUE"""),-2.4279683084875585)</f>
        <v>-2.427968308</v>
      </c>
      <c r="H178" s="18">
        <f>IFERROR(__xludf.DUMMYFUNCTION("""COMPUTED_VALUE"""),-2.479859727436023)</f>
        <v>-2.479859727</v>
      </c>
      <c r="I178" s="18">
        <f>IFERROR(__xludf.DUMMYFUNCTION("""COMPUTED_VALUE"""),-0.051891418948464274)</f>
        <v>-0.05189141895</v>
      </c>
      <c r="J178" s="18">
        <f>IFERROR(__xludf.DUMMYFUNCTION("""COMPUTED_VALUE"""),10.05279)</f>
        <v>10.05279</v>
      </c>
      <c r="K178" s="18">
        <f>IFERROR(__xludf.DUMMYFUNCTION("""COMPUTED_VALUE"""),1.708676)</f>
        <v>1.708676</v>
      </c>
      <c r="L178" s="18">
        <f>IFERROR(__xludf.DUMMYFUNCTION("""COMPUTED_VALUE"""),4.299706)</f>
        <v>4.299706</v>
      </c>
      <c r="M178" s="18">
        <f>IFERROR(__xludf.DUMMYFUNCTION("""COMPUTED_VALUE"""),3.025735)</f>
        <v>3.025735</v>
      </c>
      <c r="N178" s="18">
        <f>IFERROR(__xludf.DUMMYFUNCTION("""COMPUTED_VALUE"""),0.828235)</f>
        <v>0.828235</v>
      </c>
      <c r="O178" s="18">
        <f>IFERROR(__xludf.DUMMYFUNCTION("""COMPUTED_VALUE"""),0.323529)</f>
        <v>0.323529</v>
      </c>
      <c r="P178" s="25">
        <f>IFERROR(__xludf.DUMMYFUNCTION("""COMPUTED_VALUE"""),0.464708)</f>
        <v>0.464708</v>
      </c>
      <c r="Q178" s="25">
        <f>IFERROR(__xludf.DUMMYFUNCTION("""COMPUTED_VALUE"""),0.828966)</f>
        <v>0.828966</v>
      </c>
      <c r="R178" s="18">
        <f>IFERROR(__xludf.DUMMYFUNCTION("""COMPUTED_VALUE"""),1.539412)</f>
        <v>1.539412</v>
      </c>
      <c r="S178" s="18">
        <f>IFERROR(__xludf.DUMMYFUNCTION("""COMPUTED_VALUE"""),-1.2494704016599947)</f>
        <v>-1.249470402</v>
      </c>
      <c r="T178" s="18">
        <f>IFERROR(__xludf.DUMMYFUNCTION("""COMPUTED_VALUE"""),-0.05879768193907314)</f>
        <v>-0.05879768194</v>
      </c>
      <c r="U178" s="18">
        <f>IFERROR(__xludf.DUMMYFUNCTION("""COMPUTED_VALUE"""),-0.740495761365145)</f>
        <v>-0.7404957614</v>
      </c>
      <c r="V178" s="18">
        <f>IFERROR(__xludf.DUMMYFUNCTION("""COMPUTED_VALUE"""),-0.39626505322758804)</f>
        <v>-0.3962650532</v>
      </c>
      <c r="W178" s="18">
        <f>IFERROR(__xludf.DUMMYFUNCTION("""COMPUTED_VALUE"""),-0.6611048307335251)</f>
        <v>-0.6611048307</v>
      </c>
      <c r="X178" s="18">
        <f>IFERROR(__xludf.DUMMYFUNCTION("""COMPUTED_VALUE"""),-0.7393651694580503)</f>
        <v>-0.7393651695</v>
      </c>
      <c r="Y178" s="18">
        <f>IFERROR(__xludf.DUMMYFUNCTION("""COMPUTED_VALUE"""),-0.4254175360400423)</f>
        <v>-0.425417536</v>
      </c>
      <c r="Z178" s="18">
        <f>IFERROR(__xludf.DUMMYFUNCTION("""COMPUTED_VALUE"""),0.5415863053274014)</f>
        <v>0.5415863053</v>
      </c>
      <c r="AA178" s="18">
        <f>IFERROR(__xludf.DUMMYFUNCTION("""COMPUTED_VALUE"""),0.0)</f>
        <v>0</v>
      </c>
      <c r="AB178" t="str">
        <f>IFERROR(__xludf.DUMMYFUNCTION("SUBSTITUTE(REGEXREPLACE(REGEXREPLACE(REGEXREPLACE(REGEXREPLACE(REGEXREPLACE(REGEXREPLACE(F178,"","",),IF(Projections!$T$11="""",""PG"",),),IF(Projections!$U$11="""",""SG"",),),IF(Projections!$V$11="""",""SF"",),),IF(Projections!$W$11="""",""PF"",),),IF(Pr"&amp;"ojections!$X$11="""",""C"",),),""/"","""")"),"F")</f>
        <v>F</v>
      </c>
    </row>
    <row r="179">
      <c r="B179">
        <f>IFERROR(__xludf.DUMMYFUNCTION("""COMPUTED_VALUE"""),174.0)</f>
        <v>174</v>
      </c>
      <c r="D179" t="str">
        <f>IFERROR(__xludf.DUMMYFUNCTION("""COMPUTED_VALUE"""),"Ayo Dosunmu")</f>
        <v>Ayo Dosunmu</v>
      </c>
      <c r="E179">
        <f>IFERROR(__xludf.DUMMYFUNCTION("""COMPUTED_VALUE"""),68.0)</f>
        <v>68</v>
      </c>
      <c r="F179" t="str">
        <f>IFERROR(__xludf.DUMMYFUNCTION("""COMPUTED_VALUE"""),"G,F")</f>
        <v>G,F</v>
      </c>
      <c r="G179" s="18">
        <f>IFERROR(__xludf.DUMMYFUNCTION("""COMPUTED_VALUE"""),-2.469138805700678)</f>
        <v>-2.469138806</v>
      </c>
      <c r="H179" s="18">
        <f>IFERROR(__xludf.DUMMYFUNCTION("""COMPUTED_VALUE"""),-2.5255888802324327)</f>
        <v>-2.52558888</v>
      </c>
      <c r="I179" s="18">
        <f>IFERROR(__xludf.DUMMYFUNCTION("""COMPUTED_VALUE"""),-0.05645007453175488)</f>
        <v>-0.05645007453</v>
      </c>
      <c r="J179" s="18">
        <f>IFERROR(__xludf.DUMMYFUNCTION("""COMPUTED_VALUE"""),11.45897)</f>
        <v>11.45897</v>
      </c>
      <c r="K179" s="18">
        <f>IFERROR(__xludf.DUMMYFUNCTION("""COMPUTED_VALUE"""),1.364853)</f>
        <v>1.364853</v>
      </c>
      <c r="L179" s="18">
        <f>IFERROR(__xludf.DUMMYFUNCTION("""COMPUTED_VALUE"""),2.760294)</f>
        <v>2.760294</v>
      </c>
      <c r="M179" s="18">
        <f>IFERROR(__xludf.DUMMYFUNCTION("""COMPUTED_VALUE"""),3.603235)</f>
        <v>3.603235</v>
      </c>
      <c r="N179" s="18">
        <f>IFERROR(__xludf.DUMMYFUNCTION("""COMPUTED_VALUE"""),0.873824)</f>
        <v>0.873824</v>
      </c>
      <c r="O179" s="18">
        <f>IFERROR(__xludf.DUMMYFUNCTION("""COMPUTED_VALUE"""),0.345)</f>
        <v>0.345</v>
      </c>
      <c r="P179" s="25">
        <f>IFERROR(__xludf.DUMMYFUNCTION("""COMPUTED_VALUE"""),0.506948)</f>
        <v>0.506948</v>
      </c>
      <c r="Q179" s="25">
        <f>IFERROR(__xludf.DUMMYFUNCTION("""COMPUTED_VALUE"""),0.790051)</f>
        <v>0.790051</v>
      </c>
      <c r="R179" s="18">
        <f>IFERROR(__xludf.DUMMYFUNCTION("""COMPUTED_VALUE"""),1.521029)</f>
        <v>1.521029</v>
      </c>
      <c r="S179" s="18">
        <f>IFERROR(__xludf.DUMMYFUNCTION("""COMPUTED_VALUE"""),-1.00276650959861)</f>
        <v>-1.00276651</v>
      </c>
      <c r="T179" s="18">
        <f>IFERROR(__xludf.DUMMYFUNCTION("""COMPUTED_VALUE"""),-0.39087343270902025)</f>
        <v>-0.3908734327</v>
      </c>
      <c r="U179" s="18">
        <f>IFERROR(__xludf.DUMMYFUNCTION("""COMPUTED_VALUE"""),-1.364501967084824)</f>
        <v>-1.364501967</v>
      </c>
      <c r="V179" s="18">
        <f>IFERROR(__xludf.DUMMYFUNCTION("""COMPUTED_VALUE"""),-0.11414793116208999)</f>
        <v>-0.1141479312</v>
      </c>
      <c r="W179" s="18">
        <f>IFERROR(__xludf.DUMMYFUNCTION("""COMPUTED_VALUE"""),-0.5221846605198883)</f>
        <v>-0.5221846605</v>
      </c>
      <c r="X179" s="18">
        <f>IFERROR(__xludf.DUMMYFUNCTION("""COMPUTED_VALUE"""),-0.7003310583957011)</f>
        <v>-0.7003310584</v>
      </c>
      <c r="Y179" s="18">
        <f>IFERROR(__xludf.DUMMYFUNCTION("""COMPUTED_VALUE"""),0.17917064683491837)</f>
        <v>0.1791706468</v>
      </c>
      <c r="Z179" s="18">
        <f>IFERROR(__xludf.DUMMYFUNCTION("""COMPUTED_VALUE"""),0.02554406531795811)</f>
        <v>0.02554406532</v>
      </c>
      <c r="AA179" s="18">
        <f>IFERROR(__xludf.DUMMYFUNCTION("""COMPUTED_VALUE"""),0.0)</f>
        <v>0</v>
      </c>
      <c r="AB179" t="str">
        <f>IFERROR(__xludf.DUMMYFUNCTION("SUBSTITUTE(REGEXREPLACE(REGEXREPLACE(REGEXREPLACE(REGEXREPLACE(REGEXREPLACE(REGEXREPLACE(F179,"","",),IF(Projections!$T$11="""",""PG"",),),IF(Projections!$U$11="""",""SG"",),),IF(Projections!$V$11="""",""SF"",),),IF(Projections!$W$11="""",""PF"",),),IF(Pr"&amp;"ojections!$X$11="""",""C"",),),""/"","""")"),"GF")</f>
        <v>GF</v>
      </c>
    </row>
    <row r="180">
      <c r="B180">
        <f>IFERROR(__xludf.DUMMYFUNCTION("""COMPUTED_VALUE"""),175.0)</f>
        <v>175</v>
      </c>
      <c r="D180" t="str">
        <f>IFERROR(__xludf.DUMMYFUNCTION("""COMPUTED_VALUE"""),"Matisse Thybulle")</f>
        <v>Matisse Thybulle</v>
      </c>
      <c r="E180">
        <f>IFERROR(__xludf.DUMMYFUNCTION("""COMPUTED_VALUE"""),68.0)</f>
        <v>68</v>
      </c>
      <c r="F180" t="str">
        <f>IFERROR(__xludf.DUMMYFUNCTION("""COMPUTED_VALUE"""),"G,F")</f>
        <v>G,F</v>
      </c>
      <c r="G180" s="18">
        <f>IFERROR(__xludf.DUMMYFUNCTION("""COMPUTED_VALUE"""),-2.5309934507331464)</f>
        <v>-2.530993451</v>
      </c>
      <c r="H180" s="18">
        <f>IFERROR(__xludf.DUMMYFUNCTION("""COMPUTED_VALUE"""),-2.7949095949012968)</f>
        <v>-2.794909595</v>
      </c>
      <c r="I180" s="18">
        <f>IFERROR(__xludf.DUMMYFUNCTION("""COMPUTED_VALUE"""),-0.26391614416815035)</f>
        <v>-0.2639161442</v>
      </c>
      <c r="J180" s="18">
        <f>IFERROR(__xludf.DUMMYFUNCTION("""COMPUTED_VALUE"""),7.763088)</f>
        <v>7.763088</v>
      </c>
      <c r="K180" s="18">
        <f>IFERROR(__xludf.DUMMYFUNCTION("""COMPUTED_VALUE"""),1.346176)</f>
        <v>1.346176</v>
      </c>
      <c r="L180" s="18">
        <f>IFERROR(__xludf.DUMMYFUNCTION("""COMPUTED_VALUE"""),3.079118)</f>
        <v>3.079118</v>
      </c>
      <c r="M180" s="18">
        <f>IFERROR(__xludf.DUMMYFUNCTION("""COMPUTED_VALUE"""),1.368529)</f>
        <v>1.368529</v>
      </c>
      <c r="N180" s="18">
        <f>IFERROR(__xludf.DUMMYFUNCTION("""COMPUTED_VALUE"""),1.808382)</f>
        <v>1.808382</v>
      </c>
      <c r="O180" s="18">
        <f>IFERROR(__xludf.DUMMYFUNCTION("""COMPUTED_VALUE"""),0.684412)</f>
        <v>0.684412</v>
      </c>
      <c r="P180" s="25">
        <f>IFERROR(__xludf.DUMMYFUNCTION("""COMPUTED_VALUE"""),0.440476)</f>
        <v>0.440476</v>
      </c>
      <c r="Q180" s="25">
        <f>IFERROR(__xludf.DUMMYFUNCTION("""COMPUTED_VALUE"""),0.646089)</f>
        <v>0.646089</v>
      </c>
      <c r="R180" s="18">
        <f>IFERROR(__xludf.DUMMYFUNCTION("""COMPUTED_VALUE"""),0.684412)</f>
        <v>0.684412</v>
      </c>
      <c r="S180" s="18">
        <f>IFERROR(__xludf.DUMMYFUNCTION("""COMPUTED_VALUE"""),-1.6511817011100909)</f>
        <v>-1.651181701</v>
      </c>
      <c r="T180" s="18">
        <f>IFERROR(__xludf.DUMMYFUNCTION("""COMPUTED_VALUE"""),-0.4089123038640341)</f>
        <v>-0.4089123039</v>
      </c>
      <c r="U180" s="18">
        <f>IFERROR(__xludf.DUMMYFUNCTION("""COMPUTED_VALUE"""),-1.2352655089226354)</f>
        <v>-1.235265509</v>
      </c>
      <c r="V180" s="18">
        <f>IFERROR(__xludf.DUMMYFUNCTION("""COMPUTED_VALUE"""),-1.2058342088807061)</f>
        <v>-1.205834209</v>
      </c>
      <c r="W180" s="18">
        <f>IFERROR(__xludf.DUMMYFUNCTION("""COMPUTED_VALUE"""),2.3256285495640356)</f>
        <v>2.32562855</v>
      </c>
      <c r="X180" s="18">
        <f>IFERROR(__xludf.DUMMYFUNCTION("""COMPUTED_VALUE"""),-0.08328268133389213)</f>
        <v>-0.08328268133</v>
      </c>
      <c r="Y180" s="18">
        <f>IFERROR(__xludf.DUMMYFUNCTION("""COMPUTED_VALUE"""),-0.7238676046407012)</f>
        <v>-0.7238676046</v>
      </c>
      <c r="Z180" s="18">
        <f>IFERROR(__xludf.DUMMYFUNCTION("""COMPUTED_VALUE"""),-1.4633758368233643)</f>
        <v>-1.463375837</v>
      </c>
      <c r="AA180" s="18">
        <f>IFERROR(__xludf.DUMMYFUNCTION("""COMPUTED_VALUE"""),0.0)</f>
        <v>0</v>
      </c>
      <c r="AB180" t="str">
        <f>IFERROR(__xludf.DUMMYFUNCTION("SUBSTITUTE(REGEXREPLACE(REGEXREPLACE(REGEXREPLACE(REGEXREPLACE(REGEXREPLACE(REGEXREPLACE(F180,"","",),IF(Projections!$T$11="""",""PG"",),),IF(Projections!$U$11="""",""SG"",),),IF(Projections!$V$11="""",""SF"",),),IF(Projections!$W$11="""",""PF"",),),IF(Pr"&amp;"ojections!$X$11="""",""C"",),),""/"","""")"),"GF")</f>
        <v>GF</v>
      </c>
    </row>
    <row r="181">
      <c r="B181">
        <f>IFERROR(__xludf.DUMMYFUNCTION("""COMPUTED_VALUE"""),176.0)</f>
        <v>176</v>
      </c>
      <c r="D181" t="str">
        <f>IFERROR(__xludf.DUMMYFUNCTION("""COMPUTED_VALUE"""),"Ziaire Williams")</f>
        <v>Ziaire Williams</v>
      </c>
      <c r="E181">
        <f>IFERROR(__xludf.DUMMYFUNCTION("""COMPUTED_VALUE"""),68.0)</f>
        <v>68</v>
      </c>
      <c r="F181" t="str">
        <f>IFERROR(__xludf.DUMMYFUNCTION("""COMPUTED_VALUE"""),"F")</f>
        <v>F</v>
      </c>
      <c r="G181" s="18">
        <f>IFERROR(__xludf.DUMMYFUNCTION("""COMPUTED_VALUE"""),-2.5675180833951563)</f>
        <v>-2.567518083</v>
      </c>
      <c r="H181" s="18">
        <f>IFERROR(__xludf.DUMMYFUNCTION("""COMPUTED_VALUE"""),-2.7324967952581627)</f>
        <v>-2.732496795</v>
      </c>
      <c r="I181" s="18">
        <f>IFERROR(__xludf.DUMMYFUNCTION("""COMPUTED_VALUE"""),-0.1649787118630064)</f>
        <v>-0.1649787119</v>
      </c>
      <c r="J181" s="18">
        <f>IFERROR(__xludf.DUMMYFUNCTION("""COMPUTED_VALUE"""),11.76338)</f>
        <v>11.76338</v>
      </c>
      <c r="K181" s="18">
        <f>IFERROR(__xludf.DUMMYFUNCTION("""COMPUTED_VALUE"""),2.120147)</f>
        <v>2.120147</v>
      </c>
      <c r="L181" s="18">
        <f>IFERROR(__xludf.DUMMYFUNCTION("""COMPUTED_VALUE"""),3.9)</f>
        <v>3.9</v>
      </c>
      <c r="M181" s="18">
        <f>IFERROR(__xludf.DUMMYFUNCTION("""COMPUTED_VALUE"""),1.191618)</f>
        <v>1.191618</v>
      </c>
      <c r="N181" s="18">
        <f>IFERROR(__xludf.DUMMYFUNCTION("""COMPUTED_VALUE"""),0.975)</f>
        <v>0.975</v>
      </c>
      <c r="O181" s="18">
        <f>IFERROR(__xludf.DUMMYFUNCTION("""COMPUTED_VALUE"""),0.435882)</f>
        <v>0.435882</v>
      </c>
      <c r="P181" s="25">
        <f>IFERROR(__xludf.DUMMYFUNCTION("""COMPUTED_VALUE"""),0.420521)</f>
        <v>0.420521</v>
      </c>
      <c r="Q181" s="25">
        <f>IFERROR(__xludf.DUMMYFUNCTION("""COMPUTED_VALUE"""),0.82399)</f>
        <v>0.82399</v>
      </c>
      <c r="R181" s="18">
        <f>IFERROR(__xludf.DUMMYFUNCTION("""COMPUTED_VALUE"""),1.083382)</f>
        <v>1.083382</v>
      </c>
      <c r="S181" s="18">
        <f>IFERROR(__xludf.DUMMYFUNCTION("""COMPUTED_VALUE"""),-0.9493600240971766)</f>
        <v>-0.9493600241</v>
      </c>
      <c r="T181" s="18">
        <f>IFERROR(__xludf.DUMMYFUNCTION("""COMPUTED_VALUE"""),0.3386147693659903)</f>
        <v>0.3386147694</v>
      </c>
      <c r="U181" s="18">
        <f>IFERROR(__xludf.DUMMYFUNCTION("""COMPUTED_VALUE"""),-0.9025180299088421)</f>
        <v>-0.9025180299</v>
      </c>
      <c r="V181" s="18">
        <f>IFERROR(__xludf.DUMMYFUNCTION("""COMPUTED_VALUE"""),-1.2922577970741769)</f>
        <v>-1.292257797</v>
      </c>
      <c r="W181" s="18">
        <f>IFERROR(__xludf.DUMMYFUNCTION("""COMPUTED_VALUE"""),-0.2138781141702226)</f>
        <v>-0.2138781142</v>
      </c>
      <c r="X181" s="18">
        <f>IFERROR(__xludf.DUMMYFUNCTION("""COMPUTED_VALUE"""),-0.5351082890058995)</f>
        <v>-0.535108289</v>
      </c>
      <c r="Y181" s="18">
        <f>IFERROR(__xludf.DUMMYFUNCTION("""COMPUTED_VALUE"""),-0.9431529510043951)</f>
        <v>-0.943152951</v>
      </c>
      <c r="Z181" s="18">
        <f>IFERROR(__xludf.DUMMYFUNCTION("""COMPUTED_VALUE"""),0.47290584356238224)</f>
        <v>0.4729058436</v>
      </c>
      <c r="AA181" s="18">
        <f>IFERROR(__xludf.DUMMYFUNCTION("""COMPUTED_VALUE"""),0.0)</f>
        <v>0</v>
      </c>
      <c r="AB181" t="str">
        <f>IFERROR(__xludf.DUMMYFUNCTION("SUBSTITUTE(REGEXREPLACE(REGEXREPLACE(REGEXREPLACE(REGEXREPLACE(REGEXREPLACE(REGEXREPLACE(F181,"","",),IF(Projections!$T$11="""",""PG"",),),IF(Projections!$U$11="""",""SG"",),),IF(Projections!$V$11="""",""SF"",),),IF(Projections!$W$11="""",""PF"",),),IF(Pr"&amp;"ojections!$X$11="""",""C"",),),""/"","""")"),"F")</f>
        <v>F</v>
      </c>
    </row>
    <row r="182">
      <c r="B182">
        <f>IFERROR(__xludf.DUMMYFUNCTION("""COMPUTED_VALUE"""),177.0)</f>
        <v>177</v>
      </c>
      <c r="D182" t="str">
        <f>IFERROR(__xludf.DUMMYFUNCTION("""COMPUTED_VALUE"""),"Zaccharie Risacher")</f>
        <v>Zaccharie Risacher</v>
      </c>
      <c r="E182">
        <f>IFERROR(__xludf.DUMMYFUNCTION("""COMPUTED_VALUE"""),77.0)</f>
        <v>77</v>
      </c>
      <c r="F182" t="str">
        <f>IFERROR(__xludf.DUMMYFUNCTION("""COMPUTED_VALUE"""),"F")</f>
        <v>F</v>
      </c>
      <c r="G182" s="18">
        <f>IFERROR(__xludf.DUMMYFUNCTION("""COMPUTED_VALUE"""),-2.6801703965104684)</f>
        <v>-2.680170397</v>
      </c>
      <c r="H182" s="18">
        <f>IFERROR(__xludf.DUMMYFUNCTION("""COMPUTED_VALUE"""),-2.77532899438543)</f>
        <v>-2.775328994</v>
      </c>
      <c r="I182" s="18">
        <f>IFERROR(__xludf.DUMMYFUNCTION("""COMPUTED_VALUE"""),-0.09515859787496161)</f>
        <v>-0.09515859787</v>
      </c>
      <c r="J182" s="18">
        <f>IFERROR(__xludf.DUMMYFUNCTION("""COMPUTED_VALUE"""),16.85221)</f>
        <v>16.85221</v>
      </c>
      <c r="K182" s="18">
        <f>IFERROR(__xludf.DUMMYFUNCTION("""COMPUTED_VALUE"""),2.316234)</f>
        <v>2.316234</v>
      </c>
      <c r="L182" s="18">
        <f>IFERROR(__xludf.DUMMYFUNCTION("""COMPUTED_VALUE"""),3.9)</f>
        <v>3.9</v>
      </c>
      <c r="M182" s="18">
        <f>IFERROR(__xludf.DUMMYFUNCTION("""COMPUTED_VALUE"""),1.537143)</f>
        <v>1.537143</v>
      </c>
      <c r="N182" s="18">
        <f>IFERROR(__xludf.DUMMYFUNCTION("""COMPUTED_VALUE"""),0.788701)</f>
        <v>0.788701</v>
      </c>
      <c r="O182" s="18">
        <f>IFERROR(__xludf.DUMMYFUNCTION("""COMPUTED_VALUE"""),0.454935)</f>
        <v>0.454935</v>
      </c>
      <c r="P182" s="25">
        <f>IFERROR(__xludf.DUMMYFUNCTION("""COMPUTED_VALUE"""),0.499267)</f>
        <v>0.499267</v>
      </c>
      <c r="Q182" s="25">
        <f>IFERROR(__xludf.DUMMYFUNCTION("""COMPUTED_VALUE"""),0.683006)</f>
        <v>0.683006</v>
      </c>
      <c r="R182" s="18">
        <f>IFERROR(__xludf.DUMMYFUNCTION("""COMPUTED_VALUE"""),1.364935)</f>
        <v>1.364935</v>
      </c>
      <c r="S182" s="18">
        <f>IFERROR(__xludf.DUMMYFUNCTION("""COMPUTED_VALUE"""),-0.056562397165535384)</f>
        <v>-0.05656239717</v>
      </c>
      <c r="T182" s="18">
        <f>IFERROR(__xludf.DUMMYFUNCTION("""COMPUTED_VALUE"""),0.5280021510746797)</f>
        <v>0.5280021511</v>
      </c>
      <c r="U182" s="18">
        <f>IFERROR(__xludf.DUMMYFUNCTION("""COMPUTED_VALUE"""),-0.9025180299088421)</f>
        <v>-0.9025180299</v>
      </c>
      <c r="V182" s="18">
        <f>IFERROR(__xludf.DUMMYFUNCTION("""COMPUTED_VALUE"""),-1.1234638254695342)</f>
        <v>-1.123463825</v>
      </c>
      <c r="W182" s="18">
        <f>IFERROR(__xludf.DUMMYFUNCTION("""COMPUTED_VALUE"""),-0.7815740230655773)</f>
        <v>-0.7815740231</v>
      </c>
      <c r="X182" s="18">
        <f>IFERROR(__xludf.DUMMYFUNCTION("""COMPUTED_VALUE"""),-0.5004700831435298)</f>
        <v>-0.5004700831</v>
      </c>
      <c r="Y182" s="18">
        <f>IFERROR(__xludf.DUMMYFUNCTION("""COMPUTED_VALUE"""),0.06125721329290892)</f>
        <v>0.06125721329</v>
      </c>
      <c r="Z182" s="18">
        <f>IFERROR(__xludf.DUMMYFUNCTION("""COMPUTED_VALUE"""),-1.144625052529145)</f>
        <v>-1.144625053</v>
      </c>
      <c r="AA182" s="18">
        <f>IFERROR(__xludf.DUMMYFUNCTION("""COMPUTED_VALUE"""),0.0)</f>
        <v>0</v>
      </c>
      <c r="AB182" t="str">
        <f>IFERROR(__xludf.DUMMYFUNCTION("SUBSTITUTE(REGEXREPLACE(REGEXREPLACE(REGEXREPLACE(REGEXREPLACE(REGEXREPLACE(REGEXREPLACE(F182,"","",),IF(Projections!$T$11="""",""PG"",),),IF(Projections!$U$11="""",""SG"",),),IF(Projections!$V$11="""",""SF"",),),IF(Projections!$W$11="""",""PF"",),),IF(Pr"&amp;"ojections!$X$11="""",""C"",),),""/"","""")"),"F")</f>
        <v>F</v>
      </c>
    </row>
    <row r="183">
      <c r="B183">
        <f>IFERROR(__xludf.DUMMYFUNCTION("""COMPUTED_VALUE"""),178.0)</f>
        <v>178</v>
      </c>
      <c r="D183" t="str">
        <f>IFERROR(__xludf.DUMMYFUNCTION("""COMPUTED_VALUE"""),"Aaron Wiggins")</f>
        <v>Aaron Wiggins</v>
      </c>
      <c r="E183">
        <f>IFERROR(__xludf.DUMMYFUNCTION("""COMPUTED_VALUE"""),73.0)</f>
        <v>73</v>
      </c>
      <c r="F183" t="str">
        <f>IFERROR(__xludf.DUMMYFUNCTION("""COMPUTED_VALUE"""),"G,F")</f>
        <v>G,F</v>
      </c>
      <c r="G183" s="18">
        <f>IFERROR(__xludf.DUMMYFUNCTION("""COMPUTED_VALUE"""),-2.766549203200186)</f>
        <v>-2.766549203</v>
      </c>
      <c r="H183" s="18">
        <f>IFERROR(__xludf.DUMMYFUNCTION("""COMPUTED_VALUE"""),-2.9783620690160753)</f>
        <v>-2.978362069</v>
      </c>
      <c r="I183" s="18">
        <f>IFERROR(__xludf.DUMMYFUNCTION("""COMPUTED_VALUE"""),-0.21181286581588932)</f>
        <v>-0.2118128658</v>
      </c>
      <c r="J183" s="18">
        <f>IFERROR(__xludf.DUMMYFUNCTION("""COMPUTED_VALUE"""),12.71849)</f>
        <v>12.71849</v>
      </c>
      <c r="K183" s="18">
        <f>IFERROR(__xludf.DUMMYFUNCTION("""COMPUTED_VALUE"""),1.837808)</f>
        <v>1.837808</v>
      </c>
      <c r="L183" s="18">
        <f>IFERROR(__xludf.DUMMYFUNCTION("""COMPUTED_VALUE"""),3.693288)</f>
        <v>3.693288</v>
      </c>
      <c r="M183" s="18">
        <f>IFERROR(__xludf.DUMMYFUNCTION("""COMPUTED_VALUE"""),1.716164)</f>
        <v>1.716164</v>
      </c>
      <c r="N183" s="18">
        <f>IFERROR(__xludf.DUMMYFUNCTION("""COMPUTED_VALUE"""),0.784247)</f>
        <v>0.784247</v>
      </c>
      <c r="O183" s="18">
        <f>IFERROR(__xludf.DUMMYFUNCTION("""COMPUTED_VALUE"""),0.235753)</f>
        <v>0.235753</v>
      </c>
      <c r="P183" s="25">
        <f>IFERROR(__xludf.DUMMYFUNCTION("""COMPUTED_VALUE"""),0.492403)</f>
        <v>0.492403</v>
      </c>
      <c r="Q183" s="25">
        <f>IFERROR(__xludf.DUMMYFUNCTION("""COMPUTED_VALUE"""),0.822977)</f>
        <v>0.822977</v>
      </c>
      <c r="R183" s="18">
        <f>IFERROR(__xludf.DUMMYFUNCTION("""COMPUTED_VALUE"""),0.894521)</f>
        <v>0.894521</v>
      </c>
      <c r="S183" s="18">
        <f>IFERROR(__xludf.DUMMYFUNCTION("""COMPUTED_VALUE"""),-0.7817930310047212)</f>
        <v>-0.781793031</v>
      </c>
      <c r="T183" s="18">
        <f>IFERROR(__xludf.DUMMYFUNCTION("""COMPUTED_VALUE"""),0.065922321808276)</f>
        <v>0.06592232181</v>
      </c>
      <c r="U183" s="18">
        <f>IFERROR(__xludf.DUMMYFUNCTION("""COMPUTED_VALUE"""),-0.986309484566027)</f>
        <v>-0.9863094846</v>
      </c>
      <c r="V183" s="18">
        <f>IFERROR(__xludf.DUMMYFUNCTION("""COMPUTED_VALUE"""),-1.036009471687218)</f>
        <v>-1.036009472</v>
      </c>
      <c r="W183" s="18">
        <f>IFERROR(__xludf.DUMMYFUNCTION("""COMPUTED_VALUE"""),-0.7951463856559288)</f>
        <v>-0.7951463857</v>
      </c>
      <c r="X183" s="18">
        <f>IFERROR(__xludf.DUMMYFUNCTION("""COMPUTED_VALUE"""),-0.8989412549970923)</f>
        <v>-0.898941255</v>
      </c>
      <c r="Y183" s="18">
        <f>IFERROR(__xludf.DUMMYFUNCTION("""COMPUTED_VALUE"""),-0.041115117404959184)</f>
        <v>-0.0411151174</v>
      </c>
      <c r="Z183" s="18">
        <f>IFERROR(__xludf.DUMMYFUNCTION("""COMPUTED_VALUE"""),0.45902088280437714)</f>
        <v>0.4590208828</v>
      </c>
      <c r="AA183" s="18">
        <f>IFERROR(__xludf.DUMMYFUNCTION("""COMPUTED_VALUE"""),0.0)</f>
        <v>0</v>
      </c>
      <c r="AB183" t="str">
        <f>IFERROR(__xludf.DUMMYFUNCTION("SUBSTITUTE(REGEXREPLACE(REGEXREPLACE(REGEXREPLACE(REGEXREPLACE(REGEXREPLACE(REGEXREPLACE(F183,"","",),IF(Projections!$T$11="""",""PG"",),),IF(Projections!$U$11="""",""SG"",),),IF(Projections!$V$11="""",""SF"",),),IF(Projections!$W$11="""",""PF"",),),IF(Pr"&amp;"ojections!$X$11="""",""C"",),),""/"","""")"),"GF")</f>
        <v>GF</v>
      </c>
    </row>
    <row r="184">
      <c r="B184">
        <f>IFERROR(__xludf.DUMMYFUNCTION("""COMPUTED_VALUE"""),179.0)</f>
        <v>179</v>
      </c>
      <c r="D184" t="str">
        <f>IFERROR(__xludf.DUMMYFUNCTION("""COMPUTED_VALUE"""),"Caris LeVert")</f>
        <v>Caris LeVert</v>
      </c>
      <c r="E184">
        <f>IFERROR(__xludf.DUMMYFUNCTION("""COMPUTED_VALUE"""),68.0)</f>
        <v>68</v>
      </c>
      <c r="F184" t="str">
        <f>IFERROR(__xludf.DUMMYFUNCTION("""COMPUTED_VALUE"""),"G,F")</f>
        <v>G,F</v>
      </c>
      <c r="G184" s="18">
        <f>IFERROR(__xludf.DUMMYFUNCTION("""COMPUTED_VALUE"""),-2.805388362032899)</f>
        <v>-2.805388362</v>
      </c>
      <c r="H184" s="18">
        <f>IFERROR(__xludf.DUMMYFUNCTION("""COMPUTED_VALUE"""),-2.9468087710937176)</f>
        <v>-2.946808771</v>
      </c>
      <c r="I184" s="18">
        <f>IFERROR(__xludf.DUMMYFUNCTION("""COMPUTED_VALUE"""),-0.14142040906081865)</f>
        <v>-0.1414204091</v>
      </c>
      <c r="J184" s="18">
        <f>IFERROR(__xludf.DUMMYFUNCTION("""COMPUTED_VALUE"""),13.20162)</f>
        <v>13.20162</v>
      </c>
      <c r="K184" s="18">
        <f>IFERROR(__xludf.DUMMYFUNCTION("""COMPUTED_VALUE"""),1.781618)</f>
        <v>1.781618</v>
      </c>
      <c r="L184" s="18">
        <f>IFERROR(__xludf.DUMMYFUNCTION("""COMPUTED_VALUE"""),3.711765)</f>
        <v>3.711765</v>
      </c>
      <c r="M184" s="18">
        <f>IFERROR(__xludf.DUMMYFUNCTION("""COMPUTED_VALUE"""),3.181471)</f>
        <v>3.181471</v>
      </c>
      <c r="N184" s="18">
        <f>IFERROR(__xludf.DUMMYFUNCTION("""COMPUTED_VALUE"""),1.015882)</f>
        <v>1.015882</v>
      </c>
      <c r="O184" s="18">
        <f>IFERROR(__xludf.DUMMYFUNCTION("""COMPUTED_VALUE"""),0.412353)</f>
        <v>0.412353</v>
      </c>
      <c r="P184" s="25">
        <f>IFERROR(__xludf.DUMMYFUNCTION("""COMPUTED_VALUE"""),0.448395)</f>
        <v>0.448395</v>
      </c>
      <c r="Q184" s="25">
        <f>IFERROR(__xludf.DUMMYFUNCTION("""COMPUTED_VALUE"""),0.73298)</f>
        <v>0.73298</v>
      </c>
      <c r="R184" s="18">
        <f>IFERROR(__xludf.DUMMYFUNCTION("""COMPUTED_VALUE"""),1.178382)</f>
        <v>1.178382</v>
      </c>
      <c r="S184" s="18">
        <f>IFERROR(__xludf.DUMMYFUNCTION("""COMPUTED_VALUE"""),-0.6970314418969136)</f>
        <v>-0.6970314419</v>
      </c>
      <c r="T184" s="18">
        <f>IFERROR(__xludf.DUMMYFUNCTION("""COMPUTED_VALUE"""),0.011652140826307387)</f>
        <v>0.01165214083</v>
      </c>
      <c r="U184" s="18">
        <f>IFERROR(__xludf.DUMMYFUNCTION("""COMPUTED_VALUE"""),-0.9788197659831638)</f>
        <v>-0.978819766</v>
      </c>
      <c r="V184" s="18">
        <f>IFERROR(__xludf.DUMMYFUNCTION("""COMPUTED_VALUE"""),-0.32018575950985223)</f>
        <v>-0.3201857595</v>
      </c>
      <c r="W184" s="18">
        <f>IFERROR(__xludf.DUMMYFUNCTION("""COMPUTED_VALUE"""),-0.08930125574661388)</f>
        <v>-0.08930125575</v>
      </c>
      <c r="X184" s="18">
        <f>IFERROR(__xludf.DUMMYFUNCTION("""COMPUTED_VALUE"""),-0.5778838280672388)</f>
        <v>-0.5778838281</v>
      </c>
      <c r="Y184" s="18">
        <f>IFERROR(__xludf.DUMMYFUNCTION("""COMPUTED_VALUE"""),-0.6302149603696484)</f>
        <v>-0.6302149604</v>
      </c>
      <c r="Z184" s="18">
        <f>IFERROR(__xludf.DUMMYFUNCTION("""COMPUTED_VALUE"""),-0.643843666329758)</f>
        <v>-0.6438436663</v>
      </c>
      <c r="AA184" s="18">
        <f>IFERROR(__xludf.DUMMYFUNCTION("""COMPUTED_VALUE"""),0.0)</f>
        <v>0</v>
      </c>
      <c r="AB184" t="str">
        <f>IFERROR(__xludf.DUMMYFUNCTION("SUBSTITUTE(REGEXREPLACE(REGEXREPLACE(REGEXREPLACE(REGEXREPLACE(REGEXREPLACE(REGEXREPLACE(F184,"","",),IF(Projections!$T$11="""",""PG"",),),IF(Projections!$U$11="""",""SG"",),),IF(Projections!$V$11="""",""SF"",),),IF(Projections!$W$11="""",""PF"",),),IF(Pr"&amp;"ojections!$X$11="""",""C"",),),""/"","""")"),"GF")</f>
        <v>GF</v>
      </c>
    </row>
    <row r="185">
      <c r="B185">
        <f>IFERROR(__xludf.DUMMYFUNCTION("""COMPUTED_VALUE"""),180.0)</f>
        <v>180</v>
      </c>
      <c r="D185" t="str">
        <f>IFERROR(__xludf.DUMMYFUNCTION("""COMPUTED_VALUE"""),"Jalen Smith")</f>
        <v>Jalen Smith</v>
      </c>
      <c r="E185">
        <f>IFERROR(__xludf.DUMMYFUNCTION("""COMPUTED_VALUE"""),59.0)</f>
        <v>59</v>
      </c>
      <c r="F185" t="str">
        <f>IFERROR(__xludf.DUMMYFUNCTION("""COMPUTED_VALUE"""),"C")</f>
        <v>C</v>
      </c>
      <c r="G185" s="18">
        <f>IFERROR(__xludf.DUMMYFUNCTION("""COMPUTED_VALUE"""),-2.891465913839725)</f>
        <v>-2.891465914</v>
      </c>
      <c r="H185" s="18">
        <f>IFERROR(__xludf.DUMMYFUNCTION("""COMPUTED_VALUE"""),-3.1789626792021908)</f>
        <v>-3.178962679</v>
      </c>
      <c r="I185" s="18">
        <f>IFERROR(__xludf.DUMMYFUNCTION("""COMPUTED_VALUE"""),-0.2874967653624658)</f>
        <v>-0.2874967654</v>
      </c>
      <c r="J185" s="18">
        <f>IFERROR(__xludf.DUMMYFUNCTION("""COMPUTED_VALUE"""),9.186271)</f>
        <v>9.186271</v>
      </c>
      <c r="K185" s="18">
        <f>IFERROR(__xludf.DUMMYFUNCTION("""COMPUTED_VALUE"""),1.094068)</f>
        <v>1.094068</v>
      </c>
      <c r="L185" s="18">
        <f>IFERROR(__xludf.DUMMYFUNCTION("""COMPUTED_VALUE"""),6.482712)</f>
        <v>6.482712</v>
      </c>
      <c r="M185" s="18">
        <f>IFERROR(__xludf.DUMMYFUNCTION("""COMPUTED_VALUE"""),1.17678)</f>
        <v>1.17678</v>
      </c>
      <c r="N185" s="18">
        <f>IFERROR(__xludf.DUMMYFUNCTION("""COMPUTED_VALUE"""),0.297966)</f>
        <v>0.297966</v>
      </c>
      <c r="O185" s="18">
        <f>IFERROR(__xludf.DUMMYFUNCTION("""COMPUTED_VALUE"""),0.732034)</f>
        <v>0.732034</v>
      </c>
      <c r="P185" s="25">
        <f>IFERROR(__xludf.DUMMYFUNCTION("""COMPUTED_VALUE"""),0.499502)</f>
        <v>0.499502</v>
      </c>
      <c r="Q185" s="25">
        <f>IFERROR(__xludf.DUMMYFUNCTION("""COMPUTED_VALUE"""),0.784987)</f>
        <v>0.784987</v>
      </c>
      <c r="R185" s="18">
        <f>IFERROR(__xludf.DUMMYFUNCTION("""COMPUTED_VALUE"""),0.589322)</f>
        <v>0.589322</v>
      </c>
      <c r="S185" s="18">
        <f>IFERROR(__xludf.DUMMYFUNCTION("""COMPUTED_VALUE"""),-1.401494758317847)</f>
        <v>-1.401494758</v>
      </c>
      <c r="T185" s="18">
        <f>IFERROR(__xludf.DUMMYFUNCTION("""COMPUTED_VALUE"""),-0.6524066407033666)</f>
        <v>-0.6524066407</v>
      </c>
      <c r="U185" s="18">
        <f>IFERROR(__xludf.DUMMYFUNCTION("""COMPUTED_VALUE"""),0.14439359322173245)</f>
        <v>0.1443935932</v>
      </c>
      <c r="V185" s="18">
        <f>IFERROR(__xludf.DUMMYFUNCTION("""COMPUTED_VALUE"""),-1.299506375181896)</f>
        <v>-1.299506375</v>
      </c>
      <c r="W185" s="18">
        <f>IFERROR(__xludf.DUMMYFUNCTION("""COMPUTED_VALUE"""),-2.2769564558846582)</f>
        <v>-2.276956456</v>
      </c>
      <c r="X185" s="18">
        <f>IFERROR(__xludf.DUMMYFUNCTION("""COMPUTED_VALUE"""),0.00329374440366996)</f>
        <v>0.003293744404</v>
      </c>
      <c r="Y185" s="18">
        <f>IFERROR(__xludf.DUMMYFUNCTION("""COMPUTED_VALUE"""),0.06481220784940539)</f>
        <v>0.06481220785</v>
      </c>
      <c r="Z185" s="18">
        <f>IFERROR(__xludf.DUMMYFUNCTION("""COMPUTED_VALUE"""),-0.038054450473888585)</f>
        <v>-0.03805445047</v>
      </c>
      <c r="AA185" s="18">
        <f>IFERROR(__xludf.DUMMYFUNCTION("""COMPUTED_VALUE"""),0.0)</f>
        <v>0</v>
      </c>
      <c r="AB185" t="str">
        <f>IFERROR(__xludf.DUMMYFUNCTION("SUBSTITUTE(REGEXREPLACE(REGEXREPLACE(REGEXREPLACE(REGEXREPLACE(REGEXREPLACE(REGEXREPLACE(F185,"","",),IF(Projections!$T$11="""",""PG"",),),IF(Projections!$U$11="""",""SG"",),),IF(Projections!$V$11="""",""SF"",),),IF(Projections!$W$11="""",""PF"",),),IF(Pr"&amp;"ojections!$X$11="""",""C"",),),""/"","""")"),"C")</f>
        <v>C</v>
      </c>
    </row>
    <row r="186">
      <c r="B186">
        <f>IFERROR(__xludf.DUMMYFUNCTION("""COMPUTED_VALUE"""),181.0)</f>
        <v>181</v>
      </c>
      <c r="D186" t="str">
        <f>IFERROR(__xludf.DUMMYFUNCTION("""COMPUTED_VALUE"""),"Wendell Carter Jr.")</f>
        <v>Wendell Carter Jr.</v>
      </c>
      <c r="E186">
        <f>IFERROR(__xludf.DUMMYFUNCTION("""COMPUTED_VALUE"""),68.0)</f>
        <v>68</v>
      </c>
      <c r="F186" t="str">
        <f>IFERROR(__xludf.DUMMYFUNCTION("""COMPUTED_VALUE"""),"C")</f>
        <v>C</v>
      </c>
      <c r="G186" s="18">
        <f>IFERROR(__xludf.DUMMYFUNCTION("""COMPUTED_VALUE"""),-2.8938190752749566)</f>
        <v>-2.893819075</v>
      </c>
      <c r="H186" s="18">
        <f>IFERROR(__xludf.DUMMYFUNCTION("""COMPUTED_VALUE"""),-3.0267059231144193)</f>
        <v>-3.026705923</v>
      </c>
      <c r="I186" s="18">
        <f>IFERROR(__xludf.DUMMYFUNCTION("""COMPUTED_VALUE"""),-0.1328868478394627)</f>
        <v>-0.1328868478</v>
      </c>
      <c r="J186" s="18">
        <f>IFERROR(__xludf.DUMMYFUNCTION("""COMPUTED_VALUE"""),8.797647)</f>
        <v>8.797647</v>
      </c>
      <c r="K186" s="18">
        <f>IFERROR(__xludf.DUMMYFUNCTION("""COMPUTED_VALUE"""),0.743676)</f>
        <v>0.743676</v>
      </c>
      <c r="L186" s="18">
        <f>IFERROR(__xludf.DUMMYFUNCTION("""COMPUTED_VALUE"""),7.166176)</f>
        <v>7.166176</v>
      </c>
      <c r="M186" s="18">
        <f>IFERROR(__xludf.DUMMYFUNCTION("""COMPUTED_VALUE"""),1.598676)</f>
        <v>1.598676</v>
      </c>
      <c r="N186" s="18">
        <f>IFERROR(__xludf.DUMMYFUNCTION("""COMPUTED_VALUE"""),0.831618)</f>
        <v>0.831618</v>
      </c>
      <c r="O186" s="18">
        <f>IFERROR(__xludf.DUMMYFUNCTION("""COMPUTED_VALUE"""),0.716618)</f>
        <v>0.716618</v>
      </c>
      <c r="P186" s="25">
        <f>IFERROR(__xludf.DUMMYFUNCTION("""COMPUTED_VALUE"""),0.498602)</f>
        <v>0.498602</v>
      </c>
      <c r="Q186" s="25">
        <f>IFERROR(__xludf.DUMMYFUNCTION("""COMPUTED_VALUE"""),0.72401)</f>
        <v>0.72401</v>
      </c>
      <c r="R186" s="18">
        <f>IFERROR(__xludf.DUMMYFUNCTION("""COMPUTED_VALUE"""),1.212794)</f>
        <v>1.212794</v>
      </c>
      <c r="S186" s="18">
        <f>IFERROR(__xludf.DUMMYFUNCTION("""COMPUTED_VALUE"""),-1.4696759679414113)</f>
        <v>-1.469675968</v>
      </c>
      <c r="T186" s="18">
        <f>IFERROR(__xludf.DUMMYFUNCTION("""COMPUTED_VALUE"""),-0.990826951339314)</f>
        <v>-0.9908269513</v>
      </c>
      <c r="U186" s="18">
        <f>IFERROR(__xludf.DUMMYFUNCTION("""COMPUTED_VALUE"""),0.4214381903705105)</f>
        <v>0.4214381904</v>
      </c>
      <c r="V186" s="18">
        <f>IFERROR(__xludf.DUMMYFUNCTION("""COMPUTED_VALUE"""),-1.0934040629205188)</f>
        <v>-1.093404063</v>
      </c>
      <c r="W186" s="18">
        <f>IFERROR(__xludf.DUMMYFUNCTION("""COMPUTED_VALUE"""),-0.6507960515141362)</f>
        <v>-0.6507960515</v>
      </c>
      <c r="X186" s="18">
        <f>IFERROR(__xludf.DUMMYFUNCTION("""COMPUTED_VALUE"""),-0.024732423736480758)</f>
        <v>-0.02473242374</v>
      </c>
      <c r="Y186" s="18">
        <f>IFERROR(__xludf.DUMMYFUNCTION("""COMPUTED_VALUE"""),0.05121531390246141)</f>
        <v>0.0512153139</v>
      </c>
      <c r="Z186" s="18">
        <f>IFERROR(__xludf.DUMMYFUNCTION("""COMPUTED_VALUE"""),-0.7395999378769409)</f>
        <v>-0.7395999379</v>
      </c>
      <c r="AA186" s="18">
        <f>IFERROR(__xludf.DUMMYFUNCTION("""COMPUTED_VALUE"""),0.0)</f>
        <v>0</v>
      </c>
      <c r="AB186" t="str">
        <f>IFERROR(__xludf.DUMMYFUNCTION("SUBSTITUTE(REGEXREPLACE(REGEXREPLACE(REGEXREPLACE(REGEXREPLACE(REGEXREPLACE(REGEXREPLACE(F186,"","",),IF(Projections!$T$11="""",""PG"",),),IF(Projections!$U$11="""",""SG"",),),IF(Projections!$V$11="""",""SF"",),),IF(Projections!$W$11="""",""PF"",),),IF(Pr"&amp;"ojections!$X$11="""",""C"",),),""/"","""")"),"C")</f>
        <v>C</v>
      </c>
    </row>
    <row r="187">
      <c r="B187">
        <f>IFERROR(__xludf.DUMMYFUNCTION("""COMPUTED_VALUE"""),182.0)</f>
        <v>182</v>
      </c>
      <c r="D187" t="str">
        <f>IFERROR(__xludf.DUMMYFUNCTION("""COMPUTED_VALUE"""),"Luguentz Dort")</f>
        <v>Luguentz Dort</v>
      </c>
      <c r="E187">
        <f>IFERROR(__xludf.DUMMYFUNCTION("""COMPUTED_VALUE"""),73.0)</f>
        <v>73</v>
      </c>
      <c r="F187" t="str">
        <f>IFERROR(__xludf.DUMMYFUNCTION("""COMPUTED_VALUE"""),"F")</f>
        <v>F</v>
      </c>
      <c r="G187" s="18">
        <f>IFERROR(__xludf.DUMMYFUNCTION("""COMPUTED_VALUE"""),-3.0344013164574895)</f>
        <v>-3.034401316</v>
      </c>
      <c r="H187" s="18">
        <f>IFERROR(__xludf.DUMMYFUNCTION("""COMPUTED_VALUE"""),-3.2683969281740533)</f>
        <v>-3.268396928</v>
      </c>
      <c r="I187" s="18">
        <f>IFERROR(__xludf.DUMMYFUNCTION("""COMPUTED_VALUE"""),-0.2339956117165638)</f>
        <v>-0.2339956117</v>
      </c>
      <c r="J187" s="18">
        <f>IFERROR(__xludf.DUMMYFUNCTION("""COMPUTED_VALUE"""),9.455479)</f>
        <v>9.455479</v>
      </c>
      <c r="K187" s="18">
        <f>IFERROR(__xludf.DUMMYFUNCTION("""COMPUTED_VALUE"""),2.292466)</f>
        <v>2.292466</v>
      </c>
      <c r="L187" s="18">
        <f>IFERROR(__xludf.DUMMYFUNCTION("""COMPUTED_VALUE"""),3.943973)</f>
        <v>3.943973</v>
      </c>
      <c r="M187" s="18">
        <f>IFERROR(__xludf.DUMMYFUNCTION("""COMPUTED_VALUE"""),1.417397)</f>
        <v>1.417397</v>
      </c>
      <c r="N187" s="18">
        <f>IFERROR(__xludf.DUMMYFUNCTION("""COMPUTED_VALUE"""),1.099452)</f>
        <v>1.099452</v>
      </c>
      <c r="O187" s="18">
        <f>IFERROR(__xludf.DUMMYFUNCTION("""COMPUTED_VALUE"""),0.49589)</f>
        <v>0.49589</v>
      </c>
      <c r="P187" s="25">
        <f>IFERROR(__xludf.DUMMYFUNCTION("""COMPUTED_VALUE"""),0.42136)</f>
        <v>0.42136</v>
      </c>
      <c r="Q187" s="25">
        <f>IFERROR(__xludf.DUMMYFUNCTION("""COMPUTED_VALUE"""),0.744981)</f>
        <v>0.744981</v>
      </c>
      <c r="R187" s="18">
        <f>IFERROR(__xludf.DUMMYFUNCTION("""COMPUTED_VALUE"""),0.805068)</f>
        <v>0.805068</v>
      </c>
      <c r="S187" s="18">
        <f>IFERROR(__xludf.DUMMYFUNCTION("""COMPUTED_VALUE"""),-1.3542642036420152)</f>
        <v>-1.354264204</v>
      </c>
      <c r="T187" s="18">
        <f>IFERROR(__xludf.DUMMYFUNCTION("""COMPUTED_VALUE"""),0.5050462218776798)</f>
        <v>0.5050462219</v>
      </c>
      <c r="U187" s="18">
        <f>IFERROR(__xludf.DUMMYFUNCTION("""COMPUTED_VALUE"""),-0.8846934157807779)</f>
        <v>-0.8846934158</v>
      </c>
      <c r="V187" s="18">
        <f>IFERROR(__xludf.DUMMYFUNCTION("""COMPUTED_VALUE"""),-1.1819614824372484)</f>
        <v>-1.181961482</v>
      </c>
      <c r="W187" s="18">
        <f>IFERROR(__xludf.DUMMYFUNCTION("""COMPUTED_VALUE"""),0.165355758549678)</f>
        <v>0.1653557585</v>
      </c>
      <c r="X187" s="18">
        <f>IFERROR(__xludf.DUMMYFUNCTION("""COMPUTED_VALUE"""),-0.42601421156984826)</f>
        <v>-0.4260142116</v>
      </c>
      <c r="Y187" s="18">
        <f>IFERROR(__xludf.DUMMYFUNCTION("""COMPUTED_VALUE"""),-0.9344149743611614)</f>
        <v>-0.9344149744</v>
      </c>
      <c r="Z187" s="18">
        <f>IFERROR(__xludf.DUMMYFUNCTION("""COMPUTED_VALUE"""),-0.5117148244523743)</f>
        <v>-0.5117148245</v>
      </c>
      <c r="AA187" s="18">
        <f>IFERROR(__xludf.DUMMYFUNCTION("""COMPUTED_VALUE"""),0.0)</f>
        <v>0</v>
      </c>
      <c r="AB187" t="str">
        <f>IFERROR(__xludf.DUMMYFUNCTION("SUBSTITUTE(REGEXREPLACE(REGEXREPLACE(REGEXREPLACE(REGEXREPLACE(REGEXREPLACE(REGEXREPLACE(F187,"","",),IF(Projections!$T$11="""",""PG"",),),IF(Projections!$U$11="""",""SG"",),),IF(Projections!$V$11="""",""SF"",),),IF(Projections!$W$11="""",""PF"",),),IF(Pr"&amp;"ojections!$X$11="""",""C"",),),""/"","""")"),"F")</f>
        <v>F</v>
      </c>
    </row>
    <row r="188">
      <c r="B188">
        <f>IFERROR(__xludf.DUMMYFUNCTION("""COMPUTED_VALUE"""),183.0)</f>
        <v>183</v>
      </c>
      <c r="D188" t="str">
        <f>IFERROR(__xludf.DUMMYFUNCTION("""COMPUTED_VALUE"""),"Ryan Dunn")</f>
        <v>Ryan Dunn</v>
      </c>
      <c r="E188">
        <f>IFERROR(__xludf.DUMMYFUNCTION("""COMPUTED_VALUE"""),73.0)</f>
        <v>73</v>
      </c>
      <c r="F188" t="str">
        <f>IFERROR(__xludf.DUMMYFUNCTION("""COMPUTED_VALUE"""),"F")</f>
        <v>F</v>
      </c>
      <c r="G188" s="18">
        <f>IFERROR(__xludf.DUMMYFUNCTION("""COMPUTED_VALUE"""),-3.152521237836337)</f>
        <v>-3.152521238</v>
      </c>
      <c r="H188" s="18">
        <f>IFERROR(__xludf.DUMMYFUNCTION("""COMPUTED_VALUE"""),-3.4044529013958127)</f>
        <v>-3.404452901</v>
      </c>
      <c r="I188" s="18">
        <f>IFERROR(__xludf.DUMMYFUNCTION("""COMPUTED_VALUE"""),-0.2519316635594757)</f>
        <v>-0.2519316636</v>
      </c>
      <c r="J188" s="18">
        <f>IFERROR(__xludf.DUMMYFUNCTION("""COMPUTED_VALUE"""),9.960822)</f>
        <v>9.960822</v>
      </c>
      <c r="K188" s="18">
        <f>IFERROR(__xludf.DUMMYFUNCTION("""COMPUTED_VALUE"""),1.803288)</f>
        <v>1.803288</v>
      </c>
      <c r="L188" s="18">
        <f>IFERROR(__xludf.DUMMYFUNCTION("""COMPUTED_VALUE"""),5.737808)</f>
        <v>5.737808</v>
      </c>
      <c r="M188" s="18">
        <f>IFERROR(__xludf.DUMMYFUNCTION("""COMPUTED_VALUE"""),0.857945)</f>
        <v>0.857945</v>
      </c>
      <c r="N188" s="18">
        <f>IFERROR(__xludf.DUMMYFUNCTION("""COMPUTED_VALUE"""),1.286986)</f>
        <v>1.286986</v>
      </c>
      <c r="O188" s="18">
        <f>IFERROR(__xludf.DUMMYFUNCTION("""COMPUTED_VALUE"""),0.677534)</f>
        <v>0.677534</v>
      </c>
      <c r="P188" s="25">
        <f>IFERROR(__xludf.DUMMYFUNCTION("""COMPUTED_VALUE"""),0.393764)</f>
        <v>0.393764</v>
      </c>
      <c r="Q188" s="25">
        <f>IFERROR(__xludf.DUMMYFUNCTION("""COMPUTED_VALUE"""),0.518968)</f>
        <v>0.518968</v>
      </c>
      <c r="R188" s="18">
        <f>IFERROR(__xludf.DUMMYFUNCTION("""COMPUTED_VALUE"""),0.73274)</f>
        <v>0.73274</v>
      </c>
      <c r="S188" s="18">
        <f>IFERROR(__xludf.DUMMYFUNCTION("""COMPUTED_VALUE"""),-1.2656055077951276)</f>
        <v>-1.265605508</v>
      </c>
      <c r="T188" s="18">
        <f>IFERROR(__xludf.DUMMYFUNCTION("""COMPUTED_VALUE"""),0.03258175146662168)</f>
        <v>0.03258175147</v>
      </c>
      <c r="U188" s="18">
        <f>IFERROR(__xludf.DUMMYFUNCTION("""COMPUTED_VALUE"""),-0.15755592949565045)</f>
        <v>-0.1575559295</v>
      </c>
      <c r="V188" s="18">
        <f>IFERROR(__xludf.DUMMYFUNCTION("""COMPUTED_VALUE"""),-1.4552618948593905)</f>
        <v>-1.455261895</v>
      </c>
      <c r="W188" s="18">
        <f>IFERROR(__xludf.DUMMYFUNCTION("""COMPUTED_VALUE"""),0.7368149965422672)</f>
        <v>0.7368149965</v>
      </c>
      <c r="X188" s="18">
        <f>IFERROR(__xludf.DUMMYFUNCTION("""COMPUTED_VALUE"""),-0.09578683185724178)</f>
        <v>-0.09578683186</v>
      </c>
      <c r="Y188" s="18">
        <f>IFERROR(__xludf.DUMMYFUNCTION("""COMPUTED_VALUE"""),-1.1996394853972916)</f>
        <v>-1.199639485</v>
      </c>
      <c r="Z188" s="18">
        <f>IFERROR(__xludf.DUMMYFUNCTION("""COMPUTED_VALUE"""),-2.2282094344588734)</f>
        <v>-2.228209434</v>
      </c>
      <c r="AA188" s="18">
        <f>IFERROR(__xludf.DUMMYFUNCTION("""COMPUTED_VALUE"""),0.0)</f>
        <v>0</v>
      </c>
      <c r="AB188" t="str">
        <f>IFERROR(__xludf.DUMMYFUNCTION("SUBSTITUTE(REGEXREPLACE(REGEXREPLACE(REGEXREPLACE(REGEXREPLACE(REGEXREPLACE(REGEXREPLACE(F188,"","",),IF(Projections!$T$11="""",""PG"",),),IF(Projections!$U$11="""",""SG"",),),IF(Projections!$V$11="""",""SF"",),),IF(Projections!$W$11="""",""PF"",),),IF(Pr"&amp;"ojections!$X$11="""",""C"",),),""/"","""")"),"F")</f>
        <v>F</v>
      </c>
    </row>
    <row r="189">
      <c r="B189">
        <f>IFERROR(__xludf.DUMMYFUNCTION("""COMPUTED_VALUE"""),184.0)</f>
        <v>184</v>
      </c>
      <c r="D189" t="str">
        <f>IFERROR(__xludf.DUMMYFUNCTION("""COMPUTED_VALUE"""),"Jaylen Wells")</f>
        <v>Jaylen Wells</v>
      </c>
      <c r="E189">
        <f>IFERROR(__xludf.DUMMYFUNCTION("""COMPUTED_VALUE"""),73.0)</f>
        <v>73</v>
      </c>
      <c r="F189" t="str">
        <f>IFERROR(__xludf.DUMMYFUNCTION("""COMPUTED_VALUE"""),"G,F")</f>
        <v>G,F</v>
      </c>
      <c r="G189" s="18">
        <f>IFERROR(__xludf.DUMMYFUNCTION("""COMPUTED_VALUE"""),-3.1825564728877858)</f>
        <v>-3.182556473</v>
      </c>
      <c r="H189" s="18">
        <f>IFERROR(__xludf.DUMMYFUNCTION("""COMPUTED_VALUE"""),-3.366887710547452)</f>
        <v>-3.366887711</v>
      </c>
      <c r="I189" s="18">
        <f>IFERROR(__xludf.DUMMYFUNCTION("""COMPUTED_VALUE"""),-0.1843312376596664)</f>
        <v>-0.1843312377</v>
      </c>
      <c r="J189" s="18">
        <f>IFERROR(__xludf.DUMMYFUNCTION("""COMPUTED_VALUE"""),11.57014)</f>
        <v>11.57014</v>
      </c>
      <c r="K189" s="18">
        <f>IFERROR(__xludf.DUMMYFUNCTION("""COMPUTED_VALUE"""),2.028356)</f>
        <v>2.028356</v>
      </c>
      <c r="L189" s="18">
        <f>IFERROR(__xludf.DUMMYFUNCTION("""COMPUTED_VALUE"""),4.398356)</f>
        <v>4.398356</v>
      </c>
      <c r="M189" s="18">
        <f>IFERROR(__xludf.DUMMYFUNCTION("""COMPUTED_VALUE"""),2.262055)</f>
        <v>2.262055</v>
      </c>
      <c r="N189" s="18">
        <f>IFERROR(__xludf.DUMMYFUNCTION("""COMPUTED_VALUE"""),0.635068)</f>
        <v>0.635068</v>
      </c>
      <c r="O189" s="18">
        <f>IFERROR(__xludf.DUMMYFUNCTION("""COMPUTED_VALUE"""),0.124795)</f>
        <v>0.124795</v>
      </c>
      <c r="P189" s="25">
        <f>IFERROR(__xludf.DUMMYFUNCTION("""COMPUTED_VALUE"""),0.437379)</f>
        <v>0.437379</v>
      </c>
      <c r="Q189" s="25">
        <f>IFERROR(__xludf.DUMMYFUNCTION("""COMPUTED_VALUE"""),0.839978)</f>
        <v>0.839978</v>
      </c>
      <c r="R189" s="18">
        <f>IFERROR(__xludf.DUMMYFUNCTION("""COMPUTED_VALUE"""),1.005342)</f>
        <v>1.005342</v>
      </c>
      <c r="S189" s="18">
        <f>IFERROR(__xludf.DUMMYFUNCTION("""COMPUTED_VALUE"""),-0.983262554428956)</f>
        <v>-0.9832625544</v>
      </c>
      <c r="T189" s="18">
        <f>IFERROR(__xludf.DUMMYFUNCTION("""COMPUTED_VALUE"""),0.24995995209395167)</f>
        <v>0.2499599521</v>
      </c>
      <c r="U189" s="18">
        <f>IFERROR(__xludf.DUMMYFUNCTION("""COMPUTED_VALUE"""),-0.7005076281076114)</f>
        <v>-0.7005076281</v>
      </c>
      <c r="V189" s="18">
        <f>IFERROR(__xludf.DUMMYFUNCTION("""COMPUTED_VALUE"""),-0.7693338043600201)</f>
        <v>-0.7693338044</v>
      </c>
      <c r="W189" s="18">
        <f>IFERROR(__xludf.DUMMYFUNCTION("""COMPUTED_VALUE"""),-1.2497291155315597)</f>
        <v>-1.249729116</v>
      </c>
      <c r="X189" s="18">
        <f>IFERROR(__xludf.DUMMYFUNCTION("""COMPUTED_VALUE"""),-1.1006620362954087)</f>
        <v>-1.100662036</v>
      </c>
      <c r="Y189" s="18">
        <f>IFERROR(__xludf.DUMMYFUNCTION("""COMPUTED_VALUE"""),-0.7594688694818694)</f>
        <v>-0.7594688695</v>
      </c>
      <c r="Z189" s="18">
        <f>IFERROR(__xludf.DUMMYFUNCTION("""COMPUTED_VALUE"""),0.6963872300324621)</f>
        <v>0.69638723</v>
      </c>
      <c r="AA189" s="18">
        <f>IFERROR(__xludf.DUMMYFUNCTION("""COMPUTED_VALUE"""),0.0)</f>
        <v>0</v>
      </c>
      <c r="AB189" t="str">
        <f>IFERROR(__xludf.DUMMYFUNCTION("SUBSTITUTE(REGEXREPLACE(REGEXREPLACE(REGEXREPLACE(REGEXREPLACE(REGEXREPLACE(REGEXREPLACE(F189,"","",),IF(Projections!$T$11="""",""PG"",),),IF(Projections!$U$11="""",""SG"",),),IF(Projections!$V$11="""",""SF"",),),IF(Projections!$W$11="""",""PF"",),),IF(Pr"&amp;"ojections!$X$11="""",""C"",),),""/"","""")"),"GF")</f>
        <v>GF</v>
      </c>
    </row>
    <row r="190">
      <c r="B190">
        <f>IFERROR(__xludf.DUMMYFUNCTION("""COMPUTED_VALUE"""),185.0)</f>
        <v>185</v>
      </c>
      <c r="D190" t="str">
        <f>IFERROR(__xludf.DUMMYFUNCTION("""COMPUTED_VALUE"""),"Day'Ron Sharpe")</f>
        <v>Day'Ron Sharpe</v>
      </c>
      <c r="E190">
        <f>IFERROR(__xludf.DUMMYFUNCTION("""COMPUTED_VALUE"""),68.0)</f>
        <v>68</v>
      </c>
      <c r="F190" t="str">
        <f>IFERROR(__xludf.DUMMYFUNCTION("""COMPUTED_VALUE"""),"C")</f>
        <v>C</v>
      </c>
      <c r="G190" s="18">
        <f>IFERROR(__xludf.DUMMYFUNCTION("""COMPUTED_VALUE"""),-3.241734832007606)</f>
        <v>-3.241734832</v>
      </c>
      <c r="H190" s="18">
        <f>IFERROR(__xludf.DUMMYFUNCTION("""COMPUTED_VALUE"""),-3.3612742894257535)</f>
        <v>-3.361274289</v>
      </c>
      <c r="I190" s="18">
        <f>IFERROR(__xludf.DUMMYFUNCTION("""COMPUTED_VALUE"""),-0.11953945741814742)</f>
        <v>-0.1195394574</v>
      </c>
      <c r="J190" s="18">
        <f>IFERROR(__xludf.DUMMYFUNCTION("""COMPUTED_VALUE"""),8.641471)</f>
        <v>8.641471</v>
      </c>
      <c r="K190" s="18">
        <f>IFERROR(__xludf.DUMMYFUNCTION("""COMPUTED_VALUE"""),0.304412)</f>
        <v>0.304412</v>
      </c>
      <c r="L190" s="18">
        <f>IFERROR(__xludf.DUMMYFUNCTION("""COMPUTED_VALUE"""),7.3625)</f>
        <v>7.3625</v>
      </c>
      <c r="M190" s="18">
        <f>IFERROR(__xludf.DUMMYFUNCTION("""COMPUTED_VALUE"""),1.903971)</f>
        <v>1.903971</v>
      </c>
      <c r="N190" s="18">
        <f>IFERROR(__xludf.DUMMYFUNCTION("""COMPUTED_VALUE"""),0.593824)</f>
        <v>0.593824</v>
      </c>
      <c r="O190" s="18">
        <f>IFERROR(__xludf.DUMMYFUNCTION("""COMPUTED_VALUE"""),0.940735)</f>
        <v>0.940735</v>
      </c>
      <c r="P190" s="25">
        <f>IFERROR(__xludf.DUMMYFUNCTION("""COMPUTED_VALUE"""),0.529218)</f>
        <v>0.529218</v>
      </c>
      <c r="Q190" s="25">
        <f>IFERROR(__xludf.DUMMYFUNCTION("""COMPUTED_VALUE"""),0.69295)</f>
        <v>0.69295</v>
      </c>
      <c r="R190" s="18">
        <f>IFERROR(__xludf.DUMMYFUNCTION("""COMPUTED_VALUE"""),1.266618)</f>
        <v>1.266618</v>
      </c>
      <c r="S190" s="18">
        <f>IFERROR(__xludf.DUMMYFUNCTION("""COMPUTED_VALUE"""),-1.4970758933041521)</f>
        <v>-1.497075893</v>
      </c>
      <c r="T190" s="18">
        <f>IFERROR(__xludf.DUMMYFUNCTION("""COMPUTED_VALUE"""),-1.4150828114365446)</f>
        <v>-1.415082811</v>
      </c>
      <c r="U190" s="18">
        <f>IFERROR(__xludf.DUMMYFUNCTION("""COMPUTED_VALUE"""),0.501018831765868)</f>
        <v>0.5010188318</v>
      </c>
      <c r="V190" s="18">
        <f>IFERROR(__xludf.DUMMYFUNCTION("""COMPUTED_VALUE"""),-0.9442630295335297)</f>
        <v>-0.9442630295</v>
      </c>
      <c r="W190" s="18">
        <f>IFERROR(__xludf.DUMMYFUNCTION("""COMPUTED_VALUE"""),-1.3754090712290137)</f>
        <v>-1.375409071</v>
      </c>
      <c r="X190" s="18">
        <f>IFERROR(__xludf.DUMMYFUNCTION("""COMPUTED_VALUE"""),0.382710539747313)</f>
        <v>0.3827105397</v>
      </c>
      <c r="Y190" s="18">
        <f>IFERROR(__xludf.DUMMYFUNCTION("""COMPUTED_VALUE"""),0.5410811953064856)</f>
        <v>0.5410811953</v>
      </c>
      <c r="Z190" s="18">
        <f>IFERROR(__xludf.DUMMYFUNCTION("""COMPUTED_VALUE"""),-1.0513299440463317)</f>
        <v>-1.051329944</v>
      </c>
      <c r="AA190" s="18">
        <f>IFERROR(__xludf.DUMMYFUNCTION("""COMPUTED_VALUE"""),0.0)</f>
        <v>0</v>
      </c>
      <c r="AB190" t="str">
        <f>IFERROR(__xludf.DUMMYFUNCTION("SUBSTITUTE(REGEXREPLACE(REGEXREPLACE(REGEXREPLACE(REGEXREPLACE(REGEXREPLACE(REGEXREPLACE(F190,"","",),IF(Projections!$T$11="""",""PG"",),),IF(Projections!$U$11="""",""SG"",),),IF(Projections!$V$11="""",""SF"",),),IF(Projections!$W$11="""",""PF"",),),IF(Pr"&amp;"ojections!$X$11="""",""C"",),),""/"","""")"),"C")</f>
        <v>C</v>
      </c>
    </row>
    <row r="191">
      <c r="B191">
        <f>IFERROR(__xludf.DUMMYFUNCTION("""COMPUTED_VALUE"""),186.0)</f>
        <v>186</v>
      </c>
      <c r="D191" t="str">
        <f>IFERROR(__xludf.DUMMYFUNCTION("""COMPUTED_VALUE"""),"Larry Nance Jr.")</f>
        <v>Larry Nance Jr.</v>
      </c>
      <c r="E191">
        <f>IFERROR(__xludf.DUMMYFUNCTION("""COMPUTED_VALUE"""),59.0)</f>
        <v>59</v>
      </c>
      <c r="F191" t="str">
        <f>IFERROR(__xludf.DUMMYFUNCTION("""COMPUTED_VALUE"""),"F,C")</f>
        <v>F,C</v>
      </c>
      <c r="G191" s="18">
        <f>IFERROR(__xludf.DUMMYFUNCTION("""COMPUTED_VALUE"""),-3.491714827938859)</f>
        <v>-3.491714828</v>
      </c>
      <c r="H191" s="18">
        <f>IFERROR(__xludf.DUMMYFUNCTION("""COMPUTED_VALUE"""),-3.7313805511667066)</f>
        <v>-3.731380551</v>
      </c>
      <c r="I191" s="18">
        <f>IFERROR(__xludf.DUMMYFUNCTION("""COMPUTED_VALUE"""),-0.23966572322784785)</f>
        <v>-0.2396657232</v>
      </c>
      <c r="J191" s="18">
        <f>IFERROR(__xludf.DUMMYFUNCTION("""COMPUTED_VALUE"""),7.270169)</f>
        <v>7.270169</v>
      </c>
      <c r="K191" s="18">
        <f>IFERROR(__xludf.DUMMYFUNCTION("""COMPUTED_VALUE"""),0.89322)</f>
        <v>0.89322</v>
      </c>
      <c r="L191" s="18">
        <f>IFERROR(__xludf.DUMMYFUNCTION("""COMPUTED_VALUE"""),4.767966)</f>
        <v>4.767966</v>
      </c>
      <c r="M191" s="18">
        <f>IFERROR(__xludf.DUMMYFUNCTION("""COMPUTED_VALUE"""),1.897966)</f>
        <v>1.897966</v>
      </c>
      <c r="N191" s="18">
        <f>IFERROR(__xludf.DUMMYFUNCTION("""COMPUTED_VALUE"""),1.030169)</f>
        <v>1.030169</v>
      </c>
      <c r="O191" s="18">
        <f>IFERROR(__xludf.DUMMYFUNCTION("""COMPUTED_VALUE"""),0.413729)</f>
        <v>0.413729</v>
      </c>
      <c r="P191" s="25">
        <f>IFERROR(__xludf.DUMMYFUNCTION("""COMPUTED_VALUE"""),0.476707)</f>
        <v>0.476707</v>
      </c>
      <c r="Q191" s="25">
        <f>IFERROR(__xludf.DUMMYFUNCTION("""COMPUTED_VALUE"""),0.745902)</f>
        <v>0.745902</v>
      </c>
      <c r="R191" s="18">
        <f>IFERROR(__xludf.DUMMYFUNCTION("""COMPUTED_VALUE"""),0.782203)</f>
        <v>0.782203</v>
      </c>
      <c r="S191" s="18">
        <f>IFERROR(__xludf.DUMMYFUNCTION("""COMPUTED_VALUE"""),-1.7376606979462041)</f>
        <v>-1.737660698</v>
      </c>
      <c r="T191" s="18">
        <f>IFERROR(__xludf.DUMMYFUNCTION("""COMPUTED_VALUE"""),-0.8463923554189102)</f>
        <v>-0.8463923554</v>
      </c>
      <c r="U191" s="18">
        <f>IFERROR(__xludf.DUMMYFUNCTION("""COMPUTED_VALUE"""),-0.5506848816979101)</f>
        <v>-0.5506848817</v>
      </c>
      <c r="V191" s="18">
        <f>IFERROR(__xludf.DUMMYFUNCTION("""COMPUTED_VALUE"""),-0.9471965590885139)</f>
        <v>-0.9471965591</v>
      </c>
      <c r="W191" s="18">
        <f>IFERROR(__xludf.DUMMYFUNCTION("""COMPUTED_VALUE"""),-0.045765480190180945)</f>
        <v>-0.04576548019</v>
      </c>
      <c r="X191" s="18">
        <f>IFERROR(__xludf.DUMMYFUNCTION("""COMPUTED_VALUE"""),-0.5753822707656788)</f>
        <v>-0.5753822708</v>
      </c>
      <c r="Y191" s="18">
        <f>IFERROR(__xludf.DUMMYFUNCTION("""COMPUTED_VALUE"""),-0.26457413878207475)</f>
        <v>-0.2645741388</v>
      </c>
      <c r="Z191" s="18">
        <f>IFERROR(__xludf.DUMMYFUNCTION("""COMPUTED_VALUE"""),-0.5013848652234378)</f>
        <v>-0.5013848652</v>
      </c>
      <c r="AA191" s="18">
        <f>IFERROR(__xludf.DUMMYFUNCTION("""COMPUTED_VALUE"""),0.0)</f>
        <v>0</v>
      </c>
      <c r="AB191" t="str">
        <f>IFERROR(__xludf.DUMMYFUNCTION("SUBSTITUTE(REGEXREPLACE(REGEXREPLACE(REGEXREPLACE(REGEXREPLACE(REGEXREPLACE(REGEXREPLACE(F191,"","",),IF(Projections!$T$11="""",""PG"",),),IF(Projections!$U$11="""",""SG"",),),IF(Projections!$V$11="""",""SF"",),),IF(Projections!$W$11="""",""PF"",),),IF(Pr"&amp;"ojections!$X$11="""",""C"",),),""/"","""")"),"FC")</f>
        <v>FC</v>
      </c>
    </row>
    <row r="192">
      <c r="B192">
        <f>IFERROR(__xludf.DUMMYFUNCTION("""COMPUTED_VALUE"""),187.0)</f>
        <v>187</v>
      </c>
      <c r="D192" t="str">
        <f>IFERROR(__xludf.DUMMYFUNCTION("""COMPUTED_VALUE"""),"Dorian Finney-Smith")</f>
        <v>Dorian Finney-Smith</v>
      </c>
      <c r="E192">
        <f>IFERROR(__xludf.DUMMYFUNCTION("""COMPUTED_VALUE"""),73.0)</f>
        <v>73</v>
      </c>
      <c r="F192" t="str">
        <f>IFERROR(__xludf.DUMMYFUNCTION("""COMPUTED_VALUE"""),"F")</f>
        <v>F</v>
      </c>
      <c r="G192" s="18">
        <f>IFERROR(__xludf.DUMMYFUNCTION("""COMPUTED_VALUE"""),-4.039627783896158)</f>
        <v>-4.039627784</v>
      </c>
      <c r="H192" s="18">
        <f>IFERROR(__xludf.DUMMYFUNCTION("""COMPUTED_VALUE"""),-4.23527097461503)</f>
        <v>-4.235270975</v>
      </c>
      <c r="I192" s="18">
        <f>IFERROR(__xludf.DUMMYFUNCTION("""COMPUTED_VALUE"""),-0.19564319071887226)</f>
        <v>-0.1956431907</v>
      </c>
      <c r="J192" s="18">
        <f>IFERROR(__xludf.DUMMYFUNCTION("""COMPUTED_VALUE"""),9.590411)</f>
        <v>9.590411</v>
      </c>
      <c r="K192" s="18">
        <f>IFERROR(__xludf.DUMMYFUNCTION("""COMPUTED_VALUE"""),2.227534)</f>
        <v>2.227534</v>
      </c>
      <c r="L192" s="18">
        <f>IFERROR(__xludf.DUMMYFUNCTION("""COMPUTED_VALUE"""),3.787534)</f>
        <v>3.787534</v>
      </c>
      <c r="M192" s="18">
        <f>IFERROR(__xludf.DUMMYFUNCTION("""COMPUTED_VALUE"""),1.325616)</f>
        <v>1.325616</v>
      </c>
      <c r="N192" s="18">
        <f>IFERROR(__xludf.DUMMYFUNCTION("""COMPUTED_VALUE"""),0.98589)</f>
        <v>0.98589</v>
      </c>
      <c r="O192" s="18">
        <f>IFERROR(__xludf.DUMMYFUNCTION("""COMPUTED_VALUE"""),0.384795)</f>
        <v>0.384795</v>
      </c>
      <c r="P192" s="25">
        <f>IFERROR(__xludf.DUMMYFUNCTION("""COMPUTED_VALUE"""),0.423442)</f>
        <v>0.423442</v>
      </c>
      <c r="Q192" s="25">
        <f>IFERROR(__xludf.DUMMYFUNCTION("""COMPUTED_VALUE"""),0.72001)</f>
        <v>0.72001</v>
      </c>
      <c r="R192" s="18">
        <f>IFERROR(__xludf.DUMMYFUNCTION("""COMPUTED_VALUE"""),0.959726)</f>
        <v>0.959726</v>
      </c>
      <c r="S192" s="18">
        <f>IFERROR(__xludf.DUMMYFUNCTION("""COMPUTED_VALUE"""),-1.3305913811273822)</f>
        <v>-1.330591381</v>
      </c>
      <c r="T192" s="18">
        <f>IFERROR(__xludf.DUMMYFUNCTION("""COMPUTED_VALUE"""),0.4423327249650408)</f>
        <v>0.442332725</v>
      </c>
      <c r="U192" s="18">
        <f>IFERROR(__xludf.DUMMYFUNCTION("""COMPUTED_VALUE"""),-0.9481065285904617)</f>
        <v>-0.9481065286</v>
      </c>
      <c r="V192" s="18">
        <f>IFERROR(__xludf.DUMMYFUNCTION("""COMPUTED_VALUE"""),-1.2267978314940338)</f>
        <v>-1.226797831</v>
      </c>
      <c r="W192" s="18">
        <f>IFERROR(__xludf.DUMMYFUNCTION("""COMPUTED_VALUE"""),-0.18069377905371392)</f>
        <v>-0.1806937791</v>
      </c>
      <c r="X192" s="18">
        <f>IFERROR(__xludf.DUMMYFUNCTION("""COMPUTED_VALUE"""),-0.6279840578029857)</f>
        <v>-0.6279840578</v>
      </c>
      <c r="Y192" s="18">
        <f>IFERROR(__xludf.DUMMYFUNCTION("""COMPUTED_VALUE"""),-0.9125487736756878)</f>
        <v>-0.9125487737</v>
      </c>
      <c r="Z192" s="18">
        <f>IFERROR(__xludf.DUMMYFUNCTION("""COMPUTED_VALUE"""),-0.7814727289631888)</f>
        <v>-0.781472729</v>
      </c>
      <c r="AA192" s="18">
        <f>IFERROR(__xludf.DUMMYFUNCTION("""COMPUTED_VALUE"""),0.0)</f>
        <v>0</v>
      </c>
      <c r="AB192" t="str">
        <f>IFERROR(__xludf.DUMMYFUNCTION("SUBSTITUTE(REGEXREPLACE(REGEXREPLACE(REGEXREPLACE(REGEXREPLACE(REGEXREPLACE(REGEXREPLACE(F192,"","",),IF(Projections!$T$11="""",""PG"",),),IF(Projections!$U$11="""",""SG"",),),IF(Projections!$V$11="""",""SF"",),),IF(Projections!$W$11="""",""PF"",),),IF(Pr"&amp;"ojections!$X$11="""",""C"",),),""/"","""")"),"F")</f>
        <v>F</v>
      </c>
    </row>
    <row r="193">
      <c r="B193">
        <f>IFERROR(__xludf.DUMMYFUNCTION("""COMPUTED_VALUE"""),188.0)</f>
        <v>188</v>
      </c>
      <c r="D193" t="str">
        <f>IFERROR(__xludf.DUMMYFUNCTION("""COMPUTED_VALUE"""),"Rui Hachimura")</f>
        <v>Rui Hachimura</v>
      </c>
      <c r="E193">
        <f>IFERROR(__xludf.DUMMYFUNCTION("""COMPUTED_VALUE"""),73.0)</f>
        <v>73</v>
      </c>
      <c r="F193" t="str">
        <f>IFERROR(__xludf.DUMMYFUNCTION("""COMPUTED_VALUE"""),"F")</f>
        <v>F</v>
      </c>
      <c r="G193" s="18">
        <f>IFERROR(__xludf.DUMMYFUNCTION("""COMPUTED_VALUE"""),-4.094563673201407)</f>
        <v>-4.094563673</v>
      </c>
      <c r="H193" s="18">
        <f>IFERROR(__xludf.DUMMYFUNCTION("""COMPUTED_VALUE"""),-4.381382703389574)</f>
        <v>-4.381382703</v>
      </c>
      <c r="I193" s="18">
        <f>IFERROR(__xludf.DUMMYFUNCTION("""COMPUTED_VALUE"""),-0.286819030188167)</f>
        <v>-0.2868190302</v>
      </c>
      <c r="J193" s="18">
        <f>IFERROR(__xludf.DUMMYFUNCTION("""COMPUTED_VALUE"""),11.69219)</f>
        <v>11.69219</v>
      </c>
      <c r="K193" s="18">
        <f>IFERROR(__xludf.DUMMYFUNCTION("""COMPUTED_VALUE"""),1.546712)</f>
        <v>1.546712</v>
      </c>
      <c r="L193" s="18">
        <f>IFERROR(__xludf.DUMMYFUNCTION("""COMPUTED_VALUE"""),4.203836)</f>
        <v>4.203836</v>
      </c>
      <c r="M193" s="18">
        <f>IFERROR(__xludf.DUMMYFUNCTION("""COMPUTED_VALUE"""),1.006575)</f>
        <v>1.006575</v>
      </c>
      <c r="N193" s="18">
        <f>IFERROR(__xludf.DUMMYFUNCTION("""COMPUTED_VALUE"""),0.582466)</f>
        <v>0.582466</v>
      </c>
      <c r="O193" s="18">
        <f>IFERROR(__xludf.DUMMYFUNCTION("""COMPUTED_VALUE"""),0.359178)</f>
        <v>0.359178</v>
      </c>
      <c r="P193" s="25">
        <f>IFERROR(__xludf.DUMMYFUNCTION("""COMPUTED_VALUE"""),0.508259)</f>
        <v>0.508259</v>
      </c>
      <c r="Q193" s="25">
        <f>IFERROR(__xludf.DUMMYFUNCTION("""COMPUTED_VALUE"""),0.739975)</f>
        <v>0.739975</v>
      </c>
      <c r="R193" s="18">
        <f>IFERROR(__xludf.DUMMYFUNCTION("""COMPUTED_VALUE"""),0.592055)</f>
        <v>0.592055</v>
      </c>
      <c r="S193" s="18">
        <f>IFERROR(__xludf.DUMMYFUNCTION("""COMPUTED_VALUE"""),-0.9618497836413671)</f>
        <v>-0.9618497836</v>
      </c>
      <c r="T193" s="18">
        <f>IFERROR(__xludf.DUMMYFUNCTION("""COMPUTED_VALUE"""),-0.21522792918170588)</f>
        <v>-0.2152279292</v>
      </c>
      <c r="U193" s="18">
        <f>IFERROR(__xludf.DUMMYFUNCTION("""COMPUTED_VALUE"""),-0.7793570115972761)</f>
        <v>-0.7793570116</v>
      </c>
      <c r="V193" s="18">
        <f>IFERROR(__xludf.DUMMYFUNCTION("""COMPUTED_VALUE"""),-1.3826539851579276)</f>
        <v>-1.382653985</v>
      </c>
      <c r="W193" s="18">
        <f>IFERROR(__xludf.DUMMYFUNCTION("""COMPUTED_VALUE"""),-1.4100195100034216)</f>
        <v>-1.41001951</v>
      </c>
      <c r="X193" s="18">
        <f>IFERROR(__xludf.DUMMYFUNCTION("""COMPUTED_VALUE"""),-0.6745555646300642)</f>
        <v>-0.6745555646</v>
      </c>
      <c r="Y193" s="18">
        <f>IFERROR(__xludf.DUMMYFUNCTION("""COMPUTED_VALUE"""),0.19965034249138935)</f>
        <v>0.1996503425</v>
      </c>
      <c r="Z193" s="18">
        <f>IFERROR(__xludf.DUMMYFUNCTION("""COMPUTED_VALUE"""),-0.5673887716726218)</f>
        <v>-0.5673887717</v>
      </c>
      <c r="AA193" s="18">
        <f>IFERROR(__xludf.DUMMYFUNCTION("""COMPUTED_VALUE"""),0.0)</f>
        <v>0</v>
      </c>
      <c r="AB193" t="str">
        <f>IFERROR(__xludf.DUMMYFUNCTION("SUBSTITUTE(REGEXREPLACE(REGEXREPLACE(REGEXREPLACE(REGEXREPLACE(REGEXREPLACE(REGEXREPLACE(F193,"","",),IF(Projections!$T$11="""",""PG"",),),IF(Projections!$U$11="""",""SG"",),),IF(Projections!$V$11="""",""SF"",),),IF(Projections!$W$11="""",""PF"",),),IF(Pr"&amp;"ojections!$X$11="""",""C"",),),""/"","""")"),"F")</f>
        <v>F</v>
      </c>
    </row>
    <row r="194">
      <c r="G194" s="18"/>
      <c r="H194" s="18"/>
      <c r="I194" s="18"/>
      <c r="J194" s="18"/>
      <c r="K194" s="18"/>
      <c r="L194" s="18"/>
      <c r="M194" s="18"/>
      <c r="N194" s="18"/>
      <c r="O194" s="18"/>
      <c r="P194" s="25"/>
      <c r="Q194" s="25"/>
      <c r="R194" s="18"/>
      <c r="S194" s="18"/>
      <c r="T194" s="18"/>
      <c r="U194" s="18"/>
      <c r="V194" s="18"/>
      <c r="W194" s="18"/>
      <c r="X194" s="18"/>
      <c r="Y194" s="18"/>
      <c r="Z194" s="18"/>
      <c r="AA194" s="18"/>
      <c r="AB194" t="str">
        <f>IFERROR(__xludf.DUMMYFUNCTION("SUBSTITUTE(REGEXREPLACE(REGEXREPLACE(REGEXREPLACE(REGEXREPLACE(REGEXREPLACE(REGEXREPLACE(F194,"","",),IF(Projections!$T$11="""",""PG"",),),IF(Projections!$U$11="""",""SG"",),),IF(Projections!$V$11="""",""SF"",),),IF(Projections!$W$11="""",""PF"",),),IF(Pr"&amp;"ojections!$X$11="""",""C"",),),""/"","""")"),"")</f>
        <v/>
      </c>
    </row>
    <row r="195">
      <c r="G195" s="18"/>
      <c r="H195" s="18"/>
      <c r="I195" s="18"/>
      <c r="J195" s="18"/>
      <c r="K195" s="18"/>
      <c r="L195" s="18"/>
      <c r="M195" s="18"/>
      <c r="N195" s="18"/>
      <c r="O195" s="18"/>
      <c r="P195" s="25"/>
      <c r="Q195" s="25"/>
      <c r="R195" s="18"/>
      <c r="S195" s="18"/>
      <c r="T195" s="18"/>
      <c r="U195" s="18"/>
      <c r="V195" s="18"/>
      <c r="W195" s="18"/>
      <c r="X195" s="18"/>
      <c r="Y195" s="18"/>
      <c r="Z195" s="18"/>
      <c r="AA195" s="18"/>
      <c r="AB195" t="str">
        <f>IFERROR(__xludf.DUMMYFUNCTION("SUBSTITUTE(REGEXREPLACE(REGEXREPLACE(REGEXREPLACE(REGEXREPLACE(REGEXREPLACE(REGEXREPLACE(F195,"","",),IF(Projections!$T$11="""",""PG"",),),IF(Projections!$U$11="""",""SG"",),),IF(Projections!$V$11="""",""SF"",),),IF(Projections!$W$11="""",""PF"",),),IF(Pr"&amp;"ojections!$X$11="""",""C"",),),""/"","""")"),"")</f>
        <v/>
      </c>
    </row>
    <row r="196">
      <c r="G196" s="18"/>
      <c r="H196" s="18"/>
      <c r="I196" s="18"/>
      <c r="J196" s="18"/>
      <c r="K196" s="18"/>
      <c r="L196" s="18"/>
      <c r="M196" s="18"/>
      <c r="N196" s="18"/>
      <c r="O196" s="18"/>
      <c r="P196" s="25"/>
      <c r="Q196" s="25"/>
      <c r="R196" s="18"/>
      <c r="S196" s="18"/>
      <c r="T196" s="18"/>
      <c r="U196" s="18"/>
      <c r="V196" s="18"/>
      <c r="W196" s="18"/>
      <c r="X196" s="18"/>
      <c r="Y196" s="18"/>
      <c r="Z196" s="18"/>
      <c r="AA196" s="18"/>
      <c r="AB196" t="str">
        <f>IFERROR(__xludf.DUMMYFUNCTION("SUBSTITUTE(REGEXREPLACE(REGEXREPLACE(REGEXREPLACE(REGEXREPLACE(REGEXREPLACE(REGEXREPLACE(F196,"","",),IF(Projections!$T$11="""",""PG"",),),IF(Projections!$U$11="""",""SG"",),),IF(Projections!$V$11="""",""SF"",),),IF(Projections!$W$11="""",""PF"",),),IF(Pr"&amp;"ojections!$X$11="""",""C"",),),""/"","""")"),"")</f>
        <v/>
      </c>
    </row>
    <row r="197">
      <c r="G197" s="18"/>
      <c r="H197" s="18"/>
      <c r="I197" s="18"/>
      <c r="J197" s="18"/>
      <c r="K197" s="18"/>
      <c r="L197" s="18"/>
      <c r="M197" s="18"/>
      <c r="N197" s="18"/>
      <c r="O197" s="18"/>
      <c r="P197" s="25"/>
      <c r="Q197" s="25"/>
      <c r="R197" s="18"/>
      <c r="S197" s="18"/>
      <c r="T197" s="18"/>
      <c r="U197" s="18"/>
      <c r="V197" s="18"/>
      <c r="W197" s="18"/>
      <c r="X197" s="18"/>
      <c r="Y197" s="18"/>
      <c r="Z197" s="18"/>
      <c r="AA197" s="18"/>
      <c r="AB197" t="str">
        <f>IFERROR(__xludf.DUMMYFUNCTION("SUBSTITUTE(REGEXREPLACE(REGEXREPLACE(REGEXREPLACE(REGEXREPLACE(REGEXREPLACE(REGEXREPLACE(F197,"","",),IF(Projections!$T$11="""",""PG"",),),IF(Projections!$U$11="""",""SG"",),),IF(Projections!$V$11="""",""SF"",),),IF(Projections!$W$11="""",""PF"",),),IF(Pr"&amp;"ojections!$X$11="""",""C"",),),""/"","""")"),"")</f>
        <v/>
      </c>
    </row>
    <row r="198">
      <c r="G198" s="18"/>
      <c r="H198" s="18"/>
      <c r="I198" s="18"/>
      <c r="J198" s="18"/>
      <c r="K198" s="18"/>
      <c r="L198" s="18"/>
      <c r="M198" s="18"/>
      <c r="N198" s="18"/>
      <c r="O198" s="18"/>
      <c r="P198" s="25"/>
      <c r="Q198" s="25"/>
      <c r="R198" s="18"/>
      <c r="S198" s="18"/>
      <c r="T198" s="18"/>
      <c r="U198" s="18"/>
      <c r="V198" s="18"/>
      <c r="W198" s="18"/>
      <c r="X198" s="18"/>
      <c r="Y198" s="18"/>
      <c r="Z198" s="18"/>
      <c r="AA198" s="18"/>
      <c r="AB198" t="str">
        <f>IFERROR(__xludf.DUMMYFUNCTION("SUBSTITUTE(REGEXREPLACE(REGEXREPLACE(REGEXREPLACE(REGEXREPLACE(REGEXREPLACE(REGEXREPLACE(F198,"","",),IF(Projections!$T$11="""",""PG"",),),IF(Projections!$U$11="""",""SG"",),),IF(Projections!$V$11="""",""SF"",),),IF(Projections!$W$11="""",""PF"",),),IF(Pr"&amp;"ojections!$X$11="""",""C"",),),""/"","""")"),"")</f>
        <v/>
      </c>
    </row>
    <row r="199">
      <c r="G199" s="18"/>
      <c r="H199" s="18"/>
      <c r="I199" s="18"/>
      <c r="J199" s="18"/>
      <c r="K199" s="18"/>
      <c r="L199" s="18"/>
      <c r="M199" s="18"/>
      <c r="N199" s="18"/>
      <c r="O199" s="18"/>
      <c r="P199" s="25"/>
      <c r="Q199" s="25"/>
      <c r="R199" s="18"/>
      <c r="S199" s="18"/>
      <c r="T199" s="18"/>
      <c r="U199" s="18"/>
      <c r="V199" s="18"/>
      <c r="W199" s="18"/>
      <c r="X199" s="18"/>
      <c r="Y199" s="18"/>
      <c r="Z199" s="18"/>
      <c r="AA199" s="18"/>
      <c r="AB199" t="str">
        <f>IFERROR(__xludf.DUMMYFUNCTION("SUBSTITUTE(REGEXREPLACE(REGEXREPLACE(REGEXREPLACE(REGEXREPLACE(REGEXREPLACE(REGEXREPLACE(F199,"","",),IF(Projections!$T$11="""",""PG"",),),IF(Projections!$U$11="""",""SG"",),),IF(Projections!$V$11="""",""SF"",),),IF(Projections!$W$11="""",""PF"",),),IF(Pr"&amp;"ojections!$X$11="""",""C"",),),""/"","""")"),"")</f>
        <v/>
      </c>
    </row>
    <row r="200">
      <c r="G200" s="18"/>
      <c r="H200" s="18"/>
      <c r="I200" s="18"/>
      <c r="J200" s="18"/>
      <c r="K200" s="18"/>
      <c r="L200" s="18"/>
      <c r="M200" s="18"/>
      <c r="N200" s="18"/>
      <c r="O200" s="18"/>
      <c r="P200" s="25"/>
      <c r="Q200" s="25"/>
      <c r="R200" s="18"/>
      <c r="S200" s="18"/>
      <c r="T200" s="18"/>
      <c r="U200" s="18"/>
      <c r="V200" s="18"/>
      <c r="W200" s="18"/>
      <c r="X200" s="18"/>
      <c r="Y200" s="18"/>
      <c r="Z200" s="18"/>
      <c r="AA200" s="18"/>
      <c r="AB200" t="str">
        <f>IFERROR(__xludf.DUMMYFUNCTION("SUBSTITUTE(REGEXREPLACE(REGEXREPLACE(REGEXREPLACE(REGEXREPLACE(REGEXREPLACE(REGEXREPLACE(F200,"","",),IF(Projections!$T$11="""",""PG"",),),IF(Projections!$U$11="""",""SG"",),),IF(Projections!$V$11="""",""SF"",),),IF(Projections!$W$11="""",""PF"",),),IF(Pr"&amp;"ojections!$X$11="""",""C"",),),""/"","""")"),"")</f>
        <v/>
      </c>
    </row>
    <row r="201">
      <c r="G201" s="18"/>
      <c r="H201" s="18"/>
      <c r="I201" s="18"/>
      <c r="J201" s="18"/>
      <c r="K201" s="18"/>
      <c r="L201" s="18"/>
      <c r="M201" s="18"/>
      <c r="N201" s="18"/>
      <c r="O201" s="18"/>
      <c r="P201" s="25"/>
      <c r="Q201" s="25"/>
      <c r="R201" s="18"/>
      <c r="S201" s="18"/>
      <c r="T201" s="18"/>
      <c r="U201" s="18"/>
      <c r="V201" s="18"/>
      <c r="W201" s="18"/>
      <c r="X201" s="18"/>
      <c r="Y201" s="18"/>
      <c r="Z201" s="18"/>
      <c r="AA201" s="18"/>
      <c r="AB201" t="str">
        <f>IFERROR(__xludf.DUMMYFUNCTION("SUBSTITUTE(REGEXREPLACE(REGEXREPLACE(REGEXREPLACE(REGEXREPLACE(REGEXREPLACE(REGEXREPLACE(F201,"","",),IF(Projections!$T$11="""",""PG"",),),IF(Projections!$U$11="""",""SG"",),),IF(Projections!$V$11="""",""SF"",),),IF(Projections!$W$11="""",""PF"",),),IF(Pr"&amp;"ojections!$X$11="""",""C"",),),""/"","""")"),"")</f>
        <v/>
      </c>
    </row>
    <row r="202">
      <c r="G202" s="18"/>
      <c r="H202" s="18"/>
      <c r="I202" s="18"/>
      <c r="J202" s="18"/>
      <c r="K202" s="18"/>
      <c r="L202" s="18"/>
      <c r="M202" s="18"/>
      <c r="N202" s="18"/>
      <c r="O202" s="18"/>
      <c r="P202" s="25"/>
      <c r="Q202" s="25"/>
      <c r="R202" s="18"/>
      <c r="S202" s="18"/>
      <c r="T202" s="18"/>
      <c r="U202" s="18"/>
      <c r="V202" s="18"/>
      <c r="W202" s="18"/>
      <c r="X202" s="18"/>
      <c r="Y202" s="18"/>
      <c r="Z202" s="18"/>
      <c r="AA202" s="18"/>
      <c r="AB202" t="str">
        <f>IFERROR(__xludf.DUMMYFUNCTION("SUBSTITUTE(REGEXREPLACE(REGEXREPLACE(REGEXREPLACE(REGEXREPLACE(REGEXREPLACE(REGEXREPLACE(F202,"","",),IF(Projections!$T$11="""",""PG"",),),IF(Projections!$U$11="""",""SG"",),),IF(Projections!$V$11="""",""SF"",),),IF(Projections!$W$11="""",""PF"",),),IF(Pr"&amp;"ojections!$X$11="""",""C"",),),""/"","""")"),"")</f>
        <v/>
      </c>
    </row>
    <row r="203">
      <c r="G203" s="18"/>
      <c r="H203" s="18"/>
      <c r="I203" s="18"/>
      <c r="J203" s="18"/>
      <c r="K203" s="18"/>
      <c r="L203" s="18"/>
      <c r="M203" s="18"/>
      <c r="N203" s="18"/>
      <c r="O203" s="18"/>
      <c r="P203" s="25"/>
      <c r="Q203" s="25"/>
      <c r="R203" s="18"/>
      <c r="S203" s="18"/>
      <c r="T203" s="18"/>
      <c r="U203" s="18"/>
      <c r="V203" s="18"/>
      <c r="W203" s="18"/>
      <c r="X203" s="18"/>
      <c r="Y203" s="18"/>
      <c r="Z203" s="18"/>
      <c r="AA203" s="18"/>
      <c r="AB203" t="str">
        <f>IFERROR(__xludf.DUMMYFUNCTION("SUBSTITUTE(REGEXREPLACE(REGEXREPLACE(REGEXREPLACE(REGEXREPLACE(REGEXREPLACE(REGEXREPLACE(F203,"","",),IF(Projections!$T$11="""",""PG"",),),IF(Projections!$U$11="""",""SG"",),),IF(Projections!$V$11="""",""SF"",),),IF(Projections!$W$11="""",""PF"",),),IF(Pr"&amp;"ojections!$X$11="""",""C"",),),""/"","""")"),"")</f>
        <v/>
      </c>
    </row>
    <row r="204">
      <c r="G204" s="18"/>
      <c r="H204" s="18"/>
      <c r="I204" s="18"/>
      <c r="J204" s="18"/>
      <c r="K204" s="18"/>
      <c r="L204" s="18"/>
      <c r="M204" s="18"/>
      <c r="N204" s="18"/>
      <c r="O204" s="18"/>
      <c r="P204" s="25"/>
      <c r="Q204" s="25"/>
      <c r="R204" s="18"/>
      <c r="S204" s="18"/>
      <c r="T204" s="18"/>
      <c r="U204" s="18"/>
      <c r="V204" s="18"/>
      <c r="W204" s="18"/>
      <c r="X204" s="18"/>
      <c r="Y204" s="18"/>
      <c r="Z204" s="18"/>
      <c r="AA204" s="18"/>
      <c r="AB204" t="str">
        <f>IFERROR(__xludf.DUMMYFUNCTION("SUBSTITUTE(REGEXREPLACE(REGEXREPLACE(REGEXREPLACE(REGEXREPLACE(REGEXREPLACE(REGEXREPLACE(F204,"","",),IF(Projections!$T$11="""",""PG"",),),IF(Projections!$U$11="""",""SG"",),),IF(Projections!$V$11="""",""SF"",),),IF(Projections!$W$11="""",""PF"",),),IF(Pr"&amp;"ojections!$X$11="""",""C"",),),""/"","""")"),"")</f>
        <v/>
      </c>
    </row>
    <row r="205">
      <c r="G205" s="18"/>
      <c r="H205" s="18"/>
      <c r="I205" s="18"/>
      <c r="J205" s="18"/>
      <c r="K205" s="18"/>
      <c r="L205" s="18"/>
      <c r="M205" s="18"/>
      <c r="N205" s="18"/>
      <c r="O205" s="18"/>
      <c r="P205" s="25"/>
      <c r="Q205" s="25"/>
      <c r="R205" s="18"/>
      <c r="S205" s="18"/>
      <c r="T205" s="18"/>
      <c r="U205" s="18"/>
      <c r="V205" s="18"/>
      <c r="W205" s="18"/>
      <c r="X205" s="18"/>
      <c r="Y205" s="18"/>
      <c r="Z205" s="18"/>
      <c r="AA205" s="18"/>
      <c r="AB205" t="str">
        <f>IFERROR(__xludf.DUMMYFUNCTION("SUBSTITUTE(REGEXREPLACE(REGEXREPLACE(REGEXREPLACE(REGEXREPLACE(REGEXREPLACE(REGEXREPLACE(F205,"","",),IF(Projections!$T$11="""",""PG"",),),IF(Projections!$U$11="""",""SG"",),),IF(Projections!$V$11="""",""SF"",),),IF(Projections!$W$11="""",""PF"",),),IF(Pr"&amp;"ojections!$X$11="""",""C"",),),""/"","""")"),"")</f>
        <v/>
      </c>
    </row>
    <row r="206">
      <c r="G206" s="18"/>
      <c r="H206" s="18"/>
      <c r="I206" s="18"/>
      <c r="J206" s="18"/>
      <c r="K206" s="18"/>
      <c r="L206" s="18"/>
      <c r="M206" s="18"/>
      <c r="N206" s="18"/>
      <c r="O206" s="18"/>
      <c r="P206" s="25"/>
      <c r="Q206" s="25"/>
      <c r="R206" s="18"/>
      <c r="S206" s="18"/>
      <c r="T206" s="18"/>
      <c r="U206" s="18"/>
      <c r="V206" s="18"/>
      <c r="W206" s="18"/>
      <c r="X206" s="18"/>
      <c r="Y206" s="18"/>
      <c r="Z206" s="18"/>
      <c r="AA206" s="18"/>
      <c r="AB206" t="str">
        <f>IFERROR(__xludf.DUMMYFUNCTION("SUBSTITUTE(REGEXREPLACE(REGEXREPLACE(REGEXREPLACE(REGEXREPLACE(REGEXREPLACE(REGEXREPLACE(F206,"","",),IF(Projections!$T$11="""",""PG"",),),IF(Projections!$U$11="""",""SG"",),),IF(Projections!$V$11="""",""SF"",),),IF(Projections!$W$11="""",""PF"",),),IF(Pr"&amp;"ojections!$X$11="""",""C"",),),""/"","""")"),"")</f>
        <v/>
      </c>
    </row>
    <row r="207">
      <c r="G207" s="18"/>
      <c r="H207" s="18"/>
      <c r="I207" s="18"/>
      <c r="J207" s="18"/>
      <c r="K207" s="18"/>
      <c r="L207" s="18"/>
      <c r="M207" s="18"/>
      <c r="N207" s="18"/>
      <c r="O207" s="18"/>
      <c r="P207" s="25"/>
      <c r="Q207" s="25"/>
      <c r="R207" s="18"/>
      <c r="S207" s="18"/>
      <c r="T207" s="18"/>
      <c r="U207" s="18"/>
      <c r="V207" s="18"/>
      <c r="W207" s="18"/>
      <c r="X207" s="18"/>
      <c r="Y207" s="18"/>
      <c r="Z207" s="18"/>
      <c r="AA207" s="18"/>
      <c r="AB207" t="str">
        <f>IFERROR(__xludf.DUMMYFUNCTION("SUBSTITUTE(REGEXREPLACE(REGEXREPLACE(REGEXREPLACE(REGEXREPLACE(REGEXREPLACE(REGEXREPLACE(F207,"","",),IF(Projections!$T$11="""",""PG"",),),IF(Projections!$U$11="""",""SG"",),),IF(Projections!$V$11="""",""SF"",),),IF(Projections!$W$11="""",""PF"",),),IF(Pr"&amp;"ojections!$X$11="""",""C"",),),""/"","""")"),"")</f>
        <v/>
      </c>
    </row>
    <row r="208">
      <c r="G208" s="18"/>
      <c r="H208" s="18"/>
      <c r="I208" s="18"/>
      <c r="J208" s="18"/>
      <c r="K208" s="18"/>
      <c r="L208" s="18"/>
      <c r="M208" s="18"/>
      <c r="N208" s="18"/>
      <c r="O208" s="18"/>
      <c r="P208" s="25"/>
      <c r="Q208" s="25"/>
      <c r="R208" s="18"/>
      <c r="S208" s="18"/>
      <c r="T208" s="18"/>
      <c r="U208" s="18"/>
      <c r="V208" s="18"/>
      <c r="W208" s="18"/>
      <c r="X208" s="18"/>
      <c r="Y208" s="18"/>
      <c r="Z208" s="18"/>
      <c r="AA208" s="18"/>
      <c r="AB208" t="str">
        <f>IFERROR(__xludf.DUMMYFUNCTION("SUBSTITUTE(REGEXREPLACE(REGEXREPLACE(REGEXREPLACE(REGEXREPLACE(REGEXREPLACE(REGEXREPLACE(F208,"","",),IF(Projections!$T$11="""",""PG"",),),IF(Projections!$U$11="""",""SG"",),),IF(Projections!$V$11="""",""SF"",),),IF(Projections!$W$11="""",""PF"",),),IF(Pr"&amp;"ojections!$X$11="""",""C"",),),""/"","""")"),"")</f>
        <v/>
      </c>
    </row>
    <row r="209">
      <c r="G209" s="18"/>
      <c r="H209" s="18"/>
      <c r="I209" s="18"/>
      <c r="J209" s="18"/>
      <c r="K209" s="18"/>
      <c r="L209" s="18"/>
      <c r="M209" s="18"/>
      <c r="N209" s="18"/>
      <c r="O209" s="18"/>
      <c r="P209" s="25"/>
      <c r="Q209" s="25"/>
      <c r="R209" s="18"/>
      <c r="S209" s="18"/>
      <c r="T209" s="18"/>
      <c r="U209" s="18"/>
      <c r="V209" s="18"/>
      <c r="W209" s="18"/>
      <c r="X209" s="18"/>
      <c r="Y209" s="18"/>
      <c r="Z209" s="18"/>
      <c r="AA209" s="18"/>
      <c r="AB209" t="str">
        <f>IFERROR(__xludf.DUMMYFUNCTION("SUBSTITUTE(REGEXREPLACE(REGEXREPLACE(REGEXREPLACE(REGEXREPLACE(REGEXREPLACE(REGEXREPLACE(F209,"","",),IF(Projections!$T$11="""",""PG"",),),IF(Projections!$U$11="""",""SG"",),),IF(Projections!$V$11="""",""SF"",),),IF(Projections!$W$11="""",""PF"",),),IF(Pr"&amp;"ojections!$X$11="""",""C"",),),""/"","""")"),"")</f>
        <v/>
      </c>
    </row>
    <row r="210">
      <c r="G210" s="18"/>
      <c r="H210" s="18"/>
      <c r="I210" s="18"/>
      <c r="J210" s="18"/>
      <c r="K210" s="18"/>
      <c r="L210" s="18"/>
      <c r="M210" s="18"/>
      <c r="N210" s="18"/>
      <c r="O210" s="18"/>
      <c r="P210" s="25"/>
      <c r="Q210" s="25"/>
      <c r="R210" s="18"/>
      <c r="S210" s="18"/>
      <c r="T210" s="18"/>
      <c r="U210" s="18"/>
      <c r="V210" s="18"/>
      <c r="W210" s="18"/>
      <c r="X210" s="18"/>
      <c r="Y210" s="18"/>
      <c r="Z210" s="18"/>
      <c r="AA210" s="18"/>
      <c r="AB210" t="str">
        <f>IFERROR(__xludf.DUMMYFUNCTION("SUBSTITUTE(REGEXREPLACE(REGEXREPLACE(REGEXREPLACE(REGEXREPLACE(REGEXREPLACE(REGEXREPLACE(F210,"","",),IF(Projections!$T$11="""",""PG"",),),IF(Projections!$U$11="""",""SG"",),),IF(Projections!$V$11="""",""SF"",),),IF(Projections!$W$11="""",""PF"",),),IF(Pr"&amp;"ojections!$X$11="""",""C"",),),""/"","""")"),"")</f>
        <v/>
      </c>
    </row>
    <row r="211">
      <c r="G211" s="18"/>
      <c r="H211" s="18"/>
      <c r="I211" s="18"/>
      <c r="J211" s="18"/>
      <c r="K211" s="18"/>
      <c r="L211" s="18"/>
      <c r="M211" s="18"/>
      <c r="N211" s="18"/>
      <c r="O211" s="18"/>
      <c r="P211" s="25"/>
      <c r="Q211" s="25"/>
      <c r="R211" s="18"/>
      <c r="S211" s="18"/>
      <c r="T211" s="18"/>
      <c r="U211" s="18"/>
      <c r="V211" s="18"/>
      <c r="W211" s="18"/>
      <c r="X211" s="18"/>
      <c r="Y211" s="18"/>
      <c r="Z211" s="18"/>
      <c r="AA211" s="18"/>
      <c r="AB211" t="str">
        <f>IFERROR(__xludf.DUMMYFUNCTION("SUBSTITUTE(REGEXREPLACE(REGEXREPLACE(REGEXREPLACE(REGEXREPLACE(REGEXREPLACE(REGEXREPLACE(F211,"","",),IF(Projections!$T$11="""",""PG"",),),IF(Projections!$U$11="""",""SG"",),),IF(Projections!$V$11="""",""SF"",),),IF(Projections!$W$11="""",""PF"",),),IF(Pr"&amp;"ojections!$X$11="""",""C"",),),""/"","""")"),"")</f>
        <v/>
      </c>
    </row>
    <row r="212">
      <c r="G212" s="18"/>
      <c r="H212" s="18"/>
      <c r="I212" s="18"/>
      <c r="J212" s="18"/>
      <c r="K212" s="18"/>
      <c r="L212" s="18"/>
      <c r="M212" s="18"/>
      <c r="N212" s="18"/>
      <c r="O212" s="18"/>
      <c r="P212" s="25"/>
      <c r="Q212" s="25"/>
      <c r="R212" s="18"/>
      <c r="S212" s="18"/>
      <c r="T212" s="18"/>
      <c r="U212" s="18"/>
      <c r="V212" s="18"/>
      <c r="W212" s="18"/>
      <c r="X212" s="18"/>
      <c r="Y212" s="18"/>
      <c r="Z212" s="18"/>
      <c r="AA212" s="18"/>
      <c r="AB212" t="str">
        <f>IFERROR(__xludf.DUMMYFUNCTION("SUBSTITUTE(REGEXREPLACE(REGEXREPLACE(REGEXREPLACE(REGEXREPLACE(REGEXREPLACE(REGEXREPLACE(F212,"","",),IF(Projections!$T$11="""",""PG"",),),IF(Projections!$U$11="""",""SG"",),),IF(Projections!$V$11="""",""SF"",),),IF(Projections!$W$11="""",""PF"",),),IF(Pr"&amp;"ojections!$X$11="""",""C"",),),""/"","""")"),"")</f>
        <v/>
      </c>
    </row>
    <row r="213">
      <c r="G213" s="18"/>
      <c r="H213" s="18"/>
      <c r="I213" s="18"/>
      <c r="J213" s="18"/>
      <c r="K213" s="18"/>
      <c r="L213" s="18"/>
      <c r="M213" s="18"/>
      <c r="N213" s="18"/>
      <c r="O213" s="18"/>
      <c r="P213" s="25"/>
      <c r="Q213" s="25"/>
      <c r="R213" s="18"/>
      <c r="S213" s="18"/>
      <c r="T213" s="18"/>
      <c r="U213" s="18"/>
      <c r="V213" s="18"/>
      <c r="W213" s="18"/>
      <c r="X213" s="18"/>
      <c r="Y213" s="18"/>
      <c r="Z213" s="18"/>
      <c r="AA213" s="18"/>
      <c r="AB213" t="str">
        <f>IFERROR(__xludf.DUMMYFUNCTION("SUBSTITUTE(REGEXREPLACE(REGEXREPLACE(REGEXREPLACE(REGEXREPLACE(REGEXREPLACE(REGEXREPLACE(F213,"","",),IF(Projections!$T$11="""",""PG"",),),IF(Projections!$U$11="""",""SG"",),),IF(Projections!$V$11="""",""SF"",),),IF(Projections!$W$11="""",""PF"",),),IF(Pr"&amp;"ojections!$X$11="""",""C"",),),""/"","""")"),"")</f>
        <v/>
      </c>
    </row>
    <row r="214">
      <c r="G214" s="18"/>
      <c r="H214" s="18"/>
      <c r="I214" s="18"/>
      <c r="J214" s="18"/>
      <c r="K214" s="18"/>
      <c r="L214" s="18"/>
      <c r="M214" s="18"/>
      <c r="N214" s="18"/>
      <c r="O214" s="18"/>
      <c r="P214" s="25"/>
      <c r="Q214" s="25"/>
      <c r="R214" s="18"/>
      <c r="S214" s="18"/>
      <c r="T214" s="18"/>
      <c r="U214" s="18"/>
      <c r="V214" s="18"/>
      <c r="W214" s="18"/>
      <c r="X214" s="18"/>
      <c r="Y214" s="18"/>
      <c r="Z214" s="18"/>
      <c r="AA214" s="18"/>
      <c r="AB214" t="str">
        <f>IFERROR(__xludf.DUMMYFUNCTION("SUBSTITUTE(REGEXREPLACE(REGEXREPLACE(REGEXREPLACE(REGEXREPLACE(REGEXREPLACE(REGEXREPLACE(F214,"","",),IF(Projections!$T$11="""",""PG"",),),IF(Projections!$U$11="""",""SG"",),),IF(Projections!$V$11="""",""SF"",),),IF(Projections!$W$11="""",""PF"",),),IF(Pr"&amp;"ojections!$X$11="""",""C"",),),""/"","""")"),"")</f>
        <v/>
      </c>
    </row>
    <row r="215">
      <c r="G215" s="18"/>
      <c r="H215" s="18"/>
      <c r="I215" s="18"/>
      <c r="J215" s="18"/>
      <c r="K215" s="18"/>
      <c r="L215" s="18"/>
      <c r="M215" s="18"/>
      <c r="N215" s="18"/>
      <c r="O215" s="18"/>
      <c r="P215" s="25"/>
      <c r="Q215" s="25"/>
      <c r="R215" s="18"/>
      <c r="S215" s="18"/>
      <c r="T215" s="18"/>
      <c r="U215" s="18"/>
      <c r="V215" s="18"/>
      <c r="W215" s="18"/>
      <c r="X215" s="18"/>
      <c r="Y215" s="18"/>
      <c r="Z215" s="18"/>
      <c r="AA215" s="18"/>
      <c r="AB215" t="str">
        <f>IFERROR(__xludf.DUMMYFUNCTION("SUBSTITUTE(REGEXREPLACE(REGEXREPLACE(REGEXREPLACE(REGEXREPLACE(REGEXREPLACE(REGEXREPLACE(F215,"","",),IF(Projections!$T$11="""",""PG"",),),IF(Projections!$U$11="""",""SG"",),),IF(Projections!$V$11="""",""SF"",),),IF(Projections!$W$11="""",""PF"",),),IF(Pr"&amp;"ojections!$X$11="""",""C"",),),""/"","""")"),"")</f>
        <v/>
      </c>
    </row>
    <row r="216">
      <c r="G216" s="18"/>
      <c r="H216" s="18"/>
      <c r="I216" s="18"/>
      <c r="J216" s="18"/>
      <c r="K216" s="18"/>
      <c r="L216" s="18"/>
      <c r="M216" s="18"/>
      <c r="N216" s="18"/>
      <c r="O216" s="18"/>
      <c r="P216" s="25"/>
      <c r="Q216" s="25"/>
      <c r="R216" s="18"/>
      <c r="S216" s="18"/>
      <c r="T216" s="18"/>
      <c r="U216" s="18"/>
      <c r="V216" s="18"/>
      <c r="W216" s="18"/>
      <c r="X216" s="18"/>
      <c r="Y216" s="18"/>
      <c r="Z216" s="18"/>
      <c r="AA216" s="18"/>
      <c r="AB216" t="str">
        <f>IFERROR(__xludf.DUMMYFUNCTION("SUBSTITUTE(REGEXREPLACE(REGEXREPLACE(REGEXREPLACE(REGEXREPLACE(REGEXREPLACE(REGEXREPLACE(F216,"","",),IF(Projections!$T$11="""",""PG"",),),IF(Projections!$U$11="""",""SG"",),),IF(Projections!$V$11="""",""SF"",),),IF(Projections!$W$11="""",""PF"",),),IF(Pr"&amp;"ojections!$X$11="""",""C"",),),""/"","""")"),"")</f>
        <v/>
      </c>
    </row>
    <row r="217">
      <c r="G217" s="18"/>
      <c r="H217" s="18"/>
      <c r="I217" s="18"/>
      <c r="J217" s="18"/>
      <c r="K217" s="18"/>
      <c r="L217" s="18"/>
      <c r="M217" s="18"/>
      <c r="N217" s="18"/>
      <c r="O217" s="18"/>
      <c r="P217" s="25"/>
      <c r="Q217" s="25"/>
      <c r="R217" s="18"/>
      <c r="S217" s="18"/>
      <c r="T217" s="18"/>
      <c r="U217" s="18"/>
      <c r="V217" s="18"/>
      <c r="W217" s="18"/>
      <c r="X217" s="18"/>
      <c r="Y217" s="18"/>
      <c r="Z217" s="18"/>
      <c r="AA217" s="18"/>
      <c r="AB217" t="str">
        <f>IFERROR(__xludf.DUMMYFUNCTION("SUBSTITUTE(REGEXREPLACE(REGEXREPLACE(REGEXREPLACE(REGEXREPLACE(REGEXREPLACE(REGEXREPLACE(F217,"","",),IF(Projections!$T$11="""",""PG"",),),IF(Projections!$U$11="""",""SG"",),),IF(Projections!$V$11="""",""SF"",),),IF(Projections!$W$11="""",""PF"",),),IF(Pr"&amp;"ojections!$X$11="""",""C"",),),""/"","""")"),"")</f>
        <v/>
      </c>
    </row>
    <row r="218">
      <c r="G218" s="18"/>
      <c r="H218" s="18"/>
      <c r="I218" s="18"/>
      <c r="J218" s="18"/>
      <c r="K218" s="18"/>
      <c r="L218" s="18"/>
      <c r="M218" s="18"/>
      <c r="N218" s="18"/>
      <c r="O218" s="18"/>
      <c r="P218" s="25"/>
      <c r="Q218" s="25"/>
      <c r="R218" s="18"/>
      <c r="S218" s="18"/>
      <c r="T218" s="18"/>
      <c r="U218" s="18"/>
      <c r="V218" s="18"/>
      <c r="W218" s="18"/>
      <c r="X218" s="18"/>
      <c r="Y218" s="18"/>
      <c r="Z218" s="18"/>
      <c r="AA218" s="18"/>
      <c r="AB218" t="str">
        <f>IFERROR(__xludf.DUMMYFUNCTION("SUBSTITUTE(REGEXREPLACE(REGEXREPLACE(REGEXREPLACE(REGEXREPLACE(REGEXREPLACE(REGEXREPLACE(F218,"","",),IF(Projections!$T$11="""",""PG"",),),IF(Projections!$U$11="""",""SG"",),),IF(Projections!$V$11="""",""SF"",),),IF(Projections!$W$11="""",""PF"",),),IF(Pr"&amp;"ojections!$X$11="""",""C"",),),""/"","""")"),"")</f>
        <v/>
      </c>
    </row>
    <row r="219">
      <c r="G219" s="18"/>
      <c r="H219" s="18"/>
      <c r="I219" s="18"/>
      <c r="J219" s="18"/>
      <c r="K219" s="18"/>
      <c r="L219" s="18"/>
      <c r="M219" s="18"/>
      <c r="N219" s="18"/>
      <c r="O219" s="18"/>
      <c r="P219" s="25"/>
      <c r="Q219" s="25"/>
      <c r="R219" s="18"/>
      <c r="S219" s="18"/>
      <c r="T219" s="18"/>
      <c r="U219" s="18"/>
      <c r="V219" s="18"/>
      <c r="W219" s="18"/>
      <c r="X219" s="18"/>
      <c r="Y219" s="18"/>
      <c r="Z219" s="18"/>
      <c r="AA219" s="18"/>
      <c r="AB219" t="str">
        <f>IFERROR(__xludf.DUMMYFUNCTION("SUBSTITUTE(REGEXREPLACE(REGEXREPLACE(REGEXREPLACE(REGEXREPLACE(REGEXREPLACE(REGEXREPLACE(F219,"","",),IF(Projections!$T$11="""",""PG"",),),IF(Projections!$U$11="""",""SG"",),),IF(Projections!$V$11="""",""SF"",),),IF(Projections!$W$11="""",""PF"",),),IF(Pr"&amp;"ojections!$X$11="""",""C"",),),""/"","""")"),"")</f>
        <v/>
      </c>
    </row>
    <row r="220">
      <c r="G220" s="18"/>
      <c r="H220" s="18"/>
      <c r="I220" s="18"/>
      <c r="J220" s="18"/>
      <c r="K220" s="18"/>
      <c r="L220" s="18"/>
      <c r="M220" s="18"/>
      <c r="N220" s="18"/>
      <c r="O220" s="18"/>
      <c r="P220" s="25"/>
      <c r="Q220" s="25"/>
      <c r="R220" s="18"/>
      <c r="S220" s="18"/>
      <c r="T220" s="18"/>
      <c r="U220" s="18"/>
      <c r="V220" s="18"/>
      <c r="W220" s="18"/>
      <c r="X220" s="18"/>
      <c r="Y220" s="18"/>
      <c r="Z220" s="18"/>
      <c r="AA220" s="18"/>
      <c r="AB220" t="str">
        <f>IFERROR(__xludf.DUMMYFUNCTION("SUBSTITUTE(REGEXREPLACE(REGEXREPLACE(REGEXREPLACE(REGEXREPLACE(REGEXREPLACE(REGEXREPLACE(F220,"","",),IF(Projections!$T$11="""",""PG"",),),IF(Projections!$U$11="""",""SG"",),),IF(Projections!$V$11="""",""SF"",),),IF(Projections!$W$11="""",""PF"",),),IF(Pr"&amp;"ojections!$X$11="""",""C"",),),""/"","""")"),"")</f>
        <v/>
      </c>
    </row>
    <row r="221">
      <c r="G221" s="18"/>
      <c r="H221" s="18"/>
      <c r="I221" s="18"/>
      <c r="J221" s="18"/>
      <c r="K221" s="18"/>
      <c r="L221" s="18"/>
      <c r="M221" s="18"/>
      <c r="N221" s="18"/>
      <c r="O221" s="18"/>
      <c r="P221" s="25"/>
      <c r="Q221" s="25"/>
      <c r="R221" s="18"/>
      <c r="S221" s="18"/>
      <c r="T221" s="18"/>
      <c r="U221" s="18"/>
      <c r="V221" s="18"/>
      <c r="W221" s="18"/>
      <c r="X221" s="18"/>
      <c r="Y221" s="18"/>
      <c r="Z221" s="18"/>
      <c r="AA221" s="18"/>
      <c r="AB221" t="str">
        <f>IFERROR(__xludf.DUMMYFUNCTION("SUBSTITUTE(REGEXREPLACE(REGEXREPLACE(REGEXREPLACE(REGEXREPLACE(REGEXREPLACE(REGEXREPLACE(F221,"","",),IF(Projections!$T$11="""",""PG"",),),IF(Projections!$U$11="""",""SG"",),),IF(Projections!$V$11="""",""SF"",),),IF(Projections!$W$11="""",""PF"",),),IF(Pr"&amp;"ojections!$X$11="""",""C"",),),""/"","""")"),"")</f>
        <v/>
      </c>
    </row>
    <row r="222">
      <c r="G222" s="18"/>
      <c r="H222" s="18"/>
      <c r="I222" s="18"/>
      <c r="J222" s="18"/>
      <c r="K222" s="18"/>
      <c r="L222" s="18"/>
      <c r="M222" s="18"/>
      <c r="N222" s="18"/>
      <c r="O222" s="18"/>
      <c r="P222" s="25"/>
      <c r="Q222" s="25"/>
      <c r="R222" s="18"/>
      <c r="S222" s="18"/>
      <c r="T222" s="18"/>
      <c r="U222" s="18"/>
      <c r="V222" s="18"/>
      <c r="W222" s="18"/>
      <c r="X222" s="18"/>
      <c r="Y222" s="18"/>
      <c r="Z222" s="18"/>
      <c r="AA222" s="18"/>
      <c r="AB222" t="str">
        <f>IFERROR(__xludf.DUMMYFUNCTION("SUBSTITUTE(REGEXREPLACE(REGEXREPLACE(REGEXREPLACE(REGEXREPLACE(REGEXREPLACE(REGEXREPLACE(F222,"","",),IF(Projections!$T$11="""",""PG"",),),IF(Projections!$U$11="""",""SG"",),),IF(Projections!$V$11="""",""SF"",),),IF(Projections!$W$11="""",""PF"",),),IF(Pr"&amp;"ojections!$X$11="""",""C"",),),""/"","""")"),"")</f>
        <v/>
      </c>
    </row>
    <row r="223">
      <c r="G223" s="18"/>
      <c r="H223" s="18"/>
      <c r="I223" s="18"/>
      <c r="J223" s="18"/>
      <c r="K223" s="18"/>
      <c r="L223" s="18"/>
      <c r="M223" s="18"/>
      <c r="N223" s="18"/>
      <c r="O223" s="18"/>
      <c r="P223" s="25"/>
      <c r="Q223" s="25"/>
      <c r="R223" s="18"/>
      <c r="S223" s="18"/>
      <c r="T223" s="18"/>
      <c r="U223" s="18"/>
      <c r="V223" s="18"/>
      <c r="W223" s="18"/>
      <c r="X223" s="18"/>
      <c r="Y223" s="18"/>
      <c r="Z223" s="18"/>
      <c r="AA223" s="18"/>
      <c r="AB223" t="str">
        <f>IFERROR(__xludf.DUMMYFUNCTION("SUBSTITUTE(REGEXREPLACE(REGEXREPLACE(REGEXREPLACE(REGEXREPLACE(REGEXREPLACE(REGEXREPLACE(F223,"","",),IF(Projections!$T$11="""",""PG"",),),IF(Projections!$U$11="""",""SG"",),),IF(Projections!$V$11="""",""SF"",),),IF(Projections!$W$11="""",""PF"",),),IF(Pr"&amp;"ojections!$X$11="""",""C"",),),""/"","""")"),"")</f>
        <v/>
      </c>
    </row>
    <row r="224">
      <c r="G224" s="18"/>
      <c r="H224" s="18"/>
      <c r="I224" s="18"/>
      <c r="J224" s="18"/>
      <c r="K224" s="18"/>
      <c r="L224" s="18"/>
      <c r="M224" s="18"/>
      <c r="N224" s="18"/>
      <c r="O224" s="18"/>
      <c r="P224" s="25"/>
      <c r="Q224" s="25"/>
      <c r="R224" s="18"/>
      <c r="S224" s="18"/>
      <c r="T224" s="18"/>
      <c r="U224" s="18"/>
      <c r="V224" s="18"/>
      <c r="W224" s="18"/>
      <c r="X224" s="18"/>
      <c r="Y224" s="18"/>
      <c r="Z224" s="18"/>
      <c r="AA224" s="18"/>
      <c r="AB224" t="str">
        <f>IFERROR(__xludf.DUMMYFUNCTION("SUBSTITUTE(REGEXREPLACE(REGEXREPLACE(REGEXREPLACE(REGEXREPLACE(REGEXREPLACE(REGEXREPLACE(F224,"","",),IF(Projections!$T$11="""",""PG"",),),IF(Projections!$U$11="""",""SG"",),),IF(Projections!$V$11="""",""SF"",),),IF(Projections!$W$11="""",""PF"",),),IF(Pr"&amp;"ojections!$X$11="""",""C"",),),""/"","""")"),"")</f>
        <v/>
      </c>
    </row>
    <row r="225">
      <c r="G225" s="18"/>
      <c r="H225" s="18"/>
      <c r="I225" s="18"/>
      <c r="J225" s="18"/>
      <c r="K225" s="18"/>
      <c r="L225" s="18"/>
      <c r="M225" s="18"/>
      <c r="N225" s="18"/>
      <c r="O225" s="18"/>
      <c r="P225" s="25"/>
      <c r="Q225" s="25"/>
      <c r="R225" s="18"/>
      <c r="S225" s="18"/>
      <c r="T225" s="18"/>
      <c r="U225" s="18"/>
      <c r="V225" s="18"/>
      <c r="W225" s="18"/>
      <c r="X225" s="18"/>
      <c r="Y225" s="18"/>
      <c r="Z225" s="18"/>
      <c r="AA225" s="18"/>
      <c r="AB225" t="str">
        <f>IFERROR(__xludf.DUMMYFUNCTION("SUBSTITUTE(REGEXREPLACE(REGEXREPLACE(REGEXREPLACE(REGEXREPLACE(REGEXREPLACE(REGEXREPLACE(F225,"","",),IF(Projections!$T$11="""",""PG"",),),IF(Projections!$U$11="""",""SG"",),),IF(Projections!$V$11="""",""SF"",),),IF(Projections!$W$11="""",""PF"",),),IF(Pr"&amp;"ojections!$X$11="""",""C"",),),""/"","""")"),"")</f>
        <v/>
      </c>
    </row>
    <row r="226">
      <c r="G226" s="18"/>
      <c r="H226" s="18"/>
      <c r="I226" s="18"/>
      <c r="J226" s="18"/>
      <c r="K226" s="18"/>
      <c r="L226" s="18"/>
      <c r="M226" s="18"/>
      <c r="N226" s="18"/>
      <c r="O226" s="18"/>
      <c r="P226" s="25"/>
      <c r="Q226" s="25"/>
      <c r="R226" s="18"/>
      <c r="S226" s="18"/>
      <c r="T226" s="18"/>
      <c r="U226" s="18"/>
      <c r="V226" s="18"/>
      <c r="W226" s="18"/>
      <c r="X226" s="18"/>
      <c r="Y226" s="18"/>
      <c r="Z226" s="18"/>
      <c r="AA226" s="18"/>
      <c r="AB226" t="str">
        <f>IFERROR(__xludf.DUMMYFUNCTION("SUBSTITUTE(REGEXREPLACE(REGEXREPLACE(REGEXREPLACE(REGEXREPLACE(REGEXREPLACE(REGEXREPLACE(F226,"","",),IF(Projections!$T$11="""",""PG"",),),IF(Projections!$U$11="""",""SG"",),),IF(Projections!$V$11="""",""SF"",),),IF(Projections!$W$11="""",""PF"",),),IF(Pr"&amp;"ojections!$X$11="""",""C"",),),""/"","""")"),"")</f>
        <v/>
      </c>
    </row>
    <row r="227">
      <c r="G227" s="18"/>
      <c r="H227" s="18"/>
      <c r="I227" s="18"/>
      <c r="J227" s="18"/>
      <c r="K227" s="18"/>
      <c r="L227" s="18"/>
      <c r="M227" s="18"/>
      <c r="N227" s="18"/>
      <c r="O227" s="18"/>
      <c r="P227" s="25"/>
      <c r="Q227" s="25"/>
      <c r="R227" s="18"/>
      <c r="S227" s="18"/>
      <c r="T227" s="18"/>
      <c r="U227" s="18"/>
      <c r="V227" s="18"/>
      <c r="W227" s="18"/>
      <c r="X227" s="18"/>
      <c r="Y227" s="18"/>
      <c r="Z227" s="18"/>
      <c r="AA227" s="18"/>
      <c r="AB227" t="str">
        <f>IFERROR(__xludf.DUMMYFUNCTION("SUBSTITUTE(REGEXREPLACE(REGEXREPLACE(REGEXREPLACE(REGEXREPLACE(REGEXREPLACE(REGEXREPLACE(F227,"","",),IF(Projections!$T$11="""",""PG"",),),IF(Projections!$U$11="""",""SG"",),),IF(Projections!$V$11="""",""SF"",),),IF(Projections!$W$11="""",""PF"",),),IF(Pr"&amp;"ojections!$X$11="""",""C"",),),""/"","""")"),"")</f>
        <v/>
      </c>
    </row>
    <row r="228">
      <c r="G228" s="18"/>
      <c r="H228" s="18"/>
      <c r="I228" s="18"/>
      <c r="J228" s="18"/>
      <c r="K228" s="18"/>
      <c r="L228" s="18"/>
      <c r="M228" s="18"/>
      <c r="N228" s="18"/>
      <c r="O228" s="18"/>
      <c r="P228" s="25"/>
      <c r="Q228" s="25"/>
      <c r="R228" s="18"/>
      <c r="S228" s="18"/>
      <c r="T228" s="18"/>
      <c r="U228" s="18"/>
      <c r="V228" s="18"/>
      <c r="W228" s="18"/>
      <c r="X228" s="18"/>
      <c r="Y228" s="18"/>
      <c r="Z228" s="18"/>
      <c r="AA228" s="18"/>
      <c r="AB228" t="str">
        <f>IFERROR(__xludf.DUMMYFUNCTION("SUBSTITUTE(REGEXREPLACE(REGEXREPLACE(REGEXREPLACE(REGEXREPLACE(REGEXREPLACE(REGEXREPLACE(F228,"","",),IF(Projections!$T$11="""",""PG"",),),IF(Projections!$U$11="""",""SG"",),),IF(Projections!$V$11="""",""SF"",),),IF(Projections!$W$11="""",""PF"",),),IF(Pr"&amp;"ojections!$X$11="""",""C"",),),""/"","""")"),"")</f>
        <v/>
      </c>
    </row>
    <row r="229">
      <c r="G229" s="18"/>
      <c r="H229" s="18"/>
      <c r="I229" s="18"/>
      <c r="J229" s="18"/>
      <c r="K229" s="18"/>
      <c r="L229" s="18"/>
      <c r="M229" s="18"/>
      <c r="N229" s="18"/>
      <c r="O229" s="18"/>
      <c r="P229" s="25"/>
      <c r="Q229" s="25"/>
      <c r="R229" s="18"/>
      <c r="S229" s="18"/>
      <c r="T229" s="18"/>
      <c r="U229" s="18"/>
      <c r="V229" s="18"/>
      <c r="W229" s="18"/>
      <c r="X229" s="18"/>
      <c r="Y229" s="18"/>
      <c r="Z229" s="18"/>
      <c r="AA229" s="18"/>
      <c r="AB229" t="str">
        <f>IFERROR(__xludf.DUMMYFUNCTION("SUBSTITUTE(REGEXREPLACE(REGEXREPLACE(REGEXREPLACE(REGEXREPLACE(REGEXREPLACE(REGEXREPLACE(F229,"","",),IF(Projections!$T$11="""",""PG"",),),IF(Projections!$U$11="""",""SG"",),),IF(Projections!$V$11="""",""SF"",),),IF(Projections!$W$11="""",""PF"",),),IF(Pr"&amp;"ojections!$X$11="""",""C"",),),""/"","""")"),"")</f>
        <v/>
      </c>
    </row>
    <row r="230">
      <c r="G230" s="18"/>
      <c r="H230" s="18"/>
      <c r="I230" s="18"/>
      <c r="J230" s="18"/>
      <c r="K230" s="18"/>
      <c r="L230" s="18"/>
      <c r="M230" s="18"/>
      <c r="N230" s="18"/>
      <c r="O230" s="18"/>
      <c r="P230" s="25"/>
      <c r="Q230" s="25"/>
      <c r="R230" s="18"/>
      <c r="S230" s="18"/>
      <c r="T230" s="18"/>
      <c r="U230" s="18"/>
      <c r="V230" s="18"/>
      <c r="W230" s="18"/>
      <c r="X230" s="18"/>
      <c r="Y230" s="18"/>
      <c r="Z230" s="18"/>
      <c r="AA230" s="18"/>
      <c r="AB230" t="str">
        <f>IFERROR(__xludf.DUMMYFUNCTION("SUBSTITUTE(REGEXREPLACE(REGEXREPLACE(REGEXREPLACE(REGEXREPLACE(REGEXREPLACE(REGEXREPLACE(F230,"","",),IF(Projections!$T$11="""",""PG"",),),IF(Projections!$U$11="""",""SG"",),),IF(Projections!$V$11="""",""SF"",),),IF(Projections!$W$11="""",""PF"",),),IF(Pr"&amp;"ojections!$X$11="""",""C"",),),""/"","""")"),"")</f>
        <v/>
      </c>
    </row>
    <row r="231">
      <c r="G231" s="18"/>
      <c r="H231" s="18"/>
      <c r="I231" s="18"/>
      <c r="J231" s="18"/>
      <c r="K231" s="18"/>
      <c r="L231" s="18"/>
      <c r="M231" s="18"/>
      <c r="N231" s="18"/>
      <c r="O231" s="18"/>
      <c r="P231" s="25"/>
      <c r="Q231" s="25"/>
      <c r="R231" s="18"/>
      <c r="S231" s="18"/>
      <c r="T231" s="18"/>
      <c r="U231" s="18"/>
      <c r="V231" s="18"/>
      <c r="W231" s="18"/>
      <c r="X231" s="18"/>
      <c r="Y231" s="18"/>
      <c r="Z231" s="18"/>
      <c r="AA231" s="18"/>
      <c r="AB231" t="str">
        <f>IFERROR(__xludf.DUMMYFUNCTION("SUBSTITUTE(REGEXREPLACE(REGEXREPLACE(REGEXREPLACE(REGEXREPLACE(REGEXREPLACE(REGEXREPLACE(F231,"","",),IF(Projections!$T$11="""",""PG"",),),IF(Projections!$U$11="""",""SG"",),),IF(Projections!$V$11="""",""SF"",),),IF(Projections!$W$11="""",""PF"",),),IF(Pr"&amp;"ojections!$X$11="""",""C"",),),""/"","""")"),"")</f>
        <v/>
      </c>
    </row>
    <row r="232">
      <c r="G232" s="18"/>
      <c r="H232" s="18"/>
      <c r="I232" s="18"/>
      <c r="J232" s="18"/>
      <c r="K232" s="18"/>
      <c r="L232" s="18"/>
      <c r="M232" s="18"/>
      <c r="N232" s="18"/>
      <c r="O232" s="18"/>
      <c r="P232" s="25"/>
      <c r="Q232" s="25"/>
      <c r="R232" s="18"/>
      <c r="S232" s="18"/>
      <c r="T232" s="18"/>
      <c r="U232" s="18"/>
      <c r="V232" s="18"/>
      <c r="W232" s="18"/>
      <c r="X232" s="18"/>
      <c r="Y232" s="18"/>
      <c r="Z232" s="18"/>
      <c r="AA232" s="18"/>
      <c r="AB232" t="str">
        <f>IFERROR(__xludf.DUMMYFUNCTION("SUBSTITUTE(REGEXREPLACE(REGEXREPLACE(REGEXREPLACE(REGEXREPLACE(REGEXREPLACE(REGEXREPLACE(F232,"","",),IF(Projections!$T$11="""",""PG"",),),IF(Projections!$U$11="""",""SG"",),),IF(Projections!$V$11="""",""SF"",),),IF(Projections!$W$11="""",""PF"",),),IF(Pr"&amp;"ojections!$X$11="""",""C"",),),""/"","""")"),"")</f>
        <v/>
      </c>
    </row>
    <row r="233">
      <c r="G233" s="18"/>
      <c r="H233" s="18"/>
      <c r="I233" s="18"/>
      <c r="J233" s="18"/>
      <c r="K233" s="18"/>
      <c r="L233" s="18"/>
      <c r="M233" s="18"/>
      <c r="N233" s="18"/>
      <c r="O233" s="18"/>
      <c r="P233" s="25"/>
      <c r="Q233" s="25"/>
      <c r="R233" s="18"/>
      <c r="S233" s="18"/>
      <c r="T233" s="18"/>
      <c r="U233" s="18"/>
      <c r="V233" s="18"/>
      <c r="W233" s="18"/>
      <c r="X233" s="18"/>
      <c r="Y233" s="18"/>
      <c r="Z233" s="18"/>
      <c r="AA233" s="18"/>
      <c r="AB233" t="str">
        <f>IFERROR(__xludf.DUMMYFUNCTION("SUBSTITUTE(REGEXREPLACE(REGEXREPLACE(REGEXREPLACE(REGEXREPLACE(REGEXREPLACE(REGEXREPLACE(F233,"","",),IF(Projections!$T$11="""",""PG"",),),IF(Projections!$U$11="""",""SG"",),),IF(Projections!$V$11="""",""SF"",),),IF(Projections!$W$11="""",""PF"",),),IF(Pr"&amp;"ojections!$X$11="""",""C"",),),""/"","""")"),"")</f>
        <v/>
      </c>
    </row>
    <row r="234">
      <c r="G234" s="18"/>
      <c r="H234" s="18"/>
      <c r="I234" s="18"/>
      <c r="J234" s="18"/>
      <c r="K234" s="18"/>
      <c r="L234" s="18"/>
      <c r="M234" s="18"/>
      <c r="N234" s="18"/>
      <c r="O234" s="18"/>
      <c r="P234" s="25"/>
      <c r="Q234" s="25"/>
      <c r="R234" s="18"/>
      <c r="S234" s="18"/>
      <c r="T234" s="18"/>
      <c r="U234" s="18"/>
      <c r="V234" s="18"/>
      <c r="W234" s="18"/>
      <c r="X234" s="18"/>
      <c r="Y234" s="18"/>
      <c r="Z234" s="18"/>
      <c r="AA234" s="18"/>
      <c r="AB234" t="str">
        <f>IFERROR(__xludf.DUMMYFUNCTION("SUBSTITUTE(REGEXREPLACE(REGEXREPLACE(REGEXREPLACE(REGEXREPLACE(REGEXREPLACE(REGEXREPLACE(F234,"","",),IF(Projections!$T$11="""",""PG"",),),IF(Projections!$U$11="""",""SG"",),),IF(Projections!$V$11="""",""SF"",),),IF(Projections!$W$11="""",""PF"",),),IF(Pr"&amp;"ojections!$X$11="""",""C"",),),""/"","""")"),"")</f>
        <v/>
      </c>
    </row>
    <row r="235">
      <c r="G235" s="18"/>
      <c r="H235" s="18"/>
      <c r="I235" s="18"/>
      <c r="J235" s="18"/>
      <c r="K235" s="18"/>
      <c r="L235" s="18"/>
      <c r="M235" s="18"/>
      <c r="N235" s="18"/>
      <c r="O235" s="18"/>
      <c r="P235" s="25"/>
      <c r="Q235" s="25"/>
      <c r="R235" s="18"/>
      <c r="S235" s="18"/>
      <c r="T235" s="18"/>
      <c r="U235" s="18"/>
      <c r="V235" s="18"/>
      <c r="W235" s="18"/>
      <c r="X235" s="18"/>
      <c r="Y235" s="18"/>
      <c r="Z235" s="18"/>
      <c r="AA235" s="18"/>
      <c r="AB235" t="str">
        <f>IFERROR(__xludf.DUMMYFUNCTION("SUBSTITUTE(REGEXREPLACE(REGEXREPLACE(REGEXREPLACE(REGEXREPLACE(REGEXREPLACE(REGEXREPLACE(F235,"","",),IF(Projections!$T$11="""",""PG"",),),IF(Projections!$U$11="""",""SG"",),),IF(Projections!$V$11="""",""SF"",),),IF(Projections!$W$11="""",""PF"",),),IF(Pr"&amp;"ojections!$X$11="""",""C"",),),""/"","""")"),"")</f>
        <v/>
      </c>
    </row>
    <row r="236">
      <c r="G236" s="18"/>
      <c r="H236" s="18"/>
      <c r="I236" s="18"/>
      <c r="J236" s="18"/>
      <c r="K236" s="18"/>
      <c r="L236" s="18"/>
      <c r="M236" s="18"/>
      <c r="N236" s="18"/>
      <c r="O236" s="18"/>
      <c r="P236" s="25"/>
      <c r="Q236" s="25"/>
      <c r="R236" s="18"/>
      <c r="S236" s="18"/>
      <c r="T236" s="18"/>
      <c r="U236" s="18"/>
      <c r="V236" s="18"/>
      <c r="W236" s="18"/>
      <c r="X236" s="18"/>
      <c r="Y236" s="18"/>
      <c r="Z236" s="18"/>
      <c r="AA236" s="18"/>
      <c r="AB236" t="str">
        <f>IFERROR(__xludf.DUMMYFUNCTION("SUBSTITUTE(REGEXREPLACE(REGEXREPLACE(REGEXREPLACE(REGEXREPLACE(REGEXREPLACE(REGEXREPLACE(F236,"","",),IF(Projections!$T$11="""",""PG"",),),IF(Projections!$U$11="""",""SG"",),),IF(Projections!$V$11="""",""SF"",),),IF(Projections!$W$11="""",""PF"",),),IF(Pr"&amp;"ojections!$X$11="""",""C"",),),""/"","""")"),"")</f>
        <v/>
      </c>
    </row>
    <row r="237">
      <c r="G237" s="18"/>
      <c r="H237" s="18"/>
      <c r="I237" s="18"/>
      <c r="J237" s="18"/>
      <c r="K237" s="18"/>
      <c r="L237" s="18"/>
      <c r="M237" s="18"/>
      <c r="N237" s="18"/>
      <c r="O237" s="18"/>
      <c r="P237" s="25"/>
      <c r="Q237" s="25"/>
      <c r="R237" s="18"/>
      <c r="S237" s="18"/>
      <c r="T237" s="18"/>
      <c r="U237" s="18"/>
      <c r="V237" s="18"/>
      <c r="W237" s="18"/>
      <c r="X237" s="18"/>
      <c r="Y237" s="18"/>
      <c r="Z237" s="18"/>
      <c r="AA237" s="18"/>
      <c r="AB237" t="str">
        <f>IFERROR(__xludf.DUMMYFUNCTION("SUBSTITUTE(REGEXREPLACE(REGEXREPLACE(REGEXREPLACE(REGEXREPLACE(REGEXREPLACE(REGEXREPLACE(F237,"","",),IF(Projections!$T$11="""",""PG"",),),IF(Projections!$U$11="""",""SG"",),),IF(Projections!$V$11="""",""SF"",),),IF(Projections!$W$11="""",""PF"",),),IF(Pr"&amp;"ojections!$X$11="""",""C"",),),""/"","""")"),"")</f>
        <v/>
      </c>
    </row>
    <row r="238">
      <c r="G238" s="18"/>
      <c r="H238" s="18"/>
      <c r="I238" s="18"/>
      <c r="J238" s="18"/>
      <c r="K238" s="18"/>
      <c r="L238" s="18"/>
      <c r="M238" s="18"/>
      <c r="N238" s="18"/>
      <c r="O238" s="18"/>
      <c r="P238" s="25"/>
      <c r="Q238" s="25"/>
      <c r="R238" s="18"/>
      <c r="S238" s="18"/>
      <c r="T238" s="18"/>
      <c r="U238" s="18"/>
      <c r="V238" s="18"/>
      <c r="W238" s="18"/>
      <c r="X238" s="18"/>
      <c r="Y238" s="18"/>
      <c r="Z238" s="18"/>
      <c r="AA238" s="18"/>
      <c r="AB238" t="str">
        <f>IFERROR(__xludf.DUMMYFUNCTION("SUBSTITUTE(REGEXREPLACE(REGEXREPLACE(REGEXREPLACE(REGEXREPLACE(REGEXREPLACE(REGEXREPLACE(F238,"","",),IF(Projections!$T$11="""",""PG"",),),IF(Projections!$U$11="""",""SG"",),),IF(Projections!$V$11="""",""SF"",),),IF(Projections!$W$11="""",""PF"",),),IF(Pr"&amp;"ojections!$X$11="""",""C"",),),""/"","""")"),"")</f>
        <v/>
      </c>
    </row>
    <row r="239">
      <c r="G239" s="18"/>
      <c r="H239" s="18"/>
      <c r="I239" s="18"/>
      <c r="J239" s="18"/>
      <c r="K239" s="18"/>
      <c r="L239" s="18"/>
      <c r="M239" s="18"/>
      <c r="N239" s="18"/>
      <c r="O239" s="18"/>
      <c r="P239" s="25"/>
      <c r="Q239" s="25"/>
      <c r="R239" s="18"/>
      <c r="S239" s="18"/>
      <c r="T239" s="18"/>
      <c r="U239" s="18"/>
      <c r="V239" s="18"/>
      <c r="W239" s="18"/>
      <c r="X239" s="18"/>
      <c r="Y239" s="18"/>
      <c r="Z239" s="18"/>
      <c r="AA239" s="18"/>
      <c r="AB239" t="str">
        <f>IFERROR(__xludf.DUMMYFUNCTION("SUBSTITUTE(REGEXREPLACE(REGEXREPLACE(REGEXREPLACE(REGEXREPLACE(REGEXREPLACE(REGEXREPLACE(F239,"","",),IF(Projections!$T$11="""",""PG"",),),IF(Projections!$U$11="""",""SG"",),),IF(Projections!$V$11="""",""SF"",),),IF(Projections!$W$11="""",""PF"",),),IF(Pr"&amp;"ojections!$X$11="""",""C"",),),""/"","""")"),"")</f>
        <v/>
      </c>
    </row>
    <row r="240">
      <c r="G240" s="18"/>
      <c r="H240" s="18"/>
      <c r="I240" s="18"/>
      <c r="J240" s="18"/>
      <c r="K240" s="18"/>
      <c r="L240" s="18"/>
      <c r="M240" s="18"/>
      <c r="N240" s="18"/>
      <c r="O240" s="18"/>
      <c r="P240" s="25"/>
      <c r="Q240" s="25"/>
      <c r="R240" s="18"/>
      <c r="S240" s="18"/>
      <c r="T240" s="18"/>
      <c r="U240" s="18"/>
      <c r="V240" s="18"/>
      <c r="W240" s="18"/>
      <c r="X240" s="18"/>
      <c r="Y240" s="18"/>
      <c r="Z240" s="18"/>
      <c r="AA240" s="18"/>
      <c r="AB240" t="str">
        <f>IFERROR(__xludf.DUMMYFUNCTION("SUBSTITUTE(REGEXREPLACE(REGEXREPLACE(REGEXREPLACE(REGEXREPLACE(REGEXREPLACE(REGEXREPLACE(F240,"","",),IF(Projections!$T$11="""",""PG"",),),IF(Projections!$U$11="""",""SG"",),),IF(Projections!$V$11="""",""SF"",),),IF(Projections!$W$11="""",""PF"",),),IF(Pr"&amp;"ojections!$X$11="""",""C"",),),""/"","""")"),"")</f>
        <v/>
      </c>
    </row>
    <row r="241">
      <c r="G241" s="18"/>
      <c r="H241" s="18"/>
      <c r="I241" s="18"/>
      <c r="J241" s="18"/>
      <c r="K241" s="18"/>
      <c r="L241" s="18"/>
      <c r="M241" s="18"/>
      <c r="N241" s="18"/>
      <c r="O241" s="18"/>
      <c r="P241" s="25"/>
      <c r="Q241" s="25"/>
      <c r="R241" s="18"/>
      <c r="S241" s="18"/>
      <c r="T241" s="18"/>
      <c r="U241" s="18"/>
      <c r="V241" s="18"/>
      <c r="W241" s="18"/>
      <c r="X241" s="18"/>
      <c r="Y241" s="18"/>
      <c r="Z241" s="18"/>
      <c r="AA241" s="18"/>
      <c r="AB241" t="str">
        <f>IFERROR(__xludf.DUMMYFUNCTION("SUBSTITUTE(REGEXREPLACE(REGEXREPLACE(REGEXREPLACE(REGEXREPLACE(REGEXREPLACE(REGEXREPLACE(F241,"","",),IF(Projections!$T$11="""",""PG"",),),IF(Projections!$U$11="""",""SG"",),),IF(Projections!$V$11="""",""SF"",),),IF(Projections!$W$11="""",""PF"",),),IF(Pr"&amp;"ojections!$X$11="""",""C"",),),""/"","""")"),"")</f>
        <v/>
      </c>
    </row>
    <row r="242">
      <c r="G242" s="18"/>
      <c r="H242" s="18"/>
      <c r="I242" s="18"/>
      <c r="J242" s="18"/>
      <c r="K242" s="18"/>
      <c r="L242" s="18"/>
      <c r="M242" s="18"/>
      <c r="N242" s="18"/>
      <c r="O242" s="18"/>
      <c r="P242" s="25"/>
      <c r="Q242" s="25"/>
      <c r="R242" s="18"/>
      <c r="S242" s="18"/>
      <c r="T242" s="18"/>
      <c r="U242" s="18"/>
      <c r="V242" s="18"/>
      <c r="W242" s="18"/>
      <c r="X242" s="18"/>
      <c r="Y242" s="18"/>
      <c r="Z242" s="18"/>
      <c r="AA242" s="18"/>
      <c r="AB242" t="str">
        <f>IFERROR(__xludf.DUMMYFUNCTION("SUBSTITUTE(REGEXREPLACE(REGEXREPLACE(REGEXREPLACE(REGEXREPLACE(REGEXREPLACE(REGEXREPLACE(F242,"","",),IF(Projections!$T$11="""",""PG"",),),IF(Projections!$U$11="""",""SG"",),),IF(Projections!$V$11="""",""SF"",),),IF(Projections!$W$11="""",""PF"",),),IF(Pr"&amp;"ojections!$X$11="""",""C"",),),""/"","""")"),"")</f>
        <v/>
      </c>
    </row>
    <row r="243">
      <c r="G243" s="18"/>
      <c r="H243" s="18"/>
      <c r="I243" s="18"/>
      <c r="J243" s="18"/>
      <c r="K243" s="18"/>
      <c r="L243" s="18"/>
      <c r="M243" s="18"/>
      <c r="N243" s="18"/>
      <c r="O243" s="18"/>
      <c r="P243" s="25"/>
      <c r="Q243" s="25"/>
      <c r="R243" s="18"/>
      <c r="S243" s="18"/>
      <c r="T243" s="18"/>
      <c r="U243" s="18"/>
      <c r="V243" s="18"/>
      <c r="W243" s="18"/>
      <c r="X243" s="18"/>
      <c r="Y243" s="18"/>
      <c r="Z243" s="18"/>
      <c r="AA243" s="18"/>
      <c r="AB243" t="str">
        <f>IFERROR(__xludf.DUMMYFUNCTION("SUBSTITUTE(REGEXREPLACE(REGEXREPLACE(REGEXREPLACE(REGEXREPLACE(REGEXREPLACE(REGEXREPLACE(F243,"","",),IF(Projections!$T$11="""",""PG"",),),IF(Projections!$U$11="""",""SG"",),),IF(Projections!$V$11="""",""SF"",),),IF(Projections!$W$11="""",""PF"",),),IF(Pr"&amp;"ojections!$X$11="""",""C"",),),""/"","""")"),"")</f>
        <v/>
      </c>
    </row>
    <row r="244">
      <c r="G244" s="18"/>
      <c r="H244" s="18"/>
      <c r="I244" s="18"/>
      <c r="J244" s="18"/>
      <c r="K244" s="18"/>
      <c r="L244" s="18"/>
      <c r="M244" s="18"/>
      <c r="N244" s="18"/>
      <c r="O244" s="18"/>
      <c r="P244" s="25"/>
      <c r="Q244" s="25"/>
      <c r="R244" s="18"/>
      <c r="S244" s="18"/>
      <c r="T244" s="18"/>
      <c r="U244" s="18"/>
      <c r="V244" s="18"/>
      <c r="W244" s="18"/>
      <c r="X244" s="18"/>
      <c r="Y244" s="18"/>
      <c r="Z244" s="18"/>
      <c r="AA244" s="18"/>
      <c r="AB244" t="str">
        <f>IFERROR(__xludf.DUMMYFUNCTION("SUBSTITUTE(REGEXREPLACE(REGEXREPLACE(REGEXREPLACE(REGEXREPLACE(REGEXREPLACE(REGEXREPLACE(F244,"","",),IF(Projections!$T$11="""",""PG"",),),IF(Projections!$U$11="""",""SG"",),),IF(Projections!$V$11="""",""SF"",),),IF(Projections!$W$11="""",""PF"",),),IF(Pr"&amp;"ojections!$X$11="""",""C"",),),""/"","""")"),"")</f>
        <v/>
      </c>
    </row>
    <row r="245">
      <c r="G245" s="18"/>
      <c r="H245" s="18"/>
      <c r="I245" s="18"/>
      <c r="J245" s="18"/>
      <c r="K245" s="18"/>
      <c r="L245" s="18"/>
      <c r="M245" s="18"/>
      <c r="N245" s="18"/>
      <c r="O245" s="18"/>
      <c r="P245" s="25"/>
      <c r="Q245" s="25"/>
      <c r="R245" s="18"/>
      <c r="S245" s="18"/>
      <c r="T245" s="18"/>
      <c r="U245" s="18"/>
      <c r="V245" s="18"/>
      <c r="W245" s="18"/>
      <c r="X245" s="18"/>
      <c r="Y245" s="18"/>
      <c r="Z245" s="18"/>
      <c r="AA245" s="18"/>
      <c r="AB245" t="str">
        <f>IFERROR(__xludf.DUMMYFUNCTION("SUBSTITUTE(REGEXREPLACE(REGEXREPLACE(REGEXREPLACE(REGEXREPLACE(REGEXREPLACE(REGEXREPLACE(F245,"","",),IF(Projections!$T$11="""",""PG"",),),IF(Projections!$U$11="""",""SG"",),),IF(Projections!$V$11="""",""SF"",),),IF(Projections!$W$11="""",""PF"",),),IF(Pr"&amp;"ojections!$X$11="""",""C"",),),""/"","""")"),"")</f>
        <v/>
      </c>
    </row>
    <row r="246">
      <c r="G246" s="18"/>
      <c r="H246" s="18"/>
      <c r="I246" s="18"/>
      <c r="J246" s="18"/>
      <c r="K246" s="18"/>
      <c r="L246" s="18"/>
      <c r="M246" s="18"/>
      <c r="N246" s="18"/>
      <c r="O246" s="18"/>
      <c r="P246" s="25"/>
      <c r="Q246" s="25"/>
      <c r="R246" s="18"/>
      <c r="S246" s="18"/>
      <c r="T246" s="18"/>
      <c r="U246" s="18"/>
      <c r="V246" s="18"/>
      <c r="W246" s="18"/>
      <c r="X246" s="18"/>
      <c r="Y246" s="18"/>
      <c r="Z246" s="18"/>
      <c r="AA246" s="18"/>
      <c r="AB246" t="str">
        <f>IFERROR(__xludf.DUMMYFUNCTION("SUBSTITUTE(REGEXREPLACE(REGEXREPLACE(REGEXREPLACE(REGEXREPLACE(REGEXREPLACE(REGEXREPLACE(F246,"","",),IF(Projections!$T$11="""",""PG"",),),IF(Projections!$U$11="""",""SG"",),),IF(Projections!$V$11="""",""SF"",),),IF(Projections!$W$11="""",""PF"",),),IF(Pr"&amp;"ojections!$X$11="""",""C"",),),""/"","""")"),"")</f>
        <v/>
      </c>
    </row>
    <row r="247">
      <c r="G247" s="18"/>
      <c r="H247" s="18"/>
      <c r="I247" s="18"/>
      <c r="J247" s="18"/>
      <c r="K247" s="18"/>
      <c r="L247" s="18"/>
      <c r="M247" s="18"/>
      <c r="N247" s="18"/>
      <c r="O247" s="18"/>
      <c r="P247" s="25"/>
      <c r="Q247" s="25"/>
      <c r="R247" s="18"/>
      <c r="S247" s="18"/>
      <c r="T247" s="18"/>
      <c r="U247" s="18"/>
      <c r="V247" s="18"/>
      <c r="W247" s="18"/>
      <c r="X247" s="18"/>
      <c r="Y247" s="18"/>
      <c r="Z247" s="18"/>
      <c r="AA247" s="18"/>
      <c r="AB247" t="str">
        <f>IFERROR(__xludf.DUMMYFUNCTION("SUBSTITUTE(REGEXREPLACE(REGEXREPLACE(REGEXREPLACE(REGEXREPLACE(REGEXREPLACE(REGEXREPLACE(F247,"","",),IF(Projections!$T$11="""",""PG"",),),IF(Projections!$U$11="""",""SG"",),),IF(Projections!$V$11="""",""SF"",),),IF(Projections!$W$11="""",""PF"",),),IF(Pr"&amp;"ojections!$X$11="""",""C"",),),""/"","""")"),"")</f>
        <v/>
      </c>
    </row>
    <row r="248">
      <c r="G248" s="18"/>
      <c r="H248" s="18"/>
      <c r="I248" s="18"/>
      <c r="J248" s="18"/>
      <c r="K248" s="18"/>
      <c r="L248" s="18"/>
      <c r="M248" s="18"/>
      <c r="N248" s="18"/>
      <c r="O248" s="18"/>
      <c r="P248" s="25"/>
      <c r="Q248" s="25"/>
      <c r="R248" s="18"/>
      <c r="S248" s="18"/>
      <c r="T248" s="18"/>
      <c r="U248" s="18"/>
      <c r="V248" s="18"/>
      <c r="W248" s="18"/>
      <c r="X248" s="18"/>
      <c r="Y248" s="18"/>
      <c r="Z248" s="18"/>
      <c r="AA248" s="18"/>
      <c r="AB248" t="str">
        <f>IFERROR(__xludf.DUMMYFUNCTION("SUBSTITUTE(REGEXREPLACE(REGEXREPLACE(REGEXREPLACE(REGEXREPLACE(REGEXREPLACE(REGEXREPLACE(F248,"","",),IF(Projections!$T$11="""",""PG"",),),IF(Projections!$U$11="""",""SG"",),),IF(Projections!$V$11="""",""SF"",),),IF(Projections!$W$11="""",""PF"",),),IF(Pr"&amp;"ojections!$X$11="""",""C"",),),""/"","""")"),"")</f>
        <v/>
      </c>
    </row>
    <row r="249">
      <c r="G249" s="18"/>
      <c r="H249" s="18"/>
      <c r="I249" s="18"/>
      <c r="J249" s="18"/>
      <c r="K249" s="18"/>
      <c r="L249" s="18"/>
      <c r="M249" s="18"/>
      <c r="N249" s="18"/>
      <c r="O249" s="18"/>
      <c r="P249" s="25"/>
      <c r="Q249" s="25"/>
      <c r="R249" s="18"/>
      <c r="S249" s="18"/>
      <c r="T249" s="18"/>
      <c r="U249" s="18"/>
      <c r="V249" s="18"/>
      <c r="W249" s="18"/>
      <c r="X249" s="18"/>
      <c r="Y249" s="18"/>
      <c r="Z249" s="18"/>
      <c r="AA249" s="18"/>
      <c r="AB249" t="str">
        <f>IFERROR(__xludf.DUMMYFUNCTION("SUBSTITUTE(REGEXREPLACE(REGEXREPLACE(REGEXREPLACE(REGEXREPLACE(REGEXREPLACE(REGEXREPLACE(F249,"","",),IF(Projections!$T$11="""",""PG"",),),IF(Projections!$U$11="""",""SG"",),),IF(Projections!$V$11="""",""SF"",),),IF(Projections!$W$11="""",""PF"",),),IF(Pr"&amp;"ojections!$X$11="""",""C"",),),""/"","""")"),"")</f>
        <v/>
      </c>
    </row>
    <row r="250">
      <c r="G250" s="18"/>
      <c r="H250" s="18"/>
      <c r="I250" s="18"/>
      <c r="J250" s="18"/>
      <c r="K250" s="18"/>
      <c r="L250" s="18"/>
      <c r="M250" s="18"/>
      <c r="N250" s="18"/>
      <c r="O250" s="18"/>
      <c r="P250" s="25"/>
      <c r="Q250" s="25"/>
      <c r="R250" s="18"/>
      <c r="S250" s="18"/>
      <c r="T250" s="18"/>
      <c r="U250" s="18"/>
      <c r="V250" s="18"/>
      <c r="W250" s="18"/>
      <c r="X250" s="18"/>
      <c r="Y250" s="18"/>
      <c r="Z250" s="18"/>
      <c r="AA250" s="18"/>
      <c r="AB250" t="str">
        <f>IFERROR(__xludf.DUMMYFUNCTION("SUBSTITUTE(REGEXREPLACE(REGEXREPLACE(REGEXREPLACE(REGEXREPLACE(REGEXREPLACE(REGEXREPLACE(F250,"","",),IF(Projections!$T$11="""",""PG"",),),IF(Projections!$U$11="""",""SG"",),),IF(Projections!$V$11="""",""SF"",),),IF(Projections!$W$11="""",""PF"",),),IF(Pr"&amp;"ojections!$X$11="""",""C"",),),""/"","""")"),"")</f>
        <v/>
      </c>
    </row>
    <row r="251">
      <c r="G251" s="18"/>
      <c r="H251" s="18"/>
      <c r="I251" s="18"/>
      <c r="J251" s="18"/>
      <c r="K251" s="18"/>
      <c r="L251" s="18"/>
      <c r="M251" s="18"/>
      <c r="N251" s="18"/>
      <c r="O251" s="18"/>
      <c r="P251" s="25"/>
      <c r="Q251" s="25"/>
      <c r="R251" s="18"/>
      <c r="S251" s="18"/>
      <c r="T251" s="18"/>
      <c r="U251" s="18"/>
      <c r="V251" s="18"/>
      <c r="W251" s="18"/>
      <c r="X251" s="18"/>
      <c r="Y251" s="18"/>
      <c r="Z251" s="18"/>
      <c r="AA251" s="18"/>
      <c r="AB251" t="str">
        <f>IFERROR(__xludf.DUMMYFUNCTION("SUBSTITUTE(REGEXREPLACE(REGEXREPLACE(REGEXREPLACE(REGEXREPLACE(REGEXREPLACE(REGEXREPLACE(F251,"","",),IF(Projections!$T$11="""",""PG"",),),IF(Projections!$U$11="""",""SG"",),),IF(Projections!$V$11="""",""SF"",),),IF(Projections!$W$11="""",""PF"",),),IF(Pr"&amp;"ojections!$X$11="""",""C"",),),""/"","""")"),"")</f>
        <v/>
      </c>
    </row>
    <row r="252">
      <c r="G252" s="18"/>
      <c r="H252" s="18"/>
      <c r="I252" s="18"/>
      <c r="J252" s="18"/>
      <c r="K252" s="18"/>
      <c r="L252" s="18"/>
      <c r="M252" s="18"/>
      <c r="N252" s="18"/>
      <c r="O252" s="18"/>
      <c r="P252" s="25"/>
      <c r="Q252" s="25"/>
      <c r="R252" s="18"/>
      <c r="S252" s="18"/>
      <c r="T252" s="18"/>
      <c r="U252" s="18"/>
      <c r="V252" s="18"/>
      <c r="W252" s="18"/>
      <c r="X252" s="18"/>
      <c r="Y252" s="18"/>
      <c r="Z252" s="18"/>
      <c r="AA252" s="18"/>
      <c r="AB252" t="str">
        <f>IFERROR(__xludf.DUMMYFUNCTION("SUBSTITUTE(REGEXREPLACE(REGEXREPLACE(REGEXREPLACE(REGEXREPLACE(REGEXREPLACE(REGEXREPLACE(F252,"","",),IF(Projections!$T$11="""",""PG"",),),IF(Projections!$U$11="""",""SG"",),),IF(Projections!$V$11="""",""SF"",),),IF(Projections!$W$11="""",""PF"",),),IF(Pr"&amp;"ojections!$X$11="""",""C"",),),""/"","""")"),"")</f>
        <v/>
      </c>
    </row>
    <row r="253">
      <c r="G253" s="18"/>
      <c r="H253" s="18"/>
      <c r="I253" s="18"/>
      <c r="J253" s="18"/>
      <c r="K253" s="18"/>
      <c r="L253" s="18"/>
      <c r="M253" s="18"/>
      <c r="N253" s="18"/>
      <c r="O253" s="18"/>
      <c r="P253" s="25"/>
      <c r="Q253" s="25"/>
      <c r="R253" s="18"/>
      <c r="S253" s="18"/>
      <c r="T253" s="18"/>
      <c r="U253" s="18"/>
      <c r="V253" s="18"/>
      <c r="W253" s="18"/>
      <c r="X253" s="18"/>
      <c r="Y253" s="18"/>
      <c r="Z253" s="18"/>
      <c r="AA253" s="18"/>
      <c r="AB253" t="str">
        <f>IFERROR(__xludf.DUMMYFUNCTION("SUBSTITUTE(REGEXREPLACE(REGEXREPLACE(REGEXREPLACE(REGEXREPLACE(REGEXREPLACE(REGEXREPLACE(F253,"","",),IF(Projections!$T$11="""",""PG"",),),IF(Projections!$U$11="""",""SG"",),),IF(Projections!$V$11="""",""SF"",),),IF(Projections!$W$11="""",""PF"",),),IF(Pr"&amp;"ojections!$X$11="""",""C"",),),""/"","""")"),"")</f>
        <v/>
      </c>
    </row>
    <row r="254">
      <c r="G254" s="18"/>
      <c r="H254" s="18"/>
      <c r="I254" s="18"/>
      <c r="J254" s="18"/>
      <c r="K254" s="18"/>
      <c r="L254" s="18"/>
      <c r="M254" s="18"/>
      <c r="N254" s="18"/>
      <c r="O254" s="18"/>
      <c r="P254" s="25"/>
      <c r="Q254" s="25"/>
      <c r="R254" s="18"/>
      <c r="S254" s="18"/>
      <c r="T254" s="18"/>
      <c r="U254" s="18"/>
      <c r="V254" s="18"/>
      <c r="W254" s="18"/>
      <c r="X254" s="18"/>
      <c r="Y254" s="18"/>
      <c r="Z254" s="18"/>
      <c r="AA254" s="18"/>
      <c r="AB254" t="str">
        <f>IFERROR(__xludf.DUMMYFUNCTION("SUBSTITUTE(REGEXREPLACE(REGEXREPLACE(REGEXREPLACE(REGEXREPLACE(REGEXREPLACE(REGEXREPLACE(F254,"","",),IF(Projections!$T$11="""",""PG"",),),IF(Projections!$U$11="""",""SG"",),),IF(Projections!$V$11="""",""SF"",),),IF(Projections!$W$11="""",""PF"",),),IF(Pr"&amp;"ojections!$X$11="""",""C"",),),""/"","""")"),"")</f>
        <v/>
      </c>
    </row>
    <row r="255">
      <c r="G255" s="18"/>
      <c r="H255" s="18"/>
      <c r="I255" s="18"/>
      <c r="J255" s="18"/>
      <c r="K255" s="18"/>
      <c r="L255" s="18"/>
      <c r="M255" s="18"/>
      <c r="N255" s="18"/>
      <c r="O255" s="18"/>
      <c r="P255" s="25"/>
      <c r="Q255" s="25"/>
      <c r="R255" s="18"/>
      <c r="S255" s="18"/>
      <c r="T255" s="18"/>
      <c r="U255" s="18"/>
      <c r="V255" s="18"/>
      <c r="W255" s="18"/>
      <c r="X255" s="18"/>
      <c r="Y255" s="18"/>
      <c r="Z255" s="18"/>
      <c r="AA255" s="18"/>
      <c r="AB255" t="str">
        <f>IFERROR(__xludf.DUMMYFUNCTION("SUBSTITUTE(REGEXREPLACE(REGEXREPLACE(REGEXREPLACE(REGEXREPLACE(REGEXREPLACE(REGEXREPLACE(F255,"","",),IF(Projections!$T$11="""",""PG"",),),IF(Projections!$U$11="""",""SG"",),),IF(Projections!$V$11="""",""SF"",),),IF(Projections!$W$11="""",""PF"",),),IF(Pr"&amp;"ojections!$X$11="""",""C"",),),""/"","""")"),"")</f>
        <v/>
      </c>
    </row>
    <row r="256">
      <c r="G256" s="18"/>
      <c r="H256" s="18"/>
      <c r="I256" s="18"/>
      <c r="J256" s="18"/>
      <c r="K256" s="18"/>
      <c r="L256" s="18"/>
      <c r="M256" s="18"/>
      <c r="N256" s="18"/>
      <c r="O256" s="18"/>
      <c r="P256" s="25"/>
      <c r="Q256" s="25"/>
      <c r="R256" s="18"/>
      <c r="S256" s="18"/>
      <c r="T256" s="18"/>
      <c r="U256" s="18"/>
      <c r="V256" s="18"/>
      <c r="W256" s="18"/>
      <c r="X256" s="18"/>
      <c r="Y256" s="18"/>
      <c r="Z256" s="18"/>
      <c r="AA256" s="18"/>
      <c r="AB256" t="str">
        <f>IFERROR(__xludf.DUMMYFUNCTION("SUBSTITUTE(REGEXREPLACE(REGEXREPLACE(REGEXREPLACE(REGEXREPLACE(REGEXREPLACE(REGEXREPLACE(F256,"","",),IF(Projections!$T$11="""",""PG"",),),IF(Projections!$U$11="""",""SG"",),),IF(Projections!$V$11="""",""SF"",),),IF(Projections!$W$11="""",""PF"",),),IF(Pr"&amp;"ojections!$X$11="""",""C"",),),""/"","""")"),"")</f>
        <v/>
      </c>
    </row>
    <row r="257">
      <c r="G257" s="18"/>
      <c r="H257" s="18"/>
      <c r="I257" s="18"/>
      <c r="J257" s="18"/>
      <c r="K257" s="18"/>
      <c r="L257" s="18"/>
      <c r="M257" s="18"/>
      <c r="N257" s="18"/>
      <c r="O257" s="18"/>
      <c r="P257" s="25"/>
      <c r="Q257" s="25"/>
      <c r="R257" s="18"/>
      <c r="S257" s="18"/>
      <c r="T257" s="18"/>
      <c r="U257" s="18"/>
      <c r="V257" s="18"/>
      <c r="W257" s="18"/>
      <c r="X257" s="18"/>
      <c r="Y257" s="18"/>
      <c r="Z257" s="18"/>
      <c r="AA257" s="18"/>
      <c r="AB257" t="str">
        <f>IFERROR(__xludf.DUMMYFUNCTION("SUBSTITUTE(REGEXREPLACE(REGEXREPLACE(REGEXREPLACE(REGEXREPLACE(REGEXREPLACE(REGEXREPLACE(F257,"","",),IF(Projections!$T$11="""",""PG"",),),IF(Projections!$U$11="""",""SG"",),),IF(Projections!$V$11="""",""SF"",),),IF(Projections!$W$11="""",""PF"",),),IF(Pr"&amp;"ojections!$X$11="""",""C"",),),""/"","""")"),"")</f>
        <v/>
      </c>
    </row>
    <row r="258">
      <c r="G258" s="18"/>
      <c r="H258" s="18"/>
      <c r="I258" s="18"/>
      <c r="J258" s="18"/>
      <c r="K258" s="18"/>
      <c r="L258" s="18"/>
      <c r="M258" s="18"/>
      <c r="N258" s="18"/>
      <c r="O258" s="18"/>
      <c r="P258" s="25"/>
      <c r="Q258" s="25"/>
      <c r="R258" s="18"/>
      <c r="S258" s="18"/>
      <c r="T258" s="18"/>
      <c r="U258" s="18"/>
      <c r="V258" s="18"/>
      <c r="W258" s="18"/>
      <c r="X258" s="18"/>
      <c r="Y258" s="18"/>
      <c r="Z258" s="18"/>
      <c r="AA258" s="18"/>
      <c r="AB258" t="str">
        <f>IFERROR(__xludf.DUMMYFUNCTION("SUBSTITUTE(REGEXREPLACE(REGEXREPLACE(REGEXREPLACE(REGEXREPLACE(REGEXREPLACE(REGEXREPLACE(F258,"","",),IF(Projections!$T$11="""",""PG"",),),IF(Projections!$U$11="""",""SG"",),),IF(Projections!$V$11="""",""SF"",),),IF(Projections!$W$11="""",""PF"",),),IF(Pr"&amp;"ojections!$X$11="""",""C"",),),""/"","""")"),"")</f>
        <v/>
      </c>
    </row>
    <row r="259">
      <c r="G259" s="18"/>
      <c r="H259" s="18"/>
      <c r="I259" s="18"/>
      <c r="J259" s="18"/>
      <c r="K259" s="18"/>
      <c r="L259" s="18"/>
      <c r="M259" s="18"/>
      <c r="N259" s="18"/>
      <c r="O259" s="18"/>
      <c r="P259" s="25"/>
      <c r="Q259" s="25"/>
      <c r="R259" s="18"/>
      <c r="S259" s="18"/>
      <c r="T259" s="18"/>
      <c r="U259" s="18"/>
      <c r="V259" s="18"/>
      <c r="W259" s="18"/>
      <c r="X259" s="18"/>
      <c r="Y259" s="18"/>
      <c r="Z259" s="18"/>
      <c r="AA259" s="18"/>
      <c r="AB259" t="str">
        <f>IFERROR(__xludf.DUMMYFUNCTION("SUBSTITUTE(REGEXREPLACE(REGEXREPLACE(REGEXREPLACE(REGEXREPLACE(REGEXREPLACE(REGEXREPLACE(F259,"","",),IF(Projections!$T$11="""",""PG"",),),IF(Projections!$U$11="""",""SG"",),),IF(Projections!$V$11="""",""SF"",),),IF(Projections!$W$11="""",""PF"",),),IF(Pr"&amp;"ojections!$X$11="""",""C"",),),""/"","""")"),"")</f>
        <v/>
      </c>
    </row>
    <row r="260">
      <c r="G260" s="18"/>
      <c r="H260" s="18"/>
      <c r="I260" s="18"/>
      <c r="J260" s="18"/>
      <c r="K260" s="18"/>
      <c r="L260" s="18"/>
      <c r="M260" s="18"/>
      <c r="N260" s="18"/>
      <c r="O260" s="18"/>
      <c r="P260" s="25"/>
      <c r="Q260" s="25"/>
      <c r="R260" s="18"/>
      <c r="S260" s="18"/>
      <c r="T260" s="18"/>
      <c r="U260" s="18"/>
      <c r="V260" s="18"/>
      <c r="W260" s="18"/>
      <c r="X260" s="18"/>
      <c r="Y260" s="18"/>
      <c r="Z260" s="18"/>
      <c r="AA260" s="18"/>
      <c r="AB260" t="str">
        <f>IFERROR(__xludf.DUMMYFUNCTION("SUBSTITUTE(REGEXREPLACE(REGEXREPLACE(REGEXREPLACE(REGEXREPLACE(REGEXREPLACE(REGEXREPLACE(F260,"","",),IF(Projections!$T$11="""",""PG"",),),IF(Projections!$U$11="""",""SG"",),),IF(Projections!$V$11="""",""SF"",),),IF(Projections!$W$11="""",""PF"",),),IF(Pr"&amp;"ojections!$X$11="""",""C"",),),""/"","""")"),"")</f>
        <v/>
      </c>
    </row>
    <row r="261">
      <c r="G261" s="18"/>
      <c r="H261" s="18"/>
      <c r="I261" s="18"/>
      <c r="J261" s="18"/>
      <c r="K261" s="18"/>
      <c r="L261" s="18"/>
      <c r="M261" s="18"/>
      <c r="N261" s="18"/>
      <c r="O261" s="18"/>
      <c r="P261" s="25"/>
      <c r="Q261" s="25"/>
      <c r="R261" s="18"/>
      <c r="S261" s="18"/>
      <c r="T261" s="18"/>
      <c r="U261" s="18"/>
      <c r="V261" s="18"/>
      <c r="W261" s="18"/>
      <c r="X261" s="18"/>
      <c r="Y261" s="18"/>
      <c r="Z261" s="18"/>
      <c r="AA261" s="18"/>
      <c r="AB261" t="str">
        <f>IFERROR(__xludf.DUMMYFUNCTION("SUBSTITUTE(REGEXREPLACE(REGEXREPLACE(REGEXREPLACE(REGEXREPLACE(REGEXREPLACE(REGEXREPLACE(F261,"","",),IF(Projections!$T$11="""",""PG"",),),IF(Projections!$U$11="""",""SG"",),),IF(Projections!$V$11="""",""SF"",),),IF(Projections!$W$11="""",""PF"",),),IF(Pr"&amp;"ojections!$X$11="""",""C"",),),""/"","""")"),"")</f>
        <v/>
      </c>
    </row>
    <row r="262">
      <c r="G262" s="18"/>
      <c r="H262" s="18"/>
      <c r="I262" s="18"/>
      <c r="J262" s="18"/>
      <c r="K262" s="18"/>
      <c r="L262" s="18"/>
      <c r="M262" s="18"/>
      <c r="N262" s="18"/>
      <c r="O262" s="18"/>
      <c r="P262" s="25"/>
      <c r="Q262" s="25"/>
      <c r="R262" s="18"/>
      <c r="S262" s="18"/>
      <c r="T262" s="18"/>
      <c r="U262" s="18"/>
      <c r="V262" s="18"/>
      <c r="W262" s="18"/>
      <c r="X262" s="18"/>
      <c r="Y262" s="18"/>
      <c r="Z262" s="18"/>
      <c r="AA262" s="18"/>
      <c r="AB262" t="str">
        <f>IFERROR(__xludf.DUMMYFUNCTION("SUBSTITUTE(REGEXREPLACE(REGEXREPLACE(REGEXREPLACE(REGEXREPLACE(REGEXREPLACE(REGEXREPLACE(F262,"","",),IF(Projections!$T$11="""",""PG"",),),IF(Projections!$U$11="""",""SG"",),),IF(Projections!$V$11="""",""SF"",),),IF(Projections!$W$11="""",""PF"",),),IF(Pr"&amp;"ojections!$X$11="""",""C"",),),""/"","""")"),"")</f>
        <v/>
      </c>
    </row>
    <row r="263">
      <c r="G263" s="18"/>
      <c r="H263" s="18"/>
      <c r="I263" s="18"/>
      <c r="J263" s="18"/>
      <c r="K263" s="18"/>
      <c r="L263" s="18"/>
      <c r="M263" s="18"/>
      <c r="N263" s="18"/>
      <c r="O263" s="18"/>
      <c r="P263" s="25"/>
      <c r="Q263" s="25"/>
      <c r="R263" s="18"/>
      <c r="S263" s="18"/>
      <c r="T263" s="18"/>
      <c r="U263" s="18"/>
      <c r="V263" s="18"/>
      <c r="W263" s="18"/>
      <c r="X263" s="18"/>
      <c r="Y263" s="18"/>
      <c r="Z263" s="18"/>
      <c r="AA263" s="18"/>
      <c r="AB263" t="str">
        <f>IFERROR(__xludf.DUMMYFUNCTION("SUBSTITUTE(REGEXREPLACE(REGEXREPLACE(REGEXREPLACE(REGEXREPLACE(REGEXREPLACE(REGEXREPLACE(F263,"","",),IF(Projections!$T$11="""",""PG"",),),IF(Projections!$U$11="""",""SG"",),),IF(Projections!$V$11="""",""SF"",),),IF(Projections!$W$11="""",""PF"",),),IF(Pr"&amp;"ojections!$X$11="""",""C"",),),""/"","""")"),"")</f>
        <v/>
      </c>
    </row>
    <row r="264">
      <c r="G264" s="18"/>
      <c r="H264" s="18"/>
      <c r="I264" s="18"/>
      <c r="J264" s="18"/>
      <c r="K264" s="18"/>
      <c r="L264" s="18"/>
      <c r="M264" s="18"/>
      <c r="N264" s="18"/>
      <c r="O264" s="18"/>
      <c r="P264" s="25"/>
      <c r="Q264" s="25"/>
      <c r="R264" s="18"/>
      <c r="S264" s="18"/>
      <c r="T264" s="18"/>
      <c r="U264" s="18"/>
      <c r="V264" s="18"/>
      <c r="W264" s="18"/>
      <c r="X264" s="18"/>
      <c r="Y264" s="18"/>
      <c r="Z264" s="18"/>
      <c r="AA264" s="18"/>
      <c r="AB264" t="str">
        <f>IFERROR(__xludf.DUMMYFUNCTION("SUBSTITUTE(REGEXREPLACE(REGEXREPLACE(REGEXREPLACE(REGEXREPLACE(REGEXREPLACE(REGEXREPLACE(F264,"","",),IF(Projections!$T$11="""",""PG"",),),IF(Projections!$U$11="""",""SG"",),),IF(Projections!$V$11="""",""SF"",),),IF(Projections!$W$11="""",""PF"",),),IF(Pr"&amp;"ojections!$X$11="""",""C"",),),""/"","""")"),"")</f>
        <v/>
      </c>
    </row>
    <row r="265">
      <c r="G265" s="18"/>
      <c r="H265" s="18"/>
      <c r="I265" s="18"/>
      <c r="J265" s="18"/>
      <c r="K265" s="18"/>
      <c r="L265" s="18"/>
      <c r="M265" s="18"/>
      <c r="N265" s="18"/>
      <c r="O265" s="18"/>
      <c r="P265" s="25"/>
      <c r="Q265" s="25"/>
      <c r="R265" s="18"/>
      <c r="S265" s="18"/>
      <c r="T265" s="18"/>
      <c r="U265" s="18"/>
      <c r="V265" s="18"/>
      <c r="W265" s="18"/>
      <c r="X265" s="18"/>
      <c r="Y265" s="18"/>
      <c r="Z265" s="18"/>
      <c r="AA265" s="18"/>
      <c r="AB265" t="str">
        <f>IFERROR(__xludf.DUMMYFUNCTION("SUBSTITUTE(REGEXREPLACE(REGEXREPLACE(REGEXREPLACE(REGEXREPLACE(REGEXREPLACE(REGEXREPLACE(F265,"","",),IF(Projections!$T$11="""",""PG"",),),IF(Projections!$U$11="""",""SG"",),),IF(Projections!$V$11="""",""SF"",),),IF(Projections!$W$11="""",""PF"",),),IF(Pr"&amp;"ojections!$X$11="""",""C"",),),""/"","""")"),"")</f>
        <v/>
      </c>
    </row>
    <row r="266">
      <c r="G266" s="18"/>
      <c r="H266" s="18"/>
      <c r="I266" s="18"/>
      <c r="J266" s="18"/>
      <c r="K266" s="18"/>
      <c r="L266" s="18"/>
      <c r="M266" s="18"/>
      <c r="N266" s="18"/>
      <c r="O266" s="18"/>
      <c r="P266" s="25"/>
      <c r="Q266" s="25"/>
      <c r="R266" s="18"/>
      <c r="S266" s="18"/>
      <c r="T266" s="18"/>
      <c r="U266" s="18"/>
      <c r="V266" s="18"/>
      <c r="W266" s="18"/>
      <c r="X266" s="18"/>
      <c r="Y266" s="18"/>
      <c r="Z266" s="18"/>
      <c r="AA266" s="18"/>
      <c r="AB266" t="str">
        <f>IFERROR(__xludf.DUMMYFUNCTION("SUBSTITUTE(REGEXREPLACE(REGEXREPLACE(REGEXREPLACE(REGEXREPLACE(REGEXREPLACE(REGEXREPLACE(F266,"","",),IF(Projections!$T$11="""",""PG"",),),IF(Projections!$U$11="""",""SG"",),),IF(Projections!$V$11="""",""SF"",),),IF(Projections!$W$11="""",""PF"",),),IF(Pr"&amp;"ojections!$X$11="""",""C"",),),""/"","""")"),"")</f>
        <v/>
      </c>
    </row>
    <row r="267">
      <c r="G267" s="18"/>
      <c r="H267" s="18"/>
      <c r="I267" s="18"/>
      <c r="J267" s="18"/>
      <c r="K267" s="18"/>
      <c r="L267" s="18"/>
      <c r="M267" s="18"/>
      <c r="N267" s="18"/>
      <c r="O267" s="18"/>
      <c r="P267" s="25"/>
      <c r="Q267" s="25"/>
      <c r="R267" s="18"/>
      <c r="S267" s="18"/>
      <c r="T267" s="18"/>
      <c r="U267" s="18"/>
      <c r="V267" s="18"/>
      <c r="W267" s="18"/>
      <c r="X267" s="18"/>
      <c r="Y267" s="18"/>
      <c r="Z267" s="18"/>
      <c r="AA267" s="18"/>
      <c r="AB267" t="str">
        <f>IFERROR(__xludf.DUMMYFUNCTION("SUBSTITUTE(REGEXREPLACE(REGEXREPLACE(REGEXREPLACE(REGEXREPLACE(REGEXREPLACE(REGEXREPLACE(F267,"","",),IF(Projections!$T$11="""",""PG"",),),IF(Projections!$U$11="""",""SG"",),),IF(Projections!$V$11="""",""SF"",),),IF(Projections!$W$11="""",""PF"",),),IF(Pr"&amp;"ojections!$X$11="""",""C"",),),""/"","""")"),"")</f>
        <v/>
      </c>
    </row>
    <row r="268">
      <c r="G268" s="18"/>
      <c r="H268" s="18"/>
      <c r="I268" s="18"/>
      <c r="J268" s="18"/>
      <c r="K268" s="18"/>
      <c r="L268" s="18"/>
      <c r="M268" s="18"/>
      <c r="N268" s="18"/>
      <c r="O268" s="18"/>
      <c r="P268" s="25"/>
      <c r="Q268" s="25"/>
      <c r="R268" s="18"/>
      <c r="S268" s="18"/>
      <c r="T268" s="18"/>
      <c r="U268" s="18"/>
      <c r="V268" s="18"/>
      <c r="W268" s="18"/>
      <c r="X268" s="18"/>
      <c r="Y268" s="18"/>
      <c r="Z268" s="18"/>
      <c r="AA268" s="18"/>
      <c r="AB268" t="str">
        <f>IFERROR(__xludf.DUMMYFUNCTION("SUBSTITUTE(REGEXREPLACE(REGEXREPLACE(REGEXREPLACE(REGEXREPLACE(REGEXREPLACE(REGEXREPLACE(F268,"","",),IF(Projections!$T$11="""",""PG"",),),IF(Projections!$U$11="""",""SG"",),),IF(Projections!$V$11="""",""SF"",),),IF(Projections!$W$11="""",""PF"",),),IF(Pr"&amp;"ojections!$X$11="""",""C"",),),""/"","""")"),"")</f>
        <v/>
      </c>
    </row>
    <row r="269">
      <c r="G269" s="18"/>
      <c r="H269" s="18"/>
      <c r="I269" s="18"/>
      <c r="J269" s="18"/>
      <c r="K269" s="18"/>
      <c r="L269" s="18"/>
      <c r="M269" s="18"/>
      <c r="N269" s="18"/>
      <c r="O269" s="18"/>
      <c r="P269" s="25"/>
      <c r="Q269" s="25"/>
      <c r="R269" s="18"/>
      <c r="S269" s="18"/>
      <c r="T269" s="18"/>
      <c r="U269" s="18"/>
      <c r="V269" s="18"/>
      <c r="W269" s="18"/>
      <c r="X269" s="18"/>
      <c r="Y269" s="18"/>
      <c r="Z269" s="18"/>
      <c r="AA269" s="18"/>
      <c r="AB269" t="str">
        <f>IFERROR(__xludf.DUMMYFUNCTION("SUBSTITUTE(REGEXREPLACE(REGEXREPLACE(REGEXREPLACE(REGEXREPLACE(REGEXREPLACE(REGEXREPLACE(F269,"","",),IF(Projections!$T$11="""",""PG"",),),IF(Projections!$U$11="""",""SG"",),),IF(Projections!$V$11="""",""SF"",),),IF(Projections!$W$11="""",""PF"",),),IF(Pr"&amp;"ojections!$X$11="""",""C"",),),""/"","""")"),"")</f>
        <v/>
      </c>
    </row>
    <row r="270">
      <c r="G270" s="18"/>
      <c r="H270" s="18"/>
      <c r="I270" s="18"/>
      <c r="J270" s="18"/>
      <c r="K270" s="18"/>
      <c r="L270" s="18"/>
      <c r="M270" s="18"/>
      <c r="N270" s="18"/>
      <c r="O270" s="18"/>
      <c r="P270" s="25"/>
      <c r="Q270" s="25"/>
      <c r="R270" s="18"/>
      <c r="S270" s="18"/>
      <c r="T270" s="18"/>
      <c r="U270" s="18"/>
      <c r="V270" s="18"/>
      <c r="W270" s="18"/>
      <c r="X270" s="18"/>
      <c r="Y270" s="18"/>
      <c r="Z270" s="18"/>
      <c r="AA270" s="18"/>
      <c r="AB270" t="str">
        <f>IFERROR(__xludf.DUMMYFUNCTION("SUBSTITUTE(REGEXREPLACE(REGEXREPLACE(REGEXREPLACE(REGEXREPLACE(REGEXREPLACE(REGEXREPLACE(F270,"","",),IF(Projections!$T$11="""",""PG"",),),IF(Projections!$U$11="""",""SG"",),),IF(Projections!$V$11="""",""SF"",),),IF(Projections!$W$11="""",""PF"",),),IF(Pr"&amp;"ojections!$X$11="""",""C"",),),""/"","""")"),"")</f>
        <v/>
      </c>
    </row>
    <row r="271">
      <c r="G271" s="18"/>
      <c r="H271" s="18"/>
      <c r="I271" s="18"/>
      <c r="J271" s="18"/>
      <c r="K271" s="18"/>
      <c r="L271" s="18"/>
      <c r="M271" s="18"/>
      <c r="N271" s="18"/>
      <c r="O271" s="18"/>
      <c r="P271" s="25"/>
      <c r="Q271" s="25"/>
      <c r="R271" s="18"/>
      <c r="S271" s="18"/>
      <c r="T271" s="18"/>
      <c r="U271" s="18"/>
      <c r="V271" s="18"/>
      <c r="W271" s="18"/>
      <c r="X271" s="18"/>
      <c r="Y271" s="18"/>
      <c r="Z271" s="18"/>
      <c r="AA271" s="18"/>
      <c r="AB271" t="str">
        <f>IFERROR(__xludf.DUMMYFUNCTION("SUBSTITUTE(REGEXREPLACE(REGEXREPLACE(REGEXREPLACE(REGEXREPLACE(REGEXREPLACE(REGEXREPLACE(F271,"","",),IF(Projections!$T$11="""",""PG"",),),IF(Projections!$U$11="""",""SG"",),),IF(Projections!$V$11="""",""SF"",),),IF(Projections!$W$11="""",""PF"",),),IF(Pr"&amp;"ojections!$X$11="""",""C"",),),""/"","""")"),"")</f>
        <v/>
      </c>
    </row>
    <row r="272">
      <c r="G272" s="18"/>
      <c r="H272" s="18"/>
      <c r="I272" s="18"/>
      <c r="J272" s="18"/>
      <c r="K272" s="18"/>
      <c r="L272" s="18"/>
      <c r="M272" s="18"/>
      <c r="N272" s="18"/>
      <c r="O272" s="18"/>
      <c r="P272" s="25"/>
      <c r="Q272" s="25"/>
      <c r="R272" s="18"/>
      <c r="S272" s="18"/>
      <c r="T272" s="18"/>
      <c r="U272" s="18"/>
      <c r="V272" s="18"/>
      <c r="W272" s="18"/>
      <c r="X272" s="18"/>
      <c r="Y272" s="18"/>
      <c r="Z272" s="18"/>
      <c r="AA272" s="18"/>
      <c r="AB272" t="str">
        <f>IFERROR(__xludf.DUMMYFUNCTION("SUBSTITUTE(REGEXREPLACE(REGEXREPLACE(REGEXREPLACE(REGEXREPLACE(REGEXREPLACE(REGEXREPLACE(F272,"","",),IF(Projections!$T$11="""",""PG"",),),IF(Projections!$U$11="""",""SG"",),),IF(Projections!$V$11="""",""SF"",),),IF(Projections!$W$11="""",""PF"",),),IF(Pr"&amp;"ojections!$X$11="""",""C"",),),""/"","""")"),"")</f>
        <v/>
      </c>
    </row>
    <row r="273">
      <c r="G273" s="18"/>
      <c r="H273" s="18"/>
      <c r="I273" s="18"/>
      <c r="J273" s="18"/>
      <c r="K273" s="18"/>
      <c r="L273" s="18"/>
      <c r="M273" s="18"/>
      <c r="N273" s="18"/>
      <c r="O273" s="18"/>
      <c r="P273" s="25"/>
      <c r="Q273" s="25"/>
      <c r="R273" s="18"/>
      <c r="S273" s="18"/>
      <c r="T273" s="18"/>
      <c r="U273" s="18"/>
      <c r="V273" s="18"/>
      <c r="W273" s="18"/>
      <c r="X273" s="18"/>
      <c r="Y273" s="18"/>
      <c r="Z273" s="18"/>
      <c r="AA273" s="18"/>
      <c r="AB273" t="str">
        <f>IFERROR(__xludf.DUMMYFUNCTION("SUBSTITUTE(REGEXREPLACE(REGEXREPLACE(REGEXREPLACE(REGEXREPLACE(REGEXREPLACE(REGEXREPLACE(F273,"","",),IF(Projections!$T$11="""",""PG"",),),IF(Projections!$U$11="""",""SG"",),),IF(Projections!$V$11="""",""SF"",),),IF(Projections!$W$11="""",""PF"",),),IF(Pr"&amp;"ojections!$X$11="""",""C"",),),""/"","""")"),"")</f>
        <v/>
      </c>
    </row>
    <row r="274">
      <c r="G274" s="18"/>
      <c r="H274" s="18"/>
      <c r="I274" s="18"/>
      <c r="J274" s="18"/>
      <c r="K274" s="18"/>
      <c r="L274" s="18"/>
      <c r="M274" s="18"/>
      <c r="N274" s="18"/>
      <c r="O274" s="18"/>
      <c r="P274" s="25"/>
      <c r="Q274" s="25"/>
      <c r="R274" s="18"/>
      <c r="S274" s="18"/>
      <c r="T274" s="18"/>
      <c r="U274" s="18"/>
      <c r="V274" s="18"/>
      <c r="W274" s="18"/>
      <c r="X274" s="18"/>
      <c r="Y274" s="18"/>
      <c r="Z274" s="18"/>
      <c r="AA274" s="18"/>
      <c r="AB274" t="str">
        <f>IFERROR(__xludf.DUMMYFUNCTION("SUBSTITUTE(REGEXREPLACE(REGEXREPLACE(REGEXREPLACE(REGEXREPLACE(REGEXREPLACE(REGEXREPLACE(F274,"","",),IF(Projections!$T$11="""",""PG"",),),IF(Projections!$U$11="""",""SG"",),),IF(Projections!$V$11="""",""SF"",),),IF(Projections!$W$11="""",""PF"",),),IF(Pr"&amp;"ojections!$X$11="""",""C"",),),""/"","""")"),"")</f>
        <v/>
      </c>
    </row>
    <row r="275">
      <c r="G275" s="18"/>
      <c r="H275" s="18"/>
      <c r="I275" s="18"/>
      <c r="J275" s="18"/>
      <c r="K275" s="18"/>
      <c r="L275" s="18"/>
      <c r="M275" s="18"/>
      <c r="N275" s="18"/>
      <c r="O275" s="18"/>
      <c r="P275" s="25"/>
      <c r="Q275" s="25"/>
      <c r="R275" s="18"/>
      <c r="S275" s="18"/>
      <c r="T275" s="18"/>
      <c r="U275" s="18"/>
      <c r="V275" s="18"/>
      <c r="W275" s="18"/>
      <c r="X275" s="18"/>
      <c r="Y275" s="18"/>
      <c r="Z275" s="18"/>
      <c r="AA275" s="18"/>
      <c r="AB275" t="str">
        <f>IFERROR(__xludf.DUMMYFUNCTION("SUBSTITUTE(REGEXREPLACE(REGEXREPLACE(REGEXREPLACE(REGEXREPLACE(REGEXREPLACE(REGEXREPLACE(F275,"","",),IF(Projections!$T$11="""",""PG"",),),IF(Projections!$U$11="""",""SG"",),),IF(Projections!$V$11="""",""SF"",),),IF(Projections!$W$11="""",""PF"",),),IF(Pr"&amp;"ojections!$X$11="""",""C"",),),""/"","""")"),"")</f>
        <v/>
      </c>
    </row>
    <row r="276">
      <c r="G276" s="18"/>
      <c r="H276" s="18"/>
      <c r="I276" s="18"/>
      <c r="J276" s="18"/>
      <c r="K276" s="18"/>
      <c r="L276" s="18"/>
      <c r="M276" s="18"/>
      <c r="N276" s="18"/>
      <c r="O276" s="18"/>
      <c r="P276" s="25"/>
      <c r="Q276" s="25"/>
      <c r="R276" s="18"/>
      <c r="S276" s="18"/>
      <c r="T276" s="18"/>
      <c r="U276" s="18"/>
      <c r="V276" s="18"/>
      <c r="W276" s="18"/>
      <c r="X276" s="18"/>
      <c r="Y276" s="18"/>
      <c r="Z276" s="18"/>
      <c r="AA276" s="18"/>
      <c r="AB276" t="str">
        <f>IFERROR(__xludf.DUMMYFUNCTION("SUBSTITUTE(REGEXREPLACE(REGEXREPLACE(REGEXREPLACE(REGEXREPLACE(REGEXREPLACE(REGEXREPLACE(F276,"","",),IF(Projections!$T$11="""",""PG"",),),IF(Projections!$U$11="""",""SG"",),),IF(Projections!$V$11="""",""SF"",),),IF(Projections!$W$11="""",""PF"",),),IF(Pr"&amp;"ojections!$X$11="""",""C"",),),""/"","""")"),"")</f>
        <v/>
      </c>
    </row>
    <row r="277">
      <c r="G277" s="18"/>
      <c r="H277" s="18"/>
      <c r="I277" s="18"/>
      <c r="J277" s="18"/>
      <c r="K277" s="18"/>
      <c r="L277" s="18"/>
      <c r="M277" s="18"/>
      <c r="N277" s="18"/>
      <c r="O277" s="18"/>
      <c r="P277" s="25"/>
      <c r="Q277" s="25"/>
      <c r="R277" s="18"/>
      <c r="S277" s="18"/>
      <c r="T277" s="18"/>
      <c r="U277" s="18"/>
      <c r="V277" s="18"/>
      <c r="W277" s="18"/>
      <c r="X277" s="18"/>
      <c r="Y277" s="18"/>
      <c r="Z277" s="18"/>
      <c r="AA277" s="18"/>
      <c r="AB277" t="str">
        <f>IFERROR(__xludf.DUMMYFUNCTION("SUBSTITUTE(REGEXREPLACE(REGEXREPLACE(REGEXREPLACE(REGEXREPLACE(REGEXREPLACE(REGEXREPLACE(F277,"","",),IF(Projections!$T$11="""",""PG"",),),IF(Projections!$U$11="""",""SG"",),),IF(Projections!$V$11="""",""SF"",),),IF(Projections!$W$11="""",""PF"",),),IF(Pr"&amp;"ojections!$X$11="""",""C"",),),""/"","""")"),"")</f>
        <v/>
      </c>
    </row>
    <row r="278">
      <c r="G278" s="18"/>
      <c r="H278" s="18"/>
      <c r="I278" s="18"/>
      <c r="J278" s="18"/>
      <c r="K278" s="18"/>
      <c r="L278" s="18"/>
      <c r="M278" s="18"/>
      <c r="N278" s="18"/>
      <c r="O278" s="18"/>
      <c r="P278" s="25"/>
      <c r="Q278" s="25"/>
      <c r="R278" s="18"/>
      <c r="S278" s="18"/>
      <c r="T278" s="18"/>
      <c r="U278" s="18"/>
      <c r="V278" s="18"/>
      <c r="W278" s="18"/>
      <c r="X278" s="18"/>
      <c r="Y278" s="18"/>
      <c r="Z278" s="18"/>
      <c r="AA278" s="18"/>
      <c r="AB278" t="str">
        <f>IFERROR(__xludf.DUMMYFUNCTION("SUBSTITUTE(REGEXREPLACE(REGEXREPLACE(REGEXREPLACE(REGEXREPLACE(REGEXREPLACE(REGEXREPLACE(F278,"","",),IF(Projections!$T$11="""",""PG"",),),IF(Projections!$U$11="""",""SG"",),),IF(Projections!$V$11="""",""SF"",),),IF(Projections!$W$11="""",""PF"",),),IF(Pr"&amp;"ojections!$X$11="""",""C"",),),""/"","""")"),"")</f>
        <v/>
      </c>
    </row>
    <row r="279">
      <c r="G279" s="18"/>
      <c r="H279" s="18"/>
      <c r="I279" s="18"/>
      <c r="J279" s="18"/>
      <c r="K279" s="18"/>
      <c r="L279" s="18"/>
      <c r="M279" s="18"/>
      <c r="N279" s="18"/>
      <c r="O279" s="18"/>
      <c r="P279" s="25"/>
      <c r="Q279" s="25"/>
      <c r="R279" s="18"/>
      <c r="S279" s="18"/>
      <c r="T279" s="18"/>
      <c r="U279" s="18"/>
      <c r="V279" s="18"/>
      <c r="W279" s="18"/>
      <c r="X279" s="18"/>
      <c r="Y279" s="18"/>
      <c r="Z279" s="18"/>
      <c r="AA279" s="18"/>
      <c r="AB279" t="str">
        <f>IFERROR(__xludf.DUMMYFUNCTION("SUBSTITUTE(REGEXREPLACE(REGEXREPLACE(REGEXREPLACE(REGEXREPLACE(REGEXREPLACE(REGEXREPLACE(F279,"","",),IF(Projections!$T$11="""",""PG"",),),IF(Projections!$U$11="""",""SG"",),),IF(Projections!$V$11="""",""SF"",),),IF(Projections!$W$11="""",""PF"",),),IF(Pr"&amp;"ojections!$X$11="""",""C"",),),""/"","""")"),"")</f>
        <v/>
      </c>
    </row>
    <row r="280">
      <c r="G280" s="18"/>
      <c r="H280" s="18"/>
      <c r="I280" s="18"/>
      <c r="J280" s="18"/>
      <c r="K280" s="18"/>
      <c r="L280" s="18"/>
      <c r="M280" s="18"/>
      <c r="N280" s="18"/>
      <c r="O280" s="18"/>
      <c r="P280" s="25"/>
      <c r="Q280" s="25"/>
      <c r="R280" s="18"/>
      <c r="S280" s="18"/>
      <c r="T280" s="18"/>
      <c r="U280" s="18"/>
      <c r="V280" s="18"/>
      <c r="W280" s="18"/>
      <c r="X280" s="18"/>
      <c r="Y280" s="18"/>
      <c r="Z280" s="18"/>
      <c r="AA280" s="18"/>
      <c r="AB280" t="str">
        <f>IFERROR(__xludf.DUMMYFUNCTION("SUBSTITUTE(REGEXREPLACE(REGEXREPLACE(REGEXREPLACE(REGEXREPLACE(REGEXREPLACE(REGEXREPLACE(F280,"","",),IF(Projections!$T$11="""",""PG"",),),IF(Projections!$U$11="""",""SG"",),),IF(Projections!$V$11="""",""SF"",),),IF(Projections!$W$11="""",""PF"",),),IF(Pr"&amp;"ojections!$X$11="""",""C"",),),""/"","""")"),"")</f>
        <v/>
      </c>
    </row>
    <row r="281">
      <c r="G281" s="18"/>
      <c r="H281" s="18"/>
      <c r="I281" s="18"/>
      <c r="J281" s="18"/>
      <c r="K281" s="18"/>
      <c r="L281" s="18"/>
      <c r="M281" s="18"/>
      <c r="N281" s="18"/>
      <c r="O281" s="18"/>
      <c r="P281" s="25"/>
      <c r="Q281" s="25"/>
      <c r="R281" s="18"/>
      <c r="S281" s="18"/>
      <c r="T281" s="18"/>
      <c r="U281" s="18"/>
      <c r="V281" s="18"/>
      <c r="W281" s="18"/>
      <c r="X281" s="18"/>
      <c r="Y281" s="18"/>
      <c r="Z281" s="18"/>
      <c r="AA281" s="18"/>
      <c r="AB281" t="str">
        <f>IFERROR(__xludf.DUMMYFUNCTION("SUBSTITUTE(REGEXREPLACE(REGEXREPLACE(REGEXREPLACE(REGEXREPLACE(REGEXREPLACE(REGEXREPLACE(F281,"","",),IF(Projections!$T$11="""",""PG"",),),IF(Projections!$U$11="""",""SG"",),),IF(Projections!$V$11="""",""SF"",),),IF(Projections!$W$11="""",""PF"",),),IF(Pr"&amp;"ojections!$X$11="""",""C"",),),""/"","""")"),"")</f>
        <v/>
      </c>
    </row>
    <row r="282">
      <c r="G282" s="18"/>
      <c r="H282" s="18"/>
      <c r="I282" s="18"/>
      <c r="J282" s="18"/>
      <c r="K282" s="18"/>
      <c r="L282" s="18"/>
      <c r="M282" s="18"/>
      <c r="N282" s="18"/>
      <c r="O282" s="18"/>
      <c r="P282" s="25"/>
      <c r="Q282" s="25"/>
      <c r="R282" s="18"/>
      <c r="S282" s="18"/>
      <c r="T282" s="18"/>
      <c r="U282" s="18"/>
      <c r="V282" s="18"/>
      <c r="W282" s="18"/>
      <c r="X282" s="18"/>
      <c r="Y282" s="18"/>
      <c r="Z282" s="18"/>
      <c r="AA282" s="18"/>
      <c r="AB282" t="str">
        <f>IFERROR(__xludf.DUMMYFUNCTION("SUBSTITUTE(REGEXREPLACE(REGEXREPLACE(REGEXREPLACE(REGEXREPLACE(REGEXREPLACE(REGEXREPLACE(F282,"","",),IF(Projections!$T$11="""",""PG"",),),IF(Projections!$U$11="""",""SG"",),),IF(Projections!$V$11="""",""SF"",),),IF(Projections!$W$11="""",""PF"",),),IF(Pr"&amp;"ojections!$X$11="""",""C"",),),""/"","""")"),"")</f>
        <v/>
      </c>
    </row>
    <row r="283">
      <c r="G283" s="18"/>
      <c r="H283" s="18"/>
      <c r="I283" s="18"/>
      <c r="J283" s="18"/>
      <c r="K283" s="18"/>
      <c r="L283" s="18"/>
      <c r="M283" s="18"/>
      <c r="N283" s="18"/>
      <c r="O283" s="18"/>
      <c r="P283" s="25"/>
      <c r="Q283" s="25"/>
      <c r="R283" s="18"/>
      <c r="S283" s="18"/>
      <c r="T283" s="18"/>
      <c r="U283" s="18"/>
      <c r="V283" s="18"/>
      <c r="W283" s="18"/>
      <c r="X283" s="18"/>
      <c r="Y283" s="18"/>
      <c r="Z283" s="18"/>
      <c r="AA283" s="18"/>
      <c r="AB283" t="str">
        <f>IFERROR(__xludf.DUMMYFUNCTION("SUBSTITUTE(REGEXREPLACE(REGEXREPLACE(REGEXREPLACE(REGEXREPLACE(REGEXREPLACE(REGEXREPLACE(F283,"","",),IF(Projections!$T$11="""",""PG"",),),IF(Projections!$U$11="""",""SG"",),),IF(Projections!$V$11="""",""SF"",),),IF(Projections!$W$11="""",""PF"",),),IF(Pr"&amp;"ojections!$X$11="""",""C"",),),""/"","""")"),"")</f>
        <v/>
      </c>
    </row>
    <row r="284">
      <c r="G284" s="18"/>
      <c r="H284" s="18"/>
      <c r="I284" s="18"/>
      <c r="J284" s="18"/>
      <c r="K284" s="18"/>
      <c r="L284" s="18"/>
      <c r="M284" s="18"/>
      <c r="N284" s="18"/>
      <c r="O284" s="18"/>
      <c r="P284" s="25"/>
      <c r="Q284" s="25"/>
      <c r="R284" s="18"/>
      <c r="S284" s="18"/>
      <c r="T284" s="18"/>
      <c r="U284" s="18"/>
      <c r="V284" s="18"/>
      <c r="W284" s="18"/>
      <c r="X284" s="18"/>
      <c r="Y284" s="18"/>
      <c r="Z284" s="18"/>
      <c r="AA284" s="18"/>
      <c r="AB284" t="str">
        <f>IFERROR(__xludf.DUMMYFUNCTION("SUBSTITUTE(REGEXREPLACE(REGEXREPLACE(REGEXREPLACE(REGEXREPLACE(REGEXREPLACE(REGEXREPLACE(F284,"","",),IF(Projections!$T$11="""",""PG"",),),IF(Projections!$U$11="""",""SG"",),),IF(Projections!$V$11="""",""SF"",),),IF(Projections!$W$11="""",""PF"",),),IF(Pr"&amp;"ojections!$X$11="""",""C"",),),""/"","""")"),"")</f>
        <v/>
      </c>
    </row>
    <row r="285">
      <c r="G285" s="18"/>
      <c r="H285" s="18"/>
      <c r="I285" s="18"/>
      <c r="J285" s="18"/>
      <c r="K285" s="18"/>
      <c r="L285" s="18"/>
      <c r="M285" s="18"/>
      <c r="N285" s="18"/>
      <c r="O285" s="18"/>
      <c r="P285" s="25"/>
      <c r="Q285" s="25"/>
      <c r="R285" s="18"/>
      <c r="S285" s="18"/>
      <c r="T285" s="18"/>
      <c r="U285" s="18"/>
      <c r="V285" s="18"/>
      <c r="W285" s="18"/>
      <c r="X285" s="18"/>
      <c r="Y285" s="18"/>
      <c r="Z285" s="18"/>
      <c r="AA285" s="18"/>
      <c r="AB285" t="str">
        <f>IFERROR(__xludf.DUMMYFUNCTION("SUBSTITUTE(REGEXREPLACE(REGEXREPLACE(REGEXREPLACE(REGEXREPLACE(REGEXREPLACE(REGEXREPLACE(F285,"","",),IF(Projections!$T$11="""",""PG"",),),IF(Projections!$U$11="""",""SG"",),),IF(Projections!$V$11="""",""SF"",),),IF(Projections!$W$11="""",""PF"",),),IF(Pr"&amp;"ojections!$X$11="""",""C"",),),""/"","""")"),"")</f>
        <v/>
      </c>
    </row>
    <row r="286">
      <c r="G286" s="18"/>
      <c r="H286" s="18"/>
      <c r="I286" s="18"/>
      <c r="J286" s="18"/>
      <c r="K286" s="18"/>
      <c r="L286" s="18"/>
      <c r="M286" s="18"/>
      <c r="N286" s="18"/>
      <c r="O286" s="18"/>
      <c r="P286" s="25"/>
      <c r="Q286" s="25"/>
      <c r="R286" s="18"/>
      <c r="S286" s="18"/>
      <c r="T286" s="18"/>
      <c r="U286" s="18"/>
      <c r="V286" s="18"/>
      <c r="W286" s="18"/>
      <c r="X286" s="18"/>
      <c r="Y286" s="18"/>
      <c r="Z286" s="18"/>
      <c r="AA286" s="18"/>
      <c r="AB286" t="str">
        <f>IFERROR(__xludf.DUMMYFUNCTION("SUBSTITUTE(REGEXREPLACE(REGEXREPLACE(REGEXREPLACE(REGEXREPLACE(REGEXREPLACE(REGEXREPLACE(F286,"","",),IF(Projections!$T$11="""",""PG"",),),IF(Projections!$U$11="""",""SG"",),),IF(Projections!$V$11="""",""SF"",),),IF(Projections!$W$11="""",""PF"",),),IF(Pr"&amp;"ojections!$X$11="""",""C"",),),""/"","""")"),"")</f>
        <v/>
      </c>
    </row>
    <row r="287">
      <c r="G287" s="18"/>
      <c r="H287" s="18"/>
      <c r="I287" s="18"/>
      <c r="J287" s="18"/>
      <c r="K287" s="18"/>
      <c r="L287" s="18"/>
      <c r="M287" s="18"/>
      <c r="N287" s="18"/>
      <c r="O287" s="18"/>
      <c r="P287" s="25"/>
      <c r="Q287" s="25"/>
      <c r="R287" s="18"/>
      <c r="S287" s="18"/>
      <c r="T287" s="18"/>
      <c r="U287" s="18"/>
      <c r="V287" s="18"/>
      <c r="W287" s="18"/>
      <c r="X287" s="18"/>
      <c r="Y287" s="18"/>
      <c r="Z287" s="18"/>
      <c r="AA287" s="18"/>
      <c r="AB287" t="str">
        <f>IFERROR(__xludf.DUMMYFUNCTION("SUBSTITUTE(REGEXREPLACE(REGEXREPLACE(REGEXREPLACE(REGEXREPLACE(REGEXREPLACE(REGEXREPLACE(F287,"","",),IF(Projections!$T$11="""",""PG"",),),IF(Projections!$U$11="""",""SG"",),),IF(Projections!$V$11="""",""SF"",),),IF(Projections!$W$11="""",""PF"",),),IF(Pr"&amp;"ojections!$X$11="""",""C"",),),""/"","""")"),"")</f>
        <v/>
      </c>
    </row>
    <row r="288">
      <c r="G288" s="18"/>
      <c r="H288" s="18"/>
      <c r="I288" s="18"/>
      <c r="J288" s="18"/>
      <c r="K288" s="18"/>
      <c r="L288" s="18"/>
      <c r="M288" s="18"/>
      <c r="N288" s="18"/>
      <c r="O288" s="18"/>
      <c r="P288" s="25"/>
      <c r="Q288" s="25"/>
      <c r="R288" s="18"/>
      <c r="S288" s="18"/>
      <c r="T288" s="18"/>
      <c r="U288" s="18"/>
      <c r="V288" s="18"/>
      <c r="W288" s="18"/>
      <c r="X288" s="18"/>
      <c r="Y288" s="18"/>
      <c r="Z288" s="18"/>
      <c r="AA288" s="18"/>
      <c r="AB288" t="str">
        <f>IFERROR(__xludf.DUMMYFUNCTION("SUBSTITUTE(REGEXREPLACE(REGEXREPLACE(REGEXREPLACE(REGEXREPLACE(REGEXREPLACE(REGEXREPLACE(F288,"","",),IF(Projections!$T$11="""",""PG"",),),IF(Projections!$U$11="""",""SG"",),),IF(Projections!$V$11="""",""SF"",),),IF(Projections!$W$11="""",""PF"",),),IF(Pr"&amp;"ojections!$X$11="""",""C"",),),""/"","""")"),"")</f>
        <v/>
      </c>
    </row>
    <row r="289">
      <c r="G289" s="18"/>
      <c r="H289" s="18"/>
      <c r="I289" s="18"/>
      <c r="J289" s="18"/>
      <c r="K289" s="18"/>
      <c r="L289" s="18"/>
      <c r="M289" s="18"/>
      <c r="N289" s="18"/>
      <c r="O289" s="18"/>
      <c r="P289" s="25"/>
      <c r="Q289" s="25"/>
      <c r="R289" s="18"/>
      <c r="S289" s="18"/>
      <c r="T289" s="18"/>
      <c r="U289" s="18"/>
      <c r="V289" s="18"/>
      <c r="W289" s="18"/>
      <c r="X289" s="18"/>
      <c r="Y289" s="18"/>
      <c r="Z289" s="18"/>
      <c r="AA289" s="18"/>
      <c r="AB289" t="str">
        <f>IFERROR(__xludf.DUMMYFUNCTION("SUBSTITUTE(REGEXREPLACE(REGEXREPLACE(REGEXREPLACE(REGEXREPLACE(REGEXREPLACE(REGEXREPLACE(F289,"","",),IF(Projections!$T$11="""",""PG"",),),IF(Projections!$U$11="""",""SG"",),),IF(Projections!$V$11="""",""SF"",),),IF(Projections!$W$11="""",""PF"",),),IF(Pr"&amp;"ojections!$X$11="""",""C"",),),""/"","""")"),"")</f>
        <v/>
      </c>
    </row>
    <row r="290">
      <c r="G290" s="18"/>
      <c r="H290" s="18"/>
      <c r="I290" s="18"/>
      <c r="J290" s="18"/>
      <c r="K290" s="18"/>
      <c r="L290" s="18"/>
      <c r="M290" s="18"/>
      <c r="N290" s="18"/>
      <c r="O290" s="18"/>
      <c r="P290" s="25"/>
      <c r="Q290" s="25"/>
      <c r="R290" s="18"/>
      <c r="S290" s="18"/>
      <c r="T290" s="18"/>
      <c r="U290" s="18"/>
      <c r="V290" s="18"/>
      <c r="W290" s="18"/>
      <c r="X290" s="18"/>
      <c r="Y290" s="18"/>
      <c r="Z290" s="18"/>
      <c r="AA290" s="18"/>
      <c r="AB290" t="str">
        <f>IFERROR(__xludf.DUMMYFUNCTION("SUBSTITUTE(REGEXREPLACE(REGEXREPLACE(REGEXREPLACE(REGEXREPLACE(REGEXREPLACE(REGEXREPLACE(F290,"","",),IF(Projections!$T$11="""",""PG"",),),IF(Projections!$U$11="""",""SG"",),),IF(Projections!$V$11="""",""SF"",),),IF(Projections!$W$11="""",""PF"",),),IF(Pr"&amp;"ojections!$X$11="""",""C"",),),""/"","""")"),"")</f>
        <v/>
      </c>
    </row>
    <row r="291">
      <c r="G291" s="18"/>
      <c r="H291" s="18"/>
      <c r="I291" s="18"/>
      <c r="J291" s="18"/>
      <c r="K291" s="18"/>
      <c r="L291" s="18"/>
      <c r="M291" s="18"/>
      <c r="N291" s="18"/>
      <c r="O291" s="18"/>
      <c r="P291" s="25"/>
      <c r="Q291" s="25"/>
      <c r="R291" s="18"/>
      <c r="S291" s="18"/>
      <c r="T291" s="18"/>
      <c r="U291" s="18"/>
      <c r="V291" s="18"/>
      <c r="W291" s="18"/>
      <c r="X291" s="18"/>
      <c r="Y291" s="18"/>
      <c r="Z291" s="18"/>
      <c r="AA291" s="18"/>
      <c r="AB291" t="str">
        <f>IFERROR(__xludf.DUMMYFUNCTION("SUBSTITUTE(REGEXREPLACE(REGEXREPLACE(REGEXREPLACE(REGEXREPLACE(REGEXREPLACE(REGEXREPLACE(F291,"","",),IF(Projections!$T$11="""",""PG"",),),IF(Projections!$U$11="""",""SG"",),),IF(Projections!$V$11="""",""SF"",),),IF(Projections!$W$11="""",""PF"",),),IF(Pr"&amp;"ojections!$X$11="""",""C"",),),""/"","""")"),"")</f>
        <v/>
      </c>
    </row>
    <row r="292">
      <c r="G292" s="18"/>
      <c r="H292" s="18"/>
      <c r="I292" s="18"/>
      <c r="J292" s="18"/>
      <c r="K292" s="18"/>
      <c r="L292" s="18"/>
      <c r="M292" s="18"/>
      <c r="N292" s="18"/>
      <c r="O292" s="18"/>
      <c r="P292" s="25"/>
      <c r="Q292" s="25"/>
      <c r="R292" s="18"/>
      <c r="S292" s="18"/>
      <c r="T292" s="18"/>
      <c r="U292" s="18"/>
      <c r="V292" s="18"/>
      <c r="W292" s="18"/>
      <c r="X292" s="18"/>
      <c r="Y292" s="18"/>
      <c r="Z292" s="18"/>
      <c r="AA292" s="18"/>
      <c r="AB292" t="str">
        <f>IFERROR(__xludf.DUMMYFUNCTION("SUBSTITUTE(REGEXREPLACE(REGEXREPLACE(REGEXREPLACE(REGEXREPLACE(REGEXREPLACE(REGEXREPLACE(F292,"","",),IF(Projections!$T$11="""",""PG"",),),IF(Projections!$U$11="""",""SG"",),),IF(Projections!$V$11="""",""SF"",),),IF(Projections!$W$11="""",""PF"",),),IF(Pr"&amp;"ojections!$X$11="""",""C"",),),""/"","""")"),"")</f>
        <v/>
      </c>
    </row>
    <row r="293">
      <c r="G293" s="18"/>
      <c r="H293" s="18"/>
      <c r="I293" s="18"/>
      <c r="J293" s="18"/>
      <c r="K293" s="18"/>
      <c r="L293" s="18"/>
      <c r="M293" s="18"/>
      <c r="N293" s="18"/>
      <c r="O293" s="18"/>
      <c r="P293" s="25"/>
      <c r="Q293" s="25"/>
      <c r="R293" s="18"/>
      <c r="S293" s="18"/>
      <c r="T293" s="18"/>
      <c r="U293" s="18"/>
      <c r="V293" s="18"/>
      <c r="W293" s="18"/>
      <c r="X293" s="18"/>
      <c r="Y293" s="18"/>
      <c r="Z293" s="18"/>
      <c r="AA293" s="18"/>
      <c r="AB293" t="str">
        <f>IFERROR(__xludf.DUMMYFUNCTION("SUBSTITUTE(REGEXREPLACE(REGEXREPLACE(REGEXREPLACE(REGEXREPLACE(REGEXREPLACE(REGEXREPLACE(F293,"","",),IF(Projections!$T$11="""",""PG"",),),IF(Projections!$U$11="""",""SG"",),),IF(Projections!$V$11="""",""SF"",),),IF(Projections!$W$11="""",""PF"",),),IF(Pr"&amp;"ojections!$X$11="""",""C"",),),""/"","""")"),"")</f>
        <v/>
      </c>
    </row>
    <row r="294">
      <c r="G294" s="18"/>
      <c r="H294" s="18"/>
      <c r="I294" s="18"/>
      <c r="J294" s="18"/>
      <c r="K294" s="18"/>
      <c r="L294" s="18"/>
      <c r="M294" s="18"/>
      <c r="N294" s="18"/>
      <c r="O294" s="18"/>
      <c r="P294" s="25"/>
      <c r="Q294" s="25"/>
      <c r="R294" s="18"/>
      <c r="S294" s="18"/>
      <c r="T294" s="18"/>
      <c r="U294" s="18"/>
      <c r="V294" s="18"/>
      <c r="W294" s="18"/>
      <c r="X294" s="18"/>
      <c r="Y294" s="18"/>
      <c r="Z294" s="18"/>
      <c r="AA294" s="18"/>
      <c r="AB294" t="str">
        <f>IFERROR(__xludf.DUMMYFUNCTION("SUBSTITUTE(REGEXREPLACE(REGEXREPLACE(REGEXREPLACE(REGEXREPLACE(REGEXREPLACE(REGEXREPLACE(F294,"","",),IF(Projections!$T$11="""",""PG"",),),IF(Projections!$U$11="""",""SG"",),),IF(Projections!$V$11="""",""SF"",),),IF(Projections!$W$11="""",""PF"",),),IF(Pr"&amp;"ojections!$X$11="""",""C"",),),""/"","""")"),"")</f>
        <v/>
      </c>
    </row>
    <row r="295">
      <c r="G295" s="18"/>
      <c r="H295" s="18"/>
      <c r="I295" s="18"/>
      <c r="J295" s="18"/>
      <c r="K295" s="18"/>
      <c r="L295" s="18"/>
      <c r="M295" s="18"/>
      <c r="N295" s="18"/>
      <c r="O295" s="18"/>
      <c r="P295" s="25"/>
      <c r="Q295" s="25"/>
      <c r="R295" s="18"/>
      <c r="S295" s="18"/>
      <c r="T295" s="18"/>
      <c r="U295" s="18"/>
      <c r="V295" s="18"/>
      <c r="W295" s="18"/>
      <c r="X295" s="18"/>
      <c r="Y295" s="18"/>
      <c r="Z295" s="18"/>
      <c r="AA295" s="18"/>
      <c r="AB295" t="str">
        <f>IFERROR(__xludf.DUMMYFUNCTION("SUBSTITUTE(REGEXREPLACE(REGEXREPLACE(REGEXREPLACE(REGEXREPLACE(REGEXREPLACE(REGEXREPLACE(F295,"","",),IF(Projections!$T$11="""",""PG"",),),IF(Projections!$U$11="""",""SG"",),),IF(Projections!$V$11="""",""SF"",),),IF(Projections!$W$11="""",""PF"",),),IF(Pr"&amp;"ojections!$X$11="""",""C"",),),""/"","""")"),"")</f>
        <v/>
      </c>
    </row>
    <row r="296">
      <c r="G296" s="18"/>
      <c r="H296" s="18"/>
      <c r="I296" s="18"/>
      <c r="J296" s="18"/>
      <c r="K296" s="18"/>
      <c r="L296" s="18"/>
      <c r="M296" s="18"/>
      <c r="N296" s="18"/>
      <c r="O296" s="18"/>
      <c r="P296" s="25"/>
      <c r="Q296" s="25"/>
      <c r="R296" s="18"/>
      <c r="S296" s="18"/>
      <c r="T296" s="18"/>
      <c r="U296" s="18"/>
      <c r="V296" s="18"/>
      <c r="W296" s="18"/>
      <c r="X296" s="18"/>
      <c r="Y296" s="18"/>
      <c r="Z296" s="18"/>
      <c r="AA296" s="18"/>
      <c r="AB296" t="str">
        <f>IFERROR(__xludf.DUMMYFUNCTION("SUBSTITUTE(REGEXREPLACE(REGEXREPLACE(REGEXREPLACE(REGEXREPLACE(REGEXREPLACE(REGEXREPLACE(F296,"","",),IF(Projections!$T$11="""",""PG"",),),IF(Projections!$U$11="""",""SG"",),),IF(Projections!$V$11="""",""SF"",),),IF(Projections!$W$11="""",""PF"",),),IF(Pr"&amp;"ojections!$X$11="""",""C"",),),""/"","""")"),"")</f>
        <v/>
      </c>
    </row>
    <row r="297">
      <c r="G297" s="18"/>
      <c r="H297" s="18"/>
      <c r="I297" s="18"/>
      <c r="J297" s="18"/>
      <c r="K297" s="18"/>
      <c r="L297" s="18"/>
      <c r="M297" s="18"/>
      <c r="N297" s="18"/>
      <c r="O297" s="18"/>
      <c r="P297" s="25"/>
      <c r="Q297" s="25"/>
      <c r="R297" s="18"/>
      <c r="S297" s="18"/>
      <c r="T297" s="18"/>
      <c r="U297" s="18"/>
      <c r="V297" s="18"/>
      <c r="W297" s="18"/>
      <c r="X297" s="18"/>
      <c r="Y297" s="18"/>
      <c r="Z297" s="18"/>
      <c r="AA297" s="18"/>
      <c r="AB297" t="str">
        <f>IFERROR(__xludf.DUMMYFUNCTION("SUBSTITUTE(REGEXREPLACE(REGEXREPLACE(REGEXREPLACE(REGEXREPLACE(REGEXREPLACE(REGEXREPLACE(F297,"","",),IF(Projections!$T$11="""",""PG"",),),IF(Projections!$U$11="""",""SG"",),),IF(Projections!$V$11="""",""SF"",),),IF(Projections!$W$11="""",""PF"",),),IF(Pr"&amp;"ojections!$X$11="""",""C"",),),""/"","""")"),"")</f>
        <v/>
      </c>
    </row>
    <row r="298">
      <c r="G298" s="18"/>
      <c r="H298" s="18"/>
      <c r="I298" s="18"/>
      <c r="J298" s="18"/>
      <c r="K298" s="18"/>
      <c r="L298" s="18"/>
      <c r="M298" s="18"/>
      <c r="N298" s="18"/>
      <c r="O298" s="18"/>
      <c r="P298" s="25"/>
      <c r="Q298" s="25"/>
      <c r="R298" s="18"/>
      <c r="S298" s="18"/>
      <c r="T298" s="18"/>
      <c r="U298" s="18"/>
      <c r="V298" s="18"/>
      <c r="W298" s="18"/>
      <c r="X298" s="18"/>
      <c r="Y298" s="18"/>
      <c r="Z298" s="18"/>
      <c r="AA298" s="18"/>
      <c r="AB298" t="str">
        <f>IFERROR(__xludf.DUMMYFUNCTION("SUBSTITUTE(REGEXREPLACE(REGEXREPLACE(REGEXREPLACE(REGEXREPLACE(REGEXREPLACE(REGEXREPLACE(F298,"","",),IF(Projections!$T$11="""",""PG"",),),IF(Projections!$U$11="""",""SG"",),),IF(Projections!$V$11="""",""SF"",),),IF(Projections!$W$11="""",""PF"",),),IF(Pr"&amp;"ojections!$X$11="""",""C"",),),""/"","""")"),"")</f>
        <v/>
      </c>
    </row>
    <row r="299">
      <c r="G299" s="18"/>
      <c r="H299" s="18"/>
      <c r="I299" s="18"/>
      <c r="J299" s="18"/>
      <c r="K299" s="18"/>
      <c r="L299" s="18"/>
      <c r="M299" s="18"/>
      <c r="N299" s="18"/>
      <c r="O299" s="18"/>
      <c r="P299" s="25"/>
      <c r="Q299" s="25"/>
      <c r="R299" s="18"/>
      <c r="S299" s="18"/>
      <c r="T299" s="18"/>
      <c r="U299" s="18"/>
      <c r="V299" s="18"/>
      <c r="W299" s="18"/>
      <c r="X299" s="18"/>
      <c r="Y299" s="18"/>
      <c r="Z299" s="18"/>
      <c r="AA299" s="18"/>
      <c r="AB299" t="str">
        <f>IFERROR(__xludf.DUMMYFUNCTION("SUBSTITUTE(REGEXREPLACE(REGEXREPLACE(REGEXREPLACE(REGEXREPLACE(REGEXREPLACE(REGEXREPLACE(F299,"","",),IF(Projections!$T$11="""",""PG"",),),IF(Projections!$U$11="""",""SG"",),),IF(Projections!$V$11="""",""SF"",),),IF(Projections!$W$11="""",""PF"",),),IF(Pr"&amp;"ojections!$X$11="""",""C"",),),""/"","""")"),"")</f>
        <v/>
      </c>
    </row>
    <row r="300">
      <c r="G300" s="18"/>
      <c r="H300" s="18"/>
      <c r="I300" s="18"/>
      <c r="J300" s="18"/>
      <c r="K300" s="18"/>
      <c r="L300" s="18"/>
      <c r="M300" s="18"/>
      <c r="N300" s="18"/>
      <c r="O300" s="18"/>
      <c r="P300" s="25"/>
      <c r="Q300" s="25"/>
      <c r="R300" s="18"/>
      <c r="S300" s="18"/>
      <c r="T300" s="18"/>
      <c r="U300" s="18"/>
      <c r="V300" s="18"/>
      <c r="W300" s="18"/>
      <c r="X300" s="18"/>
      <c r="Y300" s="18"/>
      <c r="Z300" s="18"/>
      <c r="AA300" s="18"/>
      <c r="AB300" t="str">
        <f>IFERROR(__xludf.DUMMYFUNCTION("SUBSTITUTE(REGEXREPLACE(REGEXREPLACE(REGEXREPLACE(REGEXREPLACE(REGEXREPLACE(REGEXREPLACE(F300,"","",),IF(Projections!$T$11="""",""PG"",),),IF(Projections!$U$11="""",""SG"",),),IF(Projections!$V$11="""",""SF"",),),IF(Projections!$W$11="""",""PF"",),),IF(Pr"&amp;"ojections!$X$11="""",""C"",),),""/"","""")"),"")</f>
        <v/>
      </c>
    </row>
    <row r="301">
      <c r="G301" s="18"/>
      <c r="H301" s="18"/>
      <c r="I301" s="18"/>
      <c r="J301" s="18"/>
      <c r="K301" s="18"/>
      <c r="L301" s="18"/>
      <c r="M301" s="18"/>
      <c r="N301" s="18"/>
      <c r="O301" s="18"/>
      <c r="P301" s="25"/>
      <c r="Q301" s="25"/>
      <c r="R301" s="18"/>
      <c r="S301" s="18"/>
      <c r="T301" s="18"/>
      <c r="U301" s="18"/>
      <c r="V301" s="18"/>
      <c r="W301" s="18"/>
      <c r="X301" s="18"/>
      <c r="Y301" s="18"/>
      <c r="Z301" s="18"/>
      <c r="AA301" s="18"/>
      <c r="AB301" t="str">
        <f>IFERROR(__xludf.DUMMYFUNCTION("SUBSTITUTE(REGEXREPLACE(REGEXREPLACE(REGEXREPLACE(REGEXREPLACE(REGEXREPLACE(REGEXREPLACE(F301,"","",),IF(Projections!$T$11="""",""PG"",),),IF(Projections!$U$11="""",""SG"",),),IF(Projections!$V$11="""",""SF"",),),IF(Projections!$W$11="""",""PF"",),),IF(Pr"&amp;"ojections!$X$11="""",""C"",),),""/"","""")"),"")</f>
        <v/>
      </c>
    </row>
    <row r="302">
      <c r="G302" s="18"/>
      <c r="H302" s="18"/>
      <c r="I302" s="18"/>
      <c r="J302" s="18"/>
      <c r="K302" s="18"/>
      <c r="L302" s="18"/>
      <c r="M302" s="18"/>
      <c r="N302" s="18"/>
      <c r="O302" s="18"/>
      <c r="P302" s="25"/>
      <c r="Q302" s="25"/>
      <c r="R302" s="18"/>
      <c r="S302" s="18"/>
      <c r="T302" s="18"/>
      <c r="U302" s="18"/>
      <c r="V302" s="18"/>
      <c r="W302" s="18"/>
      <c r="X302" s="18"/>
      <c r="Y302" s="18"/>
      <c r="Z302" s="18"/>
      <c r="AA302" s="18"/>
      <c r="AB302" t="str">
        <f>IFERROR(__xludf.DUMMYFUNCTION("SUBSTITUTE(REGEXREPLACE(REGEXREPLACE(REGEXREPLACE(REGEXREPLACE(REGEXREPLACE(REGEXREPLACE(F302,"","",),IF(Projections!$T$11="""",""PG"",),),IF(Projections!$U$11="""",""SG"",),),IF(Projections!$V$11="""",""SF"",),),IF(Projections!$W$11="""",""PF"",),),IF(Pr"&amp;"ojections!$X$11="""",""C"",),),""/"","""")"),"")</f>
        <v/>
      </c>
    </row>
    <row r="303">
      <c r="G303" s="18"/>
      <c r="H303" s="18"/>
      <c r="I303" s="18"/>
      <c r="J303" s="18"/>
      <c r="K303" s="18"/>
      <c r="L303" s="18"/>
      <c r="M303" s="18"/>
      <c r="N303" s="18"/>
      <c r="O303" s="18"/>
      <c r="P303" s="25"/>
      <c r="Q303" s="25"/>
      <c r="R303" s="18"/>
      <c r="S303" s="18"/>
      <c r="T303" s="18"/>
      <c r="U303" s="18"/>
      <c r="V303" s="18"/>
      <c r="W303" s="18"/>
      <c r="X303" s="18"/>
      <c r="Y303" s="18"/>
      <c r="Z303" s="18"/>
      <c r="AA303" s="18"/>
      <c r="AB303" t="str">
        <f>IFERROR(__xludf.DUMMYFUNCTION("SUBSTITUTE(REGEXREPLACE(REGEXREPLACE(REGEXREPLACE(REGEXREPLACE(REGEXREPLACE(REGEXREPLACE(F303,"","",),IF(Projections!$T$11="""",""PG"",),),IF(Projections!$U$11="""",""SG"",),),IF(Projections!$V$11="""",""SF"",),),IF(Projections!$W$11="""",""PF"",),),IF(Pr"&amp;"ojections!$X$11="""",""C"",),),""/"","""")"),"")</f>
        <v/>
      </c>
    </row>
    <row r="304">
      <c r="G304" s="18"/>
      <c r="H304" s="18"/>
      <c r="I304" s="18"/>
      <c r="J304" s="18"/>
      <c r="K304" s="18"/>
      <c r="L304" s="18"/>
      <c r="M304" s="18"/>
      <c r="N304" s="18"/>
      <c r="O304" s="18"/>
      <c r="P304" s="25"/>
      <c r="Q304" s="25"/>
      <c r="R304" s="18"/>
      <c r="S304" s="18"/>
      <c r="T304" s="18"/>
      <c r="U304" s="18"/>
      <c r="V304" s="18"/>
      <c r="W304" s="18"/>
      <c r="X304" s="18"/>
      <c r="Y304" s="18"/>
      <c r="Z304" s="18"/>
      <c r="AA304" s="18"/>
      <c r="AB304" t="str">
        <f>IFERROR(__xludf.DUMMYFUNCTION("SUBSTITUTE(REGEXREPLACE(REGEXREPLACE(REGEXREPLACE(REGEXREPLACE(REGEXREPLACE(REGEXREPLACE(F304,"","",),IF(Projections!$T$11="""",""PG"",),),IF(Projections!$U$11="""",""SG"",),),IF(Projections!$V$11="""",""SF"",),),IF(Projections!$W$11="""",""PF"",),),IF(Pr"&amp;"ojections!$X$11="""",""C"",),),""/"","""")"),"")</f>
        <v/>
      </c>
    </row>
    <row r="305">
      <c r="G305" s="18"/>
      <c r="H305" s="18"/>
      <c r="I305" s="18"/>
      <c r="J305" s="18"/>
      <c r="K305" s="18"/>
      <c r="L305" s="18"/>
      <c r="M305" s="18"/>
      <c r="N305" s="18"/>
      <c r="O305" s="18"/>
      <c r="P305" s="25"/>
      <c r="Q305" s="25"/>
      <c r="R305" s="18"/>
      <c r="S305" s="18"/>
      <c r="T305" s="18"/>
      <c r="U305" s="18"/>
      <c r="V305" s="18"/>
      <c r="W305" s="18"/>
      <c r="X305" s="18"/>
      <c r="Y305" s="18"/>
      <c r="Z305" s="18"/>
      <c r="AA305" s="18"/>
      <c r="AB305" t="str">
        <f>IFERROR(__xludf.DUMMYFUNCTION("SUBSTITUTE(REGEXREPLACE(REGEXREPLACE(REGEXREPLACE(REGEXREPLACE(REGEXREPLACE(REGEXREPLACE(F305,"","",),IF(Projections!$T$11="""",""PG"",),),IF(Projections!$U$11="""",""SG"",),),IF(Projections!$V$11="""",""SF"",),),IF(Projections!$W$11="""",""PF"",),),IF(Pr"&amp;"ojections!$X$11="""",""C"",),),""/"","""")"),"")</f>
        <v/>
      </c>
    </row>
    <row r="306">
      <c r="G306" s="18"/>
      <c r="H306" s="18"/>
      <c r="I306" s="18"/>
      <c r="J306" s="18"/>
      <c r="K306" s="18"/>
      <c r="L306" s="18"/>
      <c r="M306" s="18"/>
      <c r="N306" s="18"/>
      <c r="O306" s="18"/>
      <c r="P306" s="25"/>
      <c r="Q306" s="25"/>
      <c r="R306" s="18"/>
      <c r="S306" s="18"/>
      <c r="T306" s="18"/>
      <c r="U306" s="18"/>
      <c r="V306" s="18"/>
      <c r="W306" s="18"/>
      <c r="X306" s="18"/>
      <c r="Y306" s="18"/>
      <c r="Z306" s="18"/>
      <c r="AA306" s="18"/>
      <c r="AB306" t="str">
        <f>IFERROR(__xludf.DUMMYFUNCTION("SUBSTITUTE(REGEXREPLACE(REGEXREPLACE(REGEXREPLACE(REGEXREPLACE(REGEXREPLACE(REGEXREPLACE(F306,"","",),IF(Projections!$T$11="""",""PG"",),),IF(Projections!$U$11="""",""SG"",),),IF(Projections!$V$11="""",""SF"",),),IF(Projections!$W$11="""",""PF"",),),IF(Pr"&amp;"ojections!$X$11="""",""C"",),),""/"","""")"),"")</f>
        <v/>
      </c>
    </row>
    <row r="307">
      <c r="G307" s="18"/>
      <c r="H307" s="18"/>
      <c r="I307" s="18"/>
      <c r="J307" s="18"/>
      <c r="K307" s="18"/>
      <c r="L307" s="18"/>
      <c r="M307" s="18"/>
      <c r="N307" s="18"/>
      <c r="O307" s="18"/>
      <c r="P307" s="25"/>
      <c r="Q307" s="25"/>
      <c r="R307" s="18"/>
      <c r="S307" s="18"/>
      <c r="T307" s="18"/>
      <c r="U307" s="18"/>
      <c r="V307" s="18"/>
      <c r="W307" s="18"/>
      <c r="X307" s="18"/>
      <c r="Y307" s="18"/>
      <c r="Z307" s="18"/>
      <c r="AA307" s="18"/>
      <c r="AB307" t="str">
        <f>IFERROR(__xludf.DUMMYFUNCTION("SUBSTITUTE(REGEXREPLACE(REGEXREPLACE(REGEXREPLACE(REGEXREPLACE(REGEXREPLACE(REGEXREPLACE(F307,"","",),IF(Projections!$T$11="""",""PG"",),),IF(Projections!$U$11="""",""SG"",),),IF(Projections!$V$11="""",""SF"",),),IF(Projections!$W$11="""",""PF"",),),IF(Pr"&amp;"ojections!$X$11="""",""C"",),),""/"","""")"),"")</f>
        <v/>
      </c>
    </row>
    <row r="308">
      <c r="G308" s="18"/>
      <c r="H308" s="18"/>
      <c r="I308" s="18"/>
      <c r="J308" s="18"/>
      <c r="K308" s="18"/>
      <c r="L308" s="18"/>
      <c r="M308" s="18"/>
      <c r="N308" s="18"/>
      <c r="O308" s="18"/>
      <c r="P308" s="25"/>
      <c r="Q308" s="25"/>
      <c r="R308" s="18"/>
      <c r="S308" s="18"/>
      <c r="T308" s="18"/>
      <c r="U308" s="18"/>
      <c r="V308" s="18"/>
      <c r="W308" s="18"/>
      <c r="X308" s="18"/>
      <c r="Y308" s="18"/>
      <c r="Z308" s="18"/>
      <c r="AA308" s="18"/>
      <c r="AB308" t="str">
        <f>IFERROR(__xludf.DUMMYFUNCTION("SUBSTITUTE(REGEXREPLACE(REGEXREPLACE(REGEXREPLACE(REGEXREPLACE(REGEXREPLACE(REGEXREPLACE(F308,"","",),IF(Projections!$T$11="""",""PG"",),),IF(Projections!$U$11="""",""SG"",),),IF(Projections!$V$11="""",""SF"",),),IF(Projections!$W$11="""",""PF"",),),IF(Pr"&amp;"ojections!$X$11="""",""C"",),),""/"","""")"),"")</f>
        <v/>
      </c>
    </row>
    <row r="309">
      <c r="G309" s="18"/>
      <c r="H309" s="18"/>
      <c r="I309" s="18"/>
      <c r="J309" s="18"/>
      <c r="K309" s="18"/>
      <c r="L309" s="18"/>
      <c r="M309" s="18"/>
      <c r="N309" s="18"/>
      <c r="O309" s="18"/>
      <c r="P309" s="25"/>
      <c r="Q309" s="25"/>
      <c r="R309" s="18"/>
      <c r="S309" s="18"/>
      <c r="T309" s="18"/>
      <c r="U309" s="18"/>
      <c r="V309" s="18"/>
      <c r="W309" s="18"/>
      <c r="X309" s="18"/>
      <c r="Y309" s="18"/>
      <c r="Z309" s="18"/>
      <c r="AA309" s="18"/>
      <c r="AB309" t="str">
        <f>IFERROR(__xludf.DUMMYFUNCTION("SUBSTITUTE(REGEXREPLACE(REGEXREPLACE(REGEXREPLACE(REGEXREPLACE(REGEXREPLACE(REGEXREPLACE(F309,"","",),IF(Projections!$T$11="""",""PG"",),),IF(Projections!$U$11="""",""SG"",),),IF(Projections!$V$11="""",""SF"",),),IF(Projections!$W$11="""",""PF"",),),IF(Pr"&amp;"ojections!$X$11="""",""C"",),),""/"","""")"),"")</f>
        <v/>
      </c>
    </row>
    <row r="310">
      <c r="G310" s="18"/>
      <c r="H310" s="18"/>
      <c r="I310" s="18"/>
      <c r="J310" s="18"/>
      <c r="K310" s="18"/>
      <c r="L310" s="18"/>
      <c r="M310" s="18"/>
      <c r="N310" s="18"/>
      <c r="O310" s="18"/>
      <c r="P310" s="25"/>
      <c r="Q310" s="25"/>
      <c r="R310" s="18"/>
      <c r="S310" s="18"/>
      <c r="T310" s="18"/>
      <c r="U310" s="18"/>
      <c r="V310" s="18"/>
      <c r="W310" s="18"/>
      <c r="X310" s="18"/>
      <c r="Y310" s="18"/>
      <c r="Z310" s="18"/>
      <c r="AA310" s="18"/>
      <c r="AB310" t="str">
        <f>IFERROR(__xludf.DUMMYFUNCTION("SUBSTITUTE(REGEXREPLACE(REGEXREPLACE(REGEXREPLACE(REGEXREPLACE(REGEXREPLACE(REGEXREPLACE(F310,"","",),IF(Projections!$T$11="""",""PG"",),),IF(Projections!$U$11="""",""SG"",),),IF(Projections!$V$11="""",""SF"",),),IF(Projections!$W$11="""",""PF"",),),IF(Pr"&amp;"ojections!$X$11="""",""C"",),),""/"","""")"),"")</f>
        <v/>
      </c>
    </row>
    <row r="311">
      <c r="G311" s="18"/>
      <c r="H311" s="18"/>
      <c r="I311" s="18"/>
      <c r="J311" s="18"/>
      <c r="K311" s="18"/>
      <c r="L311" s="18"/>
      <c r="M311" s="18"/>
      <c r="N311" s="18"/>
      <c r="O311" s="18"/>
      <c r="P311" s="25"/>
      <c r="Q311" s="25"/>
      <c r="R311" s="18"/>
      <c r="S311" s="18"/>
      <c r="T311" s="18"/>
      <c r="U311" s="18"/>
      <c r="V311" s="18"/>
      <c r="W311" s="18"/>
      <c r="X311" s="18"/>
      <c r="Y311" s="18"/>
      <c r="Z311" s="18"/>
      <c r="AA311" s="18"/>
      <c r="AB311" t="str">
        <f>IFERROR(__xludf.DUMMYFUNCTION("SUBSTITUTE(REGEXREPLACE(REGEXREPLACE(REGEXREPLACE(REGEXREPLACE(REGEXREPLACE(REGEXREPLACE(F311,"","",),IF(Projections!$T$11="""",""PG"",),),IF(Projections!$U$11="""",""SG"",),),IF(Projections!$V$11="""",""SF"",),),IF(Projections!$W$11="""",""PF"",),),IF(Pr"&amp;"ojections!$X$11="""",""C"",),),""/"","""")"),"")</f>
        <v/>
      </c>
    </row>
    <row r="312">
      <c r="G312" s="18"/>
      <c r="H312" s="18"/>
      <c r="I312" s="18"/>
      <c r="J312" s="18"/>
      <c r="K312" s="18"/>
      <c r="L312" s="18"/>
      <c r="M312" s="18"/>
      <c r="N312" s="18"/>
      <c r="O312" s="18"/>
      <c r="P312" s="25"/>
      <c r="Q312" s="25"/>
      <c r="R312" s="18"/>
      <c r="S312" s="18"/>
      <c r="T312" s="18"/>
      <c r="U312" s="18"/>
      <c r="V312" s="18"/>
      <c r="W312" s="18"/>
      <c r="X312" s="18"/>
      <c r="Y312" s="18"/>
      <c r="Z312" s="18"/>
      <c r="AA312" s="18"/>
      <c r="AB312" t="str">
        <f>IFERROR(__xludf.DUMMYFUNCTION("SUBSTITUTE(REGEXREPLACE(REGEXREPLACE(REGEXREPLACE(REGEXREPLACE(REGEXREPLACE(REGEXREPLACE(F312,"","",),IF(Projections!$T$11="""",""PG"",),),IF(Projections!$U$11="""",""SG"",),),IF(Projections!$V$11="""",""SF"",),),IF(Projections!$W$11="""",""PF"",),),IF(Pr"&amp;"ojections!$X$11="""",""C"",),),""/"","""")"),"")</f>
        <v/>
      </c>
    </row>
    <row r="313">
      <c r="G313" s="18"/>
      <c r="H313" s="18"/>
      <c r="I313" s="18"/>
      <c r="J313" s="18"/>
      <c r="K313" s="18"/>
      <c r="L313" s="18"/>
      <c r="M313" s="18"/>
      <c r="N313" s="18"/>
      <c r="O313" s="18"/>
      <c r="P313" s="25"/>
      <c r="Q313" s="25"/>
      <c r="R313" s="18"/>
      <c r="S313" s="18"/>
      <c r="T313" s="18"/>
      <c r="U313" s="18"/>
      <c r="V313" s="18"/>
      <c r="W313" s="18"/>
      <c r="X313" s="18"/>
      <c r="Y313" s="18"/>
      <c r="Z313" s="18"/>
      <c r="AA313" s="18"/>
      <c r="AB313" t="str">
        <f>IFERROR(__xludf.DUMMYFUNCTION("SUBSTITUTE(REGEXREPLACE(REGEXREPLACE(REGEXREPLACE(REGEXREPLACE(REGEXREPLACE(REGEXREPLACE(F313,"","",),IF(Projections!$T$11="""",""PG"",),),IF(Projections!$U$11="""",""SG"",),),IF(Projections!$V$11="""",""SF"",),),IF(Projections!$W$11="""",""PF"",),),IF(Pr"&amp;"ojections!$X$11="""",""C"",),),""/"","""")"),"")</f>
        <v/>
      </c>
    </row>
    <row r="314">
      <c r="G314" s="18"/>
      <c r="H314" s="18"/>
      <c r="I314" s="18"/>
      <c r="J314" s="18"/>
      <c r="K314" s="18"/>
      <c r="L314" s="18"/>
      <c r="M314" s="18"/>
      <c r="N314" s="18"/>
      <c r="O314" s="18"/>
      <c r="P314" s="25"/>
      <c r="Q314" s="25"/>
      <c r="R314" s="18"/>
      <c r="S314" s="18"/>
      <c r="T314" s="18"/>
      <c r="U314" s="18"/>
      <c r="V314" s="18"/>
      <c r="W314" s="18"/>
      <c r="X314" s="18"/>
      <c r="Y314" s="18"/>
      <c r="Z314" s="18"/>
      <c r="AA314" s="18"/>
      <c r="AB314" t="str">
        <f>IFERROR(__xludf.DUMMYFUNCTION("SUBSTITUTE(REGEXREPLACE(REGEXREPLACE(REGEXREPLACE(REGEXREPLACE(REGEXREPLACE(REGEXREPLACE(F314,"","",),IF(Projections!$T$11="""",""PG"",),),IF(Projections!$U$11="""",""SG"",),),IF(Projections!$V$11="""",""SF"",),),IF(Projections!$W$11="""",""PF"",),),IF(Pr"&amp;"ojections!$X$11="""",""C"",),),""/"","""")"),"")</f>
        <v/>
      </c>
    </row>
    <row r="315">
      <c r="G315" s="18"/>
      <c r="H315" s="18"/>
      <c r="I315" s="18"/>
      <c r="J315" s="18"/>
      <c r="K315" s="18"/>
      <c r="L315" s="18"/>
      <c r="M315" s="18"/>
      <c r="N315" s="18"/>
      <c r="O315" s="18"/>
      <c r="P315" s="25"/>
      <c r="Q315" s="25"/>
      <c r="R315" s="18"/>
      <c r="S315" s="18"/>
      <c r="T315" s="18"/>
      <c r="U315" s="18"/>
      <c r="V315" s="18"/>
      <c r="W315" s="18"/>
      <c r="X315" s="18"/>
      <c r="Y315" s="18"/>
      <c r="Z315" s="18"/>
      <c r="AA315" s="18"/>
      <c r="AB315" t="str">
        <f>IFERROR(__xludf.DUMMYFUNCTION("SUBSTITUTE(REGEXREPLACE(REGEXREPLACE(REGEXREPLACE(REGEXREPLACE(REGEXREPLACE(REGEXREPLACE(F315,"","",),IF(Projections!$T$11="""",""PG"",),),IF(Projections!$U$11="""",""SG"",),),IF(Projections!$V$11="""",""SF"",),),IF(Projections!$W$11="""",""PF"",),),IF(Pr"&amp;"ojections!$X$11="""",""C"",),),""/"","""")"),"")</f>
        <v/>
      </c>
    </row>
    <row r="316">
      <c r="G316" s="18"/>
      <c r="H316" s="18"/>
      <c r="I316" s="18"/>
      <c r="J316" s="18"/>
      <c r="K316" s="18"/>
      <c r="L316" s="18"/>
      <c r="M316" s="18"/>
      <c r="N316" s="18"/>
      <c r="O316" s="18"/>
      <c r="P316" s="25"/>
      <c r="Q316" s="25"/>
      <c r="R316" s="18"/>
      <c r="S316" s="18"/>
      <c r="T316" s="18"/>
      <c r="U316" s="18"/>
      <c r="V316" s="18"/>
      <c r="W316" s="18"/>
      <c r="X316" s="18"/>
      <c r="Y316" s="18"/>
      <c r="Z316" s="18"/>
      <c r="AA316" s="18"/>
      <c r="AB316" t="str">
        <f>IFERROR(__xludf.DUMMYFUNCTION("SUBSTITUTE(REGEXREPLACE(REGEXREPLACE(REGEXREPLACE(REGEXREPLACE(REGEXREPLACE(REGEXREPLACE(F316,"","",),IF(Projections!$T$11="""",""PG"",),),IF(Projections!$U$11="""",""SG"",),),IF(Projections!$V$11="""",""SF"",),),IF(Projections!$W$11="""",""PF"",),),IF(Pr"&amp;"ojections!$X$11="""",""C"",),),""/"","""")"),"")</f>
        <v/>
      </c>
    </row>
    <row r="317">
      <c r="G317" s="18"/>
      <c r="H317" s="18"/>
      <c r="I317" s="18"/>
      <c r="J317" s="18"/>
      <c r="K317" s="18"/>
      <c r="L317" s="18"/>
      <c r="M317" s="18"/>
      <c r="N317" s="18"/>
      <c r="O317" s="18"/>
      <c r="P317" s="25"/>
      <c r="Q317" s="25"/>
      <c r="R317" s="18"/>
      <c r="S317" s="18"/>
      <c r="T317" s="18"/>
      <c r="U317" s="18"/>
      <c r="V317" s="18"/>
      <c r="W317" s="18"/>
      <c r="X317" s="18"/>
      <c r="Y317" s="18"/>
      <c r="Z317" s="18"/>
      <c r="AA317" s="18"/>
      <c r="AB317" t="str">
        <f>IFERROR(__xludf.DUMMYFUNCTION("SUBSTITUTE(REGEXREPLACE(REGEXREPLACE(REGEXREPLACE(REGEXREPLACE(REGEXREPLACE(REGEXREPLACE(F317,"","",),IF(Projections!$T$11="""",""PG"",),),IF(Projections!$U$11="""",""SG"",),),IF(Projections!$V$11="""",""SF"",),),IF(Projections!$W$11="""",""PF"",),),IF(Pr"&amp;"ojections!$X$11="""",""C"",),),""/"","""")"),"")</f>
        <v/>
      </c>
    </row>
    <row r="318">
      <c r="G318" s="18"/>
      <c r="H318" s="18"/>
      <c r="I318" s="18"/>
      <c r="J318" s="18"/>
      <c r="K318" s="18"/>
      <c r="L318" s="18"/>
      <c r="M318" s="18"/>
      <c r="N318" s="18"/>
      <c r="O318" s="18"/>
      <c r="P318" s="25"/>
      <c r="Q318" s="25"/>
      <c r="R318" s="18"/>
      <c r="S318" s="18"/>
      <c r="T318" s="18"/>
      <c r="U318" s="18"/>
      <c r="V318" s="18"/>
      <c r="W318" s="18"/>
      <c r="X318" s="18"/>
      <c r="Y318" s="18"/>
      <c r="Z318" s="18"/>
      <c r="AA318" s="18"/>
      <c r="AB318" t="str">
        <f>IFERROR(__xludf.DUMMYFUNCTION("SUBSTITUTE(REGEXREPLACE(REGEXREPLACE(REGEXREPLACE(REGEXREPLACE(REGEXREPLACE(REGEXREPLACE(F318,"","",),IF(Projections!$T$11="""",""PG"",),),IF(Projections!$U$11="""",""SG"",),),IF(Projections!$V$11="""",""SF"",),),IF(Projections!$W$11="""",""PF"",),),IF(Pr"&amp;"ojections!$X$11="""",""C"",),),""/"","""")"),"")</f>
        <v/>
      </c>
    </row>
    <row r="319">
      <c r="G319" s="18"/>
      <c r="H319" s="18"/>
      <c r="I319" s="18"/>
      <c r="J319" s="18"/>
      <c r="K319" s="18"/>
      <c r="L319" s="18"/>
      <c r="M319" s="18"/>
      <c r="N319" s="18"/>
      <c r="O319" s="18"/>
      <c r="P319" s="25"/>
      <c r="Q319" s="25"/>
      <c r="R319" s="18"/>
      <c r="S319" s="18"/>
      <c r="T319" s="18"/>
      <c r="U319" s="18"/>
      <c r="V319" s="18"/>
      <c r="W319" s="18"/>
      <c r="X319" s="18"/>
      <c r="Y319" s="18"/>
      <c r="Z319" s="18"/>
      <c r="AA319" s="18"/>
      <c r="AB319" t="str">
        <f>IFERROR(__xludf.DUMMYFUNCTION("SUBSTITUTE(REGEXREPLACE(REGEXREPLACE(REGEXREPLACE(REGEXREPLACE(REGEXREPLACE(REGEXREPLACE(F319,"","",),IF(Projections!$T$11="""",""PG"",),),IF(Projections!$U$11="""",""SG"",),),IF(Projections!$V$11="""",""SF"",),),IF(Projections!$W$11="""",""PF"",),),IF(Pr"&amp;"ojections!$X$11="""",""C"",),),""/"","""")"),"")</f>
        <v/>
      </c>
    </row>
    <row r="320">
      <c r="G320" s="18"/>
      <c r="H320" s="18"/>
      <c r="I320" s="18"/>
      <c r="J320" s="18"/>
      <c r="K320" s="18"/>
      <c r="L320" s="18"/>
      <c r="M320" s="18"/>
      <c r="N320" s="18"/>
      <c r="O320" s="18"/>
      <c r="P320" s="25"/>
      <c r="Q320" s="25"/>
      <c r="R320" s="18"/>
      <c r="S320" s="18"/>
      <c r="T320" s="18"/>
      <c r="U320" s="18"/>
      <c r="V320" s="18"/>
      <c r="W320" s="18"/>
      <c r="X320" s="18"/>
      <c r="Y320" s="18"/>
      <c r="Z320" s="18"/>
      <c r="AA320" s="18"/>
      <c r="AB320" t="str">
        <f>IFERROR(__xludf.DUMMYFUNCTION("SUBSTITUTE(REGEXREPLACE(REGEXREPLACE(REGEXREPLACE(REGEXREPLACE(REGEXREPLACE(REGEXREPLACE(F320,"","",),IF(Projections!$T$11="""",""PG"",),),IF(Projections!$U$11="""",""SG"",),),IF(Projections!$V$11="""",""SF"",),),IF(Projections!$W$11="""",""PF"",),),IF(Pr"&amp;"ojections!$X$11="""",""C"",),),""/"","""")"),"")</f>
        <v/>
      </c>
    </row>
    <row r="321">
      <c r="G321" s="18"/>
      <c r="H321" s="18"/>
      <c r="I321" s="18"/>
      <c r="J321" s="18"/>
      <c r="K321" s="18"/>
      <c r="L321" s="18"/>
      <c r="M321" s="18"/>
      <c r="N321" s="18"/>
      <c r="O321" s="18"/>
      <c r="P321" s="25"/>
      <c r="Q321" s="25"/>
      <c r="R321" s="18"/>
      <c r="S321" s="18"/>
      <c r="T321" s="18"/>
      <c r="U321" s="18"/>
      <c r="V321" s="18"/>
      <c r="W321" s="18"/>
      <c r="X321" s="18"/>
      <c r="Y321" s="18"/>
      <c r="Z321" s="18"/>
      <c r="AA321" s="18"/>
      <c r="AB321" t="str">
        <f>IFERROR(__xludf.DUMMYFUNCTION("SUBSTITUTE(REGEXREPLACE(REGEXREPLACE(REGEXREPLACE(REGEXREPLACE(REGEXREPLACE(REGEXREPLACE(F321,"","",),IF(Projections!$T$11="""",""PG"",),),IF(Projections!$U$11="""",""SG"",),),IF(Projections!$V$11="""",""SF"",),),IF(Projections!$W$11="""",""PF"",),),IF(Pr"&amp;"ojections!$X$11="""",""C"",),),""/"","""")"),"")</f>
        <v/>
      </c>
    </row>
    <row r="322">
      <c r="G322" s="18"/>
      <c r="H322" s="18"/>
      <c r="I322" s="18"/>
      <c r="J322" s="18"/>
      <c r="K322" s="18"/>
      <c r="L322" s="18"/>
      <c r="M322" s="18"/>
      <c r="N322" s="18"/>
      <c r="O322" s="18"/>
      <c r="P322" s="25"/>
      <c r="Q322" s="25"/>
      <c r="R322" s="18"/>
      <c r="S322" s="18"/>
      <c r="T322" s="18"/>
      <c r="U322" s="18"/>
      <c r="V322" s="18"/>
      <c r="W322" s="18"/>
      <c r="X322" s="18"/>
      <c r="Y322" s="18"/>
      <c r="Z322" s="18"/>
      <c r="AA322" s="18"/>
      <c r="AB322" t="str">
        <f>IFERROR(__xludf.DUMMYFUNCTION("SUBSTITUTE(REGEXREPLACE(REGEXREPLACE(REGEXREPLACE(REGEXREPLACE(REGEXREPLACE(REGEXREPLACE(F322,"","",),IF(Projections!$T$11="""",""PG"",),),IF(Projections!$U$11="""",""SG"",),),IF(Projections!$V$11="""",""SF"",),),IF(Projections!$W$11="""",""PF"",),),IF(Pr"&amp;"ojections!$X$11="""",""C"",),),""/"","""")"),"")</f>
        <v/>
      </c>
    </row>
    <row r="323">
      <c r="G323" s="18"/>
      <c r="H323" s="18"/>
      <c r="I323" s="18"/>
      <c r="J323" s="18"/>
      <c r="K323" s="18"/>
      <c r="L323" s="18"/>
      <c r="M323" s="18"/>
      <c r="N323" s="18"/>
      <c r="O323" s="18"/>
      <c r="P323" s="25"/>
      <c r="Q323" s="25"/>
      <c r="R323" s="18"/>
      <c r="S323" s="18"/>
      <c r="T323" s="18"/>
      <c r="U323" s="18"/>
      <c r="V323" s="18"/>
      <c r="W323" s="18"/>
      <c r="X323" s="18"/>
      <c r="Y323" s="18"/>
      <c r="Z323" s="18"/>
      <c r="AA323" s="18"/>
      <c r="AB323" t="str">
        <f>IFERROR(__xludf.DUMMYFUNCTION("SUBSTITUTE(REGEXREPLACE(REGEXREPLACE(REGEXREPLACE(REGEXREPLACE(REGEXREPLACE(REGEXREPLACE(F323,"","",),IF(Projections!$T$11="""",""PG"",),),IF(Projections!$U$11="""",""SG"",),),IF(Projections!$V$11="""",""SF"",),),IF(Projections!$W$11="""",""PF"",),),IF(Pr"&amp;"ojections!$X$11="""",""C"",),),""/"","""")"),"")</f>
        <v/>
      </c>
    </row>
    <row r="324">
      <c r="G324" s="18"/>
      <c r="H324" s="18"/>
      <c r="I324" s="18"/>
      <c r="J324" s="18"/>
      <c r="K324" s="18"/>
      <c r="L324" s="18"/>
      <c r="M324" s="18"/>
      <c r="N324" s="18"/>
      <c r="O324" s="18"/>
      <c r="P324" s="25"/>
      <c r="Q324" s="25"/>
      <c r="R324" s="18"/>
      <c r="S324" s="18"/>
      <c r="T324" s="18"/>
      <c r="U324" s="18"/>
      <c r="V324" s="18"/>
      <c r="W324" s="18"/>
      <c r="X324" s="18"/>
      <c r="Y324" s="18"/>
      <c r="Z324" s="18"/>
      <c r="AA324" s="18"/>
      <c r="AB324" t="str">
        <f>IFERROR(__xludf.DUMMYFUNCTION("SUBSTITUTE(REGEXREPLACE(REGEXREPLACE(REGEXREPLACE(REGEXREPLACE(REGEXREPLACE(REGEXREPLACE(F324,"","",),IF(Projections!$T$11="""",""PG"",),),IF(Projections!$U$11="""",""SG"",),),IF(Projections!$V$11="""",""SF"",),),IF(Projections!$W$11="""",""PF"",),),IF(Pr"&amp;"ojections!$X$11="""",""C"",),),""/"","""")"),"")</f>
        <v/>
      </c>
    </row>
    <row r="325">
      <c r="G325" s="18"/>
      <c r="H325" s="18"/>
      <c r="I325" s="18"/>
      <c r="J325" s="18"/>
      <c r="K325" s="18"/>
      <c r="L325" s="18"/>
      <c r="M325" s="18"/>
      <c r="N325" s="18"/>
      <c r="O325" s="18"/>
      <c r="P325" s="25"/>
      <c r="Q325" s="25"/>
      <c r="R325" s="18"/>
      <c r="S325" s="18"/>
      <c r="T325" s="18"/>
      <c r="U325" s="18"/>
      <c r="V325" s="18"/>
      <c r="W325" s="18"/>
      <c r="X325" s="18"/>
      <c r="Y325" s="18"/>
      <c r="Z325" s="18"/>
      <c r="AA325" s="18"/>
      <c r="AB325" t="str">
        <f>IFERROR(__xludf.DUMMYFUNCTION("SUBSTITUTE(REGEXREPLACE(REGEXREPLACE(REGEXREPLACE(REGEXREPLACE(REGEXREPLACE(REGEXREPLACE(F325,"","",),IF(Projections!$T$11="""",""PG"",),),IF(Projections!$U$11="""",""SG"",),),IF(Projections!$V$11="""",""SF"",),),IF(Projections!$W$11="""",""PF"",),),IF(Pr"&amp;"ojections!$X$11="""",""C"",),),""/"","""")"),"")</f>
        <v/>
      </c>
    </row>
    <row r="326">
      <c r="G326" s="18"/>
      <c r="H326" s="18"/>
      <c r="I326" s="18"/>
      <c r="J326" s="18"/>
      <c r="K326" s="18"/>
      <c r="L326" s="18"/>
      <c r="M326" s="18"/>
      <c r="N326" s="18"/>
      <c r="O326" s="18"/>
      <c r="P326" s="25"/>
      <c r="Q326" s="25"/>
      <c r="R326" s="18"/>
      <c r="S326" s="18"/>
      <c r="T326" s="18"/>
      <c r="U326" s="18"/>
      <c r="V326" s="18"/>
      <c r="W326" s="18"/>
      <c r="X326" s="18"/>
      <c r="Y326" s="18"/>
      <c r="Z326" s="18"/>
      <c r="AA326" s="18"/>
      <c r="AB326" t="str">
        <f>IFERROR(__xludf.DUMMYFUNCTION("SUBSTITUTE(REGEXREPLACE(REGEXREPLACE(REGEXREPLACE(REGEXREPLACE(REGEXREPLACE(REGEXREPLACE(F326,"","",),IF(Projections!$T$11="""",""PG"",),),IF(Projections!$U$11="""",""SG"",),),IF(Projections!$V$11="""",""SF"",),),IF(Projections!$W$11="""",""PF"",),),IF(Pr"&amp;"ojections!$X$11="""",""C"",),),""/"","""")"),"")</f>
        <v/>
      </c>
    </row>
    <row r="327">
      <c r="G327" s="18"/>
      <c r="H327" s="18"/>
      <c r="I327" s="18"/>
      <c r="J327" s="18"/>
      <c r="K327" s="18"/>
      <c r="L327" s="18"/>
      <c r="M327" s="18"/>
      <c r="N327" s="18"/>
      <c r="O327" s="18"/>
      <c r="P327" s="25"/>
      <c r="Q327" s="25"/>
      <c r="R327" s="18"/>
      <c r="S327" s="18"/>
      <c r="T327" s="18"/>
      <c r="U327" s="18"/>
      <c r="V327" s="18"/>
      <c r="W327" s="18"/>
      <c r="X327" s="18"/>
      <c r="Y327" s="18"/>
      <c r="Z327" s="18"/>
      <c r="AA327" s="18"/>
      <c r="AB327" t="str">
        <f>IFERROR(__xludf.DUMMYFUNCTION("SUBSTITUTE(REGEXREPLACE(REGEXREPLACE(REGEXREPLACE(REGEXREPLACE(REGEXREPLACE(REGEXREPLACE(F327,"","",),IF(Projections!$T$11="""",""PG"",),),IF(Projections!$U$11="""",""SG"",),),IF(Projections!$V$11="""",""SF"",),),IF(Projections!$W$11="""",""PF"",),),IF(Pr"&amp;"ojections!$X$11="""",""C"",),),""/"","""")"),"")</f>
        <v/>
      </c>
    </row>
    <row r="328">
      <c r="G328" s="18"/>
      <c r="H328" s="18"/>
      <c r="I328" s="18"/>
      <c r="J328" s="18"/>
      <c r="K328" s="18"/>
      <c r="L328" s="18"/>
      <c r="M328" s="18"/>
      <c r="N328" s="18"/>
      <c r="O328" s="18"/>
      <c r="P328" s="25"/>
      <c r="Q328" s="25"/>
      <c r="R328" s="18"/>
      <c r="S328" s="18"/>
      <c r="T328" s="18"/>
      <c r="U328" s="18"/>
      <c r="V328" s="18"/>
      <c r="W328" s="18"/>
      <c r="X328" s="18"/>
      <c r="Y328" s="18"/>
      <c r="Z328" s="18"/>
      <c r="AA328" s="18"/>
      <c r="AB328" t="str">
        <f>IFERROR(__xludf.DUMMYFUNCTION("SUBSTITUTE(REGEXREPLACE(REGEXREPLACE(REGEXREPLACE(REGEXREPLACE(REGEXREPLACE(REGEXREPLACE(F328,"","",),IF(Projections!$T$11="""",""PG"",),),IF(Projections!$U$11="""",""SG"",),),IF(Projections!$V$11="""",""SF"",),),IF(Projections!$W$11="""",""PF"",),),IF(Pr"&amp;"ojections!$X$11="""",""C"",),),""/"","""")"),"")</f>
        <v/>
      </c>
    </row>
    <row r="329">
      <c r="G329" s="18"/>
      <c r="H329" s="18"/>
      <c r="I329" s="18"/>
      <c r="J329" s="18"/>
      <c r="K329" s="18"/>
      <c r="L329" s="18"/>
      <c r="M329" s="18"/>
      <c r="N329" s="18"/>
      <c r="O329" s="18"/>
      <c r="P329" s="25"/>
      <c r="Q329" s="25"/>
      <c r="R329" s="18"/>
      <c r="S329" s="18"/>
      <c r="T329" s="18"/>
      <c r="U329" s="18"/>
      <c r="V329" s="18"/>
      <c r="W329" s="18"/>
      <c r="X329" s="18"/>
      <c r="Y329" s="18"/>
      <c r="Z329" s="18"/>
      <c r="AA329" s="18"/>
      <c r="AB329" t="str">
        <f>IFERROR(__xludf.DUMMYFUNCTION("SUBSTITUTE(REGEXREPLACE(REGEXREPLACE(REGEXREPLACE(REGEXREPLACE(REGEXREPLACE(REGEXREPLACE(F329,"","",),IF(Projections!$T$11="""",""PG"",),),IF(Projections!$U$11="""",""SG"",),),IF(Projections!$V$11="""",""SF"",),),IF(Projections!$W$11="""",""PF"",),),IF(Pr"&amp;"ojections!$X$11="""",""C"",),),""/"","""")"),"")</f>
        <v/>
      </c>
    </row>
    <row r="330">
      <c r="G330" s="18"/>
      <c r="H330" s="18"/>
      <c r="I330" s="18"/>
      <c r="J330" s="18"/>
      <c r="K330" s="18"/>
      <c r="L330" s="18"/>
      <c r="M330" s="18"/>
      <c r="N330" s="18"/>
      <c r="O330" s="18"/>
      <c r="P330" s="25"/>
      <c r="Q330" s="25"/>
      <c r="R330" s="18"/>
      <c r="S330" s="18"/>
      <c r="T330" s="18"/>
      <c r="U330" s="18"/>
      <c r="V330" s="18"/>
      <c r="W330" s="18"/>
      <c r="X330" s="18"/>
      <c r="Y330" s="18"/>
      <c r="Z330" s="18"/>
      <c r="AA330" s="18"/>
      <c r="AB330" t="str">
        <f>IFERROR(__xludf.DUMMYFUNCTION("SUBSTITUTE(REGEXREPLACE(REGEXREPLACE(REGEXREPLACE(REGEXREPLACE(REGEXREPLACE(REGEXREPLACE(F330,"","",),IF(Projections!$T$11="""",""PG"",),),IF(Projections!$U$11="""",""SG"",),),IF(Projections!$V$11="""",""SF"",),),IF(Projections!$W$11="""",""PF"",),),IF(Pr"&amp;"ojections!$X$11="""",""C"",),),""/"","""")"),"")</f>
        <v/>
      </c>
    </row>
    <row r="331">
      <c r="G331" s="18"/>
      <c r="H331" s="18"/>
      <c r="I331" s="18"/>
      <c r="J331" s="18"/>
      <c r="K331" s="18"/>
      <c r="L331" s="18"/>
      <c r="M331" s="18"/>
      <c r="N331" s="18"/>
      <c r="O331" s="18"/>
      <c r="P331" s="25"/>
      <c r="Q331" s="25"/>
      <c r="R331" s="18"/>
      <c r="S331" s="18"/>
      <c r="T331" s="18"/>
      <c r="U331" s="18"/>
      <c r="V331" s="18"/>
      <c r="W331" s="18"/>
      <c r="X331" s="18"/>
      <c r="Y331" s="18"/>
      <c r="Z331" s="18"/>
      <c r="AA331" s="18"/>
      <c r="AB331" t="str">
        <f>IFERROR(__xludf.DUMMYFUNCTION("SUBSTITUTE(REGEXREPLACE(REGEXREPLACE(REGEXREPLACE(REGEXREPLACE(REGEXREPLACE(REGEXREPLACE(F331,"","",),IF(Projections!$T$11="""",""PG"",),),IF(Projections!$U$11="""",""SG"",),),IF(Projections!$V$11="""",""SF"",),),IF(Projections!$W$11="""",""PF"",),),IF(Pr"&amp;"ojections!$X$11="""",""C"",),),""/"","""")"),"")</f>
        <v/>
      </c>
    </row>
    <row r="332">
      <c r="G332" s="18"/>
      <c r="H332" s="18"/>
      <c r="I332" s="18"/>
      <c r="J332" s="18"/>
      <c r="K332" s="18"/>
      <c r="L332" s="18"/>
      <c r="M332" s="18"/>
      <c r="N332" s="18"/>
      <c r="O332" s="18"/>
      <c r="P332" s="25"/>
      <c r="Q332" s="25"/>
      <c r="R332" s="18"/>
      <c r="S332" s="18"/>
      <c r="T332" s="18"/>
      <c r="U332" s="18"/>
      <c r="V332" s="18"/>
      <c r="W332" s="18"/>
      <c r="X332" s="18"/>
      <c r="Y332" s="18"/>
      <c r="Z332" s="18"/>
      <c r="AA332" s="18"/>
      <c r="AB332" t="str">
        <f>IFERROR(__xludf.DUMMYFUNCTION("SUBSTITUTE(REGEXREPLACE(REGEXREPLACE(REGEXREPLACE(REGEXREPLACE(REGEXREPLACE(REGEXREPLACE(F332,"","",),IF(Projections!$T$11="""",""PG"",),),IF(Projections!$U$11="""",""SG"",),),IF(Projections!$V$11="""",""SF"",),),IF(Projections!$W$11="""",""PF"",),),IF(Pr"&amp;"ojections!$X$11="""",""C"",),),""/"","""")"),"")</f>
        <v/>
      </c>
    </row>
    <row r="333">
      <c r="G333" s="18"/>
      <c r="H333" s="18"/>
      <c r="I333" s="18"/>
      <c r="J333" s="18"/>
      <c r="K333" s="18"/>
      <c r="L333" s="18"/>
      <c r="M333" s="18"/>
      <c r="N333" s="18"/>
      <c r="O333" s="18"/>
      <c r="P333" s="25"/>
      <c r="Q333" s="25"/>
      <c r="R333" s="18"/>
      <c r="S333" s="18"/>
      <c r="T333" s="18"/>
      <c r="U333" s="18"/>
      <c r="V333" s="18"/>
      <c r="W333" s="18"/>
      <c r="X333" s="18"/>
      <c r="Y333" s="18"/>
      <c r="Z333" s="18"/>
      <c r="AA333" s="18"/>
      <c r="AB333" t="str">
        <f>IFERROR(__xludf.DUMMYFUNCTION("SUBSTITUTE(REGEXREPLACE(REGEXREPLACE(REGEXREPLACE(REGEXREPLACE(REGEXREPLACE(REGEXREPLACE(F333,"","",),IF(Projections!$T$11="""",""PG"",),),IF(Projections!$U$11="""",""SG"",),),IF(Projections!$V$11="""",""SF"",),),IF(Projections!$W$11="""",""PF"",),),IF(Pr"&amp;"ojections!$X$11="""",""C"",),),""/"","""")"),"")</f>
        <v/>
      </c>
    </row>
    <row r="334">
      <c r="G334" s="18"/>
      <c r="H334" s="18"/>
      <c r="I334" s="18"/>
      <c r="J334" s="18"/>
      <c r="K334" s="18"/>
      <c r="L334" s="18"/>
      <c r="M334" s="18"/>
      <c r="N334" s="18"/>
      <c r="O334" s="18"/>
      <c r="P334" s="25"/>
      <c r="Q334" s="25"/>
      <c r="R334" s="18"/>
      <c r="S334" s="18"/>
      <c r="T334" s="18"/>
      <c r="U334" s="18"/>
      <c r="V334" s="18"/>
      <c r="W334" s="18"/>
      <c r="X334" s="18"/>
      <c r="Y334" s="18"/>
      <c r="Z334" s="18"/>
      <c r="AA334" s="18"/>
      <c r="AB334" t="str">
        <f>IFERROR(__xludf.DUMMYFUNCTION("SUBSTITUTE(REGEXREPLACE(REGEXREPLACE(REGEXREPLACE(REGEXREPLACE(REGEXREPLACE(REGEXREPLACE(F334,"","",),IF(Projections!$T$11="""",""PG"",),),IF(Projections!$U$11="""",""SG"",),),IF(Projections!$V$11="""",""SF"",),),IF(Projections!$W$11="""",""PF"",),),IF(Pr"&amp;"ojections!$X$11="""",""C"",),),""/"","""")"),"")</f>
        <v/>
      </c>
    </row>
    <row r="335">
      <c r="G335" s="18"/>
      <c r="H335" s="18"/>
      <c r="I335" s="18"/>
      <c r="J335" s="18"/>
      <c r="K335" s="18"/>
      <c r="L335" s="18"/>
      <c r="M335" s="18"/>
      <c r="N335" s="18"/>
      <c r="O335" s="18"/>
      <c r="P335" s="25"/>
      <c r="Q335" s="25"/>
      <c r="R335" s="18"/>
      <c r="S335" s="18"/>
      <c r="T335" s="18"/>
      <c r="U335" s="18"/>
      <c r="V335" s="18"/>
      <c r="W335" s="18"/>
      <c r="X335" s="18"/>
      <c r="Y335" s="18"/>
      <c r="Z335" s="18"/>
      <c r="AA335" s="18"/>
      <c r="AB335" t="str">
        <f>IFERROR(__xludf.DUMMYFUNCTION("SUBSTITUTE(REGEXREPLACE(REGEXREPLACE(REGEXREPLACE(REGEXREPLACE(REGEXREPLACE(REGEXREPLACE(F335,"","",),IF(Projections!$T$11="""",""PG"",),),IF(Projections!$U$11="""",""SG"",),),IF(Projections!$V$11="""",""SF"",),),IF(Projections!$W$11="""",""PF"",),),IF(Pr"&amp;"ojections!$X$11="""",""C"",),),""/"","""")"),"")</f>
        <v/>
      </c>
    </row>
    <row r="336">
      <c r="G336" s="18"/>
      <c r="H336" s="18"/>
      <c r="I336" s="18"/>
      <c r="J336" s="18"/>
      <c r="K336" s="18"/>
      <c r="L336" s="18"/>
      <c r="M336" s="18"/>
      <c r="N336" s="18"/>
      <c r="O336" s="18"/>
      <c r="P336" s="25"/>
      <c r="Q336" s="25"/>
      <c r="R336" s="18"/>
      <c r="S336" s="18"/>
      <c r="T336" s="18"/>
      <c r="U336" s="18"/>
      <c r="V336" s="18"/>
      <c r="W336" s="18"/>
      <c r="X336" s="18"/>
      <c r="Y336" s="18"/>
      <c r="Z336" s="18"/>
      <c r="AA336" s="18"/>
      <c r="AB336" t="str">
        <f>IFERROR(__xludf.DUMMYFUNCTION("SUBSTITUTE(REGEXREPLACE(REGEXREPLACE(REGEXREPLACE(REGEXREPLACE(REGEXREPLACE(REGEXREPLACE(F336,"","",),IF(Projections!$T$11="""",""PG"",),),IF(Projections!$U$11="""",""SG"",),),IF(Projections!$V$11="""",""SF"",),),IF(Projections!$W$11="""",""PF"",),),IF(Pr"&amp;"ojections!$X$11="""",""C"",),),""/"","""")"),"")</f>
        <v/>
      </c>
    </row>
    <row r="337">
      <c r="G337" s="18"/>
      <c r="H337" s="18"/>
      <c r="I337" s="18"/>
      <c r="J337" s="18"/>
      <c r="K337" s="18"/>
      <c r="L337" s="18"/>
      <c r="M337" s="18"/>
      <c r="N337" s="18"/>
      <c r="O337" s="18"/>
      <c r="P337" s="25"/>
      <c r="Q337" s="25"/>
      <c r="R337" s="18"/>
      <c r="S337" s="18"/>
      <c r="T337" s="18"/>
      <c r="U337" s="18"/>
      <c r="V337" s="18"/>
      <c r="W337" s="18"/>
      <c r="X337" s="18"/>
      <c r="Y337" s="18"/>
      <c r="Z337" s="18"/>
      <c r="AA337" s="18"/>
      <c r="AB337" t="str">
        <f>IFERROR(__xludf.DUMMYFUNCTION("SUBSTITUTE(REGEXREPLACE(REGEXREPLACE(REGEXREPLACE(REGEXREPLACE(REGEXREPLACE(REGEXREPLACE(F337,"","",),IF(Projections!$T$11="""",""PG"",),),IF(Projections!$U$11="""",""SG"",),),IF(Projections!$V$11="""",""SF"",),),IF(Projections!$W$11="""",""PF"",),),IF(Pr"&amp;"ojections!$X$11="""",""C"",),),""/"","""")"),"")</f>
        <v/>
      </c>
    </row>
    <row r="338">
      <c r="G338" s="18"/>
      <c r="H338" s="18"/>
      <c r="I338" s="18"/>
      <c r="J338" s="18"/>
      <c r="K338" s="18"/>
      <c r="L338" s="18"/>
      <c r="M338" s="18"/>
      <c r="N338" s="18"/>
      <c r="O338" s="18"/>
      <c r="P338" s="25"/>
      <c r="Q338" s="25"/>
      <c r="R338" s="18"/>
      <c r="S338" s="18"/>
      <c r="T338" s="18"/>
      <c r="U338" s="18"/>
      <c r="V338" s="18"/>
      <c r="W338" s="18"/>
      <c r="X338" s="18"/>
      <c r="Y338" s="18"/>
      <c r="Z338" s="18"/>
      <c r="AA338" s="18"/>
      <c r="AB338" t="str">
        <f>IFERROR(__xludf.DUMMYFUNCTION("SUBSTITUTE(REGEXREPLACE(REGEXREPLACE(REGEXREPLACE(REGEXREPLACE(REGEXREPLACE(REGEXREPLACE(F338,"","",),IF(Projections!$T$11="""",""PG"",),),IF(Projections!$U$11="""",""SG"",),),IF(Projections!$V$11="""",""SF"",),),IF(Projections!$W$11="""",""PF"",),),IF(Pr"&amp;"ojections!$X$11="""",""C"",),),""/"","""")"),"")</f>
        <v/>
      </c>
    </row>
    <row r="339">
      <c r="G339" s="18"/>
      <c r="H339" s="18"/>
      <c r="I339" s="18"/>
      <c r="J339" s="18"/>
      <c r="K339" s="18"/>
      <c r="L339" s="18"/>
      <c r="M339" s="18"/>
      <c r="N339" s="18"/>
      <c r="O339" s="18"/>
      <c r="P339" s="25"/>
      <c r="Q339" s="25"/>
      <c r="R339" s="18"/>
      <c r="S339" s="18"/>
      <c r="T339" s="18"/>
      <c r="U339" s="18"/>
      <c r="V339" s="18"/>
      <c r="W339" s="18"/>
      <c r="X339" s="18"/>
      <c r="Y339" s="18"/>
      <c r="Z339" s="18"/>
      <c r="AA339" s="18"/>
      <c r="AB339" t="str">
        <f>IFERROR(__xludf.DUMMYFUNCTION("SUBSTITUTE(REGEXREPLACE(REGEXREPLACE(REGEXREPLACE(REGEXREPLACE(REGEXREPLACE(REGEXREPLACE(F339,"","",),IF(Projections!$T$11="""",""PG"",),),IF(Projections!$U$11="""",""SG"",),),IF(Projections!$V$11="""",""SF"",),),IF(Projections!$W$11="""",""PF"",),),IF(Pr"&amp;"ojections!$X$11="""",""C"",),),""/"","""")"),"")</f>
        <v/>
      </c>
    </row>
    <row r="340">
      <c r="G340" s="18"/>
      <c r="H340" s="18"/>
      <c r="I340" s="18"/>
      <c r="J340" s="18"/>
      <c r="K340" s="18"/>
      <c r="L340" s="18"/>
      <c r="M340" s="18"/>
      <c r="N340" s="18"/>
      <c r="O340" s="18"/>
      <c r="P340" s="25"/>
      <c r="Q340" s="25"/>
      <c r="R340" s="18"/>
      <c r="S340" s="18"/>
      <c r="T340" s="18"/>
      <c r="U340" s="18"/>
      <c r="V340" s="18"/>
      <c r="W340" s="18"/>
      <c r="X340" s="18"/>
      <c r="Y340" s="18"/>
      <c r="Z340" s="18"/>
      <c r="AA340" s="18"/>
      <c r="AB340" t="str">
        <f>IFERROR(__xludf.DUMMYFUNCTION("SUBSTITUTE(REGEXREPLACE(REGEXREPLACE(REGEXREPLACE(REGEXREPLACE(REGEXREPLACE(REGEXREPLACE(F340,"","",),IF(Projections!$T$11="""",""PG"",),),IF(Projections!$U$11="""",""SG"",),),IF(Projections!$V$11="""",""SF"",),),IF(Projections!$W$11="""",""PF"",),),IF(Pr"&amp;"ojections!$X$11="""",""C"",),),""/"","""")"),"")</f>
        <v/>
      </c>
    </row>
    <row r="341">
      <c r="G341" s="18"/>
      <c r="H341" s="18"/>
      <c r="I341" s="18"/>
      <c r="J341" s="18"/>
      <c r="K341" s="18"/>
      <c r="L341" s="18"/>
      <c r="M341" s="18"/>
      <c r="N341" s="18"/>
      <c r="O341" s="18"/>
      <c r="P341" s="25"/>
      <c r="Q341" s="25"/>
      <c r="R341" s="18"/>
      <c r="S341" s="18"/>
      <c r="T341" s="18"/>
      <c r="U341" s="18"/>
      <c r="V341" s="18"/>
      <c r="W341" s="18"/>
      <c r="X341" s="18"/>
      <c r="Y341" s="18"/>
      <c r="Z341" s="18"/>
      <c r="AA341" s="18"/>
      <c r="AB341" t="str">
        <f>IFERROR(__xludf.DUMMYFUNCTION("SUBSTITUTE(REGEXREPLACE(REGEXREPLACE(REGEXREPLACE(REGEXREPLACE(REGEXREPLACE(REGEXREPLACE(F341,"","",),IF(Projections!$T$11="""",""PG"",),),IF(Projections!$U$11="""",""SG"",),),IF(Projections!$V$11="""",""SF"",),),IF(Projections!$W$11="""",""PF"",),),IF(Pr"&amp;"ojections!$X$11="""",""C"",),),""/"","""")"),"")</f>
        <v/>
      </c>
    </row>
    <row r="342">
      <c r="G342" s="18"/>
      <c r="H342" s="18"/>
      <c r="I342" s="18"/>
      <c r="J342" s="18"/>
      <c r="K342" s="18"/>
      <c r="L342" s="18"/>
      <c r="M342" s="18"/>
      <c r="N342" s="18"/>
      <c r="O342" s="18"/>
      <c r="P342" s="25"/>
      <c r="Q342" s="25"/>
      <c r="R342" s="18"/>
      <c r="S342" s="18"/>
      <c r="T342" s="18"/>
      <c r="U342" s="18"/>
      <c r="V342" s="18"/>
      <c r="W342" s="18"/>
      <c r="X342" s="18"/>
      <c r="Y342" s="18"/>
      <c r="Z342" s="18"/>
      <c r="AA342" s="18"/>
      <c r="AB342" t="str">
        <f>IFERROR(__xludf.DUMMYFUNCTION("SUBSTITUTE(REGEXREPLACE(REGEXREPLACE(REGEXREPLACE(REGEXREPLACE(REGEXREPLACE(REGEXREPLACE(F342,"","",),IF(Projections!$T$11="""",""PG"",),),IF(Projections!$U$11="""",""SG"",),),IF(Projections!$V$11="""",""SF"",),),IF(Projections!$W$11="""",""PF"",),),IF(Pr"&amp;"ojections!$X$11="""",""C"",),),""/"","""")"),"")</f>
        <v/>
      </c>
    </row>
    <row r="343">
      <c r="G343" s="18"/>
      <c r="H343" s="18"/>
      <c r="I343" s="18"/>
      <c r="J343" s="18"/>
      <c r="K343" s="18"/>
      <c r="L343" s="18"/>
      <c r="M343" s="18"/>
      <c r="N343" s="18"/>
      <c r="O343" s="18"/>
      <c r="P343" s="25"/>
      <c r="Q343" s="25"/>
      <c r="R343" s="18"/>
      <c r="S343" s="18"/>
      <c r="T343" s="18"/>
      <c r="U343" s="18"/>
      <c r="V343" s="18"/>
      <c r="W343" s="18"/>
      <c r="X343" s="18"/>
      <c r="Y343" s="18"/>
      <c r="Z343" s="18"/>
      <c r="AA343" s="18"/>
      <c r="AB343" t="str">
        <f>IFERROR(__xludf.DUMMYFUNCTION("SUBSTITUTE(REGEXREPLACE(REGEXREPLACE(REGEXREPLACE(REGEXREPLACE(REGEXREPLACE(REGEXREPLACE(F343,"","",),IF(Projections!$T$11="""",""PG"",),),IF(Projections!$U$11="""",""SG"",),),IF(Projections!$V$11="""",""SF"",),),IF(Projections!$W$11="""",""PF"",),),IF(Pr"&amp;"ojections!$X$11="""",""C"",),),""/"","""")"),"")</f>
        <v/>
      </c>
    </row>
    <row r="344">
      <c r="G344" s="18"/>
      <c r="H344" s="18"/>
      <c r="I344" s="18"/>
      <c r="J344" s="18"/>
      <c r="K344" s="18"/>
      <c r="L344" s="18"/>
      <c r="M344" s="18"/>
      <c r="N344" s="18"/>
      <c r="O344" s="18"/>
      <c r="P344" s="25"/>
      <c r="Q344" s="25"/>
      <c r="R344" s="18"/>
      <c r="S344" s="18"/>
      <c r="T344" s="18"/>
      <c r="U344" s="18"/>
      <c r="V344" s="18"/>
      <c r="W344" s="18"/>
      <c r="X344" s="18"/>
      <c r="Y344" s="18"/>
      <c r="Z344" s="18"/>
      <c r="AA344" s="18"/>
      <c r="AB344" t="str">
        <f>IFERROR(__xludf.DUMMYFUNCTION("SUBSTITUTE(REGEXREPLACE(REGEXREPLACE(REGEXREPLACE(REGEXREPLACE(REGEXREPLACE(REGEXREPLACE(F344,"","",),IF(Projections!$T$11="""",""PG"",),),IF(Projections!$U$11="""",""SG"",),),IF(Projections!$V$11="""",""SF"",),),IF(Projections!$W$11="""",""PF"",),),IF(Pr"&amp;"ojections!$X$11="""",""C"",),),""/"","""")"),"")</f>
        <v/>
      </c>
    </row>
    <row r="345">
      <c r="G345" s="18"/>
      <c r="H345" s="18"/>
      <c r="I345" s="18"/>
      <c r="J345" s="18"/>
      <c r="K345" s="18"/>
      <c r="L345" s="18"/>
      <c r="M345" s="18"/>
      <c r="N345" s="18"/>
      <c r="O345" s="18"/>
      <c r="P345" s="25"/>
      <c r="Q345" s="25"/>
      <c r="R345" s="18"/>
      <c r="S345" s="18"/>
      <c r="T345" s="18"/>
      <c r="U345" s="18"/>
      <c r="V345" s="18"/>
      <c r="W345" s="18"/>
      <c r="X345" s="18"/>
      <c r="Y345" s="18"/>
      <c r="Z345" s="18"/>
      <c r="AA345" s="18"/>
      <c r="AB345" t="str">
        <f>IFERROR(__xludf.DUMMYFUNCTION("SUBSTITUTE(REGEXREPLACE(REGEXREPLACE(REGEXREPLACE(REGEXREPLACE(REGEXREPLACE(REGEXREPLACE(F345,"","",),IF(Projections!$T$11="""",""PG"",),),IF(Projections!$U$11="""",""SG"",),),IF(Projections!$V$11="""",""SF"",),),IF(Projections!$W$11="""",""PF"",),),IF(Pr"&amp;"ojections!$X$11="""",""C"",),),""/"","""")"),"")</f>
        <v/>
      </c>
    </row>
    <row r="346">
      <c r="G346" s="18"/>
      <c r="H346" s="18"/>
      <c r="I346" s="18"/>
      <c r="J346" s="18"/>
      <c r="K346" s="18"/>
      <c r="L346" s="18"/>
      <c r="M346" s="18"/>
      <c r="N346" s="18"/>
      <c r="O346" s="18"/>
      <c r="P346" s="25"/>
      <c r="Q346" s="25"/>
      <c r="R346" s="18"/>
      <c r="S346" s="18"/>
      <c r="T346" s="18"/>
      <c r="U346" s="18"/>
      <c r="V346" s="18"/>
      <c r="W346" s="18"/>
      <c r="X346" s="18"/>
      <c r="Y346" s="18"/>
      <c r="Z346" s="18"/>
      <c r="AA346" s="18"/>
      <c r="AB346" t="str">
        <f>IFERROR(__xludf.DUMMYFUNCTION("SUBSTITUTE(REGEXREPLACE(REGEXREPLACE(REGEXREPLACE(REGEXREPLACE(REGEXREPLACE(REGEXREPLACE(F346,"","",),IF(Projections!$T$11="""",""PG"",),),IF(Projections!$U$11="""",""SG"",),),IF(Projections!$V$11="""",""SF"",),),IF(Projections!$W$11="""",""PF"",),),IF(Pr"&amp;"ojections!$X$11="""",""C"",),),""/"","""")"),"")</f>
        <v/>
      </c>
    </row>
    <row r="347">
      <c r="G347" s="18"/>
      <c r="H347" s="18"/>
      <c r="I347" s="18"/>
      <c r="J347" s="18"/>
      <c r="K347" s="18"/>
      <c r="L347" s="18"/>
      <c r="M347" s="18"/>
      <c r="N347" s="18"/>
      <c r="O347" s="18"/>
      <c r="P347" s="25"/>
      <c r="Q347" s="25"/>
      <c r="R347" s="18"/>
      <c r="S347" s="18"/>
      <c r="T347" s="18"/>
      <c r="U347" s="18"/>
      <c r="V347" s="18"/>
      <c r="W347" s="18"/>
      <c r="X347" s="18"/>
      <c r="Y347" s="18"/>
      <c r="Z347" s="18"/>
      <c r="AA347" s="18"/>
      <c r="AB347" t="str">
        <f>IFERROR(__xludf.DUMMYFUNCTION("SUBSTITUTE(REGEXREPLACE(REGEXREPLACE(REGEXREPLACE(REGEXREPLACE(REGEXREPLACE(REGEXREPLACE(F347,"","",),IF(Projections!$T$11="""",""PG"",),),IF(Projections!$U$11="""",""SG"",),),IF(Projections!$V$11="""",""SF"",),),IF(Projections!$W$11="""",""PF"",),),IF(Pr"&amp;"ojections!$X$11="""",""C"",),),""/"","""")"),"")</f>
        <v/>
      </c>
    </row>
    <row r="348">
      <c r="G348" s="18"/>
      <c r="H348" s="18"/>
      <c r="I348" s="18"/>
      <c r="J348" s="18"/>
      <c r="K348" s="18"/>
      <c r="L348" s="18"/>
      <c r="M348" s="18"/>
      <c r="N348" s="18"/>
      <c r="O348" s="18"/>
      <c r="P348" s="25"/>
      <c r="Q348" s="25"/>
      <c r="R348" s="18"/>
      <c r="S348" s="18"/>
      <c r="T348" s="18"/>
      <c r="U348" s="18"/>
      <c r="V348" s="18"/>
      <c r="W348" s="18"/>
      <c r="X348" s="18"/>
      <c r="Y348" s="18"/>
      <c r="Z348" s="18"/>
      <c r="AA348" s="18"/>
      <c r="AB348" t="str">
        <f>IFERROR(__xludf.DUMMYFUNCTION("SUBSTITUTE(REGEXREPLACE(REGEXREPLACE(REGEXREPLACE(REGEXREPLACE(REGEXREPLACE(REGEXREPLACE(F348,"","",),IF(Projections!$T$11="""",""PG"",),),IF(Projections!$U$11="""",""SG"",),),IF(Projections!$V$11="""",""SF"",),),IF(Projections!$W$11="""",""PF"",),),IF(Pr"&amp;"ojections!$X$11="""",""C"",),),""/"","""")"),"")</f>
        <v/>
      </c>
    </row>
    <row r="349">
      <c r="G349" s="18"/>
      <c r="H349" s="18"/>
      <c r="I349" s="18"/>
      <c r="J349" s="18"/>
      <c r="K349" s="18"/>
      <c r="L349" s="18"/>
      <c r="M349" s="18"/>
      <c r="N349" s="18"/>
      <c r="O349" s="18"/>
      <c r="P349" s="25"/>
      <c r="Q349" s="25"/>
      <c r="R349" s="18"/>
      <c r="S349" s="18"/>
      <c r="T349" s="18"/>
      <c r="U349" s="18"/>
      <c r="V349" s="18"/>
      <c r="W349" s="18"/>
      <c r="X349" s="18"/>
      <c r="Y349" s="18"/>
      <c r="Z349" s="18"/>
      <c r="AA349" s="18"/>
      <c r="AB349" t="str">
        <f>IFERROR(__xludf.DUMMYFUNCTION("SUBSTITUTE(REGEXREPLACE(REGEXREPLACE(REGEXREPLACE(REGEXREPLACE(REGEXREPLACE(REGEXREPLACE(F349,"","",),IF(Projections!$T$11="""",""PG"",),),IF(Projections!$U$11="""",""SG"",),),IF(Projections!$V$11="""",""SF"",),),IF(Projections!$W$11="""",""PF"",),),IF(Pr"&amp;"ojections!$X$11="""",""C"",),),""/"","""")"),"")</f>
        <v/>
      </c>
    </row>
    <row r="350">
      <c r="G350" s="18"/>
      <c r="H350" s="18"/>
      <c r="I350" s="18"/>
      <c r="J350" s="18"/>
      <c r="K350" s="18"/>
      <c r="L350" s="18"/>
      <c r="M350" s="18"/>
      <c r="N350" s="18"/>
      <c r="O350" s="18"/>
      <c r="P350" s="25"/>
      <c r="Q350" s="25"/>
      <c r="R350" s="18"/>
      <c r="S350" s="18"/>
      <c r="T350" s="18"/>
      <c r="U350" s="18"/>
      <c r="V350" s="18"/>
      <c r="W350" s="18"/>
      <c r="X350" s="18"/>
      <c r="Y350" s="18"/>
      <c r="Z350" s="18"/>
      <c r="AA350" s="18"/>
      <c r="AB350" t="str">
        <f>IFERROR(__xludf.DUMMYFUNCTION("SUBSTITUTE(REGEXREPLACE(REGEXREPLACE(REGEXREPLACE(REGEXREPLACE(REGEXREPLACE(REGEXREPLACE(F350,"","",),IF(Projections!$T$11="""",""PG"",),),IF(Projections!$U$11="""",""SG"",),),IF(Projections!$V$11="""",""SF"",),),IF(Projections!$W$11="""",""PF"",),),IF(Pr"&amp;"ojections!$X$11="""",""C"",),),""/"","""")"),"")</f>
        <v/>
      </c>
    </row>
    <row r="351">
      <c r="G351" s="18"/>
      <c r="H351" s="18"/>
      <c r="I351" s="18"/>
      <c r="J351" s="18"/>
      <c r="K351" s="18"/>
      <c r="L351" s="18"/>
      <c r="M351" s="18"/>
      <c r="N351" s="18"/>
      <c r="O351" s="18"/>
      <c r="P351" s="25"/>
      <c r="Q351" s="25"/>
      <c r="R351" s="18"/>
      <c r="S351" s="18"/>
      <c r="T351" s="18"/>
      <c r="U351" s="18"/>
      <c r="V351" s="18"/>
      <c r="W351" s="18"/>
      <c r="X351" s="18"/>
      <c r="Y351" s="18"/>
      <c r="Z351" s="18"/>
      <c r="AA351" s="18"/>
      <c r="AB351" t="str">
        <f>IFERROR(__xludf.DUMMYFUNCTION("SUBSTITUTE(REGEXREPLACE(REGEXREPLACE(REGEXREPLACE(REGEXREPLACE(REGEXREPLACE(REGEXREPLACE(F351,"","",),IF(Projections!$T$11="""",""PG"",),),IF(Projections!$U$11="""",""SG"",),),IF(Projections!$V$11="""",""SF"",),),IF(Projections!$W$11="""",""PF"",),),IF(Pr"&amp;"ojections!$X$11="""",""C"",),),""/"","""")"),"")</f>
        <v/>
      </c>
    </row>
    <row r="352">
      <c r="G352" s="18"/>
      <c r="H352" s="18"/>
      <c r="I352" s="18"/>
      <c r="J352" s="18"/>
      <c r="K352" s="18"/>
      <c r="L352" s="18"/>
      <c r="M352" s="18"/>
      <c r="N352" s="18"/>
      <c r="O352" s="18"/>
      <c r="P352" s="25"/>
      <c r="Q352" s="25"/>
      <c r="R352" s="18"/>
      <c r="S352" s="18"/>
      <c r="T352" s="18"/>
      <c r="U352" s="18"/>
      <c r="V352" s="18"/>
      <c r="W352" s="18"/>
      <c r="X352" s="18"/>
      <c r="Y352" s="18"/>
      <c r="Z352" s="18"/>
      <c r="AA352" s="18"/>
      <c r="AB352" t="str">
        <f>IFERROR(__xludf.DUMMYFUNCTION("SUBSTITUTE(REGEXREPLACE(REGEXREPLACE(REGEXREPLACE(REGEXREPLACE(REGEXREPLACE(REGEXREPLACE(F352,"","",),IF(Projections!$T$11="""",""PG"",),),IF(Projections!$U$11="""",""SG"",),),IF(Projections!$V$11="""",""SF"",),),IF(Projections!$W$11="""",""PF"",),),IF(Pr"&amp;"ojections!$X$11="""",""C"",),),""/"","""")"),"")</f>
        <v/>
      </c>
    </row>
    <row r="353">
      <c r="G353" s="18"/>
      <c r="H353" s="18"/>
      <c r="I353" s="18"/>
      <c r="J353" s="18"/>
      <c r="K353" s="18"/>
      <c r="L353" s="18"/>
      <c r="M353" s="18"/>
      <c r="N353" s="18"/>
      <c r="O353" s="18"/>
      <c r="P353" s="25"/>
      <c r="Q353" s="25"/>
      <c r="R353" s="18"/>
      <c r="S353" s="18"/>
      <c r="T353" s="18"/>
      <c r="U353" s="18"/>
      <c r="V353" s="18"/>
      <c r="W353" s="18"/>
      <c r="X353" s="18"/>
      <c r="Y353" s="18"/>
      <c r="Z353" s="18"/>
      <c r="AA353" s="18"/>
      <c r="AB353" t="str">
        <f>IFERROR(__xludf.DUMMYFUNCTION("SUBSTITUTE(REGEXREPLACE(REGEXREPLACE(REGEXREPLACE(REGEXREPLACE(REGEXREPLACE(REGEXREPLACE(F353,"","",),IF(Projections!$T$11="""",""PG"",),),IF(Projections!$U$11="""",""SG"",),),IF(Projections!$V$11="""",""SF"",),),IF(Projections!$W$11="""",""PF"",),),IF(Pr"&amp;"ojections!$X$11="""",""C"",),),""/"","""")"),"")</f>
        <v/>
      </c>
    </row>
    <row r="354">
      <c r="G354" s="18"/>
      <c r="H354" s="18"/>
      <c r="I354" s="18"/>
      <c r="J354" s="18"/>
      <c r="K354" s="18"/>
      <c r="L354" s="18"/>
      <c r="M354" s="18"/>
      <c r="N354" s="18"/>
      <c r="O354" s="18"/>
      <c r="P354" s="25"/>
      <c r="Q354" s="25"/>
      <c r="R354" s="18"/>
      <c r="S354" s="18"/>
      <c r="T354" s="18"/>
      <c r="U354" s="18"/>
      <c r="V354" s="18"/>
      <c r="W354" s="18"/>
      <c r="X354" s="18"/>
      <c r="Y354" s="18"/>
      <c r="Z354" s="18"/>
      <c r="AA354" s="18"/>
      <c r="AB354" t="str">
        <f>IFERROR(__xludf.DUMMYFUNCTION("SUBSTITUTE(REGEXREPLACE(REGEXREPLACE(REGEXREPLACE(REGEXREPLACE(REGEXREPLACE(REGEXREPLACE(F354,"","",),IF(Projections!$T$11="""",""PG"",),),IF(Projections!$U$11="""",""SG"",),),IF(Projections!$V$11="""",""SF"",),),IF(Projections!$W$11="""",""PF"",),),IF(Pr"&amp;"ojections!$X$11="""",""C"",),),""/"","""")"),"")</f>
        <v/>
      </c>
    </row>
    <row r="355">
      <c r="G355" s="18"/>
      <c r="H355" s="18"/>
      <c r="I355" s="18"/>
      <c r="J355" s="18"/>
      <c r="K355" s="18"/>
      <c r="L355" s="18"/>
      <c r="M355" s="18"/>
      <c r="N355" s="18"/>
      <c r="O355" s="18"/>
      <c r="P355" s="25"/>
      <c r="Q355" s="25"/>
      <c r="R355" s="18"/>
      <c r="S355" s="18"/>
      <c r="T355" s="18"/>
      <c r="U355" s="18"/>
      <c r="V355" s="18"/>
      <c r="W355" s="18"/>
      <c r="X355" s="18"/>
      <c r="Y355" s="18"/>
      <c r="Z355" s="18"/>
      <c r="AA355" s="18"/>
      <c r="AB355" t="str">
        <f>IFERROR(__xludf.DUMMYFUNCTION("SUBSTITUTE(REGEXREPLACE(REGEXREPLACE(REGEXREPLACE(REGEXREPLACE(REGEXREPLACE(REGEXREPLACE(F355,"","",),IF(Projections!$T$11="""",""PG"",),),IF(Projections!$U$11="""",""SG"",),),IF(Projections!$V$11="""",""SF"",),),IF(Projections!$W$11="""",""PF"",),),IF(Pr"&amp;"ojections!$X$11="""",""C"",),),""/"","""")"),"")</f>
        <v/>
      </c>
    </row>
    <row r="356">
      <c r="G356" s="18"/>
      <c r="H356" s="18"/>
      <c r="I356" s="18"/>
      <c r="J356" s="18"/>
      <c r="K356" s="18"/>
      <c r="L356" s="18"/>
      <c r="M356" s="18"/>
      <c r="N356" s="18"/>
      <c r="O356" s="18"/>
      <c r="P356" s="25"/>
      <c r="Q356" s="25"/>
      <c r="R356" s="18"/>
      <c r="S356" s="18"/>
      <c r="T356" s="18"/>
      <c r="U356" s="18"/>
      <c r="V356" s="18"/>
      <c r="W356" s="18"/>
      <c r="X356" s="18"/>
      <c r="Y356" s="18"/>
      <c r="Z356" s="18"/>
      <c r="AA356" s="18"/>
      <c r="AB356" t="str">
        <f>IFERROR(__xludf.DUMMYFUNCTION("SUBSTITUTE(REGEXREPLACE(REGEXREPLACE(REGEXREPLACE(REGEXREPLACE(REGEXREPLACE(REGEXREPLACE(F356,"","",),IF(Projections!$T$11="""",""PG"",),),IF(Projections!$U$11="""",""SG"",),),IF(Projections!$V$11="""",""SF"",),),IF(Projections!$W$11="""",""PF"",),),IF(Pr"&amp;"ojections!$X$11="""",""C"",),),""/"","""")"),"")</f>
        <v/>
      </c>
    </row>
    <row r="357">
      <c r="G357" s="18"/>
      <c r="H357" s="18"/>
      <c r="I357" s="18"/>
      <c r="J357" s="18"/>
      <c r="K357" s="18"/>
      <c r="L357" s="18"/>
      <c r="M357" s="18"/>
      <c r="N357" s="18"/>
      <c r="O357" s="18"/>
      <c r="P357" s="25"/>
      <c r="Q357" s="25"/>
      <c r="R357" s="18"/>
      <c r="S357" s="18"/>
      <c r="T357" s="18"/>
      <c r="U357" s="18"/>
      <c r="V357" s="18"/>
      <c r="W357" s="18"/>
      <c r="X357" s="18"/>
      <c r="Y357" s="18"/>
      <c r="Z357" s="18"/>
      <c r="AA357" s="18"/>
      <c r="AB357" t="str">
        <f>IFERROR(__xludf.DUMMYFUNCTION("SUBSTITUTE(REGEXREPLACE(REGEXREPLACE(REGEXREPLACE(REGEXREPLACE(REGEXREPLACE(REGEXREPLACE(F357,"","",),IF(Projections!$T$11="""",""PG"",),),IF(Projections!$U$11="""",""SG"",),),IF(Projections!$V$11="""",""SF"",),),IF(Projections!$W$11="""",""PF"",),),IF(Pr"&amp;"ojections!$X$11="""",""C"",),),""/"","""")"),"")</f>
        <v/>
      </c>
    </row>
    <row r="358">
      <c r="G358" s="18"/>
      <c r="H358" s="18"/>
      <c r="I358" s="18"/>
      <c r="J358" s="18"/>
      <c r="K358" s="18"/>
      <c r="L358" s="18"/>
      <c r="M358" s="18"/>
      <c r="N358" s="18"/>
      <c r="O358" s="18"/>
      <c r="P358" s="25"/>
      <c r="Q358" s="25"/>
      <c r="R358" s="18"/>
      <c r="S358" s="18"/>
      <c r="T358" s="18"/>
      <c r="U358" s="18"/>
      <c r="V358" s="18"/>
      <c r="W358" s="18"/>
      <c r="X358" s="18"/>
      <c r="Y358" s="18"/>
      <c r="Z358" s="18"/>
      <c r="AA358" s="18"/>
      <c r="AB358" t="str">
        <f>IFERROR(__xludf.DUMMYFUNCTION("SUBSTITUTE(REGEXREPLACE(REGEXREPLACE(REGEXREPLACE(REGEXREPLACE(REGEXREPLACE(REGEXREPLACE(F358,"","",),IF(Projections!$T$11="""",""PG"",),),IF(Projections!$U$11="""",""SG"",),),IF(Projections!$V$11="""",""SF"",),),IF(Projections!$W$11="""",""PF"",),),IF(Pr"&amp;"ojections!$X$11="""",""C"",),),""/"","""")"),"")</f>
        <v/>
      </c>
    </row>
    <row r="359">
      <c r="G359" s="18"/>
      <c r="H359" s="18"/>
      <c r="I359" s="18"/>
      <c r="J359" s="18"/>
      <c r="K359" s="18"/>
      <c r="L359" s="18"/>
      <c r="M359" s="18"/>
      <c r="N359" s="18"/>
      <c r="O359" s="18"/>
      <c r="P359" s="25"/>
      <c r="Q359" s="25"/>
      <c r="R359" s="18"/>
      <c r="S359" s="18"/>
      <c r="T359" s="18"/>
      <c r="U359" s="18"/>
      <c r="V359" s="18"/>
      <c r="W359" s="18"/>
      <c r="X359" s="18"/>
      <c r="Y359" s="18"/>
      <c r="Z359" s="18"/>
      <c r="AA359" s="18"/>
      <c r="AB359" t="str">
        <f>IFERROR(__xludf.DUMMYFUNCTION("SUBSTITUTE(REGEXREPLACE(REGEXREPLACE(REGEXREPLACE(REGEXREPLACE(REGEXREPLACE(REGEXREPLACE(F359,"","",),IF(Projections!$T$11="""",""PG"",),),IF(Projections!$U$11="""",""SG"",),),IF(Projections!$V$11="""",""SF"",),),IF(Projections!$W$11="""",""PF"",),),IF(Pr"&amp;"ojections!$X$11="""",""C"",),),""/"","""")"),"")</f>
        <v/>
      </c>
    </row>
    <row r="360">
      <c r="G360" s="18"/>
      <c r="H360" s="18"/>
      <c r="I360" s="18"/>
      <c r="J360" s="18"/>
      <c r="K360" s="18"/>
      <c r="L360" s="18"/>
      <c r="M360" s="18"/>
      <c r="N360" s="18"/>
      <c r="O360" s="18"/>
      <c r="P360" s="25"/>
      <c r="Q360" s="25"/>
      <c r="R360" s="18"/>
      <c r="S360" s="18"/>
      <c r="T360" s="18"/>
      <c r="U360" s="18"/>
      <c r="V360" s="18"/>
      <c r="W360" s="18"/>
      <c r="X360" s="18"/>
      <c r="Y360" s="18"/>
      <c r="Z360" s="18"/>
      <c r="AA360" s="18"/>
      <c r="AB360" t="str">
        <f>IFERROR(__xludf.DUMMYFUNCTION("SUBSTITUTE(REGEXREPLACE(REGEXREPLACE(REGEXREPLACE(REGEXREPLACE(REGEXREPLACE(REGEXREPLACE(F360,"","",),IF(Projections!$T$11="""",""PG"",),),IF(Projections!$U$11="""",""SG"",),),IF(Projections!$V$11="""",""SF"",),),IF(Projections!$W$11="""",""PF"",),),IF(Pr"&amp;"ojections!$X$11="""",""C"",),),""/"","""")"),"")</f>
        <v/>
      </c>
    </row>
    <row r="361">
      <c r="G361" s="18"/>
      <c r="H361" s="18"/>
      <c r="I361" s="18"/>
      <c r="J361" s="18"/>
      <c r="K361" s="18"/>
      <c r="L361" s="18"/>
      <c r="M361" s="18"/>
      <c r="N361" s="18"/>
      <c r="O361" s="18"/>
      <c r="P361" s="25"/>
      <c r="Q361" s="25"/>
      <c r="R361" s="18"/>
      <c r="S361" s="18"/>
      <c r="T361" s="18"/>
      <c r="U361" s="18"/>
      <c r="V361" s="18"/>
      <c r="W361" s="18"/>
      <c r="X361" s="18"/>
      <c r="Y361" s="18"/>
      <c r="Z361" s="18"/>
      <c r="AA361" s="18"/>
      <c r="AB361" t="str">
        <f>IFERROR(__xludf.DUMMYFUNCTION("SUBSTITUTE(REGEXREPLACE(REGEXREPLACE(REGEXREPLACE(REGEXREPLACE(REGEXREPLACE(REGEXREPLACE(F361,"","",),IF(Projections!$T$11="""",""PG"",),),IF(Projections!$U$11="""",""SG"",),),IF(Projections!$V$11="""",""SF"",),),IF(Projections!$W$11="""",""PF"",),),IF(Pr"&amp;"ojections!$X$11="""",""C"",),),""/"","""")"),"")</f>
        <v/>
      </c>
    </row>
    <row r="362">
      <c r="G362" s="18"/>
      <c r="H362" s="18"/>
      <c r="I362" s="18"/>
      <c r="J362" s="18"/>
      <c r="K362" s="18"/>
      <c r="L362" s="18"/>
      <c r="M362" s="18"/>
      <c r="N362" s="18"/>
      <c r="O362" s="18"/>
      <c r="P362" s="25"/>
      <c r="Q362" s="25"/>
      <c r="R362" s="18"/>
      <c r="S362" s="18"/>
      <c r="T362" s="18"/>
      <c r="U362" s="18"/>
      <c r="V362" s="18"/>
      <c r="W362" s="18"/>
      <c r="X362" s="18"/>
      <c r="Y362" s="18"/>
      <c r="Z362" s="18"/>
      <c r="AA362" s="18"/>
      <c r="AB362" t="str">
        <f>IFERROR(__xludf.DUMMYFUNCTION("SUBSTITUTE(REGEXREPLACE(REGEXREPLACE(REGEXREPLACE(REGEXREPLACE(REGEXREPLACE(REGEXREPLACE(F362,"","",),IF(Projections!$T$11="""",""PG"",),),IF(Projections!$U$11="""",""SG"",),),IF(Projections!$V$11="""",""SF"",),),IF(Projections!$W$11="""",""PF"",),),IF(Pr"&amp;"ojections!$X$11="""",""C"",),),""/"","""")"),"")</f>
        <v/>
      </c>
    </row>
    <row r="363">
      <c r="G363" s="18"/>
      <c r="H363" s="18"/>
      <c r="I363" s="18"/>
      <c r="J363" s="18"/>
      <c r="K363" s="18"/>
      <c r="L363" s="18"/>
      <c r="M363" s="18"/>
      <c r="N363" s="18"/>
      <c r="O363" s="18"/>
      <c r="P363" s="25"/>
      <c r="Q363" s="25"/>
      <c r="R363" s="18"/>
      <c r="S363" s="18"/>
      <c r="T363" s="18"/>
      <c r="U363" s="18"/>
      <c r="V363" s="18"/>
      <c r="W363" s="18"/>
      <c r="X363" s="18"/>
      <c r="Y363" s="18"/>
      <c r="Z363" s="18"/>
      <c r="AA363" s="18"/>
      <c r="AB363" t="str">
        <f>IFERROR(__xludf.DUMMYFUNCTION("SUBSTITUTE(REGEXREPLACE(REGEXREPLACE(REGEXREPLACE(REGEXREPLACE(REGEXREPLACE(REGEXREPLACE(F363,"","",),IF(Projections!$T$11="""",""PG"",),),IF(Projections!$U$11="""",""SG"",),),IF(Projections!$V$11="""",""SF"",),),IF(Projections!$W$11="""",""PF"",),),IF(Pr"&amp;"ojections!$X$11="""",""C"",),),""/"","""")"),"")</f>
        <v/>
      </c>
    </row>
    <row r="364">
      <c r="G364" s="18"/>
      <c r="H364" s="18"/>
      <c r="I364" s="18"/>
      <c r="J364" s="18"/>
      <c r="K364" s="18"/>
      <c r="L364" s="18"/>
      <c r="M364" s="18"/>
      <c r="N364" s="18"/>
      <c r="O364" s="18"/>
      <c r="P364" s="25"/>
      <c r="Q364" s="25"/>
      <c r="R364" s="18"/>
      <c r="S364" s="18"/>
      <c r="T364" s="18"/>
      <c r="U364" s="18"/>
      <c r="V364" s="18"/>
      <c r="W364" s="18"/>
      <c r="X364" s="18"/>
      <c r="Y364" s="18"/>
      <c r="Z364" s="18"/>
      <c r="AA364" s="18"/>
      <c r="AB364" t="str">
        <f>IFERROR(__xludf.DUMMYFUNCTION("SUBSTITUTE(REGEXREPLACE(REGEXREPLACE(REGEXREPLACE(REGEXREPLACE(REGEXREPLACE(REGEXREPLACE(F364,"","",),IF(Projections!$T$11="""",""PG"",),),IF(Projections!$U$11="""",""SG"",),),IF(Projections!$V$11="""",""SF"",),),IF(Projections!$W$11="""",""PF"",),),IF(Pr"&amp;"ojections!$X$11="""",""C"",),),""/"","""")"),"")</f>
        <v/>
      </c>
    </row>
    <row r="365">
      <c r="G365" s="18"/>
      <c r="H365" s="18"/>
      <c r="I365" s="18"/>
      <c r="J365" s="18"/>
      <c r="K365" s="18"/>
      <c r="L365" s="18"/>
      <c r="M365" s="18"/>
      <c r="N365" s="18"/>
      <c r="O365" s="18"/>
      <c r="P365" s="25"/>
      <c r="Q365" s="25"/>
      <c r="R365" s="18"/>
      <c r="S365" s="18"/>
      <c r="T365" s="18"/>
      <c r="U365" s="18"/>
      <c r="V365" s="18"/>
      <c r="W365" s="18"/>
      <c r="X365" s="18"/>
      <c r="Y365" s="18"/>
      <c r="Z365" s="18"/>
      <c r="AA365" s="18"/>
      <c r="AB365" t="str">
        <f>IFERROR(__xludf.DUMMYFUNCTION("SUBSTITUTE(REGEXREPLACE(REGEXREPLACE(REGEXREPLACE(REGEXREPLACE(REGEXREPLACE(REGEXREPLACE(F365,"","",),IF(Projections!$T$11="""",""PG"",),),IF(Projections!$U$11="""",""SG"",),),IF(Projections!$V$11="""",""SF"",),),IF(Projections!$W$11="""",""PF"",),),IF(Pr"&amp;"ojections!$X$11="""",""C"",),),""/"","""")"),"")</f>
        <v/>
      </c>
    </row>
    <row r="366">
      <c r="G366" s="18"/>
      <c r="H366" s="18"/>
      <c r="I366" s="18"/>
      <c r="J366" s="18"/>
      <c r="K366" s="18"/>
      <c r="L366" s="18"/>
      <c r="M366" s="18"/>
      <c r="N366" s="18"/>
      <c r="O366" s="18"/>
      <c r="P366" s="25"/>
      <c r="Q366" s="25"/>
      <c r="R366" s="18"/>
      <c r="S366" s="18"/>
      <c r="T366" s="18"/>
      <c r="U366" s="18"/>
      <c r="V366" s="18"/>
      <c r="W366" s="18"/>
      <c r="X366" s="18"/>
      <c r="Y366" s="18"/>
      <c r="Z366" s="18"/>
      <c r="AA366" s="18"/>
      <c r="AB366" t="str">
        <f>IFERROR(__xludf.DUMMYFUNCTION("SUBSTITUTE(REGEXREPLACE(REGEXREPLACE(REGEXREPLACE(REGEXREPLACE(REGEXREPLACE(REGEXREPLACE(F366,"","",),IF(Projections!$T$11="""",""PG"",),),IF(Projections!$U$11="""",""SG"",),),IF(Projections!$V$11="""",""SF"",),),IF(Projections!$W$11="""",""PF"",),),IF(Pr"&amp;"ojections!$X$11="""",""C"",),),""/"","""")"),"")</f>
        <v/>
      </c>
    </row>
    <row r="367">
      <c r="G367" s="18"/>
      <c r="H367" s="18"/>
      <c r="I367" s="18"/>
      <c r="J367" s="18"/>
      <c r="K367" s="18"/>
      <c r="L367" s="18"/>
      <c r="M367" s="18"/>
      <c r="N367" s="18"/>
      <c r="O367" s="18"/>
      <c r="P367" s="25"/>
      <c r="Q367" s="25"/>
      <c r="R367" s="18"/>
      <c r="S367" s="18"/>
      <c r="T367" s="18"/>
      <c r="U367" s="18"/>
      <c r="V367" s="18"/>
      <c r="W367" s="18"/>
      <c r="X367" s="18"/>
      <c r="Y367" s="18"/>
      <c r="Z367" s="18"/>
      <c r="AA367" s="18"/>
      <c r="AB367" t="str">
        <f>IFERROR(__xludf.DUMMYFUNCTION("SUBSTITUTE(REGEXREPLACE(REGEXREPLACE(REGEXREPLACE(REGEXREPLACE(REGEXREPLACE(REGEXREPLACE(F367,"","",),IF(Projections!$T$11="""",""PG"",),),IF(Projections!$U$11="""",""SG"",),),IF(Projections!$V$11="""",""SF"",),),IF(Projections!$W$11="""",""PF"",),),IF(Pr"&amp;"ojections!$X$11="""",""C"",),),""/"","""")"),"")</f>
        <v/>
      </c>
    </row>
    <row r="368">
      <c r="G368" s="18"/>
      <c r="H368" s="18"/>
      <c r="I368" s="18"/>
      <c r="J368" s="18"/>
      <c r="K368" s="18"/>
      <c r="L368" s="18"/>
      <c r="M368" s="18"/>
      <c r="N368" s="18"/>
      <c r="O368" s="18"/>
      <c r="P368" s="25"/>
      <c r="Q368" s="25"/>
      <c r="R368" s="18"/>
      <c r="S368" s="18"/>
      <c r="T368" s="18"/>
      <c r="U368" s="18"/>
      <c r="V368" s="18"/>
      <c r="W368" s="18"/>
      <c r="X368" s="18"/>
      <c r="Y368" s="18"/>
      <c r="Z368" s="18"/>
      <c r="AA368" s="18"/>
      <c r="AB368" t="str">
        <f>IFERROR(__xludf.DUMMYFUNCTION("SUBSTITUTE(REGEXREPLACE(REGEXREPLACE(REGEXREPLACE(REGEXREPLACE(REGEXREPLACE(REGEXREPLACE(F368,"","",),IF(Projections!$T$11="""",""PG"",),),IF(Projections!$U$11="""",""SG"",),),IF(Projections!$V$11="""",""SF"",),),IF(Projections!$W$11="""",""PF"",),),IF(Pr"&amp;"ojections!$X$11="""",""C"",),),""/"","""")"),"")</f>
        <v/>
      </c>
    </row>
    <row r="369">
      <c r="G369" s="18"/>
      <c r="H369" s="18"/>
      <c r="I369" s="18"/>
      <c r="J369" s="18"/>
      <c r="K369" s="18"/>
      <c r="L369" s="18"/>
      <c r="M369" s="18"/>
      <c r="N369" s="18"/>
      <c r="O369" s="18"/>
      <c r="P369" s="25"/>
      <c r="Q369" s="25"/>
      <c r="R369" s="18"/>
      <c r="S369" s="18"/>
      <c r="T369" s="18"/>
      <c r="U369" s="18"/>
      <c r="V369" s="18"/>
      <c r="W369" s="18"/>
      <c r="X369" s="18"/>
      <c r="Y369" s="18"/>
      <c r="Z369" s="18"/>
      <c r="AA369" s="18"/>
      <c r="AB369" t="str">
        <f>IFERROR(__xludf.DUMMYFUNCTION("SUBSTITUTE(REGEXREPLACE(REGEXREPLACE(REGEXREPLACE(REGEXREPLACE(REGEXREPLACE(REGEXREPLACE(F369,"","",),IF(Projections!$T$11="""",""PG"",),),IF(Projections!$U$11="""",""SG"",),),IF(Projections!$V$11="""",""SF"",),),IF(Projections!$W$11="""",""PF"",),),IF(Pr"&amp;"ojections!$X$11="""",""C"",),),""/"","""")"),"")</f>
        <v/>
      </c>
    </row>
    <row r="370">
      <c r="G370" s="18"/>
      <c r="H370" s="18"/>
      <c r="I370" s="18"/>
      <c r="J370" s="18"/>
      <c r="K370" s="18"/>
      <c r="L370" s="18"/>
      <c r="M370" s="18"/>
      <c r="N370" s="18"/>
      <c r="O370" s="18"/>
      <c r="P370" s="25"/>
      <c r="Q370" s="25"/>
      <c r="R370" s="18"/>
      <c r="S370" s="18"/>
      <c r="T370" s="18"/>
      <c r="U370" s="18"/>
      <c r="V370" s="18"/>
      <c r="W370" s="18"/>
      <c r="X370" s="18"/>
      <c r="Y370" s="18"/>
      <c r="Z370" s="18"/>
      <c r="AA370" s="18"/>
      <c r="AB370" t="str">
        <f>IFERROR(__xludf.DUMMYFUNCTION("SUBSTITUTE(REGEXREPLACE(REGEXREPLACE(REGEXREPLACE(REGEXREPLACE(REGEXREPLACE(REGEXREPLACE(F370,"","",),IF(Projections!$T$11="""",""PG"",),),IF(Projections!$U$11="""",""SG"",),),IF(Projections!$V$11="""",""SF"",),),IF(Projections!$W$11="""",""PF"",),),IF(Pr"&amp;"ojections!$X$11="""",""C"",),),""/"","""")"),"")</f>
        <v/>
      </c>
    </row>
    <row r="371">
      <c r="G371" s="18"/>
      <c r="H371" s="18"/>
      <c r="I371" s="18"/>
      <c r="J371" s="18"/>
      <c r="K371" s="18"/>
      <c r="L371" s="18"/>
      <c r="M371" s="18"/>
      <c r="N371" s="18"/>
      <c r="O371" s="18"/>
      <c r="P371" s="25"/>
      <c r="Q371" s="25"/>
      <c r="R371" s="18"/>
      <c r="S371" s="18"/>
      <c r="T371" s="18"/>
      <c r="U371" s="18"/>
      <c r="V371" s="18"/>
      <c r="W371" s="18"/>
      <c r="X371" s="18"/>
      <c r="Y371" s="18"/>
      <c r="Z371" s="18"/>
      <c r="AA371" s="18"/>
      <c r="AB371" t="str">
        <f>IFERROR(__xludf.DUMMYFUNCTION("SUBSTITUTE(REGEXREPLACE(REGEXREPLACE(REGEXREPLACE(REGEXREPLACE(REGEXREPLACE(REGEXREPLACE(F371,"","",),IF(Projections!$T$11="""",""PG"",),),IF(Projections!$U$11="""",""SG"",),),IF(Projections!$V$11="""",""SF"",),),IF(Projections!$W$11="""",""PF"",),),IF(Pr"&amp;"ojections!$X$11="""",""C"",),),""/"","""")"),"")</f>
        <v/>
      </c>
    </row>
    <row r="372">
      <c r="G372" s="18"/>
      <c r="H372" s="18"/>
      <c r="I372" s="18"/>
      <c r="J372" s="18"/>
      <c r="K372" s="18"/>
      <c r="L372" s="18"/>
      <c r="M372" s="18"/>
      <c r="N372" s="18"/>
      <c r="O372" s="18"/>
      <c r="P372" s="25"/>
      <c r="Q372" s="25"/>
      <c r="R372" s="18"/>
      <c r="S372" s="18"/>
      <c r="T372" s="18"/>
      <c r="U372" s="18"/>
      <c r="V372" s="18"/>
      <c r="W372" s="18"/>
      <c r="X372" s="18"/>
      <c r="Y372" s="18"/>
      <c r="Z372" s="18"/>
      <c r="AA372" s="18"/>
      <c r="AB372" t="str">
        <f>IFERROR(__xludf.DUMMYFUNCTION("SUBSTITUTE(REGEXREPLACE(REGEXREPLACE(REGEXREPLACE(REGEXREPLACE(REGEXREPLACE(REGEXREPLACE(F372,"","",),IF(Projections!$T$11="""",""PG"",),),IF(Projections!$U$11="""",""SG"",),),IF(Projections!$V$11="""",""SF"",),),IF(Projections!$W$11="""",""PF"",),),IF(Pr"&amp;"ojections!$X$11="""",""C"",),),""/"","""")"),"")</f>
        <v/>
      </c>
    </row>
    <row r="373">
      <c r="G373" s="18"/>
      <c r="H373" s="18"/>
      <c r="I373" s="18"/>
      <c r="J373" s="18"/>
      <c r="K373" s="18"/>
      <c r="L373" s="18"/>
      <c r="M373" s="18"/>
      <c r="N373" s="18"/>
      <c r="O373" s="18"/>
      <c r="P373" s="25"/>
      <c r="Q373" s="25"/>
      <c r="R373" s="18"/>
      <c r="S373" s="18"/>
      <c r="T373" s="18"/>
      <c r="U373" s="18"/>
      <c r="V373" s="18"/>
      <c r="W373" s="18"/>
      <c r="X373" s="18"/>
      <c r="Y373" s="18"/>
      <c r="Z373" s="18"/>
      <c r="AA373" s="18"/>
      <c r="AB373" t="str">
        <f>IFERROR(__xludf.DUMMYFUNCTION("SUBSTITUTE(REGEXREPLACE(REGEXREPLACE(REGEXREPLACE(REGEXREPLACE(REGEXREPLACE(REGEXREPLACE(F373,"","",),IF(Projections!$T$11="""",""PG"",),),IF(Projections!$U$11="""",""SG"",),),IF(Projections!$V$11="""",""SF"",),),IF(Projections!$W$11="""",""PF"",),),IF(Pr"&amp;"ojections!$X$11="""",""C"",),),""/"","""")"),"")</f>
        <v/>
      </c>
    </row>
    <row r="374">
      <c r="G374" s="18"/>
      <c r="H374" s="18"/>
      <c r="I374" s="18"/>
      <c r="J374" s="18"/>
      <c r="K374" s="18"/>
      <c r="L374" s="18"/>
      <c r="M374" s="18"/>
      <c r="N374" s="18"/>
      <c r="O374" s="18"/>
      <c r="P374" s="25"/>
      <c r="Q374" s="25"/>
      <c r="R374" s="18"/>
      <c r="S374" s="18"/>
      <c r="T374" s="18"/>
      <c r="U374" s="18"/>
      <c r="V374" s="18"/>
      <c r="W374" s="18"/>
      <c r="X374" s="18"/>
      <c r="Y374" s="18"/>
      <c r="Z374" s="18"/>
      <c r="AA374" s="18"/>
      <c r="AB374" t="str">
        <f>IFERROR(__xludf.DUMMYFUNCTION("SUBSTITUTE(REGEXREPLACE(REGEXREPLACE(REGEXREPLACE(REGEXREPLACE(REGEXREPLACE(REGEXREPLACE(F374,"","",),IF(Projections!$T$11="""",""PG"",),),IF(Projections!$U$11="""",""SG"",),),IF(Projections!$V$11="""",""SF"",),),IF(Projections!$W$11="""",""PF"",),),IF(Pr"&amp;"ojections!$X$11="""",""C"",),),""/"","""")"),"")</f>
        <v/>
      </c>
    </row>
    <row r="375">
      <c r="G375" s="18"/>
      <c r="H375" s="18"/>
      <c r="I375" s="18"/>
      <c r="J375" s="18"/>
      <c r="K375" s="18"/>
      <c r="L375" s="18"/>
      <c r="M375" s="18"/>
      <c r="N375" s="18"/>
      <c r="O375" s="18"/>
      <c r="P375" s="25"/>
      <c r="Q375" s="25"/>
      <c r="R375" s="18"/>
      <c r="S375" s="18"/>
      <c r="T375" s="18"/>
      <c r="U375" s="18"/>
      <c r="V375" s="18"/>
      <c r="W375" s="18"/>
      <c r="X375" s="18"/>
      <c r="Y375" s="18"/>
      <c r="Z375" s="18"/>
      <c r="AA375" s="18"/>
      <c r="AB375" t="str">
        <f>IFERROR(__xludf.DUMMYFUNCTION("SUBSTITUTE(REGEXREPLACE(REGEXREPLACE(REGEXREPLACE(REGEXREPLACE(REGEXREPLACE(REGEXREPLACE(F375,"","",),IF(Projections!$T$11="""",""PG"",),),IF(Projections!$U$11="""",""SG"",),),IF(Projections!$V$11="""",""SF"",),),IF(Projections!$W$11="""",""PF"",),),IF(Pr"&amp;"ojections!$X$11="""",""C"",),),""/"","""")"),"")</f>
        <v/>
      </c>
    </row>
    <row r="376">
      <c r="G376" s="18"/>
      <c r="H376" s="18"/>
      <c r="I376" s="18"/>
      <c r="J376" s="18"/>
      <c r="K376" s="18"/>
      <c r="L376" s="18"/>
      <c r="M376" s="18"/>
      <c r="N376" s="18"/>
      <c r="O376" s="18"/>
      <c r="P376" s="25"/>
      <c r="Q376" s="25"/>
      <c r="R376" s="18"/>
      <c r="S376" s="18"/>
      <c r="T376" s="18"/>
      <c r="U376" s="18"/>
      <c r="V376" s="18"/>
      <c r="W376" s="18"/>
      <c r="X376" s="18"/>
      <c r="Y376" s="18"/>
      <c r="Z376" s="18"/>
      <c r="AA376" s="18"/>
      <c r="AB376" t="str">
        <f>IFERROR(__xludf.DUMMYFUNCTION("SUBSTITUTE(REGEXREPLACE(REGEXREPLACE(REGEXREPLACE(REGEXREPLACE(REGEXREPLACE(REGEXREPLACE(F376,"","",),IF(Projections!$T$11="""",""PG"",),),IF(Projections!$U$11="""",""SG"",),),IF(Projections!$V$11="""",""SF"",),),IF(Projections!$W$11="""",""PF"",),),IF(Pr"&amp;"ojections!$X$11="""",""C"",),),""/"","""")"),"")</f>
        <v/>
      </c>
    </row>
    <row r="377">
      <c r="G377" s="18"/>
      <c r="H377" s="18"/>
      <c r="I377" s="18"/>
      <c r="J377" s="18"/>
      <c r="K377" s="18"/>
      <c r="L377" s="18"/>
      <c r="M377" s="18"/>
      <c r="N377" s="18"/>
      <c r="O377" s="18"/>
      <c r="P377" s="25"/>
      <c r="Q377" s="25"/>
      <c r="R377" s="18"/>
      <c r="S377" s="18"/>
      <c r="T377" s="18"/>
      <c r="U377" s="18"/>
      <c r="V377" s="18"/>
      <c r="W377" s="18"/>
      <c r="X377" s="18"/>
      <c r="Y377" s="18"/>
      <c r="Z377" s="18"/>
      <c r="AA377" s="18"/>
      <c r="AB377" t="str">
        <f>IFERROR(__xludf.DUMMYFUNCTION("SUBSTITUTE(REGEXREPLACE(REGEXREPLACE(REGEXREPLACE(REGEXREPLACE(REGEXREPLACE(REGEXREPLACE(F377,"","",),IF(Projections!$T$11="""",""PG"",),),IF(Projections!$U$11="""",""SG"",),),IF(Projections!$V$11="""",""SF"",),),IF(Projections!$W$11="""",""PF"",),),IF(Pr"&amp;"ojections!$X$11="""",""C"",),),""/"","""")"),"")</f>
        <v/>
      </c>
    </row>
    <row r="378">
      <c r="G378" s="18"/>
      <c r="H378" s="18"/>
      <c r="I378" s="18"/>
      <c r="J378" s="18"/>
      <c r="K378" s="18"/>
      <c r="L378" s="18"/>
      <c r="M378" s="18"/>
      <c r="N378" s="18"/>
      <c r="O378" s="18"/>
      <c r="P378" s="25"/>
      <c r="Q378" s="25"/>
      <c r="R378" s="18"/>
      <c r="S378" s="18"/>
      <c r="T378" s="18"/>
      <c r="U378" s="18"/>
      <c r="V378" s="18"/>
      <c r="W378" s="18"/>
      <c r="X378" s="18"/>
      <c r="Y378" s="18"/>
      <c r="Z378" s="18"/>
      <c r="AA378" s="18"/>
      <c r="AB378" t="str">
        <f>IFERROR(__xludf.DUMMYFUNCTION("SUBSTITUTE(REGEXREPLACE(REGEXREPLACE(REGEXREPLACE(REGEXREPLACE(REGEXREPLACE(REGEXREPLACE(F378,"","",),IF(Projections!$T$11="""",""PG"",),),IF(Projections!$U$11="""",""SG"",),),IF(Projections!$V$11="""",""SF"",),),IF(Projections!$W$11="""",""PF"",),),IF(Pr"&amp;"ojections!$X$11="""",""C"",),),""/"","""")"),"")</f>
        <v/>
      </c>
    </row>
    <row r="379">
      <c r="G379" s="18"/>
      <c r="H379" s="18"/>
      <c r="I379" s="18"/>
      <c r="J379" s="18"/>
      <c r="K379" s="18"/>
      <c r="L379" s="18"/>
      <c r="M379" s="18"/>
      <c r="N379" s="18"/>
      <c r="O379" s="18"/>
      <c r="P379" s="25"/>
      <c r="Q379" s="25"/>
      <c r="R379" s="18"/>
      <c r="S379" s="18"/>
      <c r="T379" s="18"/>
      <c r="U379" s="18"/>
      <c r="V379" s="18"/>
      <c r="W379" s="18"/>
      <c r="X379" s="18"/>
      <c r="Y379" s="18"/>
      <c r="Z379" s="18"/>
      <c r="AA379" s="18"/>
      <c r="AB379" t="str">
        <f>IFERROR(__xludf.DUMMYFUNCTION("SUBSTITUTE(REGEXREPLACE(REGEXREPLACE(REGEXREPLACE(REGEXREPLACE(REGEXREPLACE(REGEXREPLACE(F379,"","",),IF(Projections!$T$11="""",""PG"",),),IF(Projections!$U$11="""",""SG"",),),IF(Projections!$V$11="""",""SF"",),),IF(Projections!$W$11="""",""PF"",),),IF(Pr"&amp;"ojections!$X$11="""",""C"",),),""/"","""")"),"")</f>
        <v/>
      </c>
    </row>
    <row r="380">
      <c r="G380" s="18"/>
      <c r="H380" s="18"/>
      <c r="I380" s="18"/>
      <c r="J380" s="18"/>
      <c r="K380" s="18"/>
      <c r="L380" s="18"/>
      <c r="M380" s="18"/>
      <c r="N380" s="18"/>
      <c r="O380" s="18"/>
      <c r="P380" s="25"/>
      <c r="Q380" s="25"/>
      <c r="R380" s="18"/>
      <c r="S380" s="18"/>
      <c r="T380" s="18"/>
      <c r="U380" s="18"/>
      <c r="V380" s="18"/>
      <c r="W380" s="18"/>
      <c r="X380" s="18"/>
      <c r="Y380" s="18"/>
      <c r="Z380" s="18"/>
      <c r="AA380" s="18"/>
      <c r="AB380" t="str">
        <f>IFERROR(__xludf.DUMMYFUNCTION("SUBSTITUTE(REGEXREPLACE(REGEXREPLACE(REGEXREPLACE(REGEXREPLACE(REGEXREPLACE(REGEXREPLACE(F380,"","",),IF(Projections!$T$11="""",""PG"",),),IF(Projections!$U$11="""",""SG"",),),IF(Projections!$V$11="""",""SF"",),),IF(Projections!$W$11="""",""PF"",),),IF(Pr"&amp;"ojections!$X$11="""",""C"",),),""/"","""")"),"")</f>
        <v/>
      </c>
    </row>
    <row r="381">
      <c r="G381" s="18"/>
      <c r="H381" s="18"/>
      <c r="I381" s="18"/>
      <c r="J381" s="18"/>
      <c r="K381" s="18"/>
      <c r="L381" s="18"/>
      <c r="M381" s="18"/>
      <c r="N381" s="18"/>
      <c r="O381" s="18"/>
      <c r="P381" s="25"/>
      <c r="Q381" s="25"/>
      <c r="R381" s="18"/>
      <c r="S381" s="18"/>
      <c r="T381" s="18"/>
      <c r="U381" s="18"/>
      <c r="V381" s="18"/>
      <c r="W381" s="18"/>
      <c r="X381" s="18"/>
      <c r="Y381" s="18"/>
      <c r="Z381" s="18"/>
      <c r="AA381" s="18"/>
      <c r="AB381" t="str">
        <f>IFERROR(__xludf.DUMMYFUNCTION("SUBSTITUTE(REGEXREPLACE(REGEXREPLACE(REGEXREPLACE(REGEXREPLACE(REGEXREPLACE(REGEXREPLACE(F381,"","",),IF(Projections!$T$11="""",""PG"",),),IF(Projections!$U$11="""",""SG"",),),IF(Projections!$V$11="""",""SF"",),),IF(Projections!$W$11="""",""PF"",),),IF(Pr"&amp;"ojections!$X$11="""",""C"",),),""/"","""")"),"")</f>
        <v/>
      </c>
    </row>
    <row r="382">
      <c r="G382" s="18"/>
      <c r="H382" s="18"/>
      <c r="I382" s="18"/>
      <c r="J382" s="18"/>
      <c r="K382" s="18"/>
      <c r="L382" s="18"/>
      <c r="M382" s="18"/>
      <c r="N382" s="18"/>
      <c r="O382" s="18"/>
      <c r="P382" s="25"/>
      <c r="Q382" s="25"/>
      <c r="R382" s="18"/>
      <c r="S382" s="18"/>
      <c r="T382" s="18"/>
      <c r="U382" s="18"/>
      <c r="V382" s="18"/>
      <c r="W382" s="18"/>
      <c r="X382" s="18"/>
      <c r="Y382" s="18"/>
      <c r="Z382" s="18"/>
      <c r="AA382" s="18"/>
      <c r="AB382" t="str">
        <f>IFERROR(__xludf.DUMMYFUNCTION("SUBSTITUTE(REGEXREPLACE(REGEXREPLACE(REGEXREPLACE(REGEXREPLACE(REGEXREPLACE(REGEXREPLACE(F382,"","",),IF(Projections!$T$11="""",""PG"",),),IF(Projections!$U$11="""",""SG"",),),IF(Projections!$V$11="""",""SF"",),),IF(Projections!$W$11="""",""PF"",),),IF(Pr"&amp;"ojections!$X$11="""",""C"",),),""/"","""")"),"")</f>
        <v/>
      </c>
    </row>
    <row r="383">
      <c r="G383" s="18"/>
      <c r="H383" s="18"/>
      <c r="I383" s="18"/>
      <c r="J383" s="18"/>
      <c r="K383" s="18"/>
      <c r="L383" s="18"/>
      <c r="M383" s="18"/>
      <c r="N383" s="18"/>
      <c r="O383" s="18"/>
      <c r="P383" s="25"/>
      <c r="Q383" s="25"/>
      <c r="R383" s="18"/>
      <c r="S383" s="18"/>
      <c r="T383" s="18"/>
      <c r="U383" s="18"/>
      <c r="V383" s="18"/>
      <c r="W383" s="18"/>
      <c r="X383" s="18"/>
      <c r="Y383" s="18"/>
      <c r="Z383" s="18"/>
      <c r="AA383" s="18"/>
      <c r="AB383" t="str">
        <f>IFERROR(__xludf.DUMMYFUNCTION("SUBSTITUTE(REGEXREPLACE(REGEXREPLACE(REGEXREPLACE(REGEXREPLACE(REGEXREPLACE(REGEXREPLACE(F383,"","",),IF(Projections!$T$11="""",""PG"",),),IF(Projections!$U$11="""",""SG"",),),IF(Projections!$V$11="""",""SF"",),),IF(Projections!$W$11="""",""PF"",),),IF(Pr"&amp;"ojections!$X$11="""",""C"",),),""/"","""")"),"")</f>
        <v/>
      </c>
    </row>
    <row r="384">
      <c r="G384" s="18"/>
      <c r="H384" s="18"/>
      <c r="I384" s="18"/>
      <c r="J384" s="18"/>
      <c r="K384" s="18"/>
      <c r="L384" s="18"/>
      <c r="M384" s="18"/>
      <c r="N384" s="18"/>
      <c r="O384" s="18"/>
      <c r="P384" s="25"/>
      <c r="Q384" s="25"/>
      <c r="R384" s="18"/>
      <c r="S384" s="18"/>
      <c r="T384" s="18"/>
      <c r="U384" s="18"/>
      <c r="V384" s="18"/>
      <c r="W384" s="18"/>
      <c r="X384" s="18"/>
      <c r="Y384" s="18"/>
      <c r="Z384" s="18"/>
      <c r="AA384" s="18"/>
      <c r="AB384" t="str">
        <f>IFERROR(__xludf.DUMMYFUNCTION("SUBSTITUTE(REGEXREPLACE(REGEXREPLACE(REGEXREPLACE(REGEXREPLACE(REGEXREPLACE(REGEXREPLACE(F384,"","",),IF(Projections!$T$11="""",""PG"",),),IF(Projections!$U$11="""",""SG"",),),IF(Projections!$V$11="""",""SF"",),),IF(Projections!$W$11="""",""PF"",),),IF(Pr"&amp;"ojections!$X$11="""",""C"",),),""/"","""")"),"")</f>
        <v/>
      </c>
    </row>
    <row r="385">
      <c r="G385" s="18"/>
      <c r="H385" s="18"/>
      <c r="I385" s="18"/>
      <c r="J385" s="18"/>
      <c r="K385" s="18"/>
      <c r="L385" s="18"/>
      <c r="M385" s="18"/>
      <c r="N385" s="18"/>
      <c r="O385" s="18"/>
      <c r="P385" s="25"/>
      <c r="Q385" s="25"/>
      <c r="R385" s="18"/>
      <c r="S385" s="18"/>
      <c r="T385" s="18"/>
      <c r="U385" s="18"/>
      <c r="V385" s="18"/>
      <c r="W385" s="18"/>
      <c r="X385" s="18"/>
      <c r="Y385" s="18"/>
      <c r="Z385" s="18"/>
      <c r="AA385" s="18"/>
      <c r="AB385" t="str">
        <f>IFERROR(__xludf.DUMMYFUNCTION("SUBSTITUTE(REGEXREPLACE(REGEXREPLACE(REGEXREPLACE(REGEXREPLACE(REGEXREPLACE(REGEXREPLACE(F385,"","",),IF(Projections!$T$11="""",""PG"",),),IF(Projections!$U$11="""",""SG"",),),IF(Projections!$V$11="""",""SF"",),),IF(Projections!$W$11="""",""PF"",),),IF(Pr"&amp;"ojections!$X$11="""",""C"",),),""/"","""")"),"")</f>
        <v/>
      </c>
    </row>
    <row r="386">
      <c r="G386" s="18"/>
      <c r="H386" s="18"/>
      <c r="I386" s="18"/>
      <c r="J386" s="18"/>
      <c r="K386" s="18"/>
      <c r="L386" s="18"/>
      <c r="M386" s="18"/>
      <c r="N386" s="18"/>
      <c r="O386" s="18"/>
      <c r="P386" s="25"/>
      <c r="Q386" s="25"/>
      <c r="R386" s="18"/>
      <c r="S386" s="18"/>
      <c r="T386" s="18"/>
      <c r="U386" s="18"/>
      <c r="V386" s="18"/>
      <c r="W386" s="18"/>
      <c r="X386" s="18"/>
      <c r="Y386" s="18"/>
      <c r="Z386" s="18"/>
      <c r="AA386" s="18"/>
      <c r="AB386" t="str">
        <f>IFERROR(__xludf.DUMMYFUNCTION("SUBSTITUTE(REGEXREPLACE(REGEXREPLACE(REGEXREPLACE(REGEXREPLACE(REGEXREPLACE(REGEXREPLACE(F386,"","",),IF(Projections!$T$11="""",""PG"",),),IF(Projections!$U$11="""",""SG"",),),IF(Projections!$V$11="""",""SF"",),),IF(Projections!$W$11="""",""PF"",),),IF(Pr"&amp;"ojections!$X$11="""",""C"",),),""/"","""")"),"")</f>
        <v/>
      </c>
    </row>
    <row r="387">
      <c r="G387" s="18"/>
      <c r="H387" s="18"/>
      <c r="I387" s="18"/>
      <c r="J387" s="18"/>
      <c r="K387" s="18"/>
      <c r="L387" s="18"/>
      <c r="M387" s="18"/>
      <c r="N387" s="18"/>
      <c r="O387" s="18"/>
      <c r="P387" s="25"/>
      <c r="Q387" s="25"/>
      <c r="R387" s="18"/>
      <c r="S387" s="18"/>
      <c r="T387" s="18"/>
      <c r="U387" s="18"/>
      <c r="V387" s="18"/>
      <c r="W387" s="18"/>
      <c r="X387" s="18"/>
      <c r="Y387" s="18"/>
      <c r="Z387" s="18"/>
      <c r="AA387" s="18"/>
      <c r="AB387" t="str">
        <f>IFERROR(__xludf.DUMMYFUNCTION("SUBSTITUTE(REGEXREPLACE(REGEXREPLACE(REGEXREPLACE(REGEXREPLACE(REGEXREPLACE(REGEXREPLACE(F387,"","",),IF(Projections!$T$11="""",""PG"",),),IF(Projections!$U$11="""",""SG"",),),IF(Projections!$V$11="""",""SF"",),),IF(Projections!$W$11="""",""PF"",),),IF(Pr"&amp;"ojections!$X$11="""",""C"",),),""/"","""")"),"")</f>
        <v/>
      </c>
    </row>
    <row r="388">
      <c r="G388" s="18"/>
      <c r="H388" s="18"/>
      <c r="I388" s="18"/>
      <c r="J388" s="18"/>
      <c r="K388" s="18"/>
      <c r="L388" s="18"/>
      <c r="M388" s="18"/>
      <c r="N388" s="18"/>
      <c r="O388" s="18"/>
      <c r="P388" s="25"/>
      <c r="Q388" s="25"/>
      <c r="R388" s="18"/>
      <c r="S388" s="18"/>
      <c r="T388" s="18"/>
      <c r="U388" s="18"/>
      <c r="V388" s="18"/>
      <c r="W388" s="18"/>
      <c r="X388" s="18"/>
      <c r="Y388" s="18"/>
      <c r="Z388" s="18"/>
      <c r="AA388" s="18"/>
      <c r="AB388" t="str">
        <f>IFERROR(__xludf.DUMMYFUNCTION("SUBSTITUTE(REGEXREPLACE(REGEXREPLACE(REGEXREPLACE(REGEXREPLACE(REGEXREPLACE(REGEXREPLACE(F388,"","",),IF(Projections!$T$11="""",""PG"",),),IF(Projections!$U$11="""",""SG"",),),IF(Projections!$V$11="""",""SF"",),),IF(Projections!$W$11="""",""PF"",),),IF(Pr"&amp;"ojections!$X$11="""",""C"",),),""/"","""")"),"")</f>
        <v/>
      </c>
    </row>
    <row r="389">
      <c r="G389" s="18"/>
      <c r="H389" s="18"/>
      <c r="I389" s="18"/>
      <c r="J389" s="18"/>
      <c r="K389" s="18"/>
      <c r="L389" s="18"/>
      <c r="M389" s="18"/>
      <c r="N389" s="18"/>
      <c r="O389" s="18"/>
      <c r="P389" s="25"/>
      <c r="Q389" s="25"/>
      <c r="R389" s="18"/>
      <c r="S389" s="18"/>
      <c r="T389" s="18"/>
      <c r="U389" s="18"/>
      <c r="V389" s="18"/>
      <c r="W389" s="18"/>
      <c r="X389" s="18"/>
      <c r="Y389" s="18"/>
      <c r="Z389" s="18"/>
      <c r="AA389" s="18"/>
      <c r="AB389" t="str">
        <f>IFERROR(__xludf.DUMMYFUNCTION("SUBSTITUTE(REGEXREPLACE(REGEXREPLACE(REGEXREPLACE(REGEXREPLACE(REGEXREPLACE(REGEXREPLACE(F389,"","",),IF(Projections!$T$11="""",""PG"",),),IF(Projections!$U$11="""",""SG"",),),IF(Projections!$V$11="""",""SF"",),),IF(Projections!$W$11="""",""PF"",),),IF(Pr"&amp;"ojections!$X$11="""",""C"",),),""/"","""")"),"")</f>
        <v/>
      </c>
    </row>
    <row r="390">
      <c r="G390" s="18"/>
      <c r="H390" s="18"/>
      <c r="I390" s="18"/>
      <c r="J390" s="18"/>
      <c r="K390" s="18"/>
      <c r="L390" s="18"/>
      <c r="M390" s="18"/>
      <c r="N390" s="18"/>
      <c r="O390" s="18"/>
      <c r="P390" s="25"/>
      <c r="Q390" s="25"/>
      <c r="R390" s="18"/>
      <c r="S390" s="18"/>
      <c r="T390" s="18"/>
      <c r="U390" s="18"/>
      <c r="V390" s="18"/>
      <c r="W390" s="18"/>
      <c r="X390" s="18"/>
      <c r="Y390" s="18"/>
      <c r="Z390" s="18"/>
      <c r="AA390" s="18"/>
      <c r="AB390" t="str">
        <f>IFERROR(__xludf.DUMMYFUNCTION("SUBSTITUTE(REGEXREPLACE(REGEXREPLACE(REGEXREPLACE(REGEXREPLACE(REGEXREPLACE(REGEXREPLACE(F390,"","",),IF(Projections!$T$11="""",""PG"",),),IF(Projections!$U$11="""",""SG"",),),IF(Projections!$V$11="""",""SF"",),),IF(Projections!$W$11="""",""PF"",),),IF(Pr"&amp;"ojections!$X$11="""",""C"",),),""/"","""")"),"")</f>
        <v/>
      </c>
    </row>
    <row r="391">
      <c r="G391" s="18"/>
      <c r="H391" s="18"/>
      <c r="I391" s="18"/>
      <c r="J391" s="18"/>
      <c r="K391" s="18"/>
      <c r="L391" s="18"/>
      <c r="M391" s="18"/>
      <c r="N391" s="18"/>
      <c r="O391" s="18"/>
      <c r="P391" s="25"/>
      <c r="Q391" s="25"/>
      <c r="R391" s="18"/>
      <c r="S391" s="18"/>
      <c r="T391" s="18"/>
      <c r="U391" s="18"/>
      <c r="V391" s="18"/>
      <c r="W391" s="18"/>
      <c r="X391" s="18"/>
      <c r="Y391" s="18"/>
      <c r="Z391" s="18"/>
      <c r="AA391" s="18"/>
      <c r="AB391" t="str">
        <f>IFERROR(__xludf.DUMMYFUNCTION("SUBSTITUTE(REGEXREPLACE(REGEXREPLACE(REGEXREPLACE(REGEXREPLACE(REGEXREPLACE(REGEXREPLACE(F391,"","",),IF(Projections!$T$11="""",""PG"",),),IF(Projections!$U$11="""",""SG"",),),IF(Projections!$V$11="""",""SF"",),),IF(Projections!$W$11="""",""PF"",),),IF(Pr"&amp;"ojections!$X$11="""",""C"",),),""/"","""")"),"")</f>
        <v/>
      </c>
    </row>
    <row r="392">
      <c r="G392" s="18"/>
      <c r="H392" s="18"/>
      <c r="I392" s="18"/>
      <c r="J392" s="18"/>
      <c r="K392" s="18"/>
      <c r="L392" s="18"/>
      <c r="M392" s="18"/>
      <c r="N392" s="18"/>
      <c r="O392" s="18"/>
      <c r="P392" s="25"/>
      <c r="Q392" s="25"/>
      <c r="R392" s="18"/>
      <c r="S392" s="18"/>
      <c r="T392" s="18"/>
      <c r="U392" s="18"/>
      <c r="V392" s="18"/>
      <c r="W392" s="18"/>
      <c r="X392" s="18"/>
      <c r="Y392" s="18"/>
      <c r="Z392" s="18"/>
      <c r="AA392" s="18"/>
      <c r="AB392" t="str">
        <f>IFERROR(__xludf.DUMMYFUNCTION("SUBSTITUTE(REGEXREPLACE(REGEXREPLACE(REGEXREPLACE(REGEXREPLACE(REGEXREPLACE(REGEXREPLACE(F392,"","",),IF(Projections!$T$11="""",""PG"",),),IF(Projections!$U$11="""",""SG"",),),IF(Projections!$V$11="""",""SF"",),),IF(Projections!$W$11="""",""PF"",),),IF(Pr"&amp;"ojections!$X$11="""",""C"",),),""/"","""")"),"")</f>
        <v/>
      </c>
    </row>
    <row r="393">
      <c r="G393" s="18"/>
      <c r="H393" s="18"/>
      <c r="I393" s="18"/>
      <c r="J393" s="18"/>
      <c r="K393" s="18"/>
      <c r="L393" s="18"/>
      <c r="M393" s="18"/>
      <c r="N393" s="18"/>
      <c r="O393" s="18"/>
      <c r="P393" s="25"/>
      <c r="Q393" s="25"/>
      <c r="R393" s="18"/>
      <c r="S393" s="18"/>
      <c r="T393" s="18"/>
      <c r="U393" s="18"/>
      <c r="V393" s="18"/>
      <c r="W393" s="18"/>
      <c r="X393" s="18"/>
      <c r="Y393" s="18"/>
      <c r="Z393" s="18"/>
      <c r="AA393" s="18"/>
      <c r="AB393" t="str">
        <f>IFERROR(__xludf.DUMMYFUNCTION("SUBSTITUTE(REGEXREPLACE(REGEXREPLACE(REGEXREPLACE(REGEXREPLACE(REGEXREPLACE(REGEXREPLACE(F393,"","",),IF(Projections!$T$11="""",""PG"",),),IF(Projections!$U$11="""",""SG"",),),IF(Projections!$V$11="""",""SF"",),),IF(Projections!$W$11="""",""PF"",),),IF(Pr"&amp;"ojections!$X$11="""",""C"",),),""/"","""")"),"")</f>
        <v/>
      </c>
    </row>
    <row r="394">
      <c r="G394" s="18"/>
      <c r="H394" s="18"/>
      <c r="I394" s="18"/>
      <c r="J394" s="18"/>
      <c r="K394" s="18"/>
      <c r="L394" s="18"/>
      <c r="M394" s="18"/>
      <c r="N394" s="18"/>
      <c r="O394" s="18"/>
      <c r="P394" s="25"/>
      <c r="Q394" s="25"/>
      <c r="R394" s="18"/>
      <c r="S394" s="18"/>
      <c r="T394" s="18"/>
      <c r="U394" s="18"/>
      <c r="V394" s="18"/>
      <c r="W394" s="18"/>
      <c r="X394" s="18"/>
      <c r="Y394" s="18"/>
      <c r="Z394" s="18"/>
      <c r="AA394" s="18"/>
      <c r="AB394" t="str">
        <f>IFERROR(__xludf.DUMMYFUNCTION("SUBSTITUTE(REGEXREPLACE(REGEXREPLACE(REGEXREPLACE(REGEXREPLACE(REGEXREPLACE(REGEXREPLACE(F394,"","",),IF(Projections!$T$11="""",""PG"",),),IF(Projections!$U$11="""",""SG"",),),IF(Projections!$V$11="""",""SF"",),),IF(Projections!$W$11="""",""PF"",),),IF(Pr"&amp;"ojections!$X$11="""",""C"",),),""/"","""")"),"")</f>
        <v/>
      </c>
    </row>
    <row r="395">
      <c r="G395" s="18"/>
      <c r="H395" s="18"/>
      <c r="I395" s="18"/>
      <c r="J395" s="18"/>
      <c r="K395" s="18"/>
      <c r="L395" s="18"/>
      <c r="M395" s="18"/>
      <c r="N395" s="18"/>
      <c r="O395" s="18"/>
      <c r="P395" s="25"/>
      <c r="Q395" s="25"/>
      <c r="R395" s="18"/>
      <c r="S395" s="18"/>
      <c r="T395" s="18"/>
      <c r="U395" s="18"/>
      <c r="V395" s="18"/>
      <c r="W395" s="18"/>
      <c r="X395" s="18"/>
      <c r="Y395" s="18"/>
      <c r="Z395" s="18"/>
      <c r="AA395" s="18"/>
      <c r="AB395" t="str">
        <f>IFERROR(__xludf.DUMMYFUNCTION("SUBSTITUTE(REGEXREPLACE(REGEXREPLACE(REGEXREPLACE(REGEXREPLACE(REGEXREPLACE(REGEXREPLACE(F395,"","",),IF(Projections!$T$11="""",""PG"",),),IF(Projections!$U$11="""",""SG"",),),IF(Projections!$V$11="""",""SF"",),),IF(Projections!$W$11="""",""PF"",),),IF(Pr"&amp;"ojections!$X$11="""",""C"",),),""/"","""")"),"")</f>
        <v/>
      </c>
    </row>
    <row r="396">
      <c r="G396" s="18"/>
      <c r="H396" s="18"/>
      <c r="I396" s="18"/>
      <c r="J396" s="18"/>
      <c r="K396" s="18"/>
      <c r="L396" s="18"/>
      <c r="M396" s="18"/>
      <c r="N396" s="18"/>
      <c r="O396" s="18"/>
      <c r="P396" s="25"/>
      <c r="Q396" s="25"/>
      <c r="R396" s="18"/>
      <c r="S396" s="18"/>
      <c r="T396" s="18"/>
      <c r="U396" s="18"/>
      <c r="V396" s="18"/>
      <c r="W396" s="18"/>
      <c r="X396" s="18"/>
      <c r="Y396" s="18"/>
      <c r="Z396" s="18"/>
      <c r="AA396" s="18"/>
    </row>
    <row r="397">
      <c r="G397" s="18"/>
      <c r="H397" s="18"/>
      <c r="I397" s="18"/>
      <c r="J397" s="18"/>
      <c r="K397" s="18"/>
      <c r="L397" s="18"/>
      <c r="M397" s="18"/>
      <c r="N397" s="18"/>
      <c r="O397" s="18"/>
      <c r="P397" s="25"/>
      <c r="Q397" s="25"/>
      <c r="R397" s="18"/>
      <c r="S397" s="18"/>
      <c r="T397" s="18"/>
      <c r="U397" s="18"/>
      <c r="V397" s="18"/>
      <c r="W397" s="18"/>
      <c r="X397" s="18"/>
      <c r="Y397" s="18"/>
      <c r="Z397" s="18"/>
      <c r="AA397" s="18"/>
    </row>
    <row r="398">
      <c r="G398" s="18"/>
      <c r="H398" s="18"/>
      <c r="I398" s="18"/>
      <c r="J398" s="18"/>
      <c r="K398" s="18"/>
      <c r="L398" s="18"/>
      <c r="M398" s="18"/>
      <c r="N398" s="18"/>
      <c r="O398" s="18"/>
      <c r="P398" s="25"/>
      <c r="Q398" s="25"/>
      <c r="R398" s="18"/>
      <c r="S398" s="18"/>
      <c r="T398" s="18"/>
      <c r="U398" s="18"/>
      <c r="V398" s="18"/>
      <c r="W398" s="18"/>
      <c r="X398" s="18"/>
      <c r="Y398" s="18"/>
      <c r="Z398" s="18"/>
      <c r="AA398" s="18"/>
    </row>
    <row r="399">
      <c r="G399" s="18"/>
      <c r="H399" s="18"/>
      <c r="I399" s="18"/>
      <c r="J399" s="18"/>
      <c r="K399" s="18"/>
      <c r="L399" s="18"/>
      <c r="M399" s="18"/>
      <c r="N399" s="18"/>
      <c r="O399" s="18"/>
      <c r="P399" s="25"/>
      <c r="Q399" s="25"/>
      <c r="R399" s="18"/>
      <c r="S399" s="18"/>
      <c r="T399" s="18"/>
      <c r="U399" s="18"/>
      <c r="V399" s="18"/>
      <c r="W399" s="18"/>
      <c r="X399" s="18"/>
      <c r="Y399" s="18"/>
      <c r="Z399" s="18"/>
      <c r="AA399" s="18"/>
    </row>
    <row r="400">
      <c r="G400" s="18"/>
      <c r="H400" s="18"/>
      <c r="I400" s="18"/>
      <c r="J400" s="18"/>
      <c r="K400" s="18"/>
      <c r="L400" s="18"/>
      <c r="M400" s="18"/>
      <c r="N400" s="18"/>
      <c r="O400" s="18"/>
      <c r="P400" s="25"/>
      <c r="Q400" s="25"/>
      <c r="R400" s="18"/>
      <c r="S400" s="18"/>
      <c r="T400" s="18"/>
      <c r="U400" s="18"/>
      <c r="V400" s="18"/>
      <c r="W400" s="18"/>
      <c r="X400" s="18"/>
      <c r="Y400" s="18"/>
      <c r="Z400" s="18"/>
      <c r="AA400" s="18"/>
    </row>
    <row r="401">
      <c r="G401" s="18"/>
      <c r="H401" s="18"/>
      <c r="I401" s="18"/>
      <c r="J401" s="18"/>
      <c r="K401" s="18"/>
      <c r="L401" s="18"/>
      <c r="M401" s="18"/>
      <c r="N401" s="18"/>
      <c r="O401" s="18"/>
      <c r="P401" s="25"/>
      <c r="Q401" s="25"/>
      <c r="R401" s="18"/>
      <c r="S401" s="18"/>
      <c r="T401" s="18"/>
      <c r="U401" s="18"/>
      <c r="V401" s="18"/>
      <c r="W401" s="18"/>
      <c r="X401" s="18"/>
      <c r="Y401" s="18"/>
      <c r="Z401" s="18"/>
      <c r="AA401" s="18"/>
    </row>
    <row r="402">
      <c r="G402" s="18"/>
      <c r="H402" s="18"/>
      <c r="I402" s="18"/>
      <c r="J402" s="18"/>
      <c r="K402" s="18"/>
      <c r="L402" s="18"/>
      <c r="M402" s="18"/>
      <c r="N402" s="18"/>
      <c r="O402" s="18"/>
      <c r="P402" s="25"/>
      <c r="Q402" s="25"/>
      <c r="R402" s="18"/>
      <c r="S402" s="18"/>
      <c r="T402" s="18"/>
      <c r="U402" s="18"/>
      <c r="V402" s="18"/>
      <c r="W402" s="18"/>
      <c r="X402" s="18"/>
      <c r="Y402" s="18"/>
      <c r="Z402" s="18"/>
      <c r="AA402" s="18"/>
    </row>
    <row r="403">
      <c r="G403" s="18"/>
      <c r="H403" s="18"/>
      <c r="I403" s="18"/>
      <c r="J403" s="18"/>
      <c r="K403" s="18"/>
      <c r="L403" s="18"/>
      <c r="M403" s="18"/>
      <c r="N403" s="18"/>
      <c r="O403" s="18"/>
      <c r="P403" s="25"/>
      <c r="Q403" s="25"/>
      <c r="R403" s="18"/>
      <c r="S403" s="18"/>
      <c r="T403" s="18"/>
      <c r="U403" s="18"/>
      <c r="V403" s="18"/>
      <c r="W403" s="18"/>
      <c r="X403" s="18"/>
      <c r="Y403" s="18"/>
      <c r="Z403" s="18"/>
      <c r="AA403" s="18"/>
    </row>
    <row r="404">
      <c r="G404" s="18"/>
      <c r="H404" s="18"/>
      <c r="I404" s="18"/>
      <c r="J404" s="18"/>
      <c r="K404" s="18"/>
      <c r="L404" s="18"/>
      <c r="M404" s="18"/>
      <c r="N404" s="18"/>
      <c r="O404" s="18"/>
      <c r="P404" s="25"/>
      <c r="Q404" s="25"/>
      <c r="R404" s="18"/>
      <c r="S404" s="18"/>
      <c r="T404" s="18"/>
      <c r="U404" s="18"/>
      <c r="V404" s="18"/>
      <c r="W404" s="18"/>
      <c r="X404" s="18"/>
      <c r="Y404" s="18"/>
      <c r="Z404" s="18"/>
      <c r="AA404" s="18"/>
    </row>
    <row r="405">
      <c r="G405" s="18"/>
      <c r="H405" s="18"/>
      <c r="I405" s="18"/>
      <c r="J405" s="18"/>
      <c r="K405" s="18"/>
      <c r="L405" s="18"/>
      <c r="M405" s="18"/>
      <c r="N405" s="18"/>
      <c r="O405" s="18"/>
      <c r="P405" s="25"/>
      <c r="Q405" s="25"/>
      <c r="R405" s="18"/>
      <c r="S405" s="18"/>
      <c r="T405" s="18"/>
      <c r="U405" s="18"/>
      <c r="V405" s="18"/>
      <c r="W405" s="18"/>
      <c r="X405" s="18"/>
      <c r="Y405" s="18"/>
      <c r="Z405" s="18"/>
      <c r="AA405" s="18"/>
    </row>
  </sheetData>
  <drawing r:id="rId1"/>
</worksheet>
</file>